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all_docs\2020\ПП\ПП №\"/>
    </mc:Choice>
  </mc:AlternateContent>
  <bookViews>
    <workbookView xWindow="0" yWindow="0" windowWidth="23256" windowHeight="9732" firstSheet="4" activeTab="5"/>
  </bookViews>
  <sheets>
    <sheet name="часть 1" sheetId="1" state="hidden" r:id="rId1"/>
    <sheet name="часть 2" sheetId="2" state="hidden" r:id="rId2"/>
    <sheet name="часть 3" sheetId="3" state="hidden" r:id="rId3"/>
    <sheet name="№ п-п" sheetId="4" state="hidden" r:id="rId4"/>
    <sheet name="2-70" sheetId="5" r:id="rId5"/>
    <sheet name="71-106" sheetId="6" r:id="rId6"/>
    <sheet name="107" sheetId="7" r:id="rId7"/>
  </sheets>
  <externalReferences>
    <externalReference r:id="rId8"/>
  </externalReferences>
  <definedNames>
    <definedName name="_xlnm._FilterDatabase" localSheetId="6" hidden="1">'107'!$A$5:$F$216</definedName>
    <definedName name="_xlnm._FilterDatabase" localSheetId="4" hidden="1">'2-70'!$A$12:$T$1641</definedName>
    <definedName name="_xlnm._FilterDatabase" localSheetId="5" hidden="1">'71-106'!$A$7:$Y$1168</definedName>
    <definedName name="_xlnm._FilterDatabase" localSheetId="0" hidden="1">'часть 1'!$A$14:$BJ$580</definedName>
    <definedName name="_xlnm._FilterDatabase" localSheetId="1" hidden="1">'часть 2'!$A$6:$BA$560</definedName>
    <definedName name="_xlnm._FilterDatabase" localSheetId="2" hidden="1">'часть 3'!$A$5:$P$104</definedName>
    <definedName name="Z_05E5B781_F71B_4B1D_8903_6B19B14E5AF9_.wvu.FilterData" localSheetId="5" hidden="1">'71-106'!$A$7:$Y$1168</definedName>
    <definedName name="Z_0FC031E8_1679_436D_B7BC_C7548B561FDB_.wvu.FilterData" localSheetId="5" hidden="1">'71-106'!$A$7:$Y$1233</definedName>
    <definedName name="Z_12421221_D7D1_498B_BCF5_8FFA481C8CE8_.wvu.FilterData" localSheetId="5" hidden="1">'71-106'!$A$7:$Y$1168</definedName>
    <definedName name="Z_136D24AF_77E8_4B69_91ED_7B8ADE43DD87_.wvu.FilterData" localSheetId="5" hidden="1">'71-106'!$A$7:$Y$1168</definedName>
    <definedName name="Z_144E5A37_1CF2_41F0_BEF8_CB5D4D392E2A_.wvu.Cols" localSheetId="5" hidden="1">'71-106'!#REF!</definedName>
    <definedName name="Z_144E5A37_1CF2_41F0_BEF8_CB5D4D392E2A_.wvu.Cols" localSheetId="1" hidden="1">'часть 2'!$V:$V</definedName>
    <definedName name="Z_144E5A37_1CF2_41F0_BEF8_CB5D4D392E2A_.wvu.FilterData" localSheetId="6" hidden="1">'107'!$A$5:$F$216</definedName>
    <definedName name="Z_144E5A37_1CF2_41F0_BEF8_CB5D4D392E2A_.wvu.FilterData" localSheetId="4" hidden="1">'2-70'!$A$12:$T$919</definedName>
    <definedName name="Z_144E5A37_1CF2_41F0_BEF8_CB5D4D392E2A_.wvu.FilterData" localSheetId="5" hidden="1">'71-106'!$A$7:$Y$1168</definedName>
    <definedName name="Z_144E5A37_1CF2_41F0_BEF8_CB5D4D392E2A_.wvu.FilterData" localSheetId="0" hidden="1">'часть 1'!$A$14:$BJ$580</definedName>
    <definedName name="Z_144E5A37_1CF2_41F0_BEF8_CB5D4D392E2A_.wvu.FilterData" localSheetId="1" hidden="1">'часть 2'!$A$6:$BA$560</definedName>
    <definedName name="Z_144E5A37_1CF2_41F0_BEF8_CB5D4D392E2A_.wvu.FilterData" localSheetId="2" hidden="1">'часть 3'!$A$5:$P$104</definedName>
    <definedName name="Z_144E5A37_1CF2_41F0_BEF8_CB5D4D392E2A_.wvu.PrintArea" localSheetId="6" hidden="1">'107'!$A$1:$F$216</definedName>
    <definedName name="Z_144E5A37_1CF2_41F0_BEF8_CB5D4D392E2A_.wvu.PrintArea" localSheetId="4" hidden="1">'2-70'!$A$1:$T$919</definedName>
    <definedName name="Z_144E5A37_1CF2_41F0_BEF8_CB5D4D392E2A_.wvu.PrintArea" localSheetId="5" hidden="1">'71-106'!$A$1:$Y$1623</definedName>
    <definedName name="Z_144E5A37_1CF2_41F0_BEF8_CB5D4D392E2A_.wvu.PrintTitles" localSheetId="6" hidden="1">'107'!$5:$5</definedName>
    <definedName name="Z_144E5A37_1CF2_41F0_BEF8_CB5D4D392E2A_.wvu.PrintTitles" localSheetId="4" hidden="1">'2-70'!$12:$12</definedName>
    <definedName name="Z_144E5A37_1CF2_41F0_BEF8_CB5D4D392E2A_.wvu.PrintTitles" localSheetId="5" hidden="1">'71-106'!$7:$7</definedName>
    <definedName name="Z_144E5A37_1CF2_41F0_BEF8_CB5D4D392E2A_.wvu.PrintTitles" localSheetId="0" hidden="1">'часть 1'!$15:$15</definedName>
    <definedName name="Z_144E5A37_1CF2_41F0_BEF8_CB5D4D392E2A_.wvu.PrintTitles" localSheetId="1" hidden="1">'часть 2'!$6:$6</definedName>
    <definedName name="Z_144E5A37_1CF2_41F0_BEF8_CB5D4D392E2A_.wvu.PrintTitles" localSheetId="2" hidden="1">'часть 3'!$5:$5</definedName>
    <definedName name="Z_144E5A37_1CF2_41F0_BEF8_CB5D4D392E2A_.wvu.Rows" localSheetId="3" hidden="1">'№ п-п'!$14:$15,'№ п-п'!$18:$19</definedName>
    <definedName name="Z_152DE27B_16E0_4C3F_B8C9_77C51C4FE919_.wvu.FilterData" localSheetId="5" hidden="1">'71-106'!$A$7:$Y$1168</definedName>
    <definedName name="Z_29A3D4D6_A1CD_4D52_8401_A6487748845B_.wvu.FilterData" localSheetId="5" hidden="1">'71-106'!$A$7:$Y$1168</definedName>
    <definedName name="Z_3BFD9ADE_D6DD_43B4_9811_8F791DD4CCB0_.wvu.FilterData" localSheetId="5" hidden="1">'71-106'!$A$7:$Y$1168</definedName>
    <definedName name="Z_3F6E8ED0_3B45_404D_802F_187FEB96400E_.wvu.FilterData" localSheetId="5" hidden="1">'71-106'!$A$7:$Y$1168</definedName>
    <definedName name="Z_40F34145_9305_4878_B22D_6D9AD8EA3B52_.wvu.FilterData" localSheetId="5" hidden="1">'71-106'!$A$7:$Y$1168</definedName>
    <definedName name="Z_41475477_4189_43D3_81B6_CE8A040E00A7_.wvu.FilterData" localSheetId="5" hidden="1">'71-106'!$A$7:$Y$1168</definedName>
    <definedName name="Z_41536B0E_9695_4461_B8DF_5941B174BA4D_.wvu.FilterData" localSheetId="5" hidden="1">'71-106'!$A$7:$Y$1168</definedName>
    <definedName name="Z_474A6E90_1050_4B84_8489_0B2670AB677B_.wvu.FilterData" localSheetId="5" hidden="1">'71-106'!$A$7:$Y$1168</definedName>
    <definedName name="Z_4C44C113_DA02_468D_99C5_83FA6693F42F_.wvu.Cols" localSheetId="1" hidden="1">'часть 2'!$V:$V</definedName>
    <definedName name="Z_4C44C113_DA02_468D_99C5_83FA6693F42F_.wvu.FilterData" localSheetId="6" hidden="1">'107'!$A$5:$F$216</definedName>
    <definedName name="Z_4C44C113_DA02_468D_99C5_83FA6693F42F_.wvu.FilterData" localSheetId="4" hidden="1">'2-70'!$A$12:$T$919</definedName>
    <definedName name="Z_4C44C113_DA02_468D_99C5_83FA6693F42F_.wvu.FilterData" localSheetId="5" hidden="1">'71-106'!$A$7:$Y$1168</definedName>
    <definedName name="Z_4C44C113_DA02_468D_99C5_83FA6693F42F_.wvu.FilterData" localSheetId="0" hidden="1">'часть 1'!$A$14:$BJ$580</definedName>
    <definedName name="Z_4C44C113_DA02_468D_99C5_83FA6693F42F_.wvu.FilterData" localSheetId="1" hidden="1">'часть 2'!$A$6:$BA$560</definedName>
    <definedName name="Z_4C44C113_DA02_468D_99C5_83FA6693F42F_.wvu.FilterData" localSheetId="2" hidden="1">'часть 3'!$A$5:$P$104</definedName>
    <definedName name="Z_4C44C113_DA02_468D_99C5_83FA6693F42F_.wvu.PrintArea" localSheetId="6" hidden="1">'107'!$A$1:$F$216</definedName>
    <definedName name="Z_4C44C113_DA02_468D_99C5_83FA6693F42F_.wvu.PrintArea" localSheetId="4" hidden="1">'2-70'!$A$1:$T$919</definedName>
    <definedName name="Z_4C44C113_DA02_468D_99C5_83FA6693F42F_.wvu.PrintArea" localSheetId="5" hidden="1">'71-106'!$A$1:$Y$1620</definedName>
    <definedName name="Z_4C44C113_DA02_468D_99C5_83FA6693F42F_.wvu.PrintTitles" localSheetId="6" hidden="1">'107'!$5:$5</definedName>
    <definedName name="Z_4C44C113_DA02_468D_99C5_83FA6693F42F_.wvu.PrintTitles" localSheetId="4" hidden="1">'2-70'!$12:$12</definedName>
    <definedName name="Z_4C44C113_DA02_468D_99C5_83FA6693F42F_.wvu.PrintTitles" localSheetId="5" hidden="1">'71-106'!$7:$7</definedName>
    <definedName name="Z_4C44C113_DA02_468D_99C5_83FA6693F42F_.wvu.PrintTitles" localSheetId="0" hidden="1">'часть 1'!$15:$15</definedName>
    <definedName name="Z_4C44C113_DA02_468D_99C5_83FA6693F42F_.wvu.PrintTitles" localSheetId="1" hidden="1">'часть 2'!$6:$6</definedName>
    <definedName name="Z_4C44C113_DA02_468D_99C5_83FA6693F42F_.wvu.PrintTitles" localSheetId="2" hidden="1">'часть 3'!$5:$5</definedName>
    <definedName name="Z_4C44C113_DA02_468D_99C5_83FA6693F42F_.wvu.Rows" localSheetId="3" hidden="1">'№ п-п'!$14:$15,'№ п-п'!$18:$19</definedName>
    <definedName name="Z_4E314135_0949_4D37_900C_1E7395131096_.wvu.FilterData" localSheetId="5" hidden="1">'71-106'!$A$7:$Y$1168</definedName>
    <definedName name="Z_4F82539F_839D_4A54_B506_2AAEC10295D9_.wvu.FilterData" localSheetId="5" hidden="1">'71-106'!$A$7:$Y$1168</definedName>
    <definedName name="Z_5003B0C5_6416_446E_8CFF_5AFE12963873_.wvu.FilterData" localSheetId="5" hidden="1">'71-106'!$A$7:$Y$1168</definedName>
    <definedName name="Z_570403C4_1D93_4175_B4D8_BD47D46CE99C_.wvu.Cols" localSheetId="5" hidden="1">'71-106'!#REF!</definedName>
    <definedName name="Z_570403C4_1D93_4175_B4D8_BD47D46CE99C_.wvu.Cols" localSheetId="1" hidden="1">'часть 2'!$V:$V</definedName>
    <definedName name="Z_570403C4_1D93_4175_B4D8_BD47D46CE99C_.wvu.FilterData" localSheetId="6" hidden="1">'107'!$A$5:$F$216</definedName>
    <definedName name="Z_570403C4_1D93_4175_B4D8_BD47D46CE99C_.wvu.FilterData" localSheetId="4" hidden="1">'2-70'!$A$12:$T$919</definedName>
    <definedName name="Z_570403C4_1D93_4175_B4D8_BD47D46CE99C_.wvu.FilterData" localSheetId="5" hidden="1">'71-106'!$A$7:$Y$1168</definedName>
    <definedName name="Z_570403C4_1D93_4175_B4D8_BD47D46CE99C_.wvu.FilterData" localSheetId="0" hidden="1">'часть 1'!$A$14:$BJ$580</definedName>
    <definedName name="Z_570403C4_1D93_4175_B4D8_BD47D46CE99C_.wvu.FilterData" localSheetId="1" hidden="1">'часть 2'!$A$6:$BA$560</definedName>
    <definedName name="Z_570403C4_1D93_4175_B4D8_BD47D46CE99C_.wvu.FilterData" localSheetId="2" hidden="1">'часть 3'!$A$5:$P$104</definedName>
    <definedName name="Z_570403C4_1D93_4175_B4D8_BD47D46CE99C_.wvu.PrintArea" localSheetId="6" hidden="1">'107'!$A$1:$F$216</definedName>
    <definedName name="Z_570403C4_1D93_4175_B4D8_BD47D46CE99C_.wvu.PrintArea" localSheetId="4" hidden="1">'2-70'!$A$1:$T$919</definedName>
    <definedName name="Z_570403C4_1D93_4175_B4D8_BD47D46CE99C_.wvu.PrintArea" localSheetId="5" hidden="1">'71-106'!$A$1:$Y$1623</definedName>
    <definedName name="Z_570403C4_1D93_4175_B4D8_BD47D46CE99C_.wvu.PrintTitles" localSheetId="6" hidden="1">'107'!$5:$5</definedName>
    <definedName name="Z_570403C4_1D93_4175_B4D8_BD47D46CE99C_.wvu.PrintTitles" localSheetId="4" hidden="1">'2-70'!$12:$12</definedName>
    <definedName name="Z_570403C4_1D93_4175_B4D8_BD47D46CE99C_.wvu.PrintTitles" localSheetId="5" hidden="1">'71-106'!$7:$7</definedName>
    <definedName name="Z_570403C4_1D93_4175_B4D8_BD47D46CE99C_.wvu.PrintTitles" localSheetId="0" hidden="1">'часть 1'!$15:$15</definedName>
    <definedName name="Z_570403C4_1D93_4175_B4D8_BD47D46CE99C_.wvu.PrintTitles" localSheetId="1" hidden="1">'часть 2'!$6:$6</definedName>
    <definedName name="Z_570403C4_1D93_4175_B4D8_BD47D46CE99C_.wvu.PrintTitles" localSheetId="2" hidden="1">'часть 3'!$5:$5</definedName>
    <definedName name="Z_570403C4_1D93_4175_B4D8_BD47D46CE99C_.wvu.Rows" localSheetId="3" hidden="1">'№ п-п'!$14:$15,'№ п-п'!$18:$19</definedName>
    <definedName name="Z_57E5498B_E080_45F5_8B33_8D7188EC9C36_.wvu.FilterData" localSheetId="5" hidden="1">'71-106'!$A$7:$Y$1168</definedName>
    <definedName name="Z_57F71C00_2F54_4A01_858D_34743D2725A9_.wvu.FilterData" localSheetId="5" hidden="1">'71-106'!$A$7:$Y$1168</definedName>
    <definedName name="Z_5847BC76_9FD4_4C7D_BA05_675BE6D87382_.wvu.FilterData" localSheetId="5" hidden="1">'71-106'!$A$7:$Y$1168</definedName>
    <definedName name="Z_5B35D3E7_D7A9_42F2_9D25_9CB666EA5110_.wvu.FilterData" localSheetId="5" hidden="1">'71-106'!$A$7:$Y$1168</definedName>
    <definedName name="Z_5C3921B2_19C7_44DE_BD2B_2B0DD7BBFD35_.wvu.FilterData" localSheetId="5" hidden="1">'71-106'!$A$7:$Y$1168</definedName>
    <definedName name="Z_5E9903E7_AB69_4D86_B57D_DF5ACEB8B791_.wvu.FilterData" localSheetId="5" hidden="1">'71-106'!$A$7:$Y$1168</definedName>
    <definedName name="Z_60B34441_F0B1_49F8_8EDF_70278298107D_.wvu.FilterData" localSheetId="5" hidden="1">'71-106'!$A$7:$Y$1168</definedName>
    <definedName name="Z_66F56527_BC57_49BC_8DAF_8747E0C93E75_.wvu.FilterData" localSheetId="5" hidden="1">'71-106'!$A$7:$Y$1168</definedName>
    <definedName name="Z_6A833A2A_4156_48C4_9847_29978B4540DB_.wvu.FilterData" localSheetId="5" hidden="1">'71-106'!$A$7:$Y$1168</definedName>
    <definedName name="Z_6BE86631_6F83_428E_A6F1_69EDF5D6BF4E_.wvu.FilterData" localSheetId="5" hidden="1">'71-106'!$A$7:$Y$1168</definedName>
    <definedName name="Z_6EFFC362_96FF_4993_8ED7_69B790607D5D_.wvu.FilterData" localSheetId="5" hidden="1">'71-106'!$A$7:$Y$1168</definedName>
    <definedName name="Z_705C1A0A_F1DB_4399_B406_DF1688937ED4_.wvu.FilterData" localSheetId="5" hidden="1">'71-106'!$A$7:$Y$1168</definedName>
    <definedName name="Z_7096DD8D_E6EF_458D_9D55_386757A5C7CA_.wvu.FilterData" localSheetId="5" hidden="1">'71-106'!$A$7:$Y$1168</definedName>
    <definedName name="Z_717C4A49_7194_40C2_88DE_D85370C22ADE_.wvu.FilterData" localSheetId="5" hidden="1">'71-106'!$A$7:$Y$1168</definedName>
    <definedName name="Z_725685D9_D1CC_423B_8423_BB84CCB20813_.wvu.FilterData" localSheetId="5" hidden="1">'71-106'!$A$7:$Y$1168</definedName>
    <definedName name="Z_747A43E6_2B52_44FC_9C52_FA1A962072AC_.wvu.FilterData" localSheetId="5" hidden="1">'71-106'!$A$7:$Y$1168</definedName>
    <definedName name="Z_767D42A1_BC47_4717_AEA3_8B4CF63CB35B_.wvu.FilterData" localSheetId="5" hidden="1">'71-106'!$A$7:$Y$1168</definedName>
    <definedName name="Z_7A5DD78D_CBB3_4B9E_BE2C_65A8DA97DE43_.wvu.FilterData" localSheetId="5" hidden="1">'71-106'!$A$7:$Y$1168</definedName>
    <definedName name="Z_7A75CCE7_0E84_47E6_A162_5AC0354F2967_.wvu.Cols" localSheetId="5" hidden="1">'71-106'!#REF!</definedName>
    <definedName name="Z_7A75CCE7_0E84_47E6_A162_5AC0354F2967_.wvu.Cols" localSheetId="1" hidden="1">'часть 2'!$V:$V</definedName>
    <definedName name="Z_7A75CCE7_0E84_47E6_A162_5AC0354F2967_.wvu.FilterData" localSheetId="6" hidden="1">'107'!$A$5:$F$216</definedName>
    <definedName name="Z_7A75CCE7_0E84_47E6_A162_5AC0354F2967_.wvu.FilterData" localSheetId="4" hidden="1">'2-70'!$A$12:$T$919</definedName>
    <definedName name="Z_7A75CCE7_0E84_47E6_A162_5AC0354F2967_.wvu.FilterData" localSheetId="5" hidden="1">'71-106'!$A$7:$Y$1168</definedName>
    <definedName name="Z_7A75CCE7_0E84_47E6_A162_5AC0354F2967_.wvu.FilterData" localSheetId="0" hidden="1">'часть 1'!$A$14:$BJ$580</definedName>
    <definedName name="Z_7A75CCE7_0E84_47E6_A162_5AC0354F2967_.wvu.FilterData" localSheetId="1" hidden="1">'часть 2'!$A$6:$BA$560</definedName>
    <definedName name="Z_7A75CCE7_0E84_47E6_A162_5AC0354F2967_.wvu.FilterData" localSheetId="2" hidden="1">'часть 3'!$A$5:$P$104</definedName>
    <definedName name="Z_7A75CCE7_0E84_47E6_A162_5AC0354F2967_.wvu.PrintArea" localSheetId="6" hidden="1">'107'!$A$1:$F$216</definedName>
    <definedName name="Z_7A75CCE7_0E84_47E6_A162_5AC0354F2967_.wvu.PrintArea" localSheetId="4" hidden="1">'2-70'!$A$1:$T$919</definedName>
    <definedName name="Z_7A75CCE7_0E84_47E6_A162_5AC0354F2967_.wvu.PrintArea" localSheetId="5" hidden="1">'71-106'!$A$1:$Y$1623</definedName>
    <definedName name="Z_7A75CCE7_0E84_47E6_A162_5AC0354F2967_.wvu.PrintTitles" localSheetId="6" hidden="1">'107'!$5:$5</definedName>
    <definedName name="Z_7A75CCE7_0E84_47E6_A162_5AC0354F2967_.wvu.PrintTitles" localSheetId="4" hidden="1">'2-70'!$12:$12</definedName>
    <definedName name="Z_7A75CCE7_0E84_47E6_A162_5AC0354F2967_.wvu.PrintTitles" localSheetId="5" hidden="1">'71-106'!$7:$7</definedName>
    <definedName name="Z_7A75CCE7_0E84_47E6_A162_5AC0354F2967_.wvu.PrintTitles" localSheetId="0" hidden="1">'часть 1'!$15:$15</definedName>
    <definedName name="Z_7A75CCE7_0E84_47E6_A162_5AC0354F2967_.wvu.PrintTitles" localSheetId="1" hidden="1">'часть 2'!$6:$6</definedName>
    <definedName name="Z_7A75CCE7_0E84_47E6_A162_5AC0354F2967_.wvu.PrintTitles" localSheetId="2" hidden="1">'часть 3'!$5:$5</definedName>
    <definedName name="Z_7A75CCE7_0E84_47E6_A162_5AC0354F2967_.wvu.Rows" localSheetId="3" hidden="1">'№ п-п'!$14:$15,'№ п-п'!$18:$19</definedName>
    <definedName name="Z_7DB3C1B3_F279_4BAA_A54C_7231163D6141_.wvu.FilterData" localSheetId="5" hidden="1">'71-106'!$A$7:$Y$1168</definedName>
    <definedName name="Z_7F800B45_1B12_4FD8_BF8D_2D665F317240_.wvu.FilterData" localSheetId="5" hidden="1">'71-106'!$A$7:$Y$1168</definedName>
    <definedName name="Z_8003C97D_E897_4AB5_8D11_A4AEEE9ACC85_.wvu.FilterData" localSheetId="5" hidden="1">'71-106'!$A$7:$Y$1168</definedName>
    <definedName name="Z_8725054F_4167_4A91_9037_6D07CCC5DB03_.wvu.FilterData" localSheetId="5" hidden="1">'71-106'!$A$7:$Y$1168</definedName>
    <definedName name="Z_880B7681_C748_4196_8E88_8ACA1B88DBF9_.wvu.FilterData" localSheetId="5" hidden="1">'71-106'!$A$7:$Y$1168</definedName>
    <definedName name="Z_88902188_D5DE_44B0_AD71_31B250B07E2B_.wvu.FilterData" localSheetId="5" hidden="1">'71-106'!$A$7:$Y$1168</definedName>
    <definedName name="Z_8F571991_ED81_4C65_B263_7535CEC7008C_.wvu.FilterData" localSheetId="5" hidden="1">'71-106'!$A$7:$Y$1168</definedName>
    <definedName name="Z_971AA6D5_B469_4A54_816C_1252CCB6D265_.wvu.Cols" localSheetId="1" hidden="1">'часть 2'!$V:$V</definedName>
    <definedName name="Z_971AA6D5_B469_4A54_816C_1252CCB6D265_.wvu.FilterData" localSheetId="6" hidden="1">'107'!$A$5:$F$216</definedName>
    <definedName name="Z_971AA6D5_B469_4A54_816C_1252CCB6D265_.wvu.FilterData" localSheetId="4" hidden="1">'2-70'!$A$12:$T$1635</definedName>
    <definedName name="Z_971AA6D5_B469_4A54_816C_1252CCB6D265_.wvu.FilterData" localSheetId="5" hidden="1">'71-106'!$A$7:$Y$1168</definedName>
    <definedName name="Z_971AA6D5_B469_4A54_816C_1252CCB6D265_.wvu.FilterData" localSheetId="0" hidden="1">'часть 1'!$A$14:$BJ$580</definedName>
    <definedName name="Z_971AA6D5_B469_4A54_816C_1252CCB6D265_.wvu.FilterData" localSheetId="1" hidden="1">'часть 2'!$A$6:$BA$560</definedName>
    <definedName name="Z_971AA6D5_B469_4A54_816C_1252CCB6D265_.wvu.FilterData" localSheetId="2" hidden="1">'часть 3'!$A$5:$P$104</definedName>
    <definedName name="Z_971AA6D5_B469_4A54_816C_1252CCB6D265_.wvu.PrintArea" localSheetId="6" hidden="1">'107'!$A$1:$F$296</definedName>
    <definedName name="Z_971AA6D5_B469_4A54_816C_1252CCB6D265_.wvu.PrintArea" localSheetId="4" hidden="1">'2-70'!$A$1:$T$1635</definedName>
    <definedName name="Z_971AA6D5_B469_4A54_816C_1252CCB6D265_.wvu.PrintArea" localSheetId="5" hidden="1">'71-106'!$A$1:$Y$1623</definedName>
    <definedName name="Z_971AA6D5_B469_4A54_816C_1252CCB6D265_.wvu.PrintTitles" localSheetId="6" hidden="1">'107'!$5:$5</definedName>
    <definedName name="Z_971AA6D5_B469_4A54_816C_1252CCB6D265_.wvu.PrintTitles" localSheetId="4" hidden="1">'2-70'!$12:$12</definedName>
    <definedName name="Z_971AA6D5_B469_4A54_816C_1252CCB6D265_.wvu.PrintTitles" localSheetId="5" hidden="1">'71-106'!$7:$7</definedName>
    <definedName name="Z_971AA6D5_B469_4A54_816C_1252CCB6D265_.wvu.PrintTitles" localSheetId="0" hidden="1">'часть 1'!$15:$15</definedName>
    <definedName name="Z_971AA6D5_B469_4A54_816C_1252CCB6D265_.wvu.PrintTitles" localSheetId="1" hidden="1">'часть 2'!$6:$6</definedName>
    <definedName name="Z_971AA6D5_B469_4A54_816C_1252CCB6D265_.wvu.PrintTitles" localSheetId="2" hidden="1">'часть 3'!$5:$5</definedName>
    <definedName name="Z_971AA6D5_B469_4A54_816C_1252CCB6D265_.wvu.Rows" localSheetId="3" hidden="1">'№ п-п'!$14:$15,'№ п-п'!$18:$19</definedName>
    <definedName name="Z_98E5B6B6_C64F_4325_ABDA_82FFCFC21AC2_.wvu.FilterData" localSheetId="5" hidden="1">'71-106'!$A$7:$Y$1168</definedName>
    <definedName name="Z_A28C0ADC_4E0C_4A0A_ACB1_DA409183476D_.wvu.Cols" localSheetId="5" hidden="1">'71-106'!#REF!</definedName>
    <definedName name="Z_A28C0ADC_4E0C_4A0A_ACB1_DA409183476D_.wvu.Cols" localSheetId="1" hidden="1">'часть 2'!$V:$V</definedName>
    <definedName name="Z_A28C0ADC_4E0C_4A0A_ACB1_DA409183476D_.wvu.FilterData" localSheetId="6" hidden="1">'107'!$A$5:$F$216</definedName>
    <definedName name="Z_A28C0ADC_4E0C_4A0A_ACB1_DA409183476D_.wvu.FilterData" localSheetId="4" hidden="1">'2-70'!$A$12:$T$919</definedName>
    <definedName name="Z_A28C0ADC_4E0C_4A0A_ACB1_DA409183476D_.wvu.FilterData" localSheetId="5" hidden="1">'71-106'!$A$7:$Y$1168</definedName>
    <definedName name="Z_A28C0ADC_4E0C_4A0A_ACB1_DA409183476D_.wvu.FilterData" localSheetId="0" hidden="1">'часть 1'!$A$14:$BJ$580</definedName>
    <definedName name="Z_A28C0ADC_4E0C_4A0A_ACB1_DA409183476D_.wvu.FilterData" localSheetId="1" hidden="1">'часть 2'!$A$6:$BA$560</definedName>
    <definedName name="Z_A28C0ADC_4E0C_4A0A_ACB1_DA409183476D_.wvu.FilterData" localSheetId="2" hidden="1">'часть 3'!$A$5:$P$104</definedName>
    <definedName name="Z_A28C0ADC_4E0C_4A0A_ACB1_DA409183476D_.wvu.PrintArea" localSheetId="6" hidden="1">'107'!$A$1:$F$216</definedName>
    <definedName name="Z_A28C0ADC_4E0C_4A0A_ACB1_DA409183476D_.wvu.PrintArea" localSheetId="4" hidden="1">'2-70'!$A$1:$T$919</definedName>
    <definedName name="Z_A28C0ADC_4E0C_4A0A_ACB1_DA409183476D_.wvu.PrintArea" localSheetId="5" hidden="1">'71-106'!$A$1:$Y$1623</definedName>
    <definedName name="Z_A28C0ADC_4E0C_4A0A_ACB1_DA409183476D_.wvu.PrintTitles" localSheetId="6" hidden="1">'107'!$5:$5</definedName>
    <definedName name="Z_A28C0ADC_4E0C_4A0A_ACB1_DA409183476D_.wvu.PrintTitles" localSheetId="4" hidden="1">'2-70'!$12:$12</definedName>
    <definedName name="Z_A28C0ADC_4E0C_4A0A_ACB1_DA409183476D_.wvu.PrintTitles" localSheetId="5" hidden="1">'71-106'!$7:$7</definedName>
    <definedName name="Z_A28C0ADC_4E0C_4A0A_ACB1_DA409183476D_.wvu.PrintTitles" localSheetId="0" hidden="1">'часть 1'!$15:$15</definedName>
    <definedName name="Z_A28C0ADC_4E0C_4A0A_ACB1_DA409183476D_.wvu.PrintTitles" localSheetId="1" hidden="1">'часть 2'!$6:$6</definedName>
    <definedName name="Z_A28C0ADC_4E0C_4A0A_ACB1_DA409183476D_.wvu.PrintTitles" localSheetId="2" hidden="1">'часть 3'!$5:$5</definedName>
    <definedName name="Z_A28C0ADC_4E0C_4A0A_ACB1_DA409183476D_.wvu.Rows" localSheetId="3" hidden="1">'№ п-п'!$14:$15,'№ п-п'!$18:$19</definedName>
    <definedName name="Z_A321FB79_B059_4A00_B85D_60ECC401FE5D_.wvu.FilterData" localSheetId="5" hidden="1">'71-106'!$A$7:$Y$1168</definedName>
    <definedName name="Z_A5A38057_2A4E_4929_BCC1_C6D8896DA4F6_.wvu.FilterData" localSheetId="5" hidden="1">'71-106'!$A$7:$Y$1168</definedName>
    <definedName name="Z_A6187BD3_0BA4_497C_8924_4FA3D77530F0_.wvu.Cols" localSheetId="5" hidden="1">'71-106'!#REF!</definedName>
    <definedName name="Z_A6187BD3_0BA4_497C_8924_4FA3D77530F0_.wvu.Cols" localSheetId="1" hidden="1">'часть 2'!$V:$V</definedName>
    <definedName name="Z_A6187BD3_0BA4_497C_8924_4FA3D77530F0_.wvu.FilterData" localSheetId="6" hidden="1">'107'!$A$5:$F$216</definedName>
    <definedName name="Z_A6187BD3_0BA4_497C_8924_4FA3D77530F0_.wvu.FilterData" localSheetId="4" hidden="1">'2-70'!$A$12:$T$919</definedName>
    <definedName name="Z_A6187BD3_0BA4_497C_8924_4FA3D77530F0_.wvu.FilterData" localSheetId="5" hidden="1">'71-106'!$A$7:$Y$1168</definedName>
    <definedName name="Z_A6187BD3_0BA4_497C_8924_4FA3D77530F0_.wvu.FilterData" localSheetId="0" hidden="1">'часть 1'!$A$14:$BJ$580</definedName>
    <definedName name="Z_A6187BD3_0BA4_497C_8924_4FA3D77530F0_.wvu.FilterData" localSheetId="1" hidden="1">'часть 2'!$A$6:$BA$560</definedName>
    <definedName name="Z_A6187BD3_0BA4_497C_8924_4FA3D77530F0_.wvu.FilterData" localSheetId="2" hidden="1">'часть 3'!$A$5:$P$104</definedName>
    <definedName name="Z_A6187BD3_0BA4_497C_8924_4FA3D77530F0_.wvu.PrintArea" localSheetId="6" hidden="1">'107'!$A$1:$F$216</definedName>
    <definedName name="Z_A6187BD3_0BA4_497C_8924_4FA3D77530F0_.wvu.PrintArea" localSheetId="4" hidden="1">'2-70'!$A$1:$T$919</definedName>
    <definedName name="Z_A6187BD3_0BA4_497C_8924_4FA3D77530F0_.wvu.PrintArea" localSheetId="5" hidden="1">'71-106'!$A$1:$Y$1623</definedName>
    <definedName name="Z_A6187BD3_0BA4_497C_8924_4FA3D77530F0_.wvu.PrintTitles" localSheetId="6" hidden="1">'107'!$5:$5</definedName>
    <definedName name="Z_A6187BD3_0BA4_497C_8924_4FA3D77530F0_.wvu.PrintTitles" localSheetId="4" hidden="1">'2-70'!$12:$12</definedName>
    <definedName name="Z_A6187BD3_0BA4_497C_8924_4FA3D77530F0_.wvu.PrintTitles" localSheetId="5" hidden="1">'71-106'!$7:$7</definedName>
    <definedName name="Z_A6187BD3_0BA4_497C_8924_4FA3D77530F0_.wvu.PrintTitles" localSheetId="0" hidden="1">'часть 1'!$15:$15</definedName>
    <definedName name="Z_A6187BD3_0BA4_497C_8924_4FA3D77530F0_.wvu.PrintTitles" localSheetId="1" hidden="1">'часть 2'!$6:$6</definedName>
    <definedName name="Z_A6187BD3_0BA4_497C_8924_4FA3D77530F0_.wvu.PrintTitles" localSheetId="2" hidden="1">'часть 3'!$5:$5</definedName>
    <definedName name="Z_A6187BD3_0BA4_497C_8924_4FA3D77530F0_.wvu.Rows" localSheetId="3" hidden="1">'№ п-п'!$14:$15,'№ п-п'!$18:$19</definedName>
    <definedName name="Z_A83D7B2F_20B3_494F_BA63_C650B73EF160_.wvu.FilterData" localSheetId="5" hidden="1">'71-106'!$A$7:$Y$1168</definedName>
    <definedName name="Z_AEB6E9DA_56F5_4213_892E_4F0DA44787BD_.wvu.FilterData" localSheetId="5" hidden="1">'71-106'!$A$7:$Y$1168</definedName>
    <definedName name="Z_B1841E62_04AF_4786_8B2B_B1F42C88E6D1_.wvu.Cols" localSheetId="5" hidden="1">'71-106'!#REF!</definedName>
    <definedName name="Z_B1841E62_04AF_4786_8B2B_B1F42C88E6D1_.wvu.Cols" localSheetId="1" hidden="1">'часть 2'!$V:$V</definedName>
    <definedName name="Z_B1841E62_04AF_4786_8B2B_B1F42C88E6D1_.wvu.FilterData" localSheetId="6" hidden="1">'107'!$A$5:$F$216</definedName>
    <definedName name="Z_B1841E62_04AF_4786_8B2B_B1F42C88E6D1_.wvu.FilterData" localSheetId="4" hidden="1">'2-70'!$A$12:$T$919</definedName>
    <definedName name="Z_B1841E62_04AF_4786_8B2B_B1F42C88E6D1_.wvu.FilterData" localSheetId="5" hidden="1">'71-106'!$A$7:$Y$1233</definedName>
    <definedName name="Z_B1841E62_04AF_4786_8B2B_B1F42C88E6D1_.wvu.FilterData" localSheetId="0" hidden="1">'часть 1'!$A$14:$BJ$580</definedName>
    <definedName name="Z_B1841E62_04AF_4786_8B2B_B1F42C88E6D1_.wvu.FilterData" localSheetId="1" hidden="1">'часть 2'!$A$6:$BA$560</definedName>
    <definedName name="Z_B1841E62_04AF_4786_8B2B_B1F42C88E6D1_.wvu.FilterData" localSheetId="2" hidden="1">'часть 3'!$A$5:$P$104</definedName>
    <definedName name="Z_B1841E62_04AF_4786_8B2B_B1F42C88E6D1_.wvu.PrintArea" localSheetId="6" hidden="1">'107'!$A$1:$F$216</definedName>
    <definedName name="Z_B1841E62_04AF_4786_8B2B_B1F42C88E6D1_.wvu.PrintArea" localSheetId="4" hidden="1">'2-70'!$A$1:$T$919</definedName>
    <definedName name="Z_B1841E62_04AF_4786_8B2B_B1F42C88E6D1_.wvu.PrintArea" localSheetId="5" hidden="1">'71-106'!$A$1:$Y$1623</definedName>
    <definedName name="Z_B1841E62_04AF_4786_8B2B_B1F42C88E6D1_.wvu.PrintTitles" localSheetId="6" hidden="1">'107'!$5:$5</definedName>
    <definedName name="Z_B1841E62_04AF_4786_8B2B_B1F42C88E6D1_.wvu.PrintTitles" localSheetId="4" hidden="1">'2-70'!$12:$12</definedName>
    <definedName name="Z_B1841E62_04AF_4786_8B2B_B1F42C88E6D1_.wvu.PrintTitles" localSheetId="5" hidden="1">'71-106'!$7:$7</definedName>
    <definedName name="Z_B1841E62_04AF_4786_8B2B_B1F42C88E6D1_.wvu.PrintTitles" localSheetId="0" hidden="1">'часть 1'!$15:$15</definedName>
    <definedName name="Z_B1841E62_04AF_4786_8B2B_B1F42C88E6D1_.wvu.PrintTitles" localSheetId="1" hidden="1">'часть 2'!$6:$6</definedName>
    <definedName name="Z_B1841E62_04AF_4786_8B2B_B1F42C88E6D1_.wvu.PrintTitles" localSheetId="2" hidden="1">'часть 3'!$5:$5</definedName>
    <definedName name="Z_B1841E62_04AF_4786_8B2B_B1F42C88E6D1_.wvu.Rows" localSheetId="3" hidden="1">'№ п-п'!$14:$15,'№ п-п'!$18:$19</definedName>
    <definedName name="Z_B2668406_A9E2_483C_9038_D3C53C3852B3_.wvu.FilterData" localSheetId="5" hidden="1">'71-106'!$A$7:$Y$1168</definedName>
    <definedName name="Z_B9D0663C_63A0_401E_8ED1_60ADAC53D63A_.wvu.FilterData" localSheetId="5" hidden="1">'71-106'!$A$7:$Y$1168</definedName>
    <definedName name="Z_BE54D047_288E_45CA_A3E2_8781AC521EB8_.wvu.FilterData" localSheetId="5" hidden="1">'71-106'!$A$7:$Y$1168</definedName>
    <definedName name="Z_C72DCB43_63A7_46C9_B5CB_74FA2E0CD927_.wvu.FilterData" localSheetId="5" hidden="1">'71-106'!$A$7:$Y$1168</definedName>
    <definedName name="Z_C9E4AE6E_4CA1_437A_9BAB_2F53034C90C5_.wvu.FilterData" localSheetId="5" hidden="1">'71-106'!$A$7:$Y$1168</definedName>
    <definedName name="Z_CA3D85C3_A842_43A2_B866_F2F869FB930B_.wvu.FilterData" localSheetId="5" hidden="1">'71-106'!$A$7:$Y$1168</definedName>
    <definedName name="Z_CBDE6D18_7D23_43BD_BD9C_663C0222EB8D_.wvu.FilterData" localSheetId="5" hidden="1">'71-106'!$A$7:$Y$1168</definedName>
    <definedName name="Z_CC8F1533_D9B3_46FE_AB28_4986DEF39657_.wvu.FilterData" localSheetId="5" hidden="1">'71-106'!$A$7:$Y$1168</definedName>
    <definedName name="Z_D19BCD5F_28F7_42BE_B4AA_59F65CE5711C_.wvu.FilterData" localSheetId="5" hidden="1">'71-106'!$A$7:$Y$1168</definedName>
    <definedName name="Z_D9C6FA05_E1FF_462A_9752_4AAF3C578DD9_.wvu.FilterData" localSheetId="5" hidden="1">'71-106'!$A$7:$Y$1168</definedName>
    <definedName name="Z_DC88C499_913F_4D15_846E_E5B9D5E047D7_.wvu.Cols" localSheetId="1" hidden="1">'часть 2'!$V:$V</definedName>
    <definedName name="Z_DC88C499_913F_4D15_846E_E5B9D5E047D7_.wvu.FilterData" localSheetId="6" hidden="1">'107'!$A$5:$F$216</definedName>
    <definedName name="Z_DC88C499_913F_4D15_846E_E5B9D5E047D7_.wvu.FilterData" localSheetId="4" hidden="1">'2-70'!$A$12:$T$919</definedName>
    <definedName name="Z_DC88C499_913F_4D15_846E_E5B9D5E047D7_.wvu.FilterData" localSheetId="5" hidden="1">'71-106'!$A$7:$Y$1168</definedName>
    <definedName name="Z_DC88C499_913F_4D15_846E_E5B9D5E047D7_.wvu.FilterData" localSheetId="0" hidden="1">'часть 1'!$A$14:$BJ$580</definedName>
    <definedName name="Z_DC88C499_913F_4D15_846E_E5B9D5E047D7_.wvu.FilterData" localSheetId="1" hidden="1">'часть 2'!$A$6:$BA$560</definedName>
    <definedName name="Z_DC88C499_913F_4D15_846E_E5B9D5E047D7_.wvu.FilterData" localSheetId="2" hidden="1">'часть 3'!$A$5:$P$104</definedName>
    <definedName name="Z_DC88C499_913F_4D15_846E_E5B9D5E047D7_.wvu.PrintArea" localSheetId="6" hidden="1">'107'!$A$1:$F$216</definedName>
    <definedName name="Z_DC88C499_913F_4D15_846E_E5B9D5E047D7_.wvu.PrintArea" localSheetId="4" hidden="1">'2-70'!$A$1:$T$919</definedName>
    <definedName name="Z_DC88C499_913F_4D15_846E_E5B9D5E047D7_.wvu.PrintArea" localSheetId="5" hidden="1">'71-106'!$A$1:$Y$1623</definedName>
    <definedName name="Z_DC88C499_913F_4D15_846E_E5B9D5E047D7_.wvu.PrintTitles" localSheetId="6" hidden="1">'107'!$5:$5</definedName>
    <definedName name="Z_DC88C499_913F_4D15_846E_E5B9D5E047D7_.wvu.PrintTitles" localSheetId="4" hidden="1">'2-70'!$12:$12</definedName>
    <definedName name="Z_DC88C499_913F_4D15_846E_E5B9D5E047D7_.wvu.PrintTitles" localSheetId="5" hidden="1">'71-106'!$7:$7</definedName>
    <definedName name="Z_DC88C499_913F_4D15_846E_E5B9D5E047D7_.wvu.PrintTitles" localSheetId="0" hidden="1">'часть 1'!$15:$15</definedName>
    <definedName name="Z_DC88C499_913F_4D15_846E_E5B9D5E047D7_.wvu.PrintTitles" localSheetId="1" hidden="1">'часть 2'!$6:$6</definedName>
    <definedName name="Z_DC88C499_913F_4D15_846E_E5B9D5E047D7_.wvu.PrintTitles" localSheetId="2" hidden="1">'часть 3'!$5:$5</definedName>
    <definedName name="Z_DC88C499_913F_4D15_846E_E5B9D5E047D7_.wvu.Rows" localSheetId="3" hidden="1">'№ п-п'!$14:$15,'№ п-п'!$18:$19</definedName>
    <definedName name="Z_DFE5B545_478C_4B86_847C_1FEE882C6F69_.wvu.Cols" localSheetId="1" hidden="1">'часть 2'!$V:$V</definedName>
    <definedName name="Z_DFE5B545_478C_4B86_847C_1FEE882C6F69_.wvu.FilterData" localSheetId="6" hidden="1">'107'!$A$5:$F$216</definedName>
    <definedName name="Z_DFE5B545_478C_4B86_847C_1FEE882C6F69_.wvu.FilterData" localSheetId="4" hidden="1">'2-70'!$A$12:$T$919</definedName>
    <definedName name="Z_DFE5B545_478C_4B86_847C_1FEE882C6F69_.wvu.FilterData" localSheetId="5" hidden="1">'71-106'!$A$7:$Y$1168</definedName>
    <definedName name="Z_DFE5B545_478C_4B86_847C_1FEE882C6F69_.wvu.FilterData" localSheetId="0" hidden="1">'часть 1'!$A$14:$BJ$580</definedName>
    <definedName name="Z_DFE5B545_478C_4B86_847C_1FEE882C6F69_.wvu.FilterData" localSheetId="1" hidden="1">'часть 2'!$A$6:$BA$560</definedName>
    <definedName name="Z_DFE5B545_478C_4B86_847C_1FEE882C6F69_.wvu.FilterData" localSheetId="2" hidden="1">'часть 3'!$A$5:$P$104</definedName>
    <definedName name="Z_DFE5B545_478C_4B86_847C_1FEE882C6F69_.wvu.PrintArea" localSheetId="6" hidden="1">'107'!$A$1:$F$216</definedName>
    <definedName name="Z_DFE5B545_478C_4B86_847C_1FEE882C6F69_.wvu.PrintArea" localSheetId="4" hidden="1">'2-70'!$A$1:$T$919</definedName>
    <definedName name="Z_DFE5B545_478C_4B86_847C_1FEE882C6F69_.wvu.PrintArea" localSheetId="5" hidden="1">'71-106'!$A$1:$Y$1622</definedName>
    <definedName name="Z_DFE5B545_478C_4B86_847C_1FEE882C6F69_.wvu.PrintTitles" localSheetId="6" hidden="1">'107'!$5:$5</definedName>
    <definedName name="Z_DFE5B545_478C_4B86_847C_1FEE882C6F69_.wvu.PrintTitles" localSheetId="4" hidden="1">'2-70'!$12:$12</definedName>
    <definedName name="Z_DFE5B545_478C_4B86_847C_1FEE882C6F69_.wvu.PrintTitles" localSheetId="5" hidden="1">'71-106'!$7:$7</definedName>
    <definedName name="Z_DFE5B545_478C_4B86_847C_1FEE882C6F69_.wvu.PrintTitles" localSheetId="0" hidden="1">'часть 1'!$15:$15</definedName>
    <definedName name="Z_DFE5B545_478C_4B86_847C_1FEE882C6F69_.wvu.PrintTitles" localSheetId="1" hidden="1">'часть 2'!$6:$6</definedName>
    <definedName name="Z_DFE5B545_478C_4B86_847C_1FEE882C6F69_.wvu.PrintTitles" localSheetId="2" hidden="1">'часть 3'!$5:$5</definedName>
    <definedName name="Z_DFE5B545_478C_4B86_847C_1FEE882C6F69_.wvu.Rows" localSheetId="3" hidden="1">'№ п-п'!$14:$15,'№ п-п'!$18:$19</definedName>
    <definedName name="Z_E2335EEE_90CD_44B5_B44F_67D0A5B89BF0_.wvu.FilterData" localSheetId="5" hidden="1">'71-106'!$A$7:$Y$1168</definedName>
    <definedName name="Z_EA8946CA_5107_46AB_B930_29C3BB414A14_.wvu.FilterData" localSheetId="5" hidden="1">'71-106'!$A$7:$Y$1168</definedName>
    <definedName name="Z_EF79F93F_B59D_4442_BDF7_22471F71A66E_.wvu.FilterData" localSheetId="5" hidden="1">'71-106'!$A$7:$Y$1168</definedName>
    <definedName name="Z_F61B5223_12DC_4DBE_9593_ED93F1AA70BA_.wvu.FilterData" localSheetId="5" hidden="1">'71-106'!$A$7:$Y$1168</definedName>
    <definedName name="Z_F6AA583A_65C3_409D_9CF2_7CB42EE241BE_.wvu.FilterData" localSheetId="5" hidden="1">'71-106'!$A$7:$Y$1168</definedName>
    <definedName name="Z_F77DA852_6232_407C_9ABA_011B3432E9E3_.wvu.FilterData" localSheetId="5" hidden="1">'71-106'!$A$7:$Y$1168</definedName>
    <definedName name="Z_FCB9068D_0529_4C17_8705_03722B6A9E17_.wvu.FilterData" localSheetId="5" hidden="1">'71-106'!$A$7:$Y$1168</definedName>
    <definedName name="Z_FCF4D91B_0F54_4F15_9842_76F9B75A11F5_.wvu.FilterData" localSheetId="5" hidden="1">'71-106'!$A$7:$Y$1168</definedName>
    <definedName name="Z_FEE20D38_B3DC_4C0F_81BA_40B7A314A69A_.wvu.FilterData" localSheetId="5" hidden="1">'71-106'!$A$7:$Y$1168</definedName>
    <definedName name="_xlnm.Print_Titles" localSheetId="6">'107'!$5:$5</definedName>
    <definedName name="_xlnm.Print_Titles" localSheetId="4">'2-70'!$12:$12</definedName>
    <definedName name="_xlnm.Print_Titles" localSheetId="5">'71-106'!$7:$7</definedName>
    <definedName name="_xlnm.Print_Titles" localSheetId="0">'часть 1'!$15:$15</definedName>
    <definedName name="_xlnm.Print_Titles" localSheetId="1">'часть 2'!$6:$6</definedName>
    <definedName name="_xlnm.Print_Titles" localSheetId="2">'часть 3'!$5:$5</definedName>
    <definedName name="_xlnm.Print_Area" localSheetId="6">'107'!$A$1:$F$296</definedName>
    <definedName name="_xlnm.Print_Area" localSheetId="4">'2-70'!$A$1:$T$1642</definedName>
    <definedName name="_xlnm.Print_Area" localSheetId="5">'71-106'!$A$1:$Y$1626</definedName>
    <definedName name="Перечень" localSheetId="0">#REF!</definedName>
    <definedName name="Перечень">#REF!</definedName>
    <definedName name="Перечень2" localSheetId="0">#REF!</definedName>
    <definedName name="Перечень2">#REF!</definedName>
    <definedName name="Перечень3" localSheetId="0">#REF!</definedName>
    <definedName name="Перечень3">#REF!</definedName>
    <definedName name="Перечень4">#REF!</definedName>
  </definedNames>
  <calcPr calcId="162913" refMode="R1C1"/>
  <customWorkbookViews>
    <customWorkbookView name="Попов - Личное представление" guid="{971AA6D5-B469-4A54-816C-1252CCB6D265}" mergeInterval="0" personalView="1" maximized="1" xWindow="1" yWindow="1" windowWidth="1916" windowHeight="755" activeSheetId="5"/>
    <customWorkbookView name="Ольга Костоусова - Личное представление" guid="{DFE5B545-478C-4B86-847C-1FEE882C6F69}" mergeInterval="0" personalView="1" maximized="1" xWindow="-8" yWindow="-8" windowWidth="1616" windowHeight="876" activeSheetId="6"/>
    <customWorkbookView name="Михаил Сакулин - Личное представление" guid="{4C44C113-DA02-468D-99C5-83FA6693F42F}" mergeInterval="0" personalView="1" maximized="1" xWindow="-8" yWindow="-8" windowWidth="1616" windowHeight="886" activeSheetId="6"/>
    <customWorkbookView name="Анастасия Андреева - Личное представление" guid="{570403C4-1D93-4175-B4D8-BD47D46CE99C}" mergeInterval="0" personalView="1" maximized="1" xWindow="-8" yWindow="-8" windowWidth="1936" windowHeight="1056" activeSheetId="6"/>
    <customWorkbookView name="Максим Егоров - Личное представление" guid="{B1841E62-04AF-4786-8B2B-B1F42C88E6D1}" mergeInterval="0" personalView="1" maximized="1" xWindow="-8" yWindow="-8" windowWidth="1936" windowHeight="1056" activeSheetId="6"/>
    <customWorkbookView name="Галина Липашева - Личное представление" guid="{A28C0ADC-4E0C-4A0A-ACB1-DA409183476D}" mergeInterval="0" personalView="1" maximized="1" xWindow="-8" yWindow="-8" windowWidth="1936" windowHeight="1056" activeSheetId="6"/>
    <customWorkbookView name="Евгений Григорьев - Личное представление" guid="{144E5A37-1CF2-41F0-BEF8-CB5D4D392E2A}" mergeInterval="0" personalView="1" maximized="1" xWindow="-8" yWindow="-8" windowWidth="1616" windowHeight="876" activeSheetId="6"/>
    <customWorkbookView name="Михаил Шувалов - Личное представление" guid="{7A75CCE7-0E84-47E6-A162-5AC0354F2967}" mergeInterval="0" personalView="1" maximized="1" xWindow="-8" yWindow="-8" windowWidth="1616" windowHeight="886" activeSheetId="6"/>
    <customWorkbookView name="User18 - Личное представление" guid="{A6187BD3-0BA4-497C-8924-4FA3D77530F0}" mergeInterval="0" personalView="1" maximized="1" xWindow="-8" yWindow="-8" windowWidth="1616" windowHeight="876" activeSheetId="6"/>
    <customWorkbookView name="Юлия Гуцева - Личное представление" guid="{DC88C499-913F-4D15-846E-E5B9D5E047D7}" mergeInterval="0" personalView="1" maximized="1" xWindow="-8" yWindow="-8" windowWidth="1616" windowHeight="876" activeSheetId="6"/>
  </customWorkbookViews>
</workbook>
</file>

<file path=xl/calcChain.xml><?xml version="1.0" encoding="utf-8"?>
<calcChain xmlns="http://schemas.openxmlformats.org/spreadsheetml/2006/main">
  <c r="D1484" i="6" l="1"/>
  <c r="E1484" i="6"/>
  <c r="F1484" i="6"/>
  <c r="G1484" i="6"/>
  <c r="H1484" i="6"/>
  <c r="I1484" i="6"/>
  <c r="J1484" i="6"/>
  <c r="K1484" i="6"/>
  <c r="L1484" i="6"/>
  <c r="M1484" i="6"/>
  <c r="N1484" i="6"/>
  <c r="O1484" i="6"/>
  <c r="P1484" i="6"/>
  <c r="Q1484" i="6"/>
  <c r="R1484" i="6"/>
  <c r="S1484" i="6"/>
  <c r="T1484" i="6"/>
  <c r="U1484" i="6"/>
  <c r="V1484" i="6"/>
  <c r="W1484" i="6"/>
  <c r="X1484" i="6"/>
  <c r="Y1484" i="6"/>
  <c r="C1484" i="6"/>
  <c r="C1485" i="6"/>
  <c r="E891" i="6" l="1"/>
  <c r="F891" i="6"/>
  <c r="G891" i="6"/>
  <c r="H891" i="6"/>
  <c r="I891" i="6"/>
  <c r="J891" i="6"/>
  <c r="K891" i="6"/>
  <c r="L891" i="6"/>
  <c r="M891" i="6"/>
  <c r="N891" i="6"/>
  <c r="O891" i="6"/>
  <c r="P891" i="6"/>
  <c r="Q891" i="6"/>
  <c r="R891" i="6"/>
  <c r="S891" i="6"/>
  <c r="T891" i="6"/>
  <c r="U891" i="6"/>
  <c r="V891" i="6"/>
  <c r="W891" i="6"/>
  <c r="X891" i="6"/>
  <c r="Y891" i="6"/>
  <c r="V297" i="6"/>
  <c r="W9" i="6" l="1"/>
  <c r="E21" i="7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X213" i="6"/>
  <c r="Y213" i="6"/>
  <c r="D214" i="6"/>
  <c r="C214" i="6" s="1"/>
  <c r="C213" i="6" s="1"/>
  <c r="I220" i="5"/>
  <c r="J220" i="5"/>
  <c r="K220" i="5"/>
  <c r="D23" i="7" s="1"/>
  <c r="L220" i="5"/>
  <c r="F23" i="7" s="1"/>
  <c r="M220" i="5"/>
  <c r="N220" i="5"/>
  <c r="O220" i="5"/>
  <c r="P220" i="5"/>
  <c r="Q220" i="5"/>
  <c r="H220" i="5"/>
  <c r="C23" i="7" s="1"/>
  <c r="R221" i="5"/>
  <c r="E1192" i="6"/>
  <c r="F1192" i="6"/>
  <c r="G1192" i="6"/>
  <c r="H1192" i="6"/>
  <c r="I1192" i="6"/>
  <c r="J1192" i="6"/>
  <c r="K1192" i="6"/>
  <c r="L1192" i="6"/>
  <c r="M1192" i="6"/>
  <c r="N1192" i="6"/>
  <c r="O1192" i="6"/>
  <c r="P1192" i="6"/>
  <c r="Q1192" i="6"/>
  <c r="R1192" i="6"/>
  <c r="S1192" i="6"/>
  <c r="T1192" i="6"/>
  <c r="U1192" i="6"/>
  <c r="V1192" i="6"/>
  <c r="X1192" i="6"/>
  <c r="Y1192" i="6"/>
  <c r="D1225" i="6"/>
  <c r="C1225" i="6" s="1"/>
  <c r="I1215" i="5"/>
  <c r="J1215" i="5"/>
  <c r="K1215" i="5"/>
  <c r="L1215" i="5"/>
  <c r="M1215" i="5"/>
  <c r="N1215" i="5"/>
  <c r="O1215" i="5"/>
  <c r="P1215" i="5"/>
  <c r="Q1215" i="5"/>
  <c r="H1215" i="5"/>
  <c r="R1248" i="5"/>
  <c r="E356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X356" i="6"/>
  <c r="Y356" i="6"/>
  <c r="E312" i="6"/>
  <c r="F312" i="6"/>
  <c r="G312" i="6"/>
  <c r="H312" i="6"/>
  <c r="I312" i="6"/>
  <c r="J312" i="6"/>
  <c r="K312" i="6"/>
  <c r="L312" i="6"/>
  <c r="M312" i="6"/>
  <c r="N312" i="6"/>
  <c r="O312" i="6"/>
  <c r="P312" i="6"/>
  <c r="Q312" i="6"/>
  <c r="R312" i="6"/>
  <c r="S312" i="6"/>
  <c r="T312" i="6"/>
  <c r="U312" i="6"/>
  <c r="V312" i="6"/>
  <c r="X312" i="6"/>
  <c r="Y312" i="6"/>
  <c r="I436" i="5"/>
  <c r="J436" i="5"/>
  <c r="K436" i="5"/>
  <c r="D70" i="7" s="1"/>
  <c r="L436" i="5"/>
  <c r="F70" i="7" s="1"/>
  <c r="M436" i="5"/>
  <c r="N436" i="5"/>
  <c r="O436" i="5"/>
  <c r="P436" i="5"/>
  <c r="Q436" i="5"/>
  <c r="H436" i="5"/>
  <c r="C70" i="7" s="1"/>
  <c r="I319" i="5"/>
  <c r="J319" i="5"/>
  <c r="K319" i="5"/>
  <c r="D57" i="7" s="1"/>
  <c r="M319" i="5"/>
  <c r="N319" i="5"/>
  <c r="O319" i="5"/>
  <c r="P319" i="5"/>
  <c r="Q319" i="5"/>
  <c r="H319" i="5"/>
  <c r="C57" i="7" s="1"/>
  <c r="E589" i="6"/>
  <c r="F589" i="6"/>
  <c r="G589" i="6"/>
  <c r="H589" i="6"/>
  <c r="I589" i="6"/>
  <c r="J589" i="6"/>
  <c r="K589" i="6"/>
  <c r="L589" i="6"/>
  <c r="M589" i="6"/>
  <c r="N589" i="6"/>
  <c r="O589" i="6"/>
  <c r="P589" i="6"/>
  <c r="Q589" i="6"/>
  <c r="R589" i="6"/>
  <c r="S589" i="6"/>
  <c r="T589" i="6"/>
  <c r="U589" i="6"/>
  <c r="V589" i="6"/>
  <c r="X589" i="6"/>
  <c r="Y58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X249" i="6"/>
  <c r="Y249" i="6"/>
  <c r="D590" i="6"/>
  <c r="C590" i="6" s="1"/>
  <c r="C589" i="6" s="1"/>
  <c r="I601" i="5"/>
  <c r="J601" i="5"/>
  <c r="K601" i="5"/>
  <c r="L601" i="5"/>
  <c r="M601" i="5"/>
  <c r="N601" i="5"/>
  <c r="O601" i="5"/>
  <c r="P601" i="5"/>
  <c r="Q601" i="5"/>
  <c r="H601" i="5"/>
  <c r="I256" i="5"/>
  <c r="J256" i="5"/>
  <c r="K256" i="5"/>
  <c r="L256" i="5"/>
  <c r="M256" i="5"/>
  <c r="N256" i="5"/>
  <c r="O256" i="5"/>
  <c r="P256" i="5"/>
  <c r="Q256" i="5"/>
  <c r="H256" i="5"/>
  <c r="R602" i="5"/>
  <c r="E745" i="6"/>
  <c r="F745" i="6"/>
  <c r="G745" i="6"/>
  <c r="H745" i="6"/>
  <c r="I745" i="6"/>
  <c r="J745" i="6"/>
  <c r="K745" i="6"/>
  <c r="L745" i="6"/>
  <c r="M745" i="6"/>
  <c r="N745" i="6"/>
  <c r="O745" i="6"/>
  <c r="P745" i="6"/>
  <c r="Q745" i="6"/>
  <c r="R745" i="6"/>
  <c r="S745" i="6"/>
  <c r="T745" i="6"/>
  <c r="U745" i="6"/>
  <c r="V745" i="6"/>
  <c r="X745" i="6"/>
  <c r="Y745" i="6"/>
  <c r="E530" i="6"/>
  <c r="F530" i="6"/>
  <c r="G530" i="6"/>
  <c r="H530" i="6"/>
  <c r="I530" i="6"/>
  <c r="J530" i="6"/>
  <c r="K530" i="6"/>
  <c r="L530" i="6"/>
  <c r="M530" i="6"/>
  <c r="N530" i="6"/>
  <c r="O530" i="6"/>
  <c r="P530" i="6"/>
  <c r="Q530" i="6"/>
  <c r="R530" i="6"/>
  <c r="S530" i="6"/>
  <c r="T530" i="6"/>
  <c r="U530" i="6"/>
  <c r="V530" i="6"/>
  <c r="X530" i="6"/>
  <c r="Y530" i="6"/>
  <c r="E759" i="6"/>
  <c r="F759" i="6"/>
  <c r="G759" i="6"/>
  <c r="H759" i="6"/>
  <c r="I759" i="6"/>
  <c r="J759" i="6"/>
  <c r="N759" i="6"/>
  <c r="O759" i="6"/>
  <c r="P759" i="6"/>
  <c r="Q759" i="6"/>
  <c r="R759" i="6"/>
  <c r="S759" i="6"/>
  <c r="T759" i="6"/>
  <c r="U759" i="6"/>
  <c r="V759" i="6"/>
  <c r="Y759" i="6"/>
  <c r="I762" i="5"/>
  <c r="J762" i="5"/>
  <c r="K762" i="5"/>
  <c r="L762" i="5"/>
  <c r="M762" i="5"/>
  <c r="N762" i="5"/>
  <c r="P762" i="5"/>
  <c r="Q762" i="5"/>
  <c r="H762" i="5"/>
  <c r="I542" i="5"/>
  <c r="J542" i="5"/>
  <c r="K542" i="5"/>
  <c r="L542" i="5"/>
  <c r="P542" i="5"/>
  <c r="Q542" i="5"/>
  <c r="H542" i="5"/>
  <c r="D213" i="6" l="1"/>
  <c r="D589" i="6"/>
  <c r="E115" i="7"/>
  <c r="D250" i="6"/>
  <c r="R257" i="5"/>
  <c r="F119" i="7"/>
  <c r="D119" i="7"/>
  <c r="C119" i="7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X221" i="6"/>
  <c r="Y221" i="6"/>
  <c r="E794" i="6"/>
  <c r="F794" i="6"/>
  <c r="G794" i="6"/>
  <c r="H794" i="6"/>
  <c r="I794" i="6"/>
  <c r="J794" i="6"/>
  <c r="K794" i="6"/>
  <c r="L794" i="6"/>
  <c r="M794" i="6"/>
  <c r="N794" i="6"/>
  <c r="O794" i="6"/>
  <c r="P794" i="6"/>
  <c r="Q794" i="6"/>
  <c r="R794" i="6"/>
  <c r="S794" i="6"/>
  <c r="T794" i="6"/>
  <c r="U794" i="6"/>
  <c r="V794" i="6"/>
  <c r="X794" i="6"/>
  <c r="Y794" i="6"/>
  <c r="I228" i="5"/>
  <c r="J228" i="5"/>
  <c r="K228" i="5"/>
  <c r="D27" i="7" s="1"/>
  <c r="L228" i="5"/>
  <c r="M228" i="5"/>
  <c r="N228" i="5"/>
  <c r="O228" i="5"/>
  <c r="P228" i="5"/>
  <c r="Q228" i="5"/>
  <c r="H228" i="5"/>
  <c r="C27" i="7" s="1"/>
  <c r="I811" i="5"/>
  <c r="J811" i="5"/>
  <c r="K811" i="5"/>
  <c r="L811" i="5"/>
  <c r="M811" i="5"/>
  <c r="N811" i="5"/>
  <c r="O811" i="5"/>
  <c r="P811" i="5"/>
  <c r="Q811" i="5"/>
  <c r="H811" i="5"/>
  <c r="C174" i="7" s="1"/>
  <c r="E126" i="7"/>
  <c r="E84" i="7"/>
  <c r="E150" i="7"/>
  <c r="D757" i="6"/>
  <c r="C757" i="6" s="1"/>
  <c r="D756" i="6"/>
  <c r="C756" i="6" s="1"/>
  <c r="D755" i="6"/>
  <c r="C755" i="6" s="1"/>
  <c r="D754" i="6"/>
  <c r="C754" i="6" s="1"/>
  <c r="D543" i="6"/>
  <c r="C543" i="6" s="1"/>
  <c r="D542" i="6"/>
  <c r="C542" i="6" s="1"/>
  <c r="D541" i="6"/>
  <c r="C541" i="6" s="1"/>
  <c r="D540" i="6"/>
  <c r="C540" i="6" s="1"/>
  <c r="R774" i="5"/>
  <c r="O774" i="5"/>
  <c r="R773" i="5"/>
  <c r="O773" i="5"/>
  <c r="R772" i="5"/>
  <c r="O772" i="5"/>
  <c r="R771" i="5"/>
  <c r="O771" i="5"/>
  <c r="R555" i="5"/>
  <c r="O555" i="5"/>
  <c r="R554" i="5"/>
  <c r="O554" i="5"/>
  <c r="R553" i="5"/>
  <c r="O553" i="5"/>
  <c r="R552" i="5"/>
  <c r="O552" i="5"/>
  <c r="D153" i="6"/>
  <c r="C153" i="6" s="1"/>
  <c r="D154" i="6"/>
  <c r="C154" i="6" s="1"/>
  <c r="P158" i="5"/>
  <c r="P159" i="5"/>
  <c r="P160" i="5"/>
  <c r="P161" i="5"/>
  <c r="P162" i="5"/>
  <c r="R159" i="5"/>
  <c r="R160" i="5"/>
  <c r="R161" i="5"/>
  <c r="R162" i="5"/>
  <c r="R158" i="5"/>
  <c r="E1573" i="6"/>
  <c r="F1573" i="6"/>
  <c r="G1573" i="6"/>
  <c r="H1573" i="6"/>
  <c r="I1573" i="6"/>
  <c r="J1573" i="6"/>
  <c r="K1573" i="6"/>
  <c r="L1573" i="6"/>
  <c r="M1573" i="6"/>
  <c r="N1573" i="6"/>
  <c r="O1573" i="6"/>
  <c r="P1573" i="6"/>
  <c r="Q1573" i="6"/>
  <c r="R1573" i="6"/>
  <c r="S1573" i="6"/>
  <c r="T1573" i="6"/>
  <c r="U1573" i="6"/>
  <c r="V1573" i="6"/>
  <c r="X1573" i="6"/>
  <c r="Y1573" i="6"/>
  <c r="E1570" i="6"/>
  <c r="F1570" i="6"/>
  <c r="G1570" i="6"/>
  <c r="H1570" i="6"/>
  <c r="I1570" i="6"/>
  <c r="J1570" i="6"/>
  <c r="K1570" i="6"/>
  <c r="L1570" i="6"/>
  <c r="M1570" i="6"/>
  <c r="N1570" i="6"/>
  <c r="O1570" i="6"/>
  <c r="P1570" i="6"/>
  <c r="Q1570" i="6"/>
  <c r="R1570" i="6"/>
  <c r="S1570" i="6"/>
  <c r="T1570" i="6"/>
  <c r="U1570" i="6"/>
  <c r="V1570" i="6"/>
  <c r="X1570" i="6"/>
  <c r="Y1570" i="6"/>
  <c r="E1560" i="6"/>
  <c r="F1560" i="6"/>
  <c r="G1560" i="6"/>
  <c r="H1560" i="6"/>
  <c r="I1560" i="6"/>
  <c r="J1560" i="6"/>
  <c r="K1560" i="6"/>
  <c r="L1560" i="6"/>
  <c r="M1560" i="6"/>
  <c r="N1560" i="6"/>
  <c r="O1560" i="6"/>
  <c r="P1560" i="6"/>
  <c r="Q1560" i="6"/>
  <c r="R1560" i="6"/>
  <c r="S1560" i="6"/>
  <c r="T1560" i="6"/>
  <c r="U1560" i="6"/>
  <c r="V1560" i="6"/>
  <c r="X1560" i="6"/>
  <c r="Y1560" i="6"/>
  <c r="E1513" i="6"/>
  <c r="F1513" i="6"/>
  <c r="G1513" i="6"/>
  <c r="H1513" i="6"/>
  <c r="I1513" i="6"/>
  <c r="J1513" i="6"/>
  <c r="K1513" i="6"/>
  <c r="L1513" i="6"/>
  <c r="M1513" i="6"/>
  <c r="N1513" i="6"/>
  <c r="O1513" i="6"/>
  <c r="P1513" i="6"/>
  <c r="Q1513" i="6"/>
  <c r="R1513" i="6"/>
  <c r="S1513" i="6"/>
  <c r="T1513" i="6"/>
  <c r="U1513" i="6"/>
  <c r="V1513" i="6"/>
  <c r="X1513" i="6"/>
  <c r="Y1513" i="6"/>
  <c r="E1404" i="6"/>
  <c r="F1404" i="6"/>
  <c r="G1404" i="6"/>
  <c r="H1404" i="6"/>
  <c r="I1404" i="6"/>
  <c r="J1404" i="6"/>
  <c r="K1404" i="6"/>
  <c r="L1404" i="6"/>
  <c r="M1404" i="6"/>
  <c r="N1404" i="6"/>
  <c r="O1404" i="6"/>
  <c r="P1404" i="6"/>
  <c r="Q1404" i="6"/>
  <c r="R1404" i="6"/>
  <c r="S1404" i="6"/>
  <c r="T1404" i="6"/>
  <c r="U1404" i="6"/>
  <c r="V1404" i="6"/>
  <c r="X1404" i="6"/>
  <c r="Y1404" i="6"/>
  <c r="O874" i="6"/>
  <c r="P874" i="6"/>
  <c r="X874" i="6"/>
  <c r="Y874" i="6"/>
  <c r="D872" i="6"/>
  <c r="E872" i="6"/>
  <c r="F872" i="6"/>
  <c r="G872" i="6"/>
  <c r="H872" i="6"/>
  <c r="I872" i="6"/>
  <c r="J872" i="6"/>
  <c r="K872" i="6"/>
  <c r="L872" i="6"/>
  <c r="M872" i="6"/>
  <c r="N872" i="6"/>
  <c r="O872" i="6"/>
  <c r="P872" i="6"/>
  <c r="Q872" i="6"/>
  <c r="R872" i="6"/>
  <c r="S872" i="6"/>
  <c r="T872" i="6"/>
  <c r="U872" i="6"/>
  <c r="V872" i="6"/>
  <c r="X872" i="6"/>
  <c r="Y872" i="6"/>
  <c r="E867" i="6"/>
  <c r="F867" i="6"/>
  <c r="G867" i="6"/>
  <c r="H867" i="6"/>
  <c r="I867" i="6"/>
  <c r="J867" i="6"/>
  <c r="K867" i="6"/>
  <c r="L867" i="6"/>
  <c r="M867" i="6"/>
  <c r="N867" i="6"/>
  <c r="O867" i="6"/>
  <c r="P867" i="6"/>
  <c r="Q867" i="6"/>
  <c r="R867" i="6"/>
  <c r="S867" i="6"/>
  <c r="T867" i="6"/>
  <c r="U867" i="6"/>
  <c r="V867" i="6"/>
  <c r="X867" i="6"/>
  <c r="Y867" i="6"/>
  <c r="E836" i="6"/>
  <c r="F836" i="6"/>
  <c r="G836" i="6"/>
  <c r="H836" i="6"/>
  <c r="I836" i="6"/>
  <c r="J836" i="6"/>
  <c r="K836" i="6"/>
  <c r="L836" i="6"/>
  <c r="M836" i="6"/>
  <c r="N836" i="6"/>
  <c r="O836" i="6"/>
  <c r="P836" i="6"/>
  <c r="Q836" i="6"/>
  <c r="R836" i="6"/>
  <c r="S836" i="6"/>
  <c r="T836" i="6"/>
  <c r="U836" i="6"/>
  <c r="V836" i="6"/>
  <c r="X836" i="6"/>
  <c r="Y836" i="6"/>
  <c r="E631" i="6"/>
  <c r="F631" i="6"/>
  <c r="G631" i="6"/>
  <c r="H631" i="6"/>
  <c r="I631" i="6"/>
  <c r="J631" i="6"/>
  <c r="K631" i="6"/>
  <c r="L631" i="6"/>
  <c r="M631" i="6"/>
  <c r="N631" i="6"/>
  <c r="O631" i="6"/>
  <c r="P631" i="6"/>
  <c r="Q631" i="6"/>
  <c r="R631" i="6"/>
  <c r="S631" i="6"/>
  <c r="T631" i="6"/>
  <c r="U631" i="6"/>
  <c r="V631" i="6"/>
  <c r="X631" i="6"/>
  <c r="Y631" i="6"/>
  <c r="D672" i="6"/>
  <c r="E672" i="6"/>
  <c r="F672" i="6"/>
  <c r="G672" i="6"/>
  <c r="H672" i="6"/>
  <c r="I672" i="6"/>
  <c r="J672" i="6"/>
  <c r="K672" i="6"/>
  <c r="L672" i="6"/>
  <c r="M672" i="6"/>
  <c r="N672" i="6"/>
  <c r="O672" i="6"/>
  <c r="P672" i="6"/>
  <c r="Q672" i="6"/>
  <c r="R672" i="6"/>
  <c r="S672" i="6"/>
  <c r="T672" i="6"/>
  <c r="U672" i="6"/>
  <c r="V672" i="6"/>
  <c r="X672" i="6"/>
  <c r="Y672" i="6"/>
  <c r="E669" i="6"/>
  <c r="F669" i="6"/>
  <c r="G669" i="6"/>
  <c r="H669" i="6"/>
  <c r="I669" i="6"/>
  <c r="J669" i="6"/>
  <c r="K669" i="6"/>
  <c r="L669" i="6"/>
  <c r="M669" i="6"/>
  <c r="N669" i="6"/>
  <c r="O669" i="6"/>
  <c r="P669" i="6"/>
  <c r="Q669" i="6"/>
  <c r="R669" i="6"/>
  <c r="S669" i="6"/>
  <c r="T669" i="6"/>
  <c r="U669" i="6"/>
  <c r="V669" i="6"/>
  <c r="X669" i="6"/>
  <c r="Y669" i="6"/>
  <c r="E664" i="6"/>
  <c r="F664" i="6"/>
  <c r="G664" i="6"/>
  <c r="H664" i="6"/>
  <c r="I664" i="6"/>
  <c r="J664" i="6"/>
  <c r="K664" i="6"/>
  <c r="L664" i="6"/>
  <c r="M664" i="6"/>
  <c r="N664" i="6"/>
  <c r="O664" i="6"/>
  <c r="P664" i="6"/>
  <c r="Q664" i="6"/>
  <c r="R664" i="6"/>
  <c r="S664" i="6"/>
  <c r="T664" i="6"/>
  <c r="U664" i="6"/>
  <c r="V664" i="6"/>
  <c r="X664" i="6"/>
  <c r="Y664" i="6"/>
  <c r="E579" i="6"/>
  <c r="F579" i="6"/>
  <c r="G579" i="6"/>
  <c r="H579" i="6"/>
  <c r="I579" i="6"/>
  <c r="J579" i="6"/>
  <c r="K579" i="6"/>
  <c r="L579" i="6"/>
  <c r="M579" i="6"/>
  <c r="N579" i="6"/>
  <c r="O579" i="6"/>
  <c r="P579" i="6"/>
  <c r="Q579" i="6"/>
  <c r="R579" i="6"/>
  <c r="S579" i="6"/>
  <c r="T579" i="6"/>
  <c r="U579" i="6"/>
  <c r="V579" i="6"/>
  <c r="X579" i="6"/>
  <c r="Y579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X396" i="6"/>
  <c r="Y396" i="6"/>
  <c r="E305" i="6"/>
  <c r="F305" i="6"/>
  <c r="G305" i="6"/>
  <c r="H305" i="6"/>
  <c r="I305" i="6"/>
  <c r="J305" i="6"/>
  <c r="K305" i="6"/>
  <c r="L305" i="6"/>
  <c r="M305" i="6"/>
  <c r="N305" i="6"/>
  <c r="O305" i="6"/>
  <c r="P305" i="6"/>
  <c r="Q305" i="6"/>
  <c r="R305" i="6"/>
  <c r="S305" i="6"/>
  <c r="T305" i="6"/>
  <c r="U305" i="6"/>
  <c r="V305" i="6"/>
  <c r="X305" i="6"/>
  <c r="Y305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X394" i="6"/>
  <c r="Y394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X382" i="6"/>
  <c r="Y382" i="6"/>
  <c r="I1596" i="5"/>
  <c r="J1596" i="5"/>
  <c r="K1596" i="5"/>
  <c r="D280" i="7" s="1"/>
  <c r="M1596" i="5"/>
  <c r="N1596" i="5"/>
  <c r="Q1596" i="5"/>
  <c r="H1596" i="5"/>
  <c r="C280" i="7" s="1"/>
  <c r="I1536" i="5"/>
  <c r="J1536" i="5"/>
  <c r="K1536" i="5"/>
  <c r="D264" i="7" s="1"/>
  <c r="L1536" i="5"/>
  <c r="F264" i="7" s="1"/>
  <c r="M1536" i="5"/>
  <c r="N1536" i="5"/>
  <c r="O1536" i="5"/>
  <c r="Q1536" i="5"/>
  <c r="H1536" i="5"/>
  <c r="C264" i="7" s="1"/>
  <c r="I1593" i="5"/>
  <c r="J1593" i="5"/>
  <c r="K1593" i="5"/>
  <c r="D279" i="7" s="1"/>
  <c r="L1593" i="5"/>
  <c r="F279" i="7" s="1"/>
  <c r="M1593" i="5"/>
  <c r="N1593" i="5"/>
  <c r="P1593" i="5"/>
  <c r="Q1593" i="5"/>
  <c r="H1593" i="5"/>
  <c r="C279" i="7" s="1"/>
  <c r="I1583" i="5"/>
  <c r="J1583" i="5"/>
  <c r="K1583" i="5"/>
  <c r="D275" i="7" s="1"/>
  <c r="L1583" i="5"/>
  <c r="F275" i="7" s="1"/>
  <c r="M1583" i="5"/>
  <c r="N1583" i="5"/>
  <c r="O1583" i="5"/>
  <c r="P1583" i="5"/>
  <c r="Q1583" i="5"/>
  <c r="H1583" i="5"/>
  <c r="C275" i="7" s="1"/>
  <c r="I1427" i="5"/>
  <c r="J1427" i="5"/>
  <c r="K1427" i="5"/>
  <c r="D237" i="7" s="1"/>
  <c r="L1427" i="5"/>
  <c r="F237" i="7" s="1"/>
  <c r="M1427" i="5"/>
  <c r="N1427" i="5"/>
  <c r="P1427" i="5"/>
  <c r="Q1427" i="5"/>
  <c r="H1427" i="5"/>
  <c r="C237" i="7" s="1"/>
  <c r="I891" i="5"/>
  <c r="J891" i="5"/>
  <c r="K891" i="5"/>
  <c r="D205" i="7" s="1"/>
  <c r="L891" i="5"/>
  <c r="F205" i="7" s="1"/>
  <c r="M891" i="5"/>
  <c r="N891" i="5"/>
  <c r="O891" i="5"/>
  <c r="P891" i="5"/>
  <c r="Q891" i="5"/>
  <c r="H891" i="5"/>
  <c r="C205" i="7" s="1"/>
  <c r="I848" i="5"/>
  <c r="J848" i="5"/>
  <c r="K848" i="5"/>
  <c r="D189" i="7" s="1"/>
  <c r="L848" i="5"/>
  <c r="F189" i="7" s="1"/>
  <c r="M848" i="5"/>
  <c r="N848" i="5"/>
  <c r="O848" i="5"/>
  <c r="P848" i="5"/>
  <c r="Q848" i="5"/>
  <c r="H848" i="5"/>
  <c r="C189" i="7" s="1"/>
  <c r="I889" i="5"/>
  <c r="J889" i="5"/>
  <c r="K889" i="5"/>
  <c r="D204" i="7" s="1"/>
  <c r="L889" i="5"/>
  <c r="F204" i="7" s="1"/>
  <c r="M889" i="5"/>
  <c r="N889" i="5"/>
  <c r="P889" i="5"/>
  <c r="Q889" i="5"/>
  <c r="H889" i="5"/>
  <c r="C204" i="7" s="1"/>
  <c r="I884" i="5"/>
  <c r="J884" i="5"/>
  <c r="K884" i="5"/>
  <c r="D201" i="7" s="1"/>
  <c r="L884" i="5"/>
  <c r="F201" i="7" s="1"/>
  <c r="M884" i="5"/>
  <c r="N884" i="5"/>
  <c r="O884" i="5"/>
  <c r="P884" i="5"/>
  <c r="Q884" i="5"/>
  <c r="H884" i="5"/>
  <c r="C201" i="7" s="1"/>
  <c r="D174" i="7"/>
  <c r="F174" i="7"/>
  <c r="I684" i="5"/>
  <c r="J684" i="5"/>
  <c r="K684" i="5"/>
  <c r="D147" i="7" s="1"/>
  <c r="L684" i="5"/>
  <c r="F147" i="7" s="1"/>
  <c r="M684" i="5"/>
  <c r="N684" i="5"/>
  <c r="O684" i="5"/>
  <c r="P684" i="5"/>
  <c r="Q684" i="5"/>
  <c r="H684" i="5"/>
  <c r="C147" i="7" s="1"/>
  <c r="I643" i="5"/>
  <c r="J643" i="5"/>
  <c r="K643" i="5"/>
  <c r="D132" i="7" s="1"/>
  <c r="L643" i="5"/>
  <c r="F132" i="7" s="1"/>
  <c r="M643" i="5"/>
  <c r="N643" i="5"/>
  <c r="O643" i="5"/>
  <c r="P643" i="5"/>
  <c r="Q643" i="5"/>
  <c r="H643" i="5"/>
  <c r="C132" i="7" s="1"/>
  <c r="I681" i="5"/>
  <c r="J681" i="5"/>
  <c r="K681" i="5"/>
  <c r="D146" i="7" s="1"/>
  <c r="L681" i="5"/>
  <c r="F146" i="7" s="1"/>
  <c r="M681" i="5"/>
  <c r="N681" i="5"/>
  <c r="O681" i="5"/>
  <c r="P681" i="5"/>
  <c r="Q681" i="5"/>
  <c r="H681" i="5"/>
  <c r="C146" i="7" s="1"/>
  <c r="I676" i="5"/>
  <c r="J676" i="5"/>
  <c r="K676" i="5"/>
  <c r="D143" i="7" s="1"/>
  <c r="L676" i="5"/>
  <c r="F143" i="7" s="1"/>
  <c r="M676" i="5"/>
  <c r="N676" i="5"/>
  <c r="O676" i="5"/>
  <c r="P676" i="5"/>
  <c r="Q676" i="5"/>
  <c r="H676" i="5"/>
  <c r="C143" i="7" s="1"/>
  <c r="I591" i="5"/>
  <c r="J591" i="5"/>
  <c r="K591" i="5"/>
  <c r="D114" i="7" s="1"/>
  <c r="L591" i="5"/>
  <c r="F114" i="7" s="1"/>
  <c r="M591" i="5"/>
  <c r="N591" i="5"/>
  <c r="O591" i="5"/>
  <c r="P591" i="5"/>
  <c r="Q591" i="5"/>
  <c r="H591" i="5"/>
  <c r="C114" i="7" s="1"/>
  <c r="I386" i="5"/>
  <c r="J386" i="5"/>
  <c r="K386" i="5"/>
  <c r="D79" i="7" s="1"/>
  <c r="L386" i="5"/>
  <c r="F79" i="7" s="1"/>
  <c r="M386" i="5"/>
  <c r="N386" i="5"/>
  <c r="O386" i="5"/>
  <c r="P386" i="5"/>
  <c r="Q386" i="5"/>
  <c r="H386" i="5"/>
  <c r="C79" i="7" s="1"/>
  <c r="I312" i="5"/>
  <c r="J312" i="5"/>
  <c r="K312" i="5"/>
  <c r="D54" i="7" s="1"/>
  <c r="L312" i="5"/>
  <c r="F54" i="7" s="1"/>
  <c r="M312" i="5"/>
  <c r="N312" i="5"/>
  <c r="O312" i="5"/>
  <c r="P312" i="5"/>
  <c r="Q312" i="5"/>
  <c r="H312" i="5"/>
  <c r="C54" i="7" s="1"/>
  <c r="I384" i="5"/>
  <c r="J384" i="5"/>
  <c r="K384" i="5"/>
  <c r="D78" i="7" s="1"/>
  <c r="L384" i="5"/>
  <c r="F78" i="7" s="1"/>
  <c r="M384" i="5"/>
  <c r="N384" i="5"/>
  <c r="O384" i="5"/>
  <c r="P384" i="5"/>
  <c r="Q384" i="5"/>
  <c r="H384" i="5"/>
  <c r="C78" i="7" s="1"/>
  <c r="I372" i="5"/>
  <c r="J372" i="5"/>
  <c r="K372" i="5"/>
  <c r="D72" i="7" s="1"/>
  <c r="L372" i="5"/>
  <c r="F72" i="7" s="1"/>
  <c r="M372" i="5"/>
  <c r="N372" i="5"/>
  <c r="O372" i="5"/>
  <c r="P372" i="5"/>
  <c r="Q372" i="5"/>
  <c r="H372" i="5"/>
  <c r="C72" i="7" s="1"/>
  <c r="F27" i="7"/>
  <c r="E183" i="7"/>
  <c r="E827" i="6"/>
  <c r="F827" i="6"/>
  <c r="G827" i="6"/>
  <c r="H827" i="6"/>
  <c r="I827" i="6"/>
  <c r="J827" i="6"/>
  <c r="K827" i="6"/>
  <c r="L827" i="6"/>
  <c r="M827" i="6"/>
  <c r="N827" i="6"/>
  <c r="O827" i="6"/>
  <c r="P827" i="6"/>
  <c r="Q827" i="6"/>
  <c r="R827" i="6"/>
  <c r="S827" i="6"/>
  <c r="T827" i="6"/>
  <c r="U827" i="6"/>
  <c r="V827" i="6"/>
  <c r="X827" i="6"/>
  <c r="Y827" i="6"/>
  <c r="D828" i="6"/>
  <c r="C828" i="6" s="1"/>
  <c r="C827" i="6" s="1"/>
  <c r="I844" i="5"/>
  <c r="J844" i="5"/>
  <c r="K844" i="5"/>
  <c r="D187" i="7" s="1"/>
  <c r="L844" i="5"/>
  <c r="F187" i="7" s="1"/>
  <c r="M844" i="5"/>
  <c r="N844" i="5"/>
  <c r="O844" i="5"/>
  <c r="P844" i="5"/>
  <c r="Q844" i="5"/>
  <c r="H844" i="5"/>
  <c r="C187" i="7" s="1"/>
  <c r="R845" i="5"/>
  <c r="D1306" i="6"/>
  <c r="C1306" i="6" s="1"/>
  <c r="D1307" i="6"/>
  <c r="C1307" i="6" s="1"/>
  <c r="D1308" i="6"/>
  <c r="C1308" i="6" s="1"/>
  <c r="D1309" i="6"/>
  <c r="C1309" i="6" s="1"/>
  <c r="D1310" i="6"/>
  <c r="C1310" i="6" s="1"/>
  <c r="D1311" i="6"/>
  <c r="C1311" i="6" s="1"/>
  <c r="D1312" i="6"/>
  <c r="C1312" i="6" s="1"/>
  <c r="D1313" i="6"/>
  <c r="C1313" i="6" s="1"/>
  <c r="D1314" i="6"/>
  <c r="C1314" i="6" s="1"/>
  <c r="D1315" i="6"/>
  <c r="C1315" i="6" s="1"/>
  <c r="D1316" i="6"/>
  <c r="C1316" i="6" s="1"/>
  <c r="D1317" i="6"/>
  <c r="C1317" i="6" s="1"/>
  <c r="D1318" i="6"/>
  <c r="C1318" i="6" s="1"/>
  <c r="D1319" i="6"/>
  <c r="C1319" i="6" s="1"/>
  <c r="D1320" i="6"/>
  <c r="C1320" i="6" s="1"/>
  <c r="D1321" i="6"/>
  <c r="C1321" i="6" s="1"/>
  <c r="D1322" i="6"/>
  <c r="C1322" i="6" s="1"/>
  <c r="D1323" i="6"/>
  <c r="C1323" i="6" s="1"/>
  <c r="D1324" i="6"/>
  <c r="C1324" i="6" s="1"/>
  <c r="D1325" i="6"/>
  <c r="C1325" i="6" s="1"/>
  <c r="D1326" i="6"/>
  <c r="C1326" i="6" s="1"/>
  <c r="D1327" i="6"/>
  <c r="C1327" i="6" s="1"/>
  <c r="D1328" i="6"/>
  <c r="C1328" i="6" s="1"/>
  <c r="D1305" i="6"/>
  <c r="C1305" i="6" s="1"/>
  <c r="C250" i="6" l="1"/>
  <c r="C249" i="6" s="1"/>
  <c r="D249" i="6"/>
  <c r="D827" i="6"/>
  <c r="E1342" i="6"/>
  <c r="F1342" i="6"/>
  <c r="G1342" i="6"/>
  <c r="H1342" i="6"/>
  <c r="I1342" i="6"/>
  <c r="J1342" i="6"/>
  <c r="K1342" i="6"/>
  <c r="L1342" i="6"/>
  <c r="M1342" i="6"/>
  <c r="N1342" i="6"/>
  <c r="O1342" i="6"/>
  <c r="P1342" i="6"/>
  <c r="Q1342" i="6"/>
  <c r="R1342" i="6"/>
  <c r="S1342" i="6"/>
  <c r="T1342" i="6"/>
  <c r="U1342" i="6"/>
  <c r="V1342" i="6"/>
  <c r="X1342" i="6"/>
  <c r="Y1342" i="6"/>
  <c r="E763" i="6"/>
  <c r="F763" i="6"/>
  <c r="G763" i="6"/>
  <c r="H763" i="6"/>
  <c r="I763" i="6"/>
  <c r="J763" i="6"/>
  <c r="K763" i="6"/>
  <c r="L763" i="6"/>
  <c r="M763" i="6"/>
  <c r="N763" i="6"/>
  <c r="O763" i="6"/>
  <c r="P763" i="6"/>
  <c r="Q763" i="6"/>
  <c r="R763" i="6"/>
  <c r="S763" i="6"/>
  <c r="T763" i="6"/>
  <c r="U763" i="6"/>
  <c r="V763" i="6"/>
  <c r="X763" i="6"/>
  <c r="Y763" i="6"/>
  <c r="E551" i="6"/>
  <c r="F551" i="6"/>
  <c r="G551" i="6"/>
  <c r="H551" i="6"/>
  <c r="I551" i="6"/>
  <c r="J551" i="6"/>
  <c r="K551" i="6"/>
  <c r="L551" i="6"/>
  <c r="M551" i="6"/>
  <c r="N551" i="6"/>
  <c r="O551" i="6"/>
  <c r="P551" i="6"/>
  <c r="Q551" i="6"/>
  <c r="R551" i="6"/>
  <c r="S551" i="6"/>
  <c r="T551" i="6"/>
  <c r="U551" i="6"/>
  <c r="V551" i="6"/>
  <c r="X551" i="6"/>
  <c r="Y551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X172" i="6"/>
  <c r="Y172" i="6"/>
  <c r="I1365" i="5"/>
  <c r="J1365" i="5"/>
  <c r="K1365" i="5"/>
  <c r="D226" i="7" s="1"/>
  <c r="L1365" i="5"/>
  <c r="F226" i="7" s="1"/>
  <c r="M1365" i="5"/>
  <c r="N1365" i="5"/>
  <c r="Q1365" i="5"/>
  <c r="H1365" i="5"/>
  <c r="C226" i="7" s="1"/>
  <c r="I780" i="5"/>
  <c r="J780" i="5"/>
  <c r="K780" i="5"/>
  <c r="D164" i="7" s="1"/>
  <c r="L780" i="5"/>
  <c r="F164" i="7" s="1"/>
  <c r="M780" i="5"/>
  <c r="N780" i="5"/>
  <c r="P780" i="5"/>
  <c r="Q780" i="5"/>
  <c r="H780" i="5"/>
  <c r="C164" i="7" s="1"/>
  <c r="I563" i="5"/>
  <c r="J563" i="5"/>
  <c r="K563" i="5"/>
  <c r="D104" i="7" s="1"/>
  <c r="L563" i="5"/>
  <c r="F104" i="7" s="1"/>
  <c r="M563" i="5"/>
  <c r="N563" i="5"/>
  <c r="O563" i="5"/>
  <c r="P563" i="5"/>
  <c r="Q563" i="5"/>
  <c r="H563" i="5"/>
  <c r="C104" i="7" s="1"/>
  <c r="I179" i="5"/>
  <c r="J179" i="5"/>
  <c r="K179" i="5"/>
  <c r="D16" i="7" s="1"/>
  <c r="L179" i="5"/>
  <c r="F16" i="7" s="1"/>
  <c r="M179" i="5"/>
  <c r="N179" i="5"/>
  <c r="O179" i="5"/>
  <c r="P179" i="5"/>
  <c r="Q179" i="5"/>
  <c r="H179" i="5"/>
  <c r="C16" i="7" s="1"/>
  <c r="E646" i="6"/>
  <c r="F646" i="6"/>
  <c r="G646" i="6"/>
  <c r="H646" i="6"/>
  <c r="I646" i="6"/>
  <c r="J646" i="6"/>
  <c r="K646" i="6"/>
  <c r="L646" i="6"/>
  <c r="M646" i="6"/>
  <c r="N646" i="6"/>
  <c r="O646" i="6"/>
  <c r="P646" i="6"/>
  <c r="Q646" i="6"/>
  <c r="R646" i="6"/>
  <c r="S646" i="6"/>
  <c r="T646" i="6"/>
  <c r="U646" i="6"/>
  <c r="V646" i="6"/>
  <c r="X646" i="6"/>
  <c r="Y646" i="6"/>
  <c r="D648" i="6"/>
  <c r="C648" i="6" s="1"/>
  <c r="D649" i="6"/>
  <c r="C649" i="6" s="1"/>
  <c r="D650" i="6"/>
  <c r="C650" i="6" s="1"/>
  <c r="E340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Y340" i="6"/>
  <c r="D343" i="6"/>
  <c r="C343" i="6" s="1"/>
  <c r="D341" i="6"/>
  <c r="C341" i="6" s="1"/>
  <c r="I658" i="5"/>
  <c r="J658" i="5"/>
  <c r="K658" i="5"/>
  <c r="M658" i="5"/>
  <c r="N658" i="5"/>
  <c r="O658" i="5"/>
  <c r="P658" i="5"/>
  <c r="Q658" i="5"/>
  <c r="H658" i="5"/>
  <c r="R662" i="5"/>
  <c r="R660" i="5"/>
  <c r="L661" i="5"/>
  <c r="R661" i="5" s="1"/>
  <c r="I347" i="5"/>
  <c r="J347" i="5"/>
  <c r="K347" i="5"/>
  <c r="M347" i="5"/>
  <c r="N347" i="5"/>
  <c r="O347" i="5"/>
  <c r="P347" i="5"/>
  <c r="Q347" i="5"/>
  <c r="H347" i="5"/>
  <c r="R350" i="5"/>
  <c r="R348" i="5"/>
  <c r="E1524" i="6" l="1"/>
  <c r="F1524" i="6"/>
  <c r="G1524" i="6"/>
  <c r="H1524" i="6"/>
  <c r="I1524" i="6"/>
  <c r="J1524" i="6"/>
  <c r="K1524" i="6"/>
  <c r="L1524" i="6"/>
  <c r="M1524" i="6"/>
  <c r="N1524" i="6"/>
  <c r="O1524" i="6"/>
  <c r="P1524" i="6"/>
  <c r="Q1524" i="6"/>
  <c r="R1524" i="6"/>
  <c r="S1524" i="6"/>
  <c r="T1524" i="6"/>
  <c r="U1524" i="6"/>
  <c r="V1524" i="6"/>
  <c r="X1524" i="6"/>
  <c r="Y1524" i="6"/>
  <c r="D1533" i="6"/>
  <c r="C1533" i="6" s="1"/>
  <c r="D1534" i="6"/>
  <c r="D1535" i="6"/>
  <c r="C1535" i="6" s="1"/>
  <c r="C1534" i="6"/>
  <c r="I1547" i="5"/>
  <c r="J1547" i="5"/>
  <c r="K1547" i="5"/>
  <c r="M1547" i="5"/>
  <c r="N1547" i="5"/>
  <c r="O1547" i="5"/>
  <c r="Q1547" i="5"/>
  <c r="H1547" i="5"/>
  <c r="R1558" i="5"/>
  <c r="R1557" i="5"/>
  <c r="R1556" i="5"/>
  <c r="D1551" i="6"/>
  <c r="C1551" i="6" s="1"/>
  <c r="I1571" i="5"/>
  <c r="J1571" i="5"/>
  <c r="K1571" i="5"/>
  <c r="M1571" i="5"/>
  <c r="N1571" i="5"/>
  <c r="O1571" i="5"/>
  <c r="P1571" i="5"/>
  <c r="Q1571" i="5"/>
  <c r="H1571" i="5"/>
  <c r="R1574" i="5"/>
  <c r="E823" i="6"/>
  <c r="F823" i="6"/>
  <c r="G823" i="6"/>
  <c r="H823" i="6"/>
  <c r="I823" i="6"/>
  <c r="J823" i="6"/>
  <c r="K823" i="6"/>
  <c r="L823" i="6"/>
  <c r="M823" i="6"/>
  <c r="N823" i="6"/>
  <c r="O823" i="6"/>
  <c r="P823" i="6"/>
  <c r="Q823" i="6"/>
  <c r="R823" i="6"/>
  <c r="S823" i="6"/>
  <c r="T823" i="6"/>
  <c r="U823" i="6"/>
  <c r="V823" i="6"/>
  <c r="X823" i="6"/>
  <c r="Y823" i="6"/>
  <c r="I840" i="5"/>
  <c r="J840" i="5"/>
  <c r="K840" i="5"/>
  <c r="L840" i="5"/>
  <c r="M840" i="5"/>
  <c r="N840" i="5"/>
  <c r="P840" i="5"/>
  <c r="Q840" i="5"/>
  <c r="H840" i="5"/>
  <c r="R1338" i="5" l="1"/>
  <c r="O1338" i="5"/>
  <c r="L659" i="5"/>
  <c r="L658" i="5" s="1"/>
  <c r="L349" i="5"/>
  <c r="L347" i="5" s="1"/>
  <c r="E1468" i="6"/>
  <c r="F1468" i="6"/>
  <c r="G1468" i="6"/>
  <c r="H1468" i="6"/>
  <c r="I1468" i="6"/>
  <c r="J1468" i="6"/>
  <c r="K1468" i="6"/>
  <c r="L1468" i="6"/>
  <c r="M1468" i="6"/>
  <c r="N1468" i="6"/>
  <c r="O1468" i="6"/>
  <c r="P1468" i="6"/>
  <c r="Q1468" i="6"/>
  <c r="R1468" i="6"/>
  <c r="S1468" i="6"/>
  <c r="T1468" i="6"/>
  <c r="U1468" i="6"/>
  <c r="V1468" i="6"/>
  <c r="X1468" i="6"/>
  <c r="Y1468" i="6"/>
  <c r="I1491" i="5"/>
  <c r="J1491" i="5"/>
  <c r="K1491" i="5"/>
  <c r="L1491" i="5"/>
  <c r="M1491" i="5"/>
  <c r="N1491" i="5"/>
  <c r="O1491" i="5"/>
  <c r="P1491" i="5"/>
  <c r="Q1491" i="5"/>
  <c r="H1491" i="5"/>
  <c r="C1494" i="6"/>
  <c r="C1493" i="6"/>
  <c r="L1517" i="5"/>
  <c r="D366" i="6" l="1"/>
  <c r="C366" i="6" s="1"/>
  <c r="D367" i="6"/>
  <c r="C367" i="6" s="1"/>
  <c r="D368" i="6"/>
  <c r="C368" i="6" s="1"/>
  <c r="D369" i="6"/>
  <c r="C369" i="6" s="1"/>
  <c r="D370" i="6"/>
  <c r="C370" i="6" s="1"/>
  <c r="D371" i="6"/>
  <c r="C371" i="6" s="1"/>
  <c r="D372" i="6"/>
  <c r="C372" i="6" s="1"/>
  <c r="D365" i="6"/>
  <c r="C365" i="6" s="1"/>
  <c r="D358" i="6"/>
  <c r="C358" i="6" s="1"/>
  <c r="D359" i="6"/>
  <c r="C359" i="6" s="1"/>
  <c r="D360" i="6"/>
  <c r="C360" i="6" s="1"/>
  <c r="D361" i="6"/>
  <c r="C361" i="6" s="1"/>
  <c r="D362" i="6"/>
  <c r="C362" i="6" s="1"/>
  <c r="D363" i="6"/>
  <c r="C363" i="6" s="1"/>
  <c r="D364" i="6"/>
  <c r="C364" i="6" s="1"/>
  <c r="D357" i="6"/>
  <c r="C357" i="6" l="1"/>
  <c r="C356" i="6" s="1"/>
  <c r="D356" i="6"/>
  <c r="D906" i="6"/>
  <c r="C906" i="6" s="1"/>
  <c r="D907" i="6"/>
  <c r="D908" i="6"/>
  <c r="C908" i="6" s="1"/>
  <c r="D909" i="6"/>
  <c r="C909" i="6" s="1"/>
  <c r="D910" i="6"/>
  <c r="C910" i="6" s="1"/>
  <c r="D911" i="6"/>
  <c r="D912" i="6"/>
  <c r="C912" i="6" s="1"/>
  <c r="D913" i="6"/>
  <c r="C913" i="6" s="1"/>
  <c r="D914" i="6"/>
  <c r="C914" i="6" s="1"/>
  <c r="D915" i="6"/>
  <c r="D916" i="6"/>
  <c r="C916" i="6" s="1"/>
  <c r="D917" i="6"/>
  <c r="C917" i="6" s="1"/>
  <c r="D918" i="6"/>
  <c r="C918" i="6" s="1"/>
  <c r="D919" i="6"/>
  <c r="D920" i="6"/>
  <c r="C920" i="6" s="1"/>
  <c r="D921" i="6"/>
  <c r="C921" i="6" s="1"/>
  <c r="D922" i="6"/>
  <c r="C922" i="6" s="1"/>
  <c r="D923" i="6"/>
  <c r="D924" i="6"/>
  <c r="C924" i="6" s="1"/>
  <c r="D925" i="6"/>
  <c r="C925" i="6" s="1"/>
  <c r="D926" i="6"/>
  <c r="C926" i="6" s="1"/>
  <c r="D927" i="6"/>
  <c r="D928" i="6"/>
  <c r="C928" i="6" s="1"/>
  <c r="D929" i="6"/>
  <c r="C929" i="6" s="1"/>
  <c r="D930" i="6"/>
  <c r="D931" i="6"/>
  <c r="D932" i="6"/>
  <c r="C932" i="6" s="1"/>
  <c r="D933" i="6"/>
  <c r="D934" i="6"/>
  <c r="C934" i="6" s="1"/>
  <c r="D935" i="6"/>
  <c r="C935" i="6" s="1"/>
  <c r="D936" i="6"/>
  <c r="C936" i="6" s="1"/>
  <c r="D937" i="6"/>
  <c r="D938" i="6"/>
  <c r="C938" i="6" s="1"/>
  <c r="D939" i="6"/>
  <c r="C939" i="6" s="1"/>
  <c r="D940" i="6"/>
  <c r="C940" i="6" s="1"/>
  <c r="D941" i="6"/>
  <c r="D942" i="6"/>
  <c r="C942" i="6" s="1"/>
  <c r="D943" i="6"/>
  <c r="C943" i="6" s="1"/>
  <c r="D944" i="6"/>
  <c r="C944" i="6" s="1"/>
  <c r="D945" i="6"/>
  <c r="D946" i="6"/>
  <c r="C946" i="6" s="1"/>
  <c r="D947" i="6"/>
  <c r="C947" i="6" s="1"/>
  <c r="D948" i="6"/>
  <c r="C948" i="6" s="1"/>
  <c r="D949" i="6"/>
  <c r="D950" i="6"/>
  <c r="C950" i="6" s="1"/>
  <c r="D951" i="6"/>
  <c r="C951" i="6" s="1"/>
  <c r="D952" i="6"/>
  <c r="C952" i="6" s="1"/>
  <c r="D953" i="6"/>
  <c r="D954" i="6"/>
  <c r="D955" i="6"/>
  <c r="C955" i="6" s="1"/>
  <c r="D956" i="6"/>
  <c r="C956" i="6" s="1"/>
  <c r="D957" i="6"/>
  <c r="D958" i="6"/>
  <c r="C958" i="6" s="1"/>
  <c r="D959" i="6"/>
  <c r="C959" i="6" s="1"/>
  <c r="D960" i="6"/>
  <c r="C960" i="6" s="1"/>
  <c r="D961" i="6"/>
  <c r="D962" i="6"/>
  <c r="C962" i="6" s="1"/>
  <c r="D963" i="6"/>
  <c r="C963" i="6" s="1"/>
  <c r="D964" i="6"/>
  <c r="C964" i="6" s="1"/>
  <c r="D965" i="6"/>
  <c r="D966" i="6"/>
  <c r="C966" i="6" s="1"/>
  <c r="D967" i="6"/>
  <c r="C967" i="6" s="1"/>
  <c r="D968" i="6"/>
  <c r="C968" i="6" s="1"/>
  <c r="D969" i="6"/>
  <c r="D970" i="6"/>
  <c r="C970" i="6" s="1"/>
  <c r="D971" i="6"/>
  <c r="C971" i="6" s="1"/>
  <c r="D972" i="6"/>
  <c r="C972" i="6" s="1"/>
  <c r="D973" i="6"/>
  <c r="D974" i="6"/>
  <c r="C974" i="6" s="1"/>
  <c r="D975" i="6"/>
  <c r="C975" i="6" s="1"/>
  <c r="D976" i="6"/>
  <c r="C976" i="6" s="1"/>
  <c r="D977" i="6"/>
  <c r="D978" i="6"/>
  <c r="C978" i="6" s="1"/>
  <c r="D979" i="6"/>
  <c r="C979" i="6" s="1"/>
  <c r="D980" i="6"/>
  <c r="C980" i="6" s="1"/>
  <c r="D981" i="6"/>
  <c r="D982" i="6"/>
  <c r="C982" i="6" s="1"/>
  <c r="D983" i="6"/>
  <c r="C983" i="6" s="1"/>
  <c r="D984" i="6"/>
  <c r="C984" i="6" s="1"/>
  <c r="D985" i="6"/>
  <c r="D986" i="6"/>
  <c r="C986" i="6" s="1"/>
  <c r="D987" i="6"/>
  <c r="C987" i="6" s="1"/>
  <c r="D988" i="6"/>
  <c r="C988" i="6" s="1"/>
  <c r="D989" i="6"/>
  <c r="D990" i="6"/>
  <c r="C990" i="6" s="1"/>
  <c r="D991" i="6"/>
  <c r="C991" i="6" s="1"/>
  <c r="D992" i="6"/>
  <c r="C992" i="6" s="1"/>
  <c r="D993" i="6"/>
  <c r="D994" i="6"/>
  <c r="C994" i="6" s="1"/>
  <c r="D995" i="6"/>
  <c r="C995" i="6" s="1"/>
  <c r="D996" i="6"/>
  <c r="C996" i="6" s="1"/>
  <c r="D997" i="6"/>
  <c r="D998" i="6"/>
  <c r="C998" i="6" s="1"/>
  <c r="D999" i="6"/>
  <c r="C999" i="6" s="1"/>
  <c r="D1000" i="6"/>
  <c r="C1000" i="6" s="1"/>
  <c r="D1001" i="6"/>
  <c r="D1002" i="6"/>
  <c r="C1002" i="6" s="1"/>
  <c r="D1003" i="6"/>
  <c r="C1003" i="6" s="1"/>
  <c r="D1004" i="6"/>
  <c r="C1004" i="6" s="1"/>
  <c r="D1005" i="6"/>
  <c r="D1006" i="6"/>
  <c r="C1006" i="6" s="1"/>
  <c r="D1007" i="6"/>
  <c r="C1007" i="6" s="1"/>
  <c r="D1008" i="6"/>
  <c r="C1008" i="6" s="1"/>
  <c r="D1009" i="6"/>
  <c r="D1010" i="6"/>
  <c r="C1010" i="6" s="1"/>
  <c r="D1011" i="6"/>
  <c r="C1011" i="6" s="1"/>
  <c r="D1012" i="6"/>
  <c r="C1012" i="6" s="1"/>
  <c r="D1013" i="6"/>
  <c r="D1014" i="6"/>
  <c r="C1014" i="6" s="1"/>
  <c r="D1015" i="6"/>
  <c r="C1015" i="6" s="1"/>
  <c r="D1016" i="6"/>
  <c r="C1016" i="6" s="1"/>
  <c r="D1017" i="6"/>
  <c r="D1018" i="6"/>
  <c r="C1018" i="6" s="1"/>
  <c r="D1019" i="6"/>
  <c r="C1019" i="6" s="1"/>
  <c r="D1020" i="6"/>
  <c r="C1020" i="6" s="1"/>
  <c r="D1021" i="6"/>
  <c r="D1022" i="6"/>
  <c r="C1022" i="6" s="1"/>
  <c r="D1023" i="6"/>
  <c r="C1023" i="6" s="1"/>
  <c r="D1024" i="6"/>
  <c r="C1024" i="6" s="1"/>
  <c r="D1025" i="6"/>
  <c r="D1026" i="6"/>
  <c r="C1026" i="6" s="1"/>
  <c r="D1027" i="6"/>
  <c r="C1027" i="6" s="1"/>
  <c r="D1028" i="6"/>
  <c r="C1028" i="6" s="1"/>
  <c r="D1029" i="6"/>
  <c r="D1030" i="6"/>
  <c r="C1030" i="6" s="1"/>
  <c r="D1031" i="6"/>
  <c r="C1031" i="6" s="1"/>
  <c r="D1032" i="6"/>
  <c r="C1032" i="6" s="1"/>
  <c r="D1033" i="6"/>
  <c r="D1034" i="6"/>
  <c r="C1034" i="6" s="1"/>
  <c r="D1035" i="6"/>
  <c r="C1035" i="6" s="1"/>
  <c r="D1036" i="6"/>
  <c r="C1036" i="6" s="1"/>
  <c r="D1037" i="6"/>
  <c r="D1038" i="6"/>
  <c r="C1038" i="6" s="1"/>
  <c r="D1039" i="6"/>
  <c r="C1039" i="6" s="1"/>
  <c r="D1040" i="6"/>
  <c r="C1040" i="6" s="1"/>
  <c r="D1041" i="6"/>
  <c r="D1042" i="6"/>
  <c r="C1042" i="6" s="1"/>
  <c r="D1043" i="6"/>
  <c r="C1043" i="6" s="1"/>
  <c r="D1044" i="6"/>
  <c r="C1044" i="6" s="1"/>
  <c r="D1045" i="6"/>
  <c r="D1046" i="6"/>
  <c r="C1046" i="6" s="1"/>
  <c r="D1047" i="6"/>
  <c r="C1047" i="6" s="1"/>
  <c r="D1048" i="6"/>
  <c r="C1048" i="6" s="1"/>
  <c r="D1049" i="6"/>
  <c r="D1050" i="6"/>
  <c r="C1050" i="6" s="1"/>
  <c r="D1051" i="6"/>
  <c r="C1051" i="6" s="1"/>
  <c r="D1052" i="6"/>
  <c r="C1052" i="6" s="1"/>
  <c r="D1053" i="6"/>
  <c r="D1054" i="6"/>
  <c r="C1054" i="6" s="1"/>
  <c r="D1055" i="6"/>
  <c r="C1055" i="6" s="1"/>
  <c r="D1056" i="6"/>
  <c r="C1056" i="6" s="1"/>
  <c r="D1057" i="6"/>
  <c r="D1058" i="6"/>
  <c r="C1058" i="6" s="1"/>
  <c r="D1059" i="6"/>
  <c r="C1059" i="6" s="1"/>
  <c r="D1060" i="6"/>
  <c r="C1060" i="6" s="1"/>
  <c r="D1061" i="6"/>
  <c r="D1062" i="6"/>
  <c r="C1062" i="6" s="1"/>
  <c r="D1063" i="6"/>
  <c r="C1063" i="6" s="1"/>
  <c r="D1064" i="6"/>
  <c r="C1064" i="6" s="1"/>
  <c r="D1065" i="6"/>
  <c r="D1066" i="6"/>
  <c r="C1066" i="6" s="1"/>
  <c r="D1067" i="6"/>
  <c r="C1067" i="6" s="1"/>
  <c r="D1068" i="6"/>
  <c r="C1068" i="6" s="1"/>
  <c r="D1069" i="6"/>
  <c r="D1070" i="6"/>
  <c r="C1070" i="6" s="1"/>
  <c r="D1071" i="6"/>
  <c r="C1071" i="6" s="1"/>
  <c r="D1072" i="6"/>
  <c r="C1072" i="6" s="1"/>
  <c r="D1073" i="6"/>
  <c r="D1074" i="6"/>
  <c r="C1074" i="6" s="1"/>
  <c r="D1075" i="6"/>
  <c r="C1075" i="6" s="1"/>
  <c r="D1076" i="6"/>
  <c r="C1076" i="6" s="1"/>
  <c r="D1077" i="6"/>
  <c r="D1078" i="6"/>
  <c r="C1078" i="6" s="1"/>
  <c r="D1079" i="6"/>
  <c r="C1079" i="6" s="1"/>
  <c r="D1080" i="6"/>
  <c r="C1080" i="6" s="1"/>
  <c r="D1081" i="6"/>
  <c r="D1082" i="6"/>
  <c r="C1082" i="6" s="1"/>
  <c r="D1083" i="6"/>
  <c r="C1083" i="6" s="1"/>
  <c r="D1084" i="6"/>
  <c r="C1084" i="6" s="1"/>
  <c r="D1085" i="6"/>
  <c r="D1086" i="6"/>
  <c r="C1086" i="6" s="1"/>
  <c r="D1087" i="6"/>
  <c r="C1087" i="6" s="1"/>
  <c r="D1088" i="6"/>
  <c r="C1088" i="6" s="1"/>
  <c r="D1089" i="6"/>
  <c r="D1090" i="6"/>
  <c r="C1090" i="6" s="1"/>
  <c r="D1091" i="6"/>
  <c r="C1091" i="6" s="1"/>
  <c r="D1092" i="6"/>
  <c r="C1092" i="6" s="1"/>
  <c r="D1093" i="6"/>
  <c r="D1094" i="6"/>
  <c r="C1094" i="6" s="1"/>
  <c r="D1095" i="6"/>
  <c r="C1095" i="6" s="1"/>
  <c r="D1096" i="6"/>
  <c r="C1096" i="6" s="1"/>
  <c r="D1097" i="6"/>
  <c r="D1098" i="6"/>
  <c r="C1098" i="6" s="1"/>
  <c r="D1099" i="6"/>
  <c r="C1099" i="6" s="1"/>
  <c r="D1100" i="6"/>
  <c r="C1100" i="6" s="1"/>
  <c r="D1101" i="6"/>
  <c r="D1102" i="6"/>
  <c r="C1102" i="6" s="1"/>
  <c r="D1103" i="6"/>
  <c r="C1103" i="6" s="1"/>
  <c r="D1104" i="6"/>
  <c r="C1104" i="6" s="1"/>
  <c r="D1105" i="6"/>
  <c r="D1106" i="6"/>
  <c r="C1106" i="6" s="1"/>
  <c r="D1107" i="6"/>
  <c r="C1107" i="6" s="1"/>
  <c r="D1108" i="6"/>
  <c r="C1108" i="6" s="1"/>
  <c r="D1109" i="6"/>
  <c r="D1110" i="6"/>
  <c r="C1110" i="6" s="1"/>
  <c r="D1111" i="6"/>
  <c r="C1111" i="6" s="1"/>
  <c r="D1112" i="6"/>
  <c r="C1112" i="6" s="1"/>
  <c r="D1113" i="6"/>
  <c r="D1114" i="6"/>
  <c r="C1114" i="6" s="1"/>
  <c r="D1115" i="6"/>
  <c r="C1115" i="6" s="1"/>
  <c r="D1116" i="6"/>
  <c r="C1116" i="6" s="1"/>
  <c r="D1117" i="6"/>
  <c r="D1118" i="6"/>
  <c r="C1118" i="6" s="1"/>
  <c r="D1119" i="6"/>
  <c r="C1119" i="6" s="1"/>
  <c r="D1120" i="6"/>
  <c r="C1120" i="6" s="1"/>
  <c r="D1121" i="6"/>
  <c r="D1122" i="6"/>
  <c r="C1122" i="6" s="1"/>
  <c r="D1123" i="6"/>
  <c r="C1123" i="6" s="1"/>
  <c r="D1124" i="6"/>
  <c r="C1124" i="6" s="1"/>
  <c r="D1125" i="6"/>
  <c r="D1126" i="6"/>
  <c r="C1126" i="6" s="1"/>
  <c r="D1127" i="6"/>
  <c r="C1127" i="6" s="1"/>
  <c r="D1128" i="6"/>
  <c r="C1128" i="6" s="1"/>
  <c r="D1129" i="6"/>
  <c r="D1130" i="6"/>
  <c r="C1130" i="6" s="1"/>
  <c r="D1131" i="6"/>
  <c r="C1131" i="6" s="1"/>
  <c r="D1132" i="6"/>
  <c r="C1132" i="6" s="1"/>
  <c r="D1133" i="6"/>
  <c r="D1134" i="6"/>
  <c r="C1134" i="6" s="1"/>
  <c r="D1135" i="6"/>
  <c r="C1135" i="6" s="1"/>
  <c r="D1136" i="6"/>
  <c r="C1136" i="6" s="1"/>
  <c r="D1137" i="6"/>
  <c r="D1138" i="6"/>
  <c r="C1138" i="6" s="1"/>
  <c r="D1139" i="6"/>
  <c r="C1139" i="6" s="1"/>
  <c r="D1140" i="6"/>
  <c r="C1140" i="6" s="1"/>
  <c r="D1141" i="6"/>
  <c r="D1142" i="6"/>
  <c r="C1142" i="6" s="1"/>
  <c r="D1143" i="6"/>
  <c r="C1143" i="6" s="1"/>
  <c r="D1144" i="6"/>
  <c r="C1144" i="6" s="1"/>
  <c r="D1145" i="6"/>
  <c r="D1146" i="6"/>
  <c r="C1146" i="6" s="1"/>
  <c r="D1147" i="6"/>
  <c r="C1147" i="6" s="1"/>
  <c r="D1148" i="6"/>
  <c r="C1148" i="6" s="1"/>
  <c r="D1149" i="6"/>
  <c r="D1150" i="6"/>
  <c r="C1150" i="6" s="1"/>
  <c r="D1151" i="6"/>
  <c r="C1151" i="6" s="1"/>
  <c r="D1152" i="6"/>
  <c r="C1152" i="6" s="1"/>
  <c r="D1153" i="6"/>
  <c r="D1154" i="6"/>
  <c r="C1154" i="6" s="1"/>
  <c r="D1155" i="6"/>
  <c r="C1155" i="6" s="1"/>
  <c r="D1156" i="6"/>
  <c r="C1156" i="6" s="1"/>
  <c r="D1157" i="6"/>
  <c r="D1158" i="6"/>
  <c r="C1158" i="6" s="1"/>
  <c r="D1159" i="6"/>
  <c r="C1159" i="6" s="1"/>
  <c r="D1160" i="6"/>
  <c r="C1160" i="6" s="1"/>
  <c r="D1161" i="6"/>
  <c r="D1162" i="6"/>
  <c r="C1162" i="6" s="1"/>
  <c r="D1163" i="6"/>
  <c r="C1163" i="6" s="1"/>
  <c r="D1164" i="6"/>
  <c r="C1164" i="6" s="1"/>
  <c r="D1165" i="6"/>
  <c r="D1166" i="6"/>
  <c r="C1166" i="6" s="1"/>
  <c r="D1167" i="6"/>
  <c r="C1167" i="6" s="1"/>
  <c r="D1168" i="6"/>
  <c r="C1168" i="6" s="1"/>
  <c r="D1169" i="6"/>
  <c r="D1170" i="6"/>
  <c r="C1170" i="6" s="1"/>
  <c r="D1171" i="6"/>
  <c r="C1171" i="6" s="1"/>
  <c r="D1172" i="6"/>
  <c r="C1172" i="6" s="1"/>
  <c r="D1173" i="6"/>
  <c r="D1174" i="6"/>
  <c r="C1174" i="6" s="1"/>
  <c r="D1175" i="6"/>
  <c r="C1175" i="6" s="1"/>
  <c r="D1176" i="6"/>
  <c r="C1176" i="6" s="1"/>
  <c r="D1177" i="6"/>
  <c r="D1178" i="6"/>
  <c r="C1178" i="6" s="1"/>
  <c r="D1179" i="6"/>
  <c r="C1179" i="6" s="1"/>
  <c r="D1180" i="6"/>
  <c r="C1180" i="6" s="1"/>
  <c r="D1181" i="6"/>
  <c r="D1182" i="6"/>
  <c r="C1182" i="6" s="1"/>
  <c r="D1183" i="6"/>
  <c r="C1183" i="6" s="1"/>
  <c r="D1184" i="6"/>
  <c r="C1184" i="6" s="1"/>
  <c r="D1185" i="6"/>
  <c r="D1186" i="6"/>
  <c r="C1186" i="6" s="1"/>
  <c r="D1187" i="6"/>
  <c r="C1187" i="6" s="1"/>
  <c r="D1188" i="6"/>
  <c r="C1188" i="6" s="1"/>
  <c r="D1189" i="6"/>
  <c r="D1190" i="6"/>
  <c r="C1190" i="6" s="1"/>
  <c r="D1191" i="6"/>
  <c r="C1191" i="6" s="1"/>
  <c r="D903" i="6"/>
  <c r="C903" i="6" s="1"/>
  <c r="D904" i="6"/>
  <c r="C904" i="6" s="1"/>
  <c r="D905" i="6"/>
  <c r="C905" i="6" s="1"/>
  <c r="D902" i="6"/>
  <c r="C902" i="6" s="1"/>
  <c r="C907" i="6"/>
  <c r="C911" i="6"/>
  <c r="C915" i="6"/>
  <c r="C919" i="6"/>
  <c r="C923" i="6"/>
  <c r="C927" i="6"/>
  <c r="C931" i="6"/>
  <c r="C937" i="6"/>
  <c r="C941" i="6"/>
  <c r="C945" i="6"/>
  <c r="C949" i="6"/>
  <c r="C953" i="6"/>
  <c r="C957" i="6"/>
  <c r="C961" i="6"/>
  <c r="C965" i="6"/>
  <c r="C969" i="6"/>
  <c r="C973" i="6"/>
  <c r="C977" i="6"/>
  <c r="C981" i="6"/>
  <c r="C985" i="6"/>
  <c r="C989" i="6"/>
  <c r="C993" i="6"/>
  <c r="C997" i="6"/>
  <c r="C1001" i="6"/>
  <c r="C1005" i="6"/>
  <c r="C1009" i="6"/>
  <c r="C1013" i="6"/>
  <c r="C1017" i="6"/>
  <c r="C1021" i="6"/>
  <c r="C1025" i="6"/>
  <c r="C1029" i="6"/>
  <c r="C1033" i="6"/>
  <c r="C1037" i="6"/>
  <c r="C1041" i="6"/>
  <c r="C1045" i="6"/>
  <c r="C1049" i="6"/>
  <c r="C1053" i="6"/>
  <c r="C1057" i="6"/>
  <c r="C1061" i="6"/>
  <c r="C1065" i="6"/>
  <c r="C1069" i="6"/>
  <c r="C1073" i="6"/>
  <c r="C1077" i="6"/>
  <c r="C1081" i="6"/>
  <c r="C1085" i="6"/>
  <c r="C1089" i="6"/>
  <c r="C1093" i="6"/>
  <c r="C1097" i="6"/>
  <c r="C1101" i="6"/>
  <c r="C1105" i="6"/>
  <c r="C1109" i="6"/>
  <c r="C1113" i="6"/>
  <c r="C1117" i="6"/>
  <c r="C1121" i="6"/>
  <c r="C1125" i="6"/>
  <c r="C1129" i="6"/>
  <c r="C1133" i="6"/>
  <c r="C1137" i="6"/>
  <c r="C1141" i="6"/>
  <c r="C1145" i="6"/>
  <c r="C1149" i="6"/>
  <c r="C1153" i="6"/>
  <c r="C1157" i="6"/>
  <c r="C1161" i="6"/>
  <c r="C1165" i="6"/>
  <c r="C1169" i="6"/>
  <c r="C1173" i="6"/>
  <c r="C1177" i="6"/>
  <c r="C1181" i="6"/>
  <c r="C1185" i="6"/>
  <c r="C1189" i="6"/>
  <c r="R1159" i="5"/>
  <c r="O1159" i="5"/>
  <c r="J1159" i="5"/>
  <c r="R1136" i="5"/>
  <c r="J1136" i="5"/>
  <c r="R1100" i="5"/>
  <c r="J1100" i="5"/>
  <c r="R1087" i="5"/>
  <c r="J1087" i="5"/>
  <c r="R1086" i="5"/>
  <c r="J1086" i="5"/>
  <c r="R1085" i="5"/>
  <c r="J1085" i="5"/>
  <c r="R1054" i="5"/>
  <c r="J1054" i="5"/>
  <c r="R1042" i="5"/>
  <c r="J1042" i="5"/>
  <c r="R1041" i="5"/>
  <c r="J1041" i="5"/>
  <c r="R1034" i="5"/>
  <c r="J1034" i="5"/>
  <c r="R1031" i="5"/>
  <c r="O1031" i="5"/>
  <c r="J1031" i="5"/>
  <c r="R1030" i="5"/>
  <c r="O1030" i="5"/>
  <c r="J1030" i="5"/>
  <c r="R1026" i="5"/>
  <c r="O1026" i="5"/>
  <c r="J1026" i="5"/>
  <c r="J1027" i="5"/>
  <c r="O1027" i="5"/>
  <c r="R1027" i="5"/>
  <c r="E901" i="6"/>
  <c r="F901" i="6"/>
  <c r="G901" i="6"/>
  <c r="H901" i="6"/>
  <c r="I901" i="6"/>
  <c r="J901" i="6"/>
  <c r="K901" i="6"/>
  <c r="L901" i="6"/>
  <c r="M901" i="6"/>
  <c r="N901" i="6"/>
  <c r="O901" i="6"/>
  <c r="P901" i="6"/>
  <c r="Q901" i="6"/>
  <c r="R901" i="6"/>
  <c r="S901" i="6"/>
  <c r="T901" i="6"/>
  <c r="U901" i="6"/>
  <c r="V901" i="6"/>
  <c r="Y901" i="6"/>
  <c r="E181" i="7" l="1"/>
  <c r="D704" i="6"/>
  <c r="C704" i="6" s="1"/>
  <c r="D705" i="6"/>
  <c r="C705" i="6" s="1"/>
  <c r="D706" i="6"/>
  <c r="C706" i="6" s="1"/>
  <c r="D707" i="6"/>
  <c r="C707" i="6" s="1"/>
  <c r="D708" i="6"/>
  <c r="C708" i="6" s="1"/>
  <c r="D709" i="6"/>
  <c r="C709" i="6" s="1"/>
  <c r="D710" i="6"/>
  <c r="C710" i="6" s="1"/>
  <c r="D711" i="6"/>
  <c r="C711" i="6" s="1"/>
  <c r="D712" i="6"/>
  <c r="C712" i="6" s="1"/>
  <c r="D713" i="6"/>
  <c r="C713" i="6" s="1"/>
  <c r="D714" i="6"/>
  <c r="C714" i="6" s="1"/>
  <c r="D715" i="6"/>
  <c r="C715" i="6" s="1"/>
  <c r="D716" i="6"/>
  <c r="C716" i="6" s="1"/>
  <c r="D717" i="6"/>
  <c r="C717" i="6" s="1"/>
  <c r="D718" i="6"/>
  <c r="C718" i="6" s="1"/>
  <c r="D719" i="6"/>
  <c r="C719" i="6" s="1"/>
  <c r="D720" i="6"/>
  <c r="C720" i="6" s="1"/>
  <c r="D721" i="6"/>
  <c r="C721" i="6" s="1"/>
  <c r="D722" i="6"/>
  <c r="C722" i="6" s="1"/>
  <c r="D723" i="6"/>
  <c r="C723" i="6" s="1"/>
  <c r="D446" i="6"/>
  <c r="C446" i="6" s="1"/>
  <c r="D447" i="6"/>
  <c r="C447" i="6" s="1"/>
  <c r="D448" i="6"/>
  <c r="C448" i="6" s="1"/>
  <c r="D449" i="6"/>
  <c r="C449" i="6" s="1"/>
  <c r="D450" i="6"/>
  <c r="C450" i="6" s="1"/>
  <c r="D451" i="6"/>
  <c r="C451" i="6" s="1"/>
  <c r="D452" i="6"/>
  <c r="C452" i="6" s="1"/>
  <c r="D453" i="6"/>
  <c r="C453" i="6" s="1"/>
  <c r="D454" i="6"/>
  <c r="C454" i="6" s="1"/>
  <c r="D455" i="6"/>
  <c r="C455" i="6" s="1"/>
  <c r="D456" i="6"/>
  <c r="C456" i="6" s="1"/>
  <c r="D457" i="6"/>
  <c r="C457" i="6" s="1"/>
  <c r="D458" i="6"/>
  <c r="C458" i="6" s="1"/>
  <c r="D459" i="6"/>
  <c r="C459" i="6" s="1"/>
  <c r="D460" i="6"/>
  <c r="C460" i="6" s="1"/>
  <c r="D461" i="6"/>
  <c r="C461" i="6" s="1"/>
  <c r="D462" i="6"/>
  <c r="C462" i="6" s="1"/>
  <c r="D463" i="6"/>
  <c r="C463" i="6" s="1"/>
  <c r="D464" i="6"/>
  <c r="C464" i="6" s="1"/>
  <c r="D465" i="6"/>
  <c r="C465" i="6" s="1"/>
  <c r="D466" i="6"/>
  <c r="C466" i="6" s="1"/>
  <c r="D467" i="6"/>
  <c r="C467" i="6" s="1"/>
  <c r="D468" i="6"/>
  <c r="C468" i="6" s="1"/>
  <c r="D469" i="6"/>
  <c r="C469" i="6" s="1"/>
  <c r="D470" i="6"/>
  <c r="C470" i="6" s="1"/>
  <c r="D471" i="6"/>
  <c r="C471" i="6" s="1"/>
  <c r="D472" i="6"/>
  <c r="C472" i="6" s="1"/>
  <c r="D473" i="6"/>
  <c r="C473" i="6" s="1"/>
  <c r="D474" i="6"/>
  <c r="C474" i="6" s="1"/>
  <c r="D475" i="6"/>
  <c r="C475" i="6" s="1"/>
  <c r="D476" i="6"/>
  <c r="C476" i="6" s="1"/>
  <c r="D477" i="6"/>
  <c r="C477" i="6" s="1"/>
  <c r="D478" i="6"/>
  <c r="C478" i="6" s="1"/>
  <c r="D479" i="6"/>
  <c r="C479" i="6" s="1"/>
  <c r="D480" i="6"/>
  <c r="C480" i="6" s="1"/>
  <c r="D481" i="6"/>
  <c r="C481" i="6" s="1"/>
  <c r="D482" i="6"/>
  <c r="C482" i="6" s="1"/>
  <c r="D483" i="6"/>
  <c r="C483" i="6" s="1"/>
  <c r="D484" i="6"/>
  <c r="C484" i="6" s="1"/>
  <c r="D485" i="6"/>
  <c r="C485" i="6" s="1"/>
  <c r="D486" i="6"/>
  <c r="C486" i="6" s="1"/>
  <c r="D487" i="6"/>
  <c r="C487" i="6" s="1"/>
  <c r="D488" i="6"/>
  <c r="C488" i="6" s="1"/>
  <c r="D489" i="6"/>
  <c r="C489" i="6" s="1"/>
  <c r="D490" i="6"/>
  <c r="C490" i="6" s="1"/>
  <c r="D491" i="6"/>
  <c r="C491" i="6" s="1"/>
  <c r="D492" i="6"/>
  <c r="C492" i="6" s="1"/>
  <c r="D493" i="6"/>
  <c r="C493" i="6" s="1"/>
  <c r="D494" i="6"/>
  <c r="C494" i="6" s="1"/>
  <c r="D495" i="6"/>
  <c r="C495" i="6" s="1"/>
  <c r="D496" i="6"/>
  <c r="C496" i="6" s="1"/>
  <c r="D497" i="6"/>
  <c r="C497" i="6" s="1"/>
  <c r="D498" i="6"/>
  <c r="C498" i="6" s="1"/>
  <c r="D499" i="6"/>
  <c r="C499" i="6" s="1"/>
  <c r="D500" i="6"/>
  <c r="C500" i="6" s="1"/>
  <c r="X954" i="6"/>
  <c r="C954" i="6" s="1"/>
  <c r="X933" i="6"/>
  <c r="C933" i="6" s="1"/>
  <c r="X930" i="6"/>
  <c r="C930" i="6" s="1"/>
  <c r="D703" i="6"/>
  <c r="C703" i="6" s="1"/>
  <c r="E702" i="6"/>
  <c r="F702" i="6"/>
  <c r="G702" i="6"/>
  <c r="H702" i="6"/>
  <c r="I702" i="6"/>
  <c r="J702" i="6"/>
  <c r="K702" i="6"/>
  <c r="L702" i="6"/>
  <c r="M702" i="6"/>
  <c r="N702" i="6"/>
  <c r="O702" i="6"/>
  <c r="P702" i="6"/>
  <c r="Q702" i="6"/>
  <c r="R702" i="6"/>
  <c r="S702" i="6"/>
  <c r="T702" i="6"/>
  <c r="U702" i="6"/>
  <c r="V702" i="6"/>
  <c r="X702" i="6"/>
  <c r="Y702" i="6"/>
  <c r="D445" i="6"/>
  <c r="C445" i="6" s="1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X444" i="6"/>
  <c r="Y444" i="6"/>
  <c r="K924" i="5"/>
  <c r="D219" i="7" s="1"/>
  <c r="L924" i="5"/>
  <c r="M924" i="5"/>
  <c r="N924" i="5"/>
  <c r="Q924" i="5"/>
  <c r="R1214" i="5"/>
  <c r="R1213" i="5"/>
  <c r="R1212" i="5"/>
  <c r="R1211" i="5"/>
  <c r="O1211" i="5"/>
  <c r="R1210" i="5"/>
  <c r="R1209" i="5"/>
  <c r="R1208" i="5"/>
  <c r="R1207" i="5"/>
  <c r="R1206" i="5"/>
  <c r="R1205" i="5"/>
  <c r="O1205" i="5"/>
  <c r="R1204" i="5"/>
  <c r="R1203" i="5"/>
  <c r="R1202" i="5"/>
  <c r="R1201" i="5"/>
  <c r="R1200" i="5"/>
  <c r="R1199" i="5"/>
  <c r="R1198" i="5"/>
  <c r="R1197" i="5"/>
  <c r="R1196" i="5"/>
  <c r="R1195" i="5"/>
  <c r="R1194" i="5"/>
  <c r="R1193" i="5"/>
  <c r="R1192" i="5"/>
  <c r="R1191" i="5"/>
  <c r="O1191" i="5"/>
  <c r="R1190" i="5"/>
  <c r="R1189" i="5"/>
  <c r="R1188" i="5"/>
  <c r="R1187" i="5"/>
  <c r="R1186" i="5"/>
  <c r="R1185" i="5"/>
  <c r="R1184" i="5"/>
  <c r="O1184" i="5"/>
  <c r="R1183" i="5"/>
  <c r="O1183" i="5"/>
  <c r="R1182" i="5"/>
  <c r="R1181" i="5"/>
  <c r="O1181" i="5"/>
  <c r="R1180" i="5"/>
  <c r="O1180" i="5"/>
  <c r="R1179" i="5"/>
  <c r="R1178" i="5"/>
  <c r="R1177" i="5"/>
  <c r="O1177" i="5"/>
  <c r="R1176" i="5"/>
  <c r="R1175" i="5"/>
  <c r="R1174" i="5"/>
  <c r="R1173" i="5"/>
  <c r="J1173" i="5"/>
  <c r="R1172" i="5"/>
  <c r="J1172" i="5"/>
  <c r="R1171" i="5"/>
  <c r="J1171" i="5"/>
  <c r="R1170" i="5"/>
  <c r="J1170" i="5"/>
  <c r="R1169" i="5"/>
  <c r="J1169" i="5"/>
  <c r="R1168" i="5"/>
  <c r="J1168" i="5"/>
  <c r="R1167" i="5"/>
  <c r="J1167" i="5"/>
  <c r="R1166" i="5"/>
  <c r="J1166" i="5"/>
  <c r="R1165" i="5"/>
  <c r="J1165" i="5"/>
  <c r="R1164" i="5"/>
  <c r="J1164" i="5"/>
  <c r="R1163" i="5"/>
  <c r="J1163" i="5"/>
  <c r="R1162" i="5"/>
  <c r="J1162" i="5"/>
  <c r="R1161" i="5"/>
  <c r="J1161" i="5"/>
  <c r="R1160" i="5"/>
  <c r="J1160" i="5"/>
  <c r="R1158" i="5"/>
  <c r="J1158" i="5"/>
  <c r="R1157" i="5"/>
  <c r="J1157" i="5"/>
  <c r="R1156" i="5"/>
  <c r="J1156" i="5"/>
  <c r="R1155" i="5"/>
  <c r="J1155" i="5"/>
  <c r="R1154" i="5"/>
  <c r="J1154" i="5"/>
  <c r="R1153" i="5"/>
  <c r="J1153" i="5"/>
  <c r="R1152" i="5"/>
  <c r="J1152" i="5"/>
  <c r="R1151" i="5"/>
  <c r="J1151" i="5"/>
  <c r="R1150" i="5"/>
  <c r="J1150" i="5"/>
  <c r="R1149" i="5"/>
  <c r="J1149" i="5"/>
  <c r="R1148" i="5"/>
  <c r="O1148" i="5"/>
  <c r="J1148" i="5"/>
  <c r="R1147" i="5"/>
  <c r="J1147" i="5"/>
  <c r="R1146" i="5"/>
  <c r="J1146" i="5"/>
  <c r="R1145" i="5"/>
  <c r="J1145" i="5"/>
  <c r="R1144" i="5"/>
  <c r="J1144" i="5"/>
  <c r="R1143" i="5"/>
  <c r="J1143" i="5"/>
  <c r="R1142" i="5"/>
  <c r="J1142" i="5"/>
  <c r="R1141" i="5"/>
  <c r="J1141" i="5"/>
  <c r="R1140" i="5"/>
  <c r="J1140" i="5"/>
  <c r="R1139" i="5"/>
  <c r="J1139" i="5"/>
  <c r="R1138" i="5"/>
  <c r="J1138" i="5"/>
  <c r="R1137" i="5"/>
  <c r="J1137" i="5"/>
  <c r="R1135" i="5"/>
  <c r="J1135" i="5"/>
  <c r="R1134" i="5"/>
  <c r="J1134" i="5"/>
  <c r="R1133" i="5"/>
  <c r="O1133" i="5"/>
  <c r="J1133" i="5"/>
  <c r="R1132" i="5"/>
  <c r="J1132" i="5"/>
  <c r="R1131" i="5"/>
  <c r="J1131" i="5"/>
  <c r="R1130" i="5"/>
  <c r="J1130" i="5"/>
  <c r="R1129" i="5"/>
  <c r="J1129" i="5"/>
  <c r="R1128" i="5"/>
  <c r="J1128" i="5"/>
  <c r="R1127" i="5"/>
  <c r="J1127" i="5"/>
  <c r="R1126" i="5"/>
  <c r="J1126" i="5"/>
  <c r="R1125" i="5"/>
  <c r="J1125" i="5"/>
  <c r="R1124" i="5"/>
  <c r="J1124" i="5"/>
  <c r="R1123" i="5"/>
  <c r="J1123" i="5"/>
  <c r="R1122" i="5"/>
  <c r="J1122" i="5"/>
  <c r="R1121" i="5"/>
  <c r="J1121" i="5"/>
  <c r="R1120" i="5"/>
  <c r="J1120" i="5"/>
  <c r="R1119" i="5"/>
  <c r="J1119" i="5"/>
  <c r="R1118" i="5"/>
  <c r="J1118" i="5"/>
  <c r="R1117" i="5"/>
  <c r="J1117" i="5"/>
  <c r="R1116" i="5"/>
  <c r="J1116" i="5"/>
  <c r="R1115" i="5"/>
  <c r="J1115" i="5"/>
  <c r="R1114" i="5"/>
  <c r="J1114" i="5"/>
  <c r="R1113" i="5"/>
  <c r="J1113" i="5"/>
  <c r="R1112" i="5"/>
  <c r="J1112" i="5"/>
  <c r="R1111" i="5"/>
  <c r="J1111" i="5"/>
  <c r="R1110" i="5"/>
  <c r="J1110" i="5"/>
  <c r="R1109" i="5"/>
  <c r="J1109" i="5"/>
  <c r="R1108" i="5"/>
  <c r="J1108" i="5"/>
  <c r="R1107" i="5"/>
  <c r="J1107" i="5"/>
  <c r="R1106" i="5"/>
  <c r="J1106" i="5"/>
  <c r="R1105" i="5"/>
  <c r="J1105" i="5"/>
  <c r="R1104" i="5"/>
  <c r="J1104" i="5"/>
  <c r="R1103" i="5"/>
  <c r="J1103" i="5"/>
  <c r="R1102" i="5"/>
  <c r="J1102" i="5"/>
  <c r="R1101" i="5"/>
  <c r="J1101" i="5"/>
  <c r="R1099" i="5"/>
  <c r="J1099" i="5"/>
  <c r="R1098" i="5"/>
  <c r="J1098" i="5"/>
  <c r="R1097" i="5"/>
  <c r="J1097" i="5"/>
  <c r="R1096" i="5"/>
  <c r="J1096" i="5"/>
  <c r="R1095" i="5"/>
  <c r="J1095" i="5"/>
  <c r="R1094" i="5"/>
  <c r="J1094" i="5"/>
  <c r="R1093" i="5"/>
  <c r="J1093" i="5"/>
  <c r="R1092" i="5"/>
  <c r="J1092" i="5"/>
  <c r="R1091" i="5"/>
  <c r="J1091" i="5"/>
  <c r="R1090" i="5"/>
  <c r="J1090" i="5"/>
  <c r="R1089" i="5"/>
  <c r="J1089" i="5"/>
  <c r="R1088" i="5"/>
  <c r="J1088" i="5"/>
  <c r="R1084" i="5"/>
  <c r="J1084" i="5"/>
  <c r="R1083" i="5"/>
  <c r="J1083" i="5"/>
  <c r="R1082" i="5"/>
  <c r="J1082" i="5"/>
  <c r="R1081" i="5"/>
  <c r="J1081" i="5"/>
  <c r="R1080" i="5"/>
  <c r="J1080" i="5"/>
  <c r="R1079" i="5"/>
  <c r="J1079" i="5"/>
  <c r="R1078" i="5"/>
  <c r="J1078" i="5"/>
  <c r="R1077" i="5"/>
  <c r="J1077" i="5"/>
  <c r="R1076" i="5"/>
  <c r="J1076" i="5"/>
  <c r="R1075" i="5"/>
  <c r="J1075" i="5"/>
  <c r="R1074" i="5"/>
  <c r="J1074" i="5"/>
  <c r="R1073" i="5"/>
  <c r="J1073" i="5"/>
  <c r="R1072" i="5"/>
  <c r="J1072" i="5"/>
  <c r="R1071" i="5"/>
  <c r="J1071" i="5"/>
  <c r="R1070" i="5"/>
  <c r="O1070" i="5"/>
  <c r="J1070" i="5"/>
  <c r="R1069" i="5"/>
  <c r="J1069" i="5"/>
  <c r="R1068" i="5"/>
  <c r="O1068" i="5"/>
  <c r="J1068" i="5"/>
  <c r="R1067" i="5"/>
  <c r="J1067" i="5"/>
  <c r="R1066" i="5"/>
  <c r="J1066" i="5"/>
  <c r="R1065" i="5"/>
  <c r="J1065" i="5"/>
  <c r="R1064" i="5"/>
  <c r="J1064" i="5"/>
  <c r="R1063" i="5"/>
  <c r="J1063" i="5"/>
  <c r="R1062" i="5"/>
  <c r="J1062" i="5"/>
  <c r="R1061" i="5"/>
  <c r="J1061" i="5"/>
  <c r="R1060" i="5"/>
  <c r="J1060" i="5"/>
  <c r="R1059" i="5"/>
  <c r="J1059" i="5"/>
  <c r="R1058" i="5"/>
  <c r="J1058" i="5"/>
  <c r="R1057" i="5"/>
  <c r="J1057" i="5"/>
  <c r="R1056" i="5"/>
  <c r="J1056" i="5"/>
  <c r="R1055" i="5"/>
  <c r="J1055" i="5"/>
  <c r="R1053" i="5"/>
  <c r="J1053" i="5"/>
  <c r="R1052" i="5"/>
  <c r="J1052" i="5"/>
  <c r="R1051" i="5"/>
  <c r="J1051" i="5"/>
  <c r="R1050" i="5"/>
  <c r="J1050" i="5"/>
  <c r="R1049" i="5"/>
  <c r="J1049" i="5"/>
  <c r="R1048" i="5"/>
  <c r="J1048" i="5"/>
  <c r="R1047" i="5"/>
  <c r="O1047" i="5"/>
  <c r="J1047" i="5"/>
  <c r="R1046" i="5"/>
  <c r="J1046" i="5"/>
  <c r="R1045" i="5"/>
  <c r="J1045" i="5"/>
  <c r="R1044" i="5"/>
  <c r="J1044" i="5"/>
  <c r="R1043" i="5"/>
  <c r="O1043" i="5"/>
  <c r="R1040" i="5"/>
  <c r="J1040" i="5"/>
  <c r="R1039" i="5"/>
  <c r="J1039" i="5"/>
  <c r="R1038" i="5"/>
  <c r="J1038" i="5"/>
  <c r="R1037" i="5"/>
  <c r="J1037" i="5"/>
  <c r="R1036" i="5"/>
  <c r="J1036" i="5"/>
  <c r="R1035" i="5"/>
  <c r="J1035" i="5"/>
  <c r="R1033" i="5"/>
  <c r="J1033" i="5"/>
  <c r="R1032" i="5"/>
  <c r="J1032" i="5"/>
  <c r="R1029" i="5"/>
  <c r="J1029" i="5"/>
  <c r="R1028" i="5"/>
  <c r="O1028" i="5"/>
  <c r="J1028" i="5"/>
  <c r="R1025" i="5"/>
  <c r="O1025" i="5"/>
  <c r="J1025" i="5"/>
  <c r="R1024" i="5"/>
  <c r="O1024" i="5"/>
  <c r="J1024" i="5"/>
  <c r="R1023" i="5"/>
  <c r="O1023" i="5"/>
  <c r="J1023" i="5"/>
  <c r="R1022" i="5"/>
  <c r="O1022" i="5"/>
  <c r="J1022" i="5"/>
  <c r="R1021" i="5"/>
  <c r="O1021" i="5"/>
  <c r="R1020" i="5"/>
  <c r="O1020" i="5"/>
  <c r="J1020" i="5"/>
  <c r="R1019" i="5"/>
  <c r="O1019" i="5"/>
  <c r="J1019" i="5"/>
  <c r="R1018" i="5"/>
  <c r="O1018" i="5"/>
  <c r="J1018" i="5"/>
  <c r="R1017" i="5"/>
  <c r="O1017" i="5"/>
  <c r="J1017" i="5"/>
  <c r="R1016" i="5"/>
  <c r="O1016" i="5"/>
  <c r="J1016" i="5"/>
  <c r="R1015" i="5"/>
  <c r="O1015" i="5"/>
  <c r="J1015" i="5"/>
  <c r="R1014" i="5"/>
  <c r="O1014" i="5"/>
  <c r="J1014" i="5"/>
  <c r="R1013" i="5"/>
  <c r="O1013" i="5"/>
  <c r="J1013" i="5"/>
  <c r="R1012" i="5"/>
  <c r="O1012" i="5"/>
  <c r="J1012" i="5"/>
  <c r="R1011" i="5"/>
  <c r="O1011" i="5"/>
  <c r="J1011" i="5"/>
  <c r="R1010" i="5"/>
  <c r="O1010" i="5"/>
  <c r="J1010" i="5"/>
  <c r="R1009" i="5"/>
  <c r="O1009" i="5"/>
  <c r="J1009" i="5"/>
  <c r="R1008" i="5"/>
  <c r="O1008" i="5"/>
  <c r="J1008" i="5"/>
  <c r="R1007" i="5"/>
  <c r="O1007" i="5"/>
  <c r="J1007" i="5"/>
  <c r="R1006" i="5"/>
  <c r="O1006" i="5"/>
  <c r="J1006" i="5"/>
  <c r="R1005" i="5"/>
  <c r="O1005" i="5"/>
  <c r="J1005" i="5"/>
  <c r="R1004" i="5"/>
  <c r="O1004" i="5"/>
  <c r="J1004" i="5"/>
  <c r="R1003" i="5"/>
  <c r="O1003" i="5"/>
  <c r="J1003" i="5"/>
  <c r="R1002" i="5"/>
  <c r="O1002" i="5"/>
  <c r="R1001" i="5"/>
  <c r="O1001" i="5"/>
  <c r="J1001" i="5"/>
  <c r="R1000" i="5"/>
  <c r="O1000" i="5"/>
  <c r="J1000" i="5"/>
  <c r="R999" i="5"/>
  <c r="O999" i="5"/>
  <c r="J999" i="5"/>
  <c r="R998" i="5"/>
  <c r="O998" i="5"/>
  <c r="J998" i="5"/>
  <c r="R997" i="5"/>
  <c r="O997" i="5"/>
  <c r="J997" i="5"/>
  <c r="R996" i="5"/>
  <c r="O996" i="5"/>
  <c r="J996" i="5"/>
  <c r="R995" i="5"/>
  <c r="O995" i="5"/>
  <c r="J995" i="5"/>
  <c r="R994" i="5"/>
  <c r="O994" i="5"/>
  <c r="J994" i="5"/>
  <c r="R993" i="5"/>
  <c r="O993" i="5"/>
  <c r="J993" i="5"/>
  <c r="R992" i="5"/>
  <c r="O992" i="5"/>
  <c r="R991" i="5"/>
  <c r="O991" i="5"/>
  <c r="J991" i="5"/>
  <c r="R990" i="5"/>
  <c r="O990" i="5"/>
  <c r="J990" i="5"/>
  <c r="R989" i="5"/>
  <c r="O989" i="5"/>
  <c r="J989" i="5"/>
  <c r="R988" i="5"/>
  <c r="O988" i="5"/>
  <c r="J988" i="5"/>
  <c r="R987" i="5"/>
  <c r="O987" i="5"/>
  <c r="J987" i="5"/>
  <c r="R986" i="5"/>
  <c r="O986" i="5"/>
  <c r="J986" i="5"/>
  <c r="R985" i="5"/>
  <c r="O985" i="5"/>
  <c r="J985" i="5"/>
  <c r="R984" i="5"/>
  <c r="O984" i="5"/>
  <c r="J984" i="5"/>
  <c r="R983" i="5"/>
  <c r="O983" i="5"/>
  <c r="J983" i="5"/>
  <c r="R982" i="5"/>
  <c r="O982" i="5"/>
  <c r="J982" i="5"/>
  <c r="R981" i="5"/>
  <c r="O981" i="5"/>
  <c r="J981" i="5"/>
  <c r="R980" i="5"/>
  <c r="O980" i="5"/>
  <c r="J980" i="5"/>
  <c r="R979" i="5"/>
  <c r="O979" i="5"/>
  <c r="J979" i="5"/>
  <c r="R978" i="5"/>
  <c r="O978" i="5"/>
  <c r="R977" i="5"/>
  <c r="O977" i="5"/>
  <c r="R976" i="5"/>
  <c r="O976" i="5"/>
  <c r="J976" i="5"/>
  <c r="R975" i="5"/>
  <c r="O975" i="5"/>
  <c r="J975" i="5"/>
  <c r="R974" i="5"/>
  <c r="O974" i="5"/>
  <c r="J974" i="5"/>
  <c r="R973" i="5"/>
  <c r="O973" i="5"/>
  <c r="J973" i="5"/>
  <c r="R972" i="5"/>
  <c r="O972" i="5"/>
  <c r="R971" i="5"/>
  <c r="O971" i="5"/>
  <c r="J971" i="5"/>
  <c r="R970" i="5"/>
  <c r="O970" i="5"/>
  <c r="J970" i="5"/>
  <c r="R969" i="5"/>
  <c r="O969" i="5"/>
  <c r="J969" i="5"/>
  <c r="R968" i="5"/>
  <c r="O968" i="5"/>
  <c r="J968" i="5"/>
  <c r="R967" i="5"/>
  <c r="O967" i="5"/>
  <c r="J967" i="5"/>
  <c r="R966" i="5"/>
  <c r="O966" i="5"/>
  <c r="R965" i="5"/>
  <c r="O965" i="5"/>
  <c r="H965" i="5"/>
  <c r="R964" i="5"/>
  <c r="O964" i="5"/>
  <c r="J964" i="5"/>
  <c r="R963" i="5"/>
  <c r="O963" i="5"/>
  <c r="J963" i="5"/>
  <c r="R962" i="5"/>
  <c r="O962" i="5"/>
  <c r="J962" i="5"/>
  <c r="R961" i="5"/>
  <c r="O961" i="5"/>
  <c r="J961" i="5"/>
  <c r="R960" i="5"/>
  <c r="O960" i="5"/>
  <c r="J960" i="5"/>
  <c r="R959" i="5"/>
  <c r="O959" i="5"/>
  <c r="J959" i="5"/>
  <c r="R958" i="5"/>
  <c r="O958" i="5"/>
  <c r="J958" i="5"/>
  <c r="R957" i="5"/>
  <c r="O957" i="5"/>
  <c r="R956" i="5"/>
  <c r="O956" i="5"/>
  <c r="J956" i="5"/>
  <c r="R955" i="5"/>
  <c r="O955" i="5"/>
  <c r="R954" i="5"/>
  <c r="O954" i="5"/>
  <c r="J954" i="5"/>
  <c r="H954" i="5"/>
  <c r="O953" i="5"/>
  <c r="J953" i="5"/>
  <c r="I953" i="5"/>
  <c r="R952" i="5"/>
  <c r="O952" i="5"/>
  <c r="J952" i="5"/>
  <c r="H952" i="5"/>
  <c r="R951" i="5"/>
  <c r="O951" i="5"/>
  <c r="J951" i="5"/>
  <c r="R950" i="5"/>
  <c r="O950" i="5"/>
  <c r="J950" i="5"/>
  <c r="R949" i="5"/>
  <c r="O949" i="5"/>
  <c r="J949" i="5"/>
  <c r="R948" i="5"/>
  <c r="O948" i="5"/>
  <c r="R947" i="5"/>
  <c r="O947" i="5"/>
  <c r="J947" i="5"/>
  <c r="R946" i="5"/>
  <c r="O946" i="5"/>
  <c r="J946" i="5"/>
  <c r="R945" i="5"/>
  <c r="O945" i="5"/>
  <c r="R944" i="5"/>
  <c r="O944" i="5"/>
  <c r="R943" i="5"/>
  <c r="O943" i="5"/>
  <c r="R942" i="5"/>
  <c r="O942" i="5"/>
  <c r="J942" i="5"/>
  <c r="R941" i="5"/>
  <c r="O941" i="5"/>
  <c r="J941" i="5"/>
  <c r="H941" i="5"/>
  <c r="R940" i="5"/>
  <c r="O940" i="5"/>
  <c r="R939" i="5"/>
  <c r="O939" i="5"/>
  <c r="R938" i="5"/>
  <c r="O938" i="5"/>
  <c r="R937" i="5"/>
  <c r="O937" i="5"/>
  <c r="J937" i="5"/>
  <c r="R936" i="5"/>
  <c r="O936" i="5"/>
  <c r="J936" i="5"/>
  <c r="R935" i="5"/>
  <c r="O935" i="5"/>
  <c r="R934" i="5"/>
  <c r="O934" i="5"/>
  <c r="R933" i="5"/>
  <c r="O933" i="5"/>
  <c r="R932" i="5"/>
  <c r="O932" i="5"/>
  <c r="R931" i="5"/>
  <c r="O931" i="5"/>
  <c r="J931" i="5"/>
  <c r="R930" i="5"/>
  <c r="P930" i="5"/>
  <c r="O930" i="5"/>
  <c r="J930" i="5"/>
  <c r="R929" i="5"/>
  <c r="P929" i="5"/>
  <c r="O929" i="5"/>
  <c r="J929" i="5"/>
  <c r="R928" i="5"/>
  <c r="P928" i="5"/>
  <c r="O928" i="5"/>
  <c r="J928" i="5"/>
  <c r="R927" i="5"/>
  <c r="P927" i="5"/>
  <c r="O927" i="5"/>
  <c r="J927" i="5"/>
  <c r="R926" i="5"/>
  <c r="P926" i="5"/>
  <c r="O926" i="5"/>
  <c r="J926" i="5"/>
  <c r="R925" i="5"/>
  <c r="P925" i="5"/>
  <c r="P924" i="5" s="1"/>
  <c r="O925" i="5"/>
  <c r="J925" i="5"/>
  <c r="R953" i="5" l="1"/>
  <c r="X901" i="6"/>
  <c r="D901" i="6"/>
  <c r="J924" i="5"/>
  <c r="O924" i="5"/>
  <c r="H924" i="5"/>
  <c r="C219" i="7" s="1"/>
  <c r="I924" i="5"/>
  <c r="D702" i="6"/>
  <c r="C702" i="6"/>
  <c r="D444" i="6"/>
  <c r="C444" i="6"/>
  <c r="D12" i="6"/>
  <c r="C12" i="6" s="1"/>
  <c r="D13" i="6"/>
  <c r="C13" i="6" s="1"/>
  <c r="D14" i="6"/>
  <c r="C14" i="6" s="1"/>
  <c r="D15" i="6"/>
  <c r="C15" i="6" s="1"/>
  <c r="D16" i="6"/>
  <c r="C16" i="6" s="1"/>
  <c r="D17" i="6"/>
  <c r="C17" i="6" s="1"/>
  <c r="D18" i="6"/>
  <c r="C18" i="6" s="1"/>
  <c r="D19" i="6"/>
  <c r="C19" i="6" s="1"/>
  <c r="D20" i="6"/>
  <c r="C20" i="6" s="1"/>
  <c r="D21" i="6"/>
  <c r="C21" i="6" s="1"/>
  <c r="D22" i="6"/>
  <c r="C22" i="6" s="1"/>
  <c r="D23" i="6"/>
  <c r="C23" i="6" s="1"/>
  <c r="D24" i="6"/>
  <c r="C24" i="6" s="1"/>
  <c r="D25" i="6"/>
  <c r="C25" i="6" s="1"/>
  <c r="D26" i="6"/>
  <c r="C26" i="6" s="1"/>
  <c r="D27" i="6"/>
  <c r="C27" i="6" s="1"/>
  <c r="D28" i="6"/>
  <c r="C28" i="6" s="1"/>
  <c r="D29" i="6"/>
  <c r="C29" i="6" s="1"/>
  <c r="D30" i="6"/>
  <c r="C30" i="6" s="1"/>
  <c r="D31" i="6"/>
  <c r="C31" i="6" s="1"/>
  <c r="D32" i="6"/>
  <c r="C32" i="6" s="1"/>
  <c r="D33" i="6"/>
  <c r="C33" i="6" s="1"/>
  <c r="D34" i="6"/>
  <c r="C34" i="6" s="1"/>
  <c r="D35" i="6"/>
  <c r="C35" i="6" s="1"/>
  <c r="D36" i="6"/>
  <c r="C36" i="6" s="1"/>
  <c r="D37" i="6"/>
  <c r="C37" i="6" s="1"/>
  <c r="D38" i="6"/>
  <c r="C38" i="6" s="1"/>
  <c r="D39" i="6"/>
  <c r="C39" i="6" s="1"/>
  <c r="D40" i="6"/>
  <c r="C40" i="6" s="1"/>
  <c r="D41" i="6"/>
  <c r="C41" i="6" s="1"/>
  <c r="D42" i="6"/>
  <c r="C42" i="6" s="1"/>
  <c r="D43" i="6"/>
  <c r="C43" i="6" s="1"/>
  <c r="D44" i="6"/>
  <c r="C44" i="6" s="1"/>
  <c r="D45" i="6"/>
  <c r="C45" i="6" s="1"/>
  <c r="D46" i="6"/>
  <c r="C46" i="6" s="1"/>
  <c r="D47" i="6"/>
  <c r="C47" i="6" s="1"/>
  <c r="D48" i="6"/>
  <c r="C48" i="6" s="1"/>
  <c r="D49" i="6"/>
  <c r="C49" i="6" s="1"/>
  <c r="D50" i="6"/>
  <c r="C50" i="6" s="1"/>
  <c r="D51" i="6"/>
  <c r="C51" i="6" s="1"/>
  <c r="D52" i="6"/>
  <c r="C52" i="6" s="1"/>
  <c r="D53" i="6"/>
  <c r="C53" i="6" s="1"/>
  <c r="D54" i="6"/>
  <c r="C54" i="6" s="1"/>
  <c r="D55" i="6"/>
  <c r="C55" i="6" s="1"/>
  <c r="D56" i="6"/>
  <c r="C56" i="6" s="1"/>
  <c r="D57" i="6"/>
  <c r="C57" i="6" s="1"/>
  <c r="D58" i="6"/>
  <c r="C58" i="6" s="1"/>
  <c r="D59" i="6"/>
  <c r="C59" i="6" s="1"/>
  <c r="D60" i="6"/>
  <c r="C60" i="6" s="1"/>
  <c r="D61" i="6"/>
  <c r="C61" i="6" s="1"/>
  <c r="D62" i="6"/>
  <c r="C62" i="6" s="1"/>
  <c r="D63" i="6"/>
  <c r="C63" i="6" s="1"/>
  <c r="D64" i="6"/>
  <c r="C64" i="6" s="1"/>
  <c r="D65" i="6"/>
  <c r="C65" i="6" s="1"/>
  <c r="D66" i="6"/>
  <c r="C66" i="6" s="1"/>
  <c r="D67" i="6"/>
  <c r="C67" i="6" s="1"/>
  <c r="D68" i="6"/>
  <c r="C68" i="6" s="1"/>
  <c r="D69" i="6"/>
  <c r="C69" i="6" s="1"/>
  <c r="D70" i="6"/>
  <c r="C70" i="6" s="1"/>
  <c r="D71" i="6"/>
  <c r="C71" i="6" s="1"/>
  <c r="D72" i="6"/>
  <c r="C72" i="6" s="1"/>
  <c r="D73" i="6"/>
  <c r="C73" i="6" s="1"/>
  <c r="D74" i="6"/>
  <c r="C74" i="6" s="1"/>
  <c r="D75" i="6"/>
  <c r="C75" i="6" s="1"/>
  <c r="D76" i="6"/>
  <c r="C76" i="6" s="1"/>
  <c r="D77" i="6"/>
  <c r="C77" i="6" s="1"/>
  <c r="D78" i="6"/>
  <c r="C78" i="6" s="1"/>
  <c r="D79" i="6"/>
  <c r="C79" i="6" s="1"/>
  <c r="D80" i="6"/>
  <c r="C80" i="6" s="1"/>
  <c r="D81" i="6"/>
  <c r="C81" i="6" s="1"/>
  <c r="D82" i="6"/>
  <c r="C82" i="6" s="1"/>
  <c r="D83" i="6"/>
  <c r="C83" i="6" s="1"/>
  <c r="D84" i="6"/>
  <c r="C84" i="6" s="1"/>
  <c r="D85" i="6"/>
  <c r="C85" i="6" s="1"/>
  <c r="D86" i="6"/>
  <c r="C86" i="6" s="1"/>
  <c r="D87" i="6"/>
  <c r="C87" i="6" s="1"/>
  <c r="D88" i="6"/>
  <c r="C88" i="6" s="1"/>
  <c r="D89" i="6"/>
  <c r="C89" i="6" s="1"/>
  <c r="D90" i="6"/>
  <c r="C90" i="6" s="1"/>
  <c r="D91" i="6"/>
  <c r="C91" i="6" s="1"/>
  <c r="D11" i="6"/>
  <c r="C11" i="6" s="1"/>
  <c r="C901" i="6" l="1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X10" i="6"/>
  <c r="Y10" i="6"/>
  <c r="C10" i="6"/>
  <c r="I719" i="5"/>
  <c r="K719" i="5"/>
  <c r="L719" i="5"/>
  <c r="F160" i="7" s="1"/>
  <c r="M719" i="5"/>
  <c r="N719" i="5"/>
  <c r="O719" i="5"/>
  <c r="P719" i="5"/>
  <c r="Q719" i="5"/>
  <c r="H719" i="5"/>
  <c r="R740" i="5"/>
  <c r="R739" i="5"/>
  <c r="R738" i="5"/>
  <c r="R737" i="5"/>
  <c r="R736" i="5"/>
  <c r="R735" i="5"/>
  <c r="R734" i="5"/>
  <c r="R733" i="5"/>
  <c r="J733" i="5"/>
  <c r="J719" i="5" s="1"/>
  <c r="R732" i="5"/>
  <c r="R731" i="5"/>
  <c r="R730" i="5"/>
  <c r="R729" i="5"/>
  <c r="R728" i="5"/>
  <c r="R727" i="5"/>
  <c r="R726" i="5"/>
  <c r="R725" i="5"/>
  <c r="R724" i="5"/>
  <c r="R723" i="5"/>
  <c r="R722" i="5"/>
  <c r="R721" i="5"/>
  <c r="R720" i="5"/>
  <c r="R512" i="5"/>
  <c r="R511" i="5"/>
  <c r="R510" i="5"/>
  <c r="R509" i="5"/>
  <c r="R508" i="5"/>
  <c r="R507" i="5"/>
  <c r="R506" i="5"/>
  <c r="R505" i="5"/>
  <c r="R504" i="5"/>
  <c r="R503" i="5"/>
  <c r="R502" i="5"/>
  <c r="R501" i="5"/>
  <c r="R500" i="5"/>
  <c r="R499" i="5"/>
  <c r="R498" i="5"/>
  <c r="J498" i="5"/>
  <c r="R497" i="5"/>
  <c r="R496" i="5"/>
  <c r="R495" i="5"/>
  <c r="R494" i="5"/>
  <c r="R493" i="5"/>
  <c r="R492" i="5"/>
  <c r="R491" i="5"/>
  <c r="R490" i="5"/>
  <c r="R489" i="5"/>
  <c r="R488" i="5"/>
  <c r="R487" i="5"/>
  <c r="R486" i="5"/>
  <c r="R485" i="5"/>
  <c r="R484" i="5"/>
  <c r="R483" i="5"/>
  <c r="R482" i="5"/>
  <c r="R481" i="5"/>
  <c r="R480" i="5"/>
  <c r="R479" i="5"/>
  <c r="R478" i="5"/>
  <c r="R477" i="5"/>
  <c r="R476" i="5"/>
  <c r="R475" i="5"/>
  <c r="R474" i="5"/>
  <c r="R473" i="5"/>
  <c r="R472" i="5"/>
  <c r="R471" i="5"/>
  <c r="R470" i="5"/>
  <c r="R469" i="5"/>
  <c r="J469" i="5"/>
  <c r="R468" i="5"/>
  <c r="R467" i="5"/>
  <c r="R466" i="5"/>
  <c r="R465" i="5"/>
  <c r="R464" i="5"/>
  <c r="R463" i="5"/>
  <c r="R462" i="5"/>
  <c r="R461" i="5"/>
  <c r="R460" i="5"/>
  <c r="R459" i="5"/>
  <c r="J459" i="5"/>
  <c r="R458" i="5"/>
  <c r="R457" i="5"/>
  <c r="H513" i="5"/>
  <c r="I513" i="5"/>
  <c r="J513" i="5"/>
  <c r="K513" i="5"/>
  <c r="L513" i="5"/>
  <c r="M513" i="5"/>
  <c r="N513" i="5"/>
  <c r="O513" i="5"/>
  <c r="P513" i="5"/>
  <c r="Q513" i="5"/>
  <c r="R514" i="5"/>
  <c r="R515" i="5"/>
  <c r="R516" i="5"/>
  <c r="R517" i="5"/>
  <c r="R518" i="5"/>
  <c r="R519" i="5"/>
  <c r="R520" i="5"/>
  <c r="R521" i="5"/>
  <c r="R522" i="5"/>
  <c r="R523" i="5"/>
  <c r="R524" i="5"/>
  <c r="R525" i="5"/>
  <c r="R526" i="5"/>
  <c r="R527" i="5"/>
  <c r="R528" i="5"/>
  <c r="R529" i="5"/>
  <c r="R530" i="5"/>
  <c r="R531" i="5"/>
  <c r="H532" i="5"/>
  <c r="I532" i="5"/>
  <c r="J532" i="5"/>
  <c r="K532" i="5"/>
  <c r="L532" i="5"/>
  <c r="M532" i="5"/>
  <c r="N532" i="5"/>
  <c r="O532" i="5"/>
  <c r="P532" i="5"/>
  <c r="Q532" i="5"/>
  <c r="R533" i="5"/>
  <c r="H534" i="5"/>
  <c r="I534" i="5"/>
  <c r="J534" i="5"/>
  <c r="K534" i="5"/>
  <c r="L534" i="5"/>
  <c r="M534" i="5"/>
  <c r="N534" i="5"/>
  <c r="O534" i="5"/>
  <c r="P534" i="5"/>
  <c r="Q534" i="5"/>
  <c r="R535" i="5"/>
  <c r="R536" i="5"/>
  <c r="R537" i="5"/>
  <c r="R538" i="5"/>
  <c r="R539" i="5"/>
  <c r="R540" i="5"/>
  <c r="R541" i="5"/>
  <c r="O543" i="5"/>
  <c r="R543" i="5"/>
  <c r="O544" i="5"/>
  <c r="R544" i="5"/>
  <c r="O775" i="5"/>
  <c r="R775" i="5"/>
  <c r="O545" i="5"/>
  <c r="R545" i="5"/>
  <c r="O546" i="5"/>
  <c r="R546" i="5"/>
  <c r="O547" i="5"/>
  <c r="R547" i="5"/>
  <c r="O548" i="5"/>
  <c r="R548" i="5"/>
  <c r="O549" i="5"/>
  <c r="R549" i="5"/>
  <c r="O550" i="5"/>
  <c r="R550" i="5"/>
  <c r="O551" i="5"/>
  <c r="R551" i="5"/>
  <c r="H557" i="5"/>
  <c r="I557" i="5"/>
  <c r="J557" i="5"/>
  <c r="K557" i="5"/>
  <c r="L557" i="5"/>
  <c r="M557" i="5"/>
  <c r="N557" i="5"/>
  <c r="P557" i="5"/>
  <c r="Q557" i="5"/>
  <c r="O558" i="5"/>
  <c r="R558" i="5"/>
  <c r="O559" i="5"/>
  <c r="R559" i="5"/>
  <c r="O560" i="5"/>
  <c r="R560" i="5"/>
  <c r="O561" i="5"/>
  <c r="R561" i="5"/>
  <c r="O562" i="5"/>
  <c r="R562" i="5"/>
  <c r="R564" i="5"/>
  <c r="R565" i="5"/>
  <c r="I17" i="5"/>
  <c r="K17" i="5"/>
  <c r="L17" i="5"/>
  <c r="F10" i="7" s="1"/>
  <c r="M17" i="5"/>
  <c r="N17" i="5"/>
  <c r="O17" i="5"/>
  <c r="P17" i="5"/>
  <c r="Q17" i="5"/>
  <c r="H17" i="5"/>
  <c r="R98" i="5"/>
  <c r="R97" i="5"/>
  <c r="R96" i="5"/>
  <c r="R95" i="5"/>
  <c r="R94" i="5"/>
  <c r="J94" i="5"/>
  <c r="R93" i="5"/>
  <c r="R92" i="5"/>
  <c r="J92" i="5"/>
  <c r="R91" i="5"/>
  <c r="R90" i="5"/>
  <c r="R89" i="5"/>
  <c r="R88" i="5"/>
  <c r="R87" i="5"/>
  <c r="R86" i="5"/>
  <c r="R85" i="5"/>
  <c r="R84" i="5"/>
  <c r="R83" i="5"/>
  <c r="R82" i="5"/>
  <c r="R81" i="5"/>
  <c r="R80" i="5"/>
  <c r="J80" i="5"/>
  <c r="R79" i="5"/>
  <c r="R78" i="5"/>
  <c r="R77" i="5"/>
  <c r="R76" i="5"/>
  <c r="R75" i="5"/>
  <c r="R74" i="5"/>
  <c r="R73" i="5"/>
  <c r="J73" i="5"/>
  <c r="R72" i="5"/>
  <c r="R71" i="5"/>
  <c r="R70" i="5"/>
  <c r="R69" i="5"/>
  <c r="R68" i="5"/>
  <c r="R67" i="5"/>
  <c r="J67" i="5"/>
  <c r="R66" i="5"/>
  <c r="R65" i="5"/>
  <c r="R64" i="5"/>
  <c r="R63" i="5"/>
  <c r="R62" i="5"/>
  <c r="R61" i="5"/>
  <c r="J61" i="5"/>
  <c r="R60" i="5"/>
  <c r="R59" i="5"/>
  <c r="R58" i="5"/>
  <c r="R57" i="5"/>
  <c r="R56" i="5"/>
  <c r="R55" i="5"/>
  <c r="R54" i="5"/>
  <c r="R53" i="5"/>
  <c r="R52" i="5"/>
  <c r="R51" i="5"/>
  <c r="R50" i="5"/>
  <c r="R49" i="5"/>
  <c r="R48" i="5"/>
  <c r="R47" i="5"/>
  <c r="R46" i="5"/>
  <c r="R45" i="5"/>
  <c r="R44" i="5"/>
  <c r="R43" i="5"/>
  <c r="R42" i="5"/>
  <c r="R41" i="5"/>
  <c r="R40" i="5"/>
  <c r="R39" i="5"/>
  <c r="R38" i="5"/>
  <c r="R37" i="5"/>
  <c r="R36" i="5"/>
  <c r="R35" i="5"/>
  <c r="R34" i="5"/>
  <c r="R33" i="5"/>
  <c r="R32" i="5"/>
  <c r="R31" i="5"/>
  <c r="J31" i="5"/>
  <c r="R30" i="5"/>
  <c r="R29" i="5"/>
  <c r="R28" i="5"/>
  <c r="R27" i="5"/>
  <c r="R26" i="5"/>
  <c r="R25" i="5"/>
  <c r="R24" i="5"/>
  <c r="R23" i="5"/>
  <c r="R22" i="5"/>
  <c r="R21" i="5"/>
  <c r="R20" i="5"/>
  <c r="R19" i="5"/>
  <c r="R18" i="5"/>
  <c r="X342" i="6"/>
  <c r="X340" i="6" s="1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X373" i="6"/>
  <c r="Y373" i="6"/>
  <c r="D380" i="6"/>
  <c r="C380" i="6" s="1"/>
  <c r="D381" i="6"/>
  <c r="C381" i="6" s="1"/>
  <c r="I363" i="5"/>
  <c r="J363" i="5"/>
  <c r="K363" i="5"/>
  <c r="L363" i="5"/>
  <c r="M363" i="5"/>
  <c r="N363" i="5"/>
  <c r="O363" i="5"/>
  <c r="P363" i="5"/>
  <c r="Q363" i="5"/>
  <c r="H363" i="5"/>
  <c r="R370" i="5"/>
  <c r="R371" i="5"/>
  <c r="E1371" i="6"/>
  <c r="F1371" i="6"/>
  <c r="G1371" i="6"/>
  <c r="H1371" i="6"/>
  <c r="I1371" i="6"/>
  <c r="J1371" i="6"/>
  <c r="K1371" i="6"/>
  <c r="L1371" i="6"/>
  <c r="M1371" i="6"/>
  <c r="N1371" i="6"/>
  <c r="O1371" i="6"/>
  <c r="P1371" i="6"/>
  <c r="Q1371" i="6"/>
  <c r="R1371" i="6"/>
  <c r="S1371" i="6"/>
  <c r="T1371" i="6"/>
  <c r="U1371" i="6"/>
  <c r="V1371" i="6"/>
  <c r="X1371" i="6"/>
  <c r="Y1371" i="6"/>
  <c r="D1389" i="6"/>
  <c r="C1389" i="6" s="1"/>
  <c r="R1411" i="5"/>
  <c r="O1411" i="5"/>
  <c r="E1599" i="6"/>
  <c r="F1599" i="6"/>
  <c r="G1599" i="6"/>
  <c r="H1599" i="6"/>
  <c r="I1599" i="6"/>
  <c r="J1599" i="6"/>
  <c r="K1599" i="6"/>
  <c r="L1599" i="6"/>
  <c r="M1599" i="6"/>
  <c r="N1599" i="6"/>
  <c r="O1599" i="6"/>
  <c r="P1599" i="6"/>
  <c r="Q1599" i="6"/>
  <c r="R1599" i="6"/>
  <c r="S1599" i="6"/>
  <c r="T1599" i="6"/>
  <c r="U1599" i="6"/>
  <c r="V1599" i="6"/>
  <c r="X1599" i="6"/>
  <c r="Y1599" i="6"/>
  <c r="D1601" i="6"/>
  <c r="C1601" i="6" s="1"/>
  <c r="D1600" i="6"/>
  <c r="C1600" i="6" s="1"/>
  <c r="I1622" i="5"/>
  <c r="J1622" i="5"/>
  <c r="K1622" i="5"/>
  <c r="L1622" i="5"/>
  <c r="M1622" i="5"/>
  <c r="N1622" i="5"/>
  <c r="O1622" i="5"/>
  <c r="P1622" i="5"/>
  <c r="Q1622" i="5"/>
  <c r="H1622" i="5"/>
  <c r="R1624" i="5"/>
  <c r="R1623" i="5"/>
  <c r="E256" i="7"/>
  <c r="E1505" i="6"/>
  <c r="F1505" i="6"/>
  <c r="G1505" i="6"/>
  <c r="H1505" i="6"/>
  <c r="I1505" i="6"/>
  <c r="J1505" i="6"/>
  <c r="K1505" i="6"/>
  <c r="L1505" i="6"/>
  <c r="M1505" i="6"/>
  <c r="N1505" i="6"/>
  <c r="O1505" i="6"/>
  <c r="P1505" i="6"/>
  <c r="Q1505" i="6"/>
  <c r="R1505" i="6"/>
  <c r="S1505" i="6"/>
  <c r="T1505" i="6"/>
  <c r="U1505" i="6"/>
  <c r="V1505" i="6"/>
  <c r="X1505" i="6"/>
  <c r="Y1505" i="6"/>
  <c r="D1507" i="6"/>
  <c r="C1507" i="6" s="1"/>
  <c r="D1508" i="6"/>
  <c r="C1508" i="6" s="1"/>
  <c r="D1506" i="6"/>
  <c r="C1506" i="6" s="1"/>
  <c r="I1528" i="5"/>
  <c r="J1528" i="5"/>
  <c r="K1528" i="5"/>
  <c r="D262" i="7" s="1"/>
  <c r="L1528" i="5"/>
  <c r="F262" i="7" s="1"/>
  <c r="M1528" i="5"/>
  <c r="N1528" i="5"/>
  <c r="O1528" i="5"/>
  <c r="P1528" i="5"/>
  <c r="Q1528" i="5"/>
  <c r="H1528" i="5"/>
  <c r="C262" i="7" s="1"/>
  <c r="D1469" i="6"/>
  <c r="C1469" i="6" l="1"/>
  <c r="C1468" i="6" s="1"/>
  <c r="D1468" i="6"/>
  <c r="O557" i="5"/>
  <c r="J17" i="5"/>
  <c r="C1599" i="6"/>
  <c r="D1599" i="6"/>
  <c r="D1505" i="6"/>
  <c r="C1505" i="6"/>
  <c r="R1492" i="5" l="1"/>
  <c r="E241" i="7"/>
  <c r="E1433" i="6"/>
  <c r="F1433" i="6"/>
  <c r="G1433" i="6"/>
  <c r="H1433" i="6"/>
  <c r="I1433" i="6"/>
  <c r="J1433" i="6"/>
  <c r="K1433" i="6"/>
  <c r="L1433" i="6"/>
  <c r="M1433" i="6"/>
  <c r="N1433" i="6"/>
  <c r="O1433" i="6"/>
  <c r="P1433" i="6"/>
  <c r="Q1433" i="6"/>
  <c r="R1433" i="6"/>
  <c r="S1433" i="6"/>
  <c r="T1433" i="6"/>
  <c r="U1433" i="6"/>
  <c r="V1433" i="6"/>
  <c r="X1433" i="6"/>
  <c r="Y1433" i="6"/>
  <c r="D1434" i="6"/>
  <c r="C1434" i="6" s="1"/>
  <c r="C1433" i="6" s="1"/>
  <c r="I1456" i="5"/>
  <c r="J1456" i="5"/>
  <c r="K1456" i="5"/>
  <c r="D246" i="7" s="1"/>
  <c r="L1456" i="5"/>
  <c r="F246" i="7" s="1"/>
  <c r="M1456" i="5"/>
  <c r="N1456" i="5"/>
  <c r="O1456" i="5"/>
  <c r="P1456" i="5"/>
  <c r="Q1456" i="5"/>
  <c r="H1456" i="5"/>
  <c r="C246" i="7" s="1"/>
  <c r="R1457" i="5"/>
  <c r="D1457" i="6"/>
  <c r="C1457" i="6" s="1"/>
  <c r="R1480" i="5"/>
  <c r="D1352" i="6"/>
  <c r="C1352" i="6" s="1"/>
  <c r="R1375" i="5"/>
  <c r="O1375" i="5"/>
  <c r="D1255" i="6"/>
  <c r="C1255" i="6" s="1"/>
  <c r="D1256" i="6"/>
  <c r="C1256" i="6" s="1"/>
  <c r="D1257" i="6"/>
  <c r="C1257" i="6" s="1"/>
  <c r="D1249" i="6"/>
  <c r="C1249" i="6" s="1"/>
  <c r="D1250" i="6"/>
  <c r="C1250" i="6" s="1"/>
  <c r="D1248" i="6"/>
  <c r="C1248" i="6" s="1"/>
  <c r="D1245" i="6"/>
  <c r="C1245" i="6" s="1"/>
  <c r="D1232" i="6"/>
  <c r="C1232" i="6" s="1"/>
  <c r="D1233" i="6"/>
  <c r="C1233" i="6" s="1"/>
  <c r="D1234" i="6"/>
  <c r="C1234" i="6" s="1"/>
  <c r="D1235" i="6"/>
  <c r="C1235" i="6" s="1"/>
  <c r="D1236" i="6"/>
  <c r="C1236" i="6" s="1"/>
  <c r="D1237" i="6"/>
  <c r="C1237" i="6" s="1"/>
  <c r="D1238" i="6"/>
  <c r="C1238" i="6" s="1"/>
  <c r="D1239" i="6"/>
  <c r="C1239" i="6" s="1"/>
  <c r="D1240" i="6"/>
  <c r="C1240" i="6" s="1"/>
  <c r="D1241" i="6"/>
  <c r="C1241" i="6" s="1"/>
  <c r="D1242" i="6"/>
  <c r="C1242" i="6" s="1"/>
  <c r="D1243" i="6"/>
  <c r="C1243" i="6" s="1"/>
  <c r="D1244" i="6"/>
  <c r="C1244" i="6" s="1"/>
  <c r="D1246" i="6"/>
  <c r="C1246" i="6" s="1"/>
  <c r="D1247" i="6"/>
  <c r="C1247" i="6" s="1"/>
  <c r="D1251" i="6"/>
  <c r="C1251" i="6" s="1"/>
  <c r="D1252" i="6"/>
  <c r="C1252" i="6" s="1"/>
  <c r="D1253" i="6"/>
  <c r="C1253" i="6" s="1"/>
  <c r="D1254" i="6"/>
  <c r="C1254" i="6" s="1"/>
  <c r="D1258" i="6"/>
  <c r="C1258" i="6" s="1"/>
  <c r="D1259" i="6"/>
  <c r="C1259" i="6" s="1"/>
  <c r="D1260" i="6"/>
  <c r="C1260" i="6" s="1"/>
  <c r="D1261" i="6"/>
  <c r="C1261" i="6" s="1"/>
  <c r="D1262" i="6"/>
  <c r="C1262" i="6" s="1"/>
  <c r="D1263" i="6"/>
  <c r="C1263" i="6" s="1"/>
  <c r="D1264" i="6"/>
  <c r="C1264" i="6" s="1"/>
  <c r="D1265" i="6"/>
  <c r="C1265" i="6" s="1"/>
  <c r="D1266" i="6"/>
  <c r="C1266" i="6" s="1"/>
  <c r="D1267" i="6"/>
  <c r="C1267" i="6" s="1"/>
  <c r="D1268" i="6"/>
  <c r="C1268" i="6" s="1"/>
  <c r="D1269" i="6"/>
  <c r="C1269" i="6" s="1"/>
  <c r="D1270" i="6"/>
  <c r="C1270" i="6" s="1"/>
  <c r="D1271" i="6"/>
  <c r="C1271" i="6" s="1"/>
  <c r="D1272" i="6"/>
  <c r="C1272" i="6" s="1"/>
  <c r="D1273" i="6"/>
  <c r="C1273" i="6" s="1"/>
  <c r="D1274" i="6"/>
  <c r="C1274" i="6" s="1"/>
  <c r="D1275" i="6"/>
  <c r="C1275" i="6" s="1"/>
  <c r="D1276" i="6"/>
  <c r="C1276" i="6" s="1"/>
  <c r="D1277" i="6"/>
  <c r="C1277" i="6" s="1"/>
  <c r="D1278" i="6"/>
  <c r="C1278" i="6" s="1"/>
  <c r="D1279" i="6"/>
  <c r="C1279" i="6" s="1"/>
  <c r="D1280" i="6"/>
  <c r="C1280" i="6" s="1"/>
  <c r="D1281" i="6"/>
  <c r="C1281" i="6" s="1"/>
  <c r="D1282" i="6"/>
  <c r="C1282" i="6" s="1"/>
  <c r="D1283" i="6"/>
  <c r="C1283" i="6" s="1"/>
  <c r="D1284" i="6"/>
  <c r="C1284" i="6" s="1"/>
  <c r="D1285" i="6"/>
  <c r="C1285" i="6" s="1"/>
  <c r="D1286" i="6"/>
  <c r="C1286" i="6" s="1"/>
  <c r="D1287" i="6"/>
  <c r="C1287" i="6" s="1"/>
  <c r="D1288" i="6"/>
  <c r="C1288" i="6" s="1"/>
  <c r="D1289" i="6"/>
  <c r="C1289" i="6" s="1"/>
  <c r="D1290" i="6"/>
  <c r="C1290" i="6" s="1"/>
  <c r="D1291" i="6"/>
  <c r="C1291" i="6" s="1"/>
  <c r="D1292" i="6"/>
  <c r="C1292" i="6" s="1"/>
  <c r="D1293" i="6"/>
  <c r="C1293" i="6" s="1"/>
  <c r="D1294" i="6"/>
  <c r="C1294" i="6" s="1"/>
  <c r="D1295" i="6"/>
  <c r="C1295" i="6" s="1"/>
  <c r="D1296" i="6"/>
  <c r="C1296" i="6" s="1"/>
  <c r="D1297" i="6"/>
  <c r="C1297" i="6" s="1"/>
  <c r="D1298" i="6"/>
  <c r="C1298" i="6" s="1"/>
  <c r="D1299" i="6"/>
  <c r="C1299" i="6" s="1"/>
  <c r="D1300" i="6"/>
  <c r="C1300" i="6" s="1"/>
  <c r="D1301" i="6"/>
  <c r="C1301" i="6" s="1"/>
  <c r="D1302" i="6"/>
  <c r="C1302" i="6" s="1"/>
  <c r="D1303" i="6"/>
  <c r="C1303" i="6" s="1"/>
  <c r="D1231" i="6"/>
  <c r="C1231" i="6" s="1"/>
  <c r="E1230" i="6"/>
  <c r="F1230" i="6"/>
  <c r="G1230" i="6"/>
  <c r="H1230" i="6"/>
  <c r="I1230" i="6"/>
  <c r="J1230" i="6"/>
  <c r="K1230" i="6"/>
  <c r="L1230" i="6"/>
  <c r="M1230" i="6"/>
  <c r="N1230" i="6"/>
  <c r="O1230" i="6"/>
  <c r="P1230" i="6"/>
  <c r="Q1230" i="6"/>
  <c r="R1230" i="6"/>
  <c r="S1230" i="6"/>
  <c r="T1230" i="6"/>
  <c r="U1230" i="6"/>
  <c r="V1230" i="6"/>
  <c r="X1230" i="6"/>
  <c r="Y1230" i="6"/>
  <c r="D524" i="6"/>
  <c r="C524" i="6" s="1"/>
  <c r="D525" i="6"/>
  <c r="C525" i="6" s="1"/>
  <c r="D526" i="6"/>
  <c r="C526" i="6" s="1"/>
  <c r="D527" i="6"/>
  <c r="C527" i="6" s="1"/>
  <c r="D528" i="6"/>
  <c r="C528" i="6" s="1"/>
  <c r="D529" i="6"/>
  <c r="C529" i="6" s="1"/>
  <c r="D523" i="6"/>
  <c r="C523" i="6" s="1"/>
  <c r="E522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X522" i="6"/>
  <c r="Y522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X135" i="6"/>
  <c r="Y135" i="6"/>
  <c r="D137" i="6"/>
  <c r="C137" i="6" s="1"/>
  <c r="D138" i="6"/>
  <c r="C138" i="6" s="1"/>
  <c r="D139" i="6"/>
  <c r="C139" i="6" s="1"/>
  <c r="D140" i="6"/>
  <c r="C140" i="6" s="1"/>
  <c r="D141" i="6"/>
  <c r="C141" i="6" s="1"/>
  <c r="D142" i="6"/>
  <c r="C142" i="6" s="1"/>
  <c r="D143" i="6"/>
  <c r="C143" i="6" s="1"/>
  <c r="D144" i="6"/>
  <c r="C144" i="6" s="1"/>
  <c r="D145" i="6"/>
  <c r="C145" i="6" s="1"/>
  <c r="D146" i="6"/>
  <c r="C146" i="6" s="1"/>
  <c r="D147" i="6"/>
  <c r="C147" i="6" s="1"/>
  <c r="D148" i="6"/>
  <c r="C148" i="6" s="1"/>
  <c r="D149" i="6"/>
  <c r="C149" i="6" s="1"/>
  <c r="D150" i="6"/>
  <c r="C150" i="6" s="1"/>
  <c r="D151" i="6"/>
  <c r="C151" i="6" s="1"/>
  <c r="D152" i="6"/>
  <c r="C152" i="6" s="1"/>
  <c r="D155" i="6"/>
  <c r="C155" i="6" s="1"/>
  <c r="D156" i="6"/>
  <c r="C156" i="6" s="1"/>
  <c r="D136" i="6"/>
  <c r="C136" i="6" s="1"/>
  <c r="R1256" i="5"/>
  <c r="R1257" i="5"/>
  <c r="R1258" i="5"/>
  <c r="R1259" i="5"/>
  <c r="R1260" i="5"/>
  <c r="R1261" i="5"/>
  <c r="R1262" i="5"/>
  <c r="R1263" i="5"/>
  <c r="R1264" i="5"/>
  <c r="R1265" i="5"/>
  <c r="R1266" i="5"/>
  <c r="R1267" i="5"/>
  <c r="R1268" i="5"/>
  <c r="R1269" i="5"/>
  <c r="R1270" i="5"/>
  <c r="R1271" i="5"/>
  <c r="R1272" i="5"/>
  <c r="R1273" i="5"/>
  <c r="R1274" i="5"/>
  <c r="R1275" i="5"/>
  <c r="R1276" i="5"/>
  <c r="R1277" i="5"/>
  <c r="R1278" i="5"/>
  <c r="R1279" i="5"/>
  <c r="R1280" i="5"/>
  <c r="R1281" i="5"/>
  <c r="R1282" i="5"/>
  <c r="R1283" i="5"/>
  <c r="R1284" i="5"/>
  <c r="R1285" i="5"/>
  <c r="R1286" i="5"/>
  <c r="R1287" i="5"/>
  <c r="R1288" i="5"/>
  <c r="R1289" i="5"/>
  <c r="R1290" i="5"/>
  <c r="R1291" i="5"/>
  <c r="R1292" i="5"/>
  <c r="R1293" i="5"/>
  <c r="R1294" i="5"/>
  <c r="R1295" i="5"/>
  <c r="R1296" i="5"/>
  <c r="R1297" i="5"/>
  <c r="R1298" i="5"/>
  <c r="R1299" i="5"/>
  <c r="R1300" i="5"/>
  <c r="R1301" i="5"/>
  <c r="R1302" i="5"/>
  <c r="R1303" i="5"/>
  <c r="R1304" i="5"/>
  <c r="R1305" i="5"/>
  <c r="R1306" i="5"/>
  <c r="R1307" i="5"/>
  <c r="R1308" i="5"/>
  <c r="R1309" i="5"/>
  <c r="R1310" i="5"/>
  <c r="R1311" i="5"/>
  <c r="R1312" i="5"/>
  <c r="R1313" i="5"/>
  <c r="R1314" i="5"/>
  <c r="R1315" i="5"/>
  <c r="R1316" i="5"/>
  <c r="R1317" i="5"/>
  <c r="R1318" i="5"/>
  <c r="R1319" i="5"/>
  <c r="R1320" i="5"/>
  <c r="R1321" i="5"/>
  <c r="R1322" i="5"/>
  <c r="R1323" i="5"/>
  <c r="R1324" i="5"/>
  <c r="R1325" i="5"/>
  <c r="R1326" i="5"/>
  <c r="R1255" i="5"/>
  <c r="R1254" i="5"/>
  <c r="M1253" i="5"/>
  <c r="N1253" i="5"/>
  <c r="P1253" i="5"/>
  <c r="H1253" i="5"/>
  <c r="C222" i="7" s="1"/>
  <c r="O1253" i="5"/>
  <c r="K1253" i="5"/>
  <c r="D222" i="7" s="1"/>
  <c r="I1253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44" i="5"/>
  <c r="P143" i="5"/>
  <c r="I142" i="5"/>
  <c r="J142" i="5"/>
  <c r="K142" i="5"/>
  <c r="L142" i="5"/>
  <c r="M142" i="5"/>
  <c r="N142" i="5"/>
  <c r="O142" i="5"/>
  <c r="Q142" i="5"/>
  <c r="H142" i="5"/>
  <c r="R145" i="5"/>
  <c r="R146" i="5"/>
  <c r="R147" i="5"/>
  <c r="R148" i="5"/>
  <c r="R149" i="5"/>
  <c r="R150" i="5"/>
  <c r="R151" i="5"/>
  <c r="R152" i="5"/>
  <c r="R153" i="5"/>
  <c r="R154" i="5"/>
  <c r="R155" i="5"/>
  <c r="R156" i="5"/>
  <c r="R157" i="5"/>
  <c r="R163" i="5"/>
  <c r="R144" i="5"/>
  <c r="R143" i="5"/>
  <c r="D1215" i="6"/>
  <c r="C1215" i="6" s="1"/>
  <c r="D1216" i="6"/>
  <c r="C1216" i="6" s="1"/>
  <c r="D1217" i="6"/>
  <c r="C1217" i="6" s="1"/>
  <c r="D1218" i="6"/>
  <c r="C1218" i="6" s="1"/>
  <c r="D1219" i="6"/>
  <c r="C1219" i="6" s="1"/>
  <c r="D1220" i="6"/>
  <c r="C1220" i="6" s="1"/>
  <c r="D1221" i="6"/>
  <c r="C1221" i="6" s="1"/>
  <c r="D1222" i="6"/>
  <c r="C1222" i="6" s="1"/>
  <c r="D1223" i="6"/>
  <c r="C1223" i="6" s="1"/>
  <c r="D1224" i="6"/>
  <c r="C1224" i="6" s="1"/>
  <c r="D1198" i="6"/>
  <c r="C1198" i="6" s="1"/>
  <c r="D1199" i="6"/>
  <c r="C1199" i="6" s="1"/>
  <c r="D1200" i="6"/>
  <c r="C1200" i="6" s="1"/>
  <c r="E724" i="6"/>
  <c r="F724" i="6"/>
  <c r="G724" i="6"/>
  <c r="H724" i="6"/>
  <c r="I724" i="6"/>
  <c r="J724" i="6"/>
  <c r="K724" i="6"/>
  <c r="L724" i="6"/>
  <c r="M724" i="6"/>
  <c r="N724" i="6"/>
  <c r="O724" i="6"/>
  <c r="P724" i="6"/>
  <c r="Q724" i="6"/>
  <c r="R724" i="6"/>
  <c r="S724" i="6"/>
  <c r="T724" i="6"/>
  <c r="U724" i="6"/>
  <c r="V724" i="6"/>
  <c r="X724" i="6"/>
  <c r="Y724" i="6"/>
  <c r="D740" i="6"/>
  <c r="C740" i="6" s="1"/>
  <c r="D741" i="6"/>
  <c r="C741" i="6" s="1"/>
  <c r="D742" i="6"/>
  <c r="C742" i="6" s="1"/>
  <c r="D743" i="6"/>
  <c r="C743" i="6" s="1"/>
  <c r="D744" i="6"/>
  <c r="C744" i="6" s="1"/>
  <c r="E501" i="6"/>
  <c r="F501" i="6"/>
  <c r="G501" i="6"/>
  <c r="H501" i="6"/>
  <c r="I501" i="6"/>
  <c r="J501" i="6"/>
  <c r="K501" i="6"/>
  <c r="L501" i="6"/>
  <c r="M501" i="6"/>
  <c r="N501" i="6"/>
  <c r="O501" i="6"/>
  <c r="P501" i="6"/>
  <c r="Q501" i="6"/>
  <c r="R501" i="6"/>
  <c r="S501" i="6"/>
  <c r="T501" i="6"/>
  <c r="U501" i="6"/>
  <c r="V501" i="6"/>
  <c r="X501" i="6"/>
  <c r="Y501" i="6"/>
  <c r="D516" i="6"/>
  <c r="C516" i="6" s="1"/>
  <c r="D517" i="6"/>
  <c r="C517" i="6" s="1"/>
  <c r="D518" i="6"/>
  <c r="C518" i="6" s="1"/>
  <c r="D519" i="6"/>
  <c r="C519" i="6" s="1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X92" i="6"/>
  <c r="Y92" i="6"/>
  <c r="D122" i="6"/>
  <c r="C122" i="6" s="1"/>
  <c r="D123" i="6"/>
  <c r="C123" i="6" s="1"/>
  <c r="D124" i="6"/>
  <c r="C124" i="6" s="1"/>
  <c r="D125" i="6"/>
  <c r="C125" i="6" s="1"/>
  <c r="D126" i="6"/>
  <c r="C126" i="6" s="1"/>
  <c r="D127" i="6"/>
  <c r="C127" i="6" s="1"/>
  <c r="D128" i="6"/>
  <c r="C128" i="6" s="1"/>
  <c r="R1247" i="5"/>
  <c r="R1246" i="5"/>
  <c r="R1245" i="5"/>
  <c r="R1244" i="5"/>
  <c r="R1243" i="5"/>
  <c r="R1242" i="5"/>
  <c r="R1241" i="5"/>
  <c r="R1240" i="5"/>
  <c r="R1239" i="5"/>
  <c r="R1238" i="5"/>
  <c r="R1223" i="5"/>
  <c r="R1222" i="5"/>
  <c r="R1221" i="5"/>
  <c r="I741" i="5"/>
  <c r="J741" i="5"/>
  <c r="K741" i="5"/>
  <c r="L741" i="5"/>
  <c r="M741" i="5"/>
  <c r="N741" i="5"/>
  <c r="O741" i="5"/>
  <c r="P741" i="5"/>
  <c r="Q741" i="5"/>
  <c r="H741" i="5"/>
  <c r="R761" i="5"/>
  <c r="R760" i="5"/>
  <c r="R759" i="5"/>
  <c r="R758" i="5"/>
  <c r="R757" i="5"/>
  <c r="I99" i="5"/>
  <c r="J99" i="5"/>
  <c r="K99" i="5"/>
  <c r="L99" i="5"/>
  <c r="M99" i="5"/>
  <c r="N99" i="5"/>
  <c r="O99" i="5"/>
  <c r="Q99" i="5"/>
  <c r="H99" i="5"/>
  <c r="P129" i="5"/>
  <c r="P130" i="5"/>
  <c r="P131" i="5"/>
  <c r="P132" i="5"/>
  <c r="P133" i="5"/>
  <c r="P134" i="5"/>
  <c r="P135" i="5"/>
  <c r="R135" i="5"/>
  <c r="R134" i="5"/>
  <c r="R133" i="5"/>
  <c r="R132" i="5"/>
  <c r="R131" i="5"/>
  <c r="R130" i="5"/>
  <c r="R129" i="5"/>
  <c r="D1588" i="6"/>
  <c r="C1588" i="6" s="1"/>
  <c r="D1589" i="6"/>
  <c r="C1589" i="6" s="1"/>
  <c r="R1611" i="5"/>
  <c r="R1612" i="5"/>
  <c r="O1611" i="5"/>
  <c r="O1612" i="5"/>
  <c r="D1433" i="6" l="1"/>
  <c r="D1230" i="6"/>
  <c r="C1230" i="6"/>
  <c r="C522" i="6"/>
  <c r="D522" i="6"/>
  <c r="D135" i="6"/>
  <c r="C135" i="6"/>
  <c r="J1253" i="5"/>
  <c r="P142" i="5"/>
  <c r="Q1253" i="5"/>
  <c r="L1253" i="5"/>
  <c r="F222" i="7" s="1"/>
  <c r="D1448" i="6"/>
  <c r="C1448" i="6" s="1"/>
  <c r="D1449" i="6"/>
  <c r="C1449" i="6" s="1"/>
  <c r="R1471" i="5"/>
  <c r="R1472" i="5"/>
  <c r="E251" i="7"/>
  <c r="D255" i="7"/>
  <c r="F255" i="7"/>
  <c r="C255" i="7"/>
  <c r="E1602" i="6" l="1"/>
  <c r="F1602" i="6"/>
  <c r="G1602" i="6"/>
  <c r="H1602" i="6"/>
  <c r="I1602" i="6"/>
  <c r="J1602" i="6"/>
  <c r="K1602" i="6"/>
  <c r="L1602" i="6"/>
  <c r="M1602" i="6"/>
  <c r="N1602" i="6"/>
  <c r="O1602" i="6"/>
  <c r="P1602" i="6"/>
  <c r="Q1602" i="6"/>
  <c r="R1602" i="6"/>
  <c r="S1602" i="6"/>
  <c r="T1602" i="6"/>
  <c r="U1602" i="6"/>
  <c r="V1602" i="6"/>
  <c r="X1602" i="6"/>
  <c r="Y1602" i="6"/>
  <c r="D1604" i="6"/>
  <c r="C1604" i="6" s="1"/>
  <c r="D1603" i="6"/>
  <c r="I1625" i="5"/>
  <c r="J1625" i="5"/>
  <c r="K1625" i="5"/>
  <c r="L1625" i="5"/>
  <c r="M1625" i="5"/>
  <c r="N1625" i="5"/>
  <c r="O1625" i="5"/>
  <c r="P1625" i="5"/>
  <c r="Q1625" i="5"/>
  <c r="H1625" i="5"/>
  <c r="E285" i="7"/>
  <c r="I1619" i="5"/>
  <c r="J1619" i="5"/>
  <c r="K1619" i="5"/>
  <c r="D288" i="7" s="1"/>
  <c r="L1619" i="5"/>
  <c r="F288" i="7" s="1"/>
  <c r="M1619" i="5"/>
  <c r="N1619" i="5"/>
  <c r="O1619" i="5"/>
  <c r="P1619" i="5"/>
  <c r="Q1619" i="5"/>
  <c r="H1619" i="5"/>
  <c r="C288" i="7" s="1"/>
  <c r="I1617" i="5"/>
  <c r="J1617" i="5"/>
  <c r="K1617" i="5"/>
  <c r="D287" i="7" s="1"/>
  <c r="L1617" i="5"/>
  <c r="F287" i="7" s="1"/>
  <c r="M1617" i="5"/>
  <c r="N1617" i="5"/>
  <c r="O1617" i="5"/>
  <c r="P1617" i="5"/>
  <c r="Q1617" i="5"/>
  <c r="H1617" i="5"/>
  <c r="C287" i="7" s="1"/>
  <c r="E1594" i="6"/>
  <c r="F1594" i="6"/>
  <c r="G1594" i="6"/>
  <c r="H1594" i="6"/>
  <c r="I1594" i="6"/>
  <c r="J1594" i="6"/>
  <c r="K1594" i="6"/>
  <c r="L1594" i="6"/>
  <c r="M1594" i="6"/>
  <c r="N1594" i="6"/>
  <c r="O1594" i="6"/>
  <c r="P1594" i="6"/>
  <c r="Q1594" i="6"/>
  <c r="R1594" i="6"/>
  <c r="S1594" i="6"/>
  <c r="T1594" i="6"/>
  <c r="U1594" i="6"/>
  <c r="V1594" i="6"/>
  <c r="X1594" i="6"/>
  <c r="Y1594" i="6"/>
  <c r="E1596" i="6"/>
  <c r="F1596" i="6"/>
  <c r="G1596" i="6"/>
  <c r="H1596" i="6"/>
  <c r="I1596" i="6"/>
  <c r="J1596" i="6"/>
  <c r="K1596" i="6"/>
  <c r="L1596" i="6"/>
  <c r="M1596" i="6"/>
  <c r="N1596" i="6"/>
  <c r="O1596" i="6"/>
  <c r="P1596" i="6"/>
  <c r="Q1596" i="6"/>
  <c r="R1596" i="6"/>
  <c r="S1596" i="6"/>
  <c r="T1596" i="6"/>
  <c r="U1596" i="6"/>
  <c r="V1596" i="6"/>
  <c r="X1596" i="6"/>
  <c r="Y1596" i="6"/>
  <c r="D1595" i="6"/>
  <c r="C1595" i="6" s="1"/>
  <c r="C1594" i="6" s="1"/>
  <c r="D1597" i="6"/>
  <c r="C1597" i="6" s="1"/>
  <c r="C1596" i="6" s="1"/>
  <c r="I1614" i="5"/>
  <c r="J1614" i="5"/>
  <c r="K1614" i="5"/>
  <c r="L1614" i="5"/>
  <c r="M1614" i="5"/>
  <c r="N1614" i="5"/>
  <c r="O1614" i="5"/>
  <c r="P1614" i="5"/>
  <c r="Q1614" i="5"/>
  <c r="H1614" i="5"/>
  <c r="E276" i="7"/>
  <c r="F278" i="7"/>
  <c r="D278" i="7"/>
  <c r="C278" i="7"/>
  <c r="D1568" i="6"/>
  <c r="E1568" i="6"/>
  <c r="F1568" i="6"/>
  <c r="G1568" i="6"/>
  <c r="H1568" i="6"/>
  <c r="I1568" i="6"/>
  <c r="J1568" i="6"/>
  <c r="K1568" i="6"/>
  <c r="L1568" i="6"/>
  <c r="M1568" i="6"/>
  <c r="N1568" i="6"/>
  <c r="O1568" i="6"/>
  <c r="P1568" i="6"/>
  <c r="Q1568" i="6"/>
  <c r="R1568" i="6"/>
  <c r="S1568" i="6"/>
  <c r="T1568" i="6"/>
  <c r="U1568" i="6"/>
  <c r="V1568" i="6"/>
  <c r="X1568" i="6"/>
  <c r="Y1568" i="6"/>
  <c r="C1568" i="6"/>
  <c r="D1565" i="6"/>
  <c r="D1564" i="6" s="1"/>
  <c r="E1565" i="6"/>
  <c r="E1564" i="6" s="1"/>
  <c r="F1565" i="6"/>
  <c r="F1564" i="6" s="1"/>
  <c r="G1565" i="6"/>
  <c r="G1564" i="6" s="1"/>
  <c r="H1565" i="6"/>
  <c r="H1564" i="6" s="1"/>
  <c r="I1565" i="6"/>
  <c r="I1564" i="6" s="1"/>
  <c r="J1565" i="6"/>
  <c r="J1564" i="6" s="1"/>
  <c r="K1565" i="6"/>
  <c r="K1564" i="6" s="1"/>
  <c r="L1565" i="6"/>
  <c r="L1564" i="6" s="1"/>
  <c r="M1565" i="6"/>
  <c r="M1564" i="6" s="1"/>
  <c r="N1565" i="6"/>
  <c r="N1564" i="6" s="1"/>
  <c r="O1565" i="6"/>
  <c r="O1564" i="6" s="1"/>
  <c r="P1565" i="6"/>
  <c r="Q1565" i="6"/>
  <c r="Q1564" i="6" s="1"/>
  <c r="R1565" i="6"/>
  <c r="R1564" i="6" s="1"/>
  <c r="S1565" i="6"/>
  <c r="S1564" i="6" s="1"/>
  <c r="T1565" i="6"/>
  <c r="T1564" i="6" s="1"/>
  <c r="U1565" i="6"/>
  <c r="U1564" i="6" s="1"/>
  <c r="V1565" i="6"/>
  <c r="V1564" i="6" s="1"/>
  <c r="X1565" i="6"/>
  <c r="X1564" i="6" s="1"/>
  <c r="Y1565" i="6"/>
  <c r="Y1564" i="6" s="1"/>
  <c r="C1565" i="6"/>
  <c r="C1564" i="6" s="1"/>
  <c r="I1588" i="5"/>
  <c r="J1588" i="5"/>
  <c r="J1587" i="5" s="1"/>
  <c r="K1588" i="5"/>
  <c r="D277" i="7" s="1"/>
  <c r="L1588" i="5"/>
  <c r="F277" i="7" s="1"/>
  <c r="M1588" i="5"/>
  <c r="M1587" i="5" s="1"/>
  <c r="N1588" i="5"/>
  <c r="N1587" i="5" s="1"/>
  <c r="O1588" i="5"/>
  <c r="O1587" i="5" s="1"/>
  <c r="P1588" i="5"/>
  <c r="P1587" i="5" s="1"/>
  <c r="Q1588" i="5"/>
  <c r="Q1587" i="5" s="1"/>
  <c r="H1588" i="5"/>
  <c r="C277" i="7" s="1"/>
  <c r="I1507" i="5"/>
  <c r="J1507" i="5"/>
  <c r="K1507" i="5"/>
  <c r="D258" i="7" s="1"/>
  <c r="L1507" i="5"/>
  <c r="F258" i="7" s="1"/>
  <c r="M1507" i="5"/>
  <c r="N1507" i="5"/>
  <c r="O1507" i="5"/>
  <c r="P1507" i="5"/>
  <c r="Q1507" i="5"/>
  <c r="H1507" i="5"/>
  <c r="C258" i="7" s="1"/>
  <c r="D1458" i="6"/>
  <c r="C1458" i="6" s="1"/>
  <c r="D1456" i="6"/>
  <c r="C1456" i="6" s="1"/>
  <c r="D1459" i="6"/>
  <c r="C1459" i="6" s="1"/>
  <c r="D1417" i="6"/>
  <c r="C1417" i="6" s="1"/>
  <c r="D1418" i="6"/>
  <c r="C1418" i="6" s="1"/>
  <c r="D1419" i="6"/>
  <c r="C1419" i="6" s="1"/>
  <c r="D1420" i="6"/>
  <c r="C1420" i="6" s="1"/>
  <c r="D1416" i="6"/>
  <c r="C1416" i="6" s="1"/>
  <c r="E1415" i="6"/>
  <c r="F1415" i="6"/>
  <c r="G1415" i="6"/>
  <c r="H1415" i="6"/>
  <c r="I1415" i="6"/>
  <c r="J1415" i="6"/>
  <c r="K1415" i="6"/>
  <c r="L1415" i="6"/>
  <c r="M1415" i="6"/>
  <c r="N1415" i="6"/>
  <c r="O1415" i="6"/>
  <c r="P1415" i="6"/>
  <c r="Q1415" i="6"/>
  <c r="R1415" i="6"/>
  <c r="S1415" i="6"/>
  <c r="T1415" i="6"/>
  <c r="U1415" i="6"/>
  <c r="V1415" i="6"/>
  <c r="X1415" i="6"/>
  <c r="Y1415" i="6"/>
  <c r="I1438" i="5"/>
  <c r="J1438" i="5"/>
  <c r="K1438" i="5"/>
  <c r="L1438" i="5"/>
  <c r="M1438" i="5"/>
  <c r="N1438" i="5"/>
  <c r="O1438" i="5"/>
  <c r="P1438" i="5"/>
  <c r="Q1438" i="5"/>
  <c r="H1438" i="5"/>
  <c r="P1564" i="6" l="1"/>
  <c r="I1587" i="5"/>
  <c r="D1602" i="6"/>
  <c r="D1598" i="6" s="1"/>
  <c r="Y1591" i="6"/>
  <c r="V1591" i="6"/>
  <c r="T1591" i="6"/>
  <c r="R1591" i="6"/>
  <c r="P1591" i="6"/>
  <c r="N1591" i="6"/>
  <c r="L1591" i="6"/>
  <c r="J1591" i="6"/>
  <c r="H1591" i="6"/>
  <c r="F1591" i="6"/>
  <c r="X1591" i="6"/>
  <c r="U1591" i="6"/>
  <c r="S1591" i="6"/>
  <c r="Q1591" i="6"/>
  <c r="O1591" i="6"/>
  <c r="M1591" i="6"/>
  <c r="K1591" i="6"/>
  <c r="I1591" i="6"/>
  <c r="G1591" i="6"/>
  <c r="E1591" i="6"/>
  <c r="C1603" i="6"/>
  <c r="C1602" i="6" s="1"/>
  <c r="K1587" i="5"/>
  <c r="H1587" i="5"/>
  <c r="L1587" i="5"/>
  <c r="C1591" i="6"/>
  <c r="D1596" i="6"/>
  <c r="D1594" i="6"/>
  <c r="D276" i="7"/>
  <c r="C276" i="7"/>
  <c r="F276" i="7"/>
  <c r="C1415" i="6"/>
  <c r="D1415" i="6"/>
  <c r="E231" i="7"/>
  <c r="D1390" i="6"/>
  <c r="E1390" i="6"/>
  <c r="F1390" i="6"/>
  <c r="G1390" i="6"/>
  <c r="H1390" i="6"/>
  <c r="I1390" i="6"/>
  <c r="J1390" i="6"/>
  <c r="K1390" i="6"/>
  <c r="K1370" i="6" s="1"/>
  <c r="L1390" i="6"/>
  <c r="L1370" i="6" s="1"/>
  <c r="M1390" i="6"/>
  <c r="N1390" i="6"/>
  <c r="O1390" i="6"/>
  <c r="P1390" i="6"/>
  <c r="Q1390" i="6"/>
  <c r="R1390" i="6"/>
  <c r="S1390" i="6"/>
  <c r="T1390" i="6"/>
  <c r="U1390" i="6"/>
  <c r="V1390" i="6"/>
  <c r="X1390" i="6"/>
  <c r="Y1390" i="6"/>
  <c r="C1390" i="6"/>
  <c r="R1414" i="5"/>
  <c r="I1413" i="5"/>
  <c r="J1413" i="5"/>
  <c r="K1413" i="5"/>
  <c r="D233" i="7" s="1"/>
  <c r="L1413" i="5"/>
  <c r="F233" i="7" s="1"/>
  <c r="M1413" i="5"/>
  <c r="N1413" i="5"/>
  <c r="O1413" i="5"/>
  <c r="P1413" i="5"/>
  <c r="Q1413" i="5"/>
  <c r="H1413" i="5"/>
  <c r="C233" i="7" s="1"/>
  <c r="E1339" i="6"/>
  <c r="F1339" i="6"/>
  <c r="G1339" i="6"/>
  <c r="H1339" i="6"/>
  <c r="I1339" i="6"/>
  <c r="J1339" i="6"/>
  <c r="K1339" i="6"/>
  <c r="L1339" i="6"/>
  <c r="M1339" i="6"/>
  <c r="N1339" i="6"/>
  <c r="O1339" i="6"/>
  <c r="P1339" i="6"/>
  <c r="Q1339" i="6"/>
  <c r="R1339" i="6"/>
  <c r="S1339" i="6"/>
  <c r="T1339" i="6"/>
  <c r="U1339" i="6"/>
  <c r="V1339" i="6"/>
  <c r="X1339" i="6"/>
  <c r="Y1339" i="6"/>
  <c r="D1341" i="6"/>
  <c r="C1341" i="6" s="1"/>
  <c r="D1340" i="6"/>
  <c r="C1340" i="6" s="1"/>
  <c r="O1364" i="5"/>
  <c r="O1363" i="5"/>
  <c r="I1362" i="5"/>
  <c r="J1362" i="5"/>
  <c r="K1362" i="5"/>
  <c r="D225" i="7" s="1"/>
  <c r="L1362" i="5"/>
  <c r="M1362" i="5"/>
  <c r="N1362" i="5"/>
  <c r="P1362" i="5"/>
  <c r="Q1362" i="5"/>
  <c r="H1362" i="5"/>
  <c r="C225" i="7" s="1"/>
  <c r="E289" i="7"/>
  <c r="E1598" i="6"/>
  <c r="F1598" i="6"/>
  <c r="G1598" i="6"/>
  <c r="H1598" i="6"/>
  <c r="I1598" i="6"/>
  <c r="J1598" i="6"/>
  <c r="K1598" i="6"/>
  <c r="L1598" i="6"/>
  <c r="M1598" i="6"/>
  <c r="N1598" i="6"/>
  <c r="O1598" i="6"/>
  <c r="P1598" i="6"/>
  <c r="Q1598" i="6"/>
  <c r="R1598" i="6"/>
  <c r="S1598" i="6"/>
  <c r="T1598" i="6"/>
  <c r="U1598" i="6"/>
  <c r="V1598" i="6"/>
  <c r="X1598" i="6"/>
  <c r="Y1598" i="6"/>
  <c r="C1598" i="6"/>
  <c r="I1621" i="5"/>
  <c r="J1621" i="5"/>
  <c r="D290" i="7"/>
  <c r="F290" i="7"/>
  <c r="M1621" i="5"/>
  <c r="N1621" i="5"/>
  <c r="O1621" i="5"/>
  <c r="P1621" i="5"/>
  <c r="Q1621" i="5"/>
  <c r="C290" i="7"/>
  <c r="F291" i="7"/>
  <c r="D291" i="7"/>
  <c r="C291" i="7"/>
  <c r="T1621" i="5"/>
  <c r="R1621" i="5"/>
  <c r="S1621" i="5"/>
  <c r="F286" i="7"/>
  <c r="F285" i="7" s="1"/>
  <c r="D286" i="7"/>
  <c r="D285" i="7" s="1"/>
  <c r="C286" i="7"/>
  <c r="C285" i="7" s="1"/>
  <c r="E267" i="7"/>
  <c r="D1542" i="6"/>
  <c r="E1542" i="6"/>
  <c r="F1542" i="6"/>
  <c r="G1542" i="6"/>
  <c r="H1542" i="6"/>
  <c r="I1542" i="6"/>
  <c r="J1542" i="6"/>
  <c r="K1542" i="6"/>
  <c r="L1542" i="6"/>
  <c r="M1542" i="6"/>
  <c r="N1542" i="6"/>
  <c r="O1542" i="6"/>
  <c r="P1542" i="6"/>
  <c r="Q1542" i="6"/>
  <c r="R1542" i="6"/>
  <c r="S1542" i="6"/>
  <c r="T1542" i="6"/>
  <c r="U1542" i="6"/>
  <c r="V1542" i="6"/>
  <c r="X1542" i="6"/>
  <c r="Y1542" i="6"/>
  <c r="C1542" i="6"/>
  <c r="I1565" i="5"/>
  <c r="J1565" i="5"/>
  <c r="K1565" i="5"/>
  <c r="D270" i="7" s="1"/>
  <c r="L1565" i="5"/>
  <c r="F270" i="7" s="1"/>
  <c r="M1565" i="5"/>
  <c r="N1565" i="5"/>
  <c r="O1565" i="5"/>
  <c r="P1565" i="5"/>
  <c r="Q1565" i="5"/>
  <c r="H1565" i="5"/>
  <c r="C270" i="7" s="1"/>
  <c r="D1461" i="6"/>
  <c r="D1460" i="6" s="1"/>
  <c r="E1461" i="6"/>
  <c r="E1460" i="6" s="1"/>
  <c r="F1461" i="6"/>
  <c r="F1460" i="6" s="1"/>
  <c r="G1461" i="6"/>
  <c r="G1460" i="6" s="1"/>
  <c r="H1461" i="6"/>
  <c r="H1460" i="6" s="1"/>
  <c r="I1461" i="6"/>
  <c r="I1460" i="6" s="1"/>
  <c r="J1461" i="6"/>
  <c r="J1460" i="6" s="1"/>
  <c r="K1461" i="6"/>
  <c r="K1460" i="6" s="1"/>
  <c r="L1461" i="6"/>
  <c r="L1460" i="6" s="1"/>
  <c r="M1461" i="6"/>
  <c r="M1460" i="6" s="1"/>
  <c r="N1461" i="6"/>
  <c r="N1460" i="6" s="1"/>
  <c r="O1461" i="6"/>
  <c r="O1460" i="6" s="1"/>
  <c r="P1461" i="6"/>
  <c r="P1460" i="6" s="1"/>
  <c r="Q1461" i="6"/>
  <c r="Q1460" i="6" s="1"/>
  <c r="R1461" i="6"/>
  <c r="R1460" i="6" s="1"/>
  <c r="S1461" i="6"/>
  <c r="S1460" i="6" s="1"/>
  <c r="T1461" i="6"/>
  <c r="U1461" i="6"/>
  <c r="U1460" i="6" s="1"/>
  <c r="V1461" i="6"/>
  <c r="V1460" i="6" s="1"/>
  <c r="X1461" i="6"/>
  <c r="X1460" i="6" s="1"/>
  <c r="Y1461" i="6"/>
  <c r="Y1460" i="6" s="1"/>
  <c r="C1461" i="6"/>
  <c r="C1460" i="6" s="1"/>
  <c r="I1484" i="5"/>
  <c r="J1484" i="5"/>
  <c r="J1483" i="5" s="1"/>
  <c r="K1484" i="5"/>
  <c r="K1483" i="5" s="1"/>
  <c r="L1484" i="5"/>
  <c r="L1483" i="5" s="1"/>
  <c r="M1484" i="5"/>
  <c r="M1483" i="5" s="1"/>
  <c r="N1484" i="5"/>
  <c r="N1483" i="5" s="1"/>
  <c r="O1484" i="5"/>
  <c r="O1483" i="5" s="1"/>
  <c r="P1484" i="5"/>
  <c r="P1483" i="5" s="1"/>
  <c r="Q1484" i="5"/>
  <c r="Q1483" i="5" s="1"/>
  <c r="H1484" i="5"/>
  <c r="F254" i="7"/>
  <c r="D254" i="7"/>
  <c r="C254" i="7"/>
  <c r="F253" i="7"/>
  <c r="D253" i="7"/>
  <c r="C253" i="7"/>
  <c r="D252" i="7"/>
  <c r="E1444" i="6"/>
  <c r="F1444" i="6"/>
  <c r="G1444" i="6"/>
  <c r="H1444" i="6"/>
  <c r="I1444" i="6"/>
  <c r="J1444" i="6"/>
  <c r="K1444" i="6"/>
  <c r="L1444" i="6"/>
  <c r="M1444" i="6"/>
  <c r="N1444" i="6"/>
  <c r="O1444" i="6"/>
  <c r="P1444" i="6"/>
  <c r="Q1444" i="6"/>
  <c r="R1444" i="6"/>
  <c r="S1444" i="6"/>
  <c r="T1444" i="6"/>
  <c r="U1444" i="6"/>
  <c r="V1444" i="6"/>
  <c r="X1444" i="6"/>
  <c r="Y1444" i="6"/>
  <c r="I1467" i="5"/>
  <c r="J1467" i="5"/>
  <c r="K1467" i="5"/>
  <c r="D250" i="7" s="1"/>
  <c r="L1467" i="5"/>
  <c r="M1467" i="5"/>
  <c r="N1467" i="5"/>
  <c r="O1467" i="5"/>
  <c r="P1467" i="5"/>
  <c r="Q1467" i="5"/>
  <c r="H1467" i="5"/>
  <c r="C250" i="7" s="1"/>
  <c r="F243" i="7"/>
  <c r="D243" i="7"/>
  <c r="C243" i="7"/>
  <c r="E238" i="7"/>
  <c r="T1460" i="6" l="1"/>
  <c r="I1483" i="5"/>
  <c r="D1591" i="6"/>
  <c r="F252" i="7"/>
  <c r="F251" i="7" s="1"/>
  <c r="D251" i="7"/>
  <c r="C1339" i="6"/>
  <c r="C252" i="7"/>
  <c r="C251" i="7" s="1"/>
  <c r="H1483" i="5"/>
  <c r="D1339" i="6"/>
  <c r="F225" i="7"/>
  <c r="O1362" i="5"/>
  <c r="C289" i="7"/>
  <c r="F289" i="7"/>
  <c r="K1621" i="5"/>
  <c r="D289" i="7"/>
  <c r="H1621" i="5"/>
  <c r="L1621" i="5"/>
  <c r="C1491" i="6" l="1"/>
  <c r="C1489" i="6"/>
  <c r="E1492" i="6"/>
  <c r="F1492" i="6"/>
  <c r="G1492" i="6"/>
  <c r="H1492" i="6"/>
  <c r="I1492" i="6"/>
  <c r="J1492" i="6"/>
  <c r="K1492" i="6"/>
  <c r="L1492" i="6"/>
  <c r="M1492" i="6"/>
  <c r="N1492" i="6"/>
  <c r="O1492" i="6"/>
  <c r="P1492" i="6"/>
  <c r="Q1492" i="6"/>
  <c r="R1492" i="6"/>
  <c r="S1492" i="6"/>
  <c r="T1492" i="6"/>
  <c r="U1492" i="6"/>
  <c r="V1492" i="6"/>
  <c r="X1492" i="6"/>
  <c r="Y1492" i="6"/>
  <c r="D1495" i="6"/>
  <c r="I1515" i="5"/>
  <c r="J1515" i="5"/>
  <c r="K1515" i="5"/>
  <c r="L1515" i="5"/>
  <c r="M1515" i="5"/>
  <c r="N1515" i="5"/>
  <c r="O1515" i="5"/>
  <c r="P1515" i="5"/>
  <c r="Q1515" i="5"/>
  <c r="H1515" i="5"/>
  <c r="R1518" i="5"/>
  <c r="D1492" i="6" l="1"/>
  <c r="C1495" i="6"/>
  <c r="C1492" i="6" s="1"/>
  <c r="D1558" i="6"/>
  <c r="C1558" i="6" s="1"/>
  <c r="O1581" i="5"/>
  <c r="R1581" i="5"/>
  <c r="E1421" i="6"/>
  <c r="F1421" i="6"/>
  <c r="G1421" i="6"/>
  <c r="H1421" i="6"/>
  <c r="I1421" i="6"/>
  <c r="J1421" i="6"/>
  <c r="K1421" i="6"/>
  <c r="K1414" i="6" s="1"/>
  <c r="L1421" i="6"/>
  <c r="L1414" i="6" s="1"/>
  <c r="M1421" i="6"/>
  <c r="N1421" i="6"/>
  <c r="O1421" i="6"/>
  <c r="P1421" i="6"/>
  <c r="Q1421" i="6"/>
  <c r="R1421" i="6"/>
  <c r="S1421" i="6"/>
  <c r="T1421" i="6"/>
  <c r="U1421" i="6"/>
  <c r="V1421" i="6"/>
  <c r="X1421" i="6"/>
  <c r="Y1421" i="6"/>
  <c r="D1422" i="6"/>
  <c r="C1422" i="6" s="1"/>
  <c r="C1421" i="6" s="1"/>
  <c r="I1444" i="5"/>
  <c r="J1444" i="5"/>
  <c r="K1444" i="5"/>
  <c r="L1444" i="5"/>
  <c r="M1444" i="5"/>
  <c r="N1444" i="5"/>
  <c r="O1444" i="5"/>
  <c r="P1444" i="5"/>
  <c r="Q1444" i="5"/>
  <c r="H1444" i="5"/>
  <c r="R1445" i="5"/>
  <c r="C240" i="7" l="1"/>
  <c r="F240" i="7"/>
  <c r="D1421" i="6"/>
  <c r="D240" i="7"/>
  <c r="E1555" i="6"/>
  <c r="F1555" i="6"/>
  <c r="G1555" i="6"/>
  <c r="H1555" i="6"/>
  <c r="I1555" i="6"/>
  <c r="J1555" i="6"/>
  <c r="K1555" i="6"/>
  <c r="L1555" i="6"/>
  <c r="M1555" i="6"/>
  <c r="N1555" i="6"/>
  <c r="O1555" i="6"/>
  <c r="P1555" i="6"/>
  <c r="Q1555" i="6"/>
  <c r="R1555" i="6"/>
  <c r="S1555" i="6"/>
  <c r="T1555" i="6"/>
  <c r="U1555" i="6"/>
  <c r="V1555" i="6"/>
  <c r="X1555" i="6"/>
  <c r="Y1555" i="6"/>
  <c r="D1559" i="6"/>
  <c r="C1559" i="6" s="1"/>
  <c r="C1555" i="6" s="1"/>
  <c r="I1578" i="5"/>
  <c r="J1578" i="5"/>
  <c r="K1578" i="5"/>
  <c r="L1578" i="5"/>
  <c r="M1578" i="5"/>
  <c r="N1578" i="5"/>
  <c r="Q1578" i="5"/>
  <c r="H1578" i="5"/>
  <c r="R1582" i="5"/>
  <c r="E293" i="7"/>
  <c r="E1608" i="6"/>
  <c r="F1608" i="6"/>
  <c r="G1608" i="6"/>
  <c r="H1608" i="6"/>
  <c r="I1608" i="6"/>
  <c r="J1608" i="6"/>
  <c r="K1608" i="6"/>
  <c r="L1608" i="6"/>
  <c r="M1608" i="6"/>
  <c r="N1608" i="6"/>
  <c r="O1608" i="6"/>
  <c r="P1608" i="6"/>
  <c r="Q1608" i="6"/>
  <c r="R1608" i="6"/>
  <c r="S1608" i="6"/>
  <c r="T1608" i="6"/>
  <c r="U1608" i="6"/>
  <c r="V1608" i="6"/>
  <c r="X1608" i="6"/>
  <c r="Y1608" i="6"/>
  <c r="D1609" i="6"/>
  <c r="C1609" i="6" s="1"/>
  <c r="C1608" i="6" s="1"/>
  <c r="I1631" i="5"/>
  <c r="J1631" i="5"/>
  <c r="K1631" i="5"/>
  <c r="D294" i="7" s="1"/>
  <c r="L1631" i="5"/>
  <c r="F294" i="7" s="1"/>
  <c r="M1631" i="5"/>
  <c r="N1631" i="5"/>
  <c r="O1631" i="5"/>
  <c r="P1631" i="5"/>
  <c r="Q1631" i="5"/>
  <c r="H1631" i="5"/>
  <c r="C294" i="7" s="1"/>
  <c r="R1632" i="5"/>
  <c r="D1555" i="6" l="1"/>
  <c r="D1608" i="6"/>
  <c r="E235" i="7"/>
  <c r="E1400" i="6"/>
  <c r="E1399" i="6" s="1"/>
  <c r="F1400" i="6"/>
  <c r="F1399" i="6" s="1"/>
  <c r="G1400" i="6"/>
  <c r="G1399" i="6" s="1"/>
  <c r="H1400" i="6"/>
  <c r="H1399" i="6" s="1"/>
  <c r="I1400" i="6"/>
  <c r="I1399" i="6" s="1"/>
  <c r="J1400" i="6"/>
  <c r="J1399" i="6" s="1"/>
  <c r="K1400" i="6"/>
  <c r="K1399" i="6" s="1"/>
  <c r="L1400" i="6"/>
  <c r="L1399" i="6" s="1"/>
  <c r="M1400" i="6"/>
  <c r="M1399" i="6" s="1"/>
  <c r="N1400" i="6"/>
  <c r="N1399" i="6" s="1"/>
  <c r="O1400" i="6"/>
  <c r="O1399" i="6" s="1"/>
  <c r="P1400" i="6"/>
  <c r="Q1400" i="6"/>
  <c r="Q1399" i="6" s="1"/>
  <c r="R1400" i="6"/>
  <c r="R1399" i="6" s="1"/>
  <c r="S1400" i="6"/>
  <c r="S1399" i="6" s="1"/>
  <c r="T1400" i="6"/>
  <c r="U1400" i="6"/>
  <c r="U1399" i="6" s="1"/>
  <c r="V1400" i="6"/>
  <c r="V1399" i="6" s="1"/>
  <c r="X1400" i="6"/>
  <c r="X1399" i="6" s="1"/>
  <c r="Y1400" i="6"/>
  <c r="Y1399" i="6" s="1"/>
  <c r="D1402" i="6"/>
  <c r="C1402" i="6" s="1"/>
  <c r="D1403" i="6"/>
  <c r="C1403" i="6" s="1"/>
  <c r="D1401" i="6"/>
  <c r="C1401" i="6" s="1"/>
  <c r="I1423" i="5"/>
  <c r="J1423" i="5"/>
  <c r="J1422" i="5" s="1"/>
  <c r="K1423" i="5"/>
  <c r="K1422" i="5" s="1"/>
  <c r="L1423" i="5"/>
  <c r="F236" i="7" s="1"/>
  <c r="F235" i="7" s="1"/>
  <c r="M1423" i="5"/>
  <c r="M1422" i="5" s="1"/>
  <c r="N1423" i="5"/>
  <c r="N1422" i="5" s="1"/>
  <c r="O1423" i="5"/>
  <c r="O1422" i="5" s="1"/>
  <c r="P1423" i="5"/>
  <c r="P1422" i="5" s="1"/>
  <c r="Q1423" i="5"/>
  <c r="Q1422" i="5" s="1"/>
  <c r="H1423" i="5"/>
  <c r="C236" i="7" s="1"/>
  <c r="C235" i="7" s="1"/>
  <c r="R1425" i="5"/>
  <c r="R1426" i="5"/>
  <c r="R1424" i="5"/>
  <c r="E1226" i="6"/>
  <c r="F1226" i="6"/>
  <c r="G1226" i="6"/>
  <c r="H1226" i="6"/>
  <c r="I1226" i="6"/>
  <c r="J1226" i="6"/>
  <c r="K1226" i="6"/>
  <c r="L1226" i="6"/>
  <c r="M1226" i="6"/>
  <c r="N1226" i="6"/>
  <c r="O1226" i="6"/>
  <c r="P1226" i="6"/>
  <c r="Q1226" i="6"/>
  <c r="R1226" i="6"/>
  <c r="S1226" i="6"/>
  <c r="T1226" i="6"/>
  <c r="U1226" i="6"/>
  <c r="V1226" i="6"/>
  <c r="X1226" i="6"/>
  <c r="Y1226" i="6"/>
  <c r="D1228" i="6"/>
  <c r="C1228" i="6" s="1"/>
  <c r="D1229" i="6"/>
  <c r="C1229" i="6" s="1"/>
  <c r="D1227" i="6"/>
  <c r="I1249" i="5"/>
  <c r="J1249" i="5"/>
  <c r="K1249" i="5"/>
  <c r="D221" i="7" s="1"/>
  <c r="L1249" i="5"/>
  <c r="F221" i="7" s="1"/>
  <c r="M1249" i="5"/>
  <c r="N1249" i="5"/>
  <c r="O1249" i="5"/>
  <c r="P1249" i="5"/>
  <c r="Q1249" i="5"/>
  <c r="H1249" i="5"/>
  <c r="C221" i="7" s="1"/>
  <c r="R1252" i="5"/>
  <c r="R1251" i="5"/>
  <c r="R1250" i="5"/>
  <c r="T1399" i="6" l="1"/>
  <c r="P1399" i="6"/>
  <c r="I1422" i="5"/>
  <c r="C1400" i="6"/>
  <c r="C1399" i="6" s="1"/>
  <c r="D1400" i="6"/>
  <c r="D1399" i="6" s="1"/>
  <c r="H1422" i="5"/>
  <c r="L1422" i="5"/>
  <c r="D236" i="7"/>
  <c r="D235" i="7" s="1"/>
  <c r="D1226" i="6"/>
  <c r="C1227" i="6"/>
  <c r="C1226" i="6" s="1"/>
  <c r="E1304" i="6" l="1"/>
  <c r="F1304" i="6"/>
  <c r="G1304" i="6"/>
  <c r="H1304" i="6"/>
  <c r="I1304" i="6"/>
  <c r="J1304" i="6"/>
  <c r="K1304" i="6"/>
  <c r="L1304" i="6"/>
  <c r="M1304" i="6"/>
  <c r="N1304" i="6"/>
  <c r="O1304" i="6"/>
  <c r="P1304" i="6"/>
  <c r="Q1304" i="6"/>
  <c r="R1304" i="6"/>
  <c r="S1304" i="6"/>
  <c r="T1304" i="6"/>
  <c r="U1304" i="6"/>
  <c r="V1304" i="6"/>
  <c r="X1304" i="6"/>
  <c r="Y1304" i="6"/>
  <c r="K1327" i="5"/>
  <c r="M1327" i="5"/>
  <c r="N1327" i="5"/>
  <c r="Q1327" i="5"/>
  <c r="H1327" i="5"/>
  <c r="O1344" i="5"/>
  <c r="O1345" i="5"/>
  <c r="O1346" i="5"/>
  <c r="O1347" i="5"/>
  <c r="O1348" i="5"/>
  <c r="O1349" i="5"/>
  <c r="O1350" i="5"/>
  <c r="O1351" i="5"/>
  <c r="R1344" i="5"/>
  <c r="R1345" i="5"/>
  <c r="R1346" i="5"/>
  <c r="R1347" i="5"/>
  <c r="R1348" i="5"/>
  <c r="R1349" i="5"/>
  <c r="R1350" i="5"/>
  <c r="R1351" i="5"/>
  <c r="O1343" i="5"/>
  <c r="R1343" i="5"/>
  <c r="O1337" i="5"/>
  <c r="R1337" i="5"/>
  <c r="D1304" i="6" l="1"/>
  <c r="D1562" i="6"/>
  <c r="C1562" i="6" s="1"/>
  <c r="D1563" i="6"/>
  <c r="C1563" i="6" s="1"/>
  <c r="D1561" i="6"/>
  <c r="R1585" i="5"/>
  <c r="R1584" i="5"/>
  <c r="E1545" i="6"/>
  <c r="F1545" i="6"/>
  <c r="G1545" i="6"/>
  <c r="H1545" i="6"/>
  <c r="I1545" i="6"/>
  <c r="J1545" i="6"/>
  <c r="K1545" i="6"/>
  <c r="L1545" i="6"/>
  <c r="M1545" i="6"/>
  <c r="N1545" i="6"/>
  <c r="O1545" i="6"/>
  <c r="P1545" i="6"/>
  <c r="Q1545" i="6"/>
  <c r="R1545" i="6"/>
  <c r="S1545" i="6"/>
  <c r="T1545" i="6"/>
  <c r="U1545" i="6"/>
  <c r="V1545" i="6"/>
  <c r="X1545" i="6"/>
  <c r="Y1545" i="6"/>
  <c r="D1547" i="6"/>
  <c r="C1547" i="6" s="1"/>
  <c r="D1546" i="6"/>
  <c r="C1546" i="6" s="1"/>
  <c r="I1568" i="5"/>
  <c r="J1568" i="5"/>
  <c r="K1568" i="5"/>
  <c r="L1568" i="5"/>
  <c r="M1568" i="5"/>
  <c r="N1568" i="5"/>
  <c r="Q1568" i="5"/>
  <c r="H1568" i="5"/>
  <c r="R1570" i="5"/>
  <c r="D64" i="7"/>
  <c r="F64" i="7"/>
  <c r="C64" i="7"/>
  <c r="E171" i="7"/>
  <c r="E1392" i="6"/>
  <c r="F1392" i="6"/>
  <c r="G1392" i="6"/>
  <c r="H1392" i="6"/>
  <c r="I1392" i="6"/>
  <c r="J1392" i="6"/>
  <c r="K1392" i="6"/>
  <c r="L1392" i="6"/>
  <c r="M1392" i="6"/>
  <c r="N1392" i="6"/>
  <c r="O1392" i="6"/>
  <c r="P1392" i="6"/>
  <c r="Q1392" i="6"/>
  <c r="R1392" i="6"/>
  <c r="S1392" i="6"/>
  <c r="T1392" i="6"/>
  <c r="U1392" i="6"/>
  <c r="V1392" i="6"/>
  <c r="X1392" i="6"/>
  <c r="Y1392" i="6"/>
  <c r="D1394" i="6"/>
  <c r="C1394" i="6" s="1"/>
  <c r="D1395" i="6"/>
  <c r="C1395" i="6" s="1"/>
  <c r="D1393" i="6"/>
  <c r="D788" i="6"/>
  <c r="E788" i="6"/>
  <c r="F788" i="6"/>
  <c r="G788" i="6"/>
  <c r="H788" i="6"/>
  <c r="I788" i="6"/>
  <c r="J788" i="6"/>
  <c r="K788" i="6"/>
  <c r="L788" i="6"/>
  <c r="M788" i="6"/>
  <c r="N788" i="6"/>
  <c r="O788" i="6"/>
  <c r="P788" i="6"/>
  <c r="Q788" i="6"/>
  <c r="R788" i="6"/>
  <c r="S788" i="6"/>
  <c r="T788" i="6"/>
  <c r="U788" i="6"/>
  <c r="V788" i="6"/>
  <c r="X788" i="6"/>
  <c r="Y788" i="6"/>
  <c r="E573" i="6"/>
  <c r="F573" i="6"/>
  <c r="G573" i="6"/>
  <c r="H573" i="6"/>
  <c r="I573" i="6"/>
  <c r="J573" i="6"/>
  <c r="K573" i="6"/>
  <c r="L573" i="6"/>
  <c r="M573" i="6"/>
  <c r="N573" i="6"/>
  <c r="O573" i="6"/>
  <c r="P573" i="6"/>
  <c r="Q573" i="6"/>
  <c r="R573" i="6"/>
  <c r="S573" i="6"/>
  <c r="T573" i="6"/>
  <c r="U573" i="6"/>
  <c r="V573" i="6"/>
  <c r="X573" i="6"/>
  <c r="Y573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X215" i="6"/>
  <c r="Y215" i="6"/>
  <c r="I1415" i="5"/>
  <c r="J1415" i="5"/>
  <c r="K1415" i="5"/>
  <c r="D234" i="7" s="1"/>
  <c r="L1415" i="5"/>
  <c r="F234" i="7" s="1"/>
  <c r="M1415" i="5"/>
  <c r="N1415" i="5"/>
  <c r="O1415" i="5"/>
  <c r="Q1415" i="5"/>
  <c r="H1415" i="5"/>
  <c r="C234" i="7" s="1"/>
  <c r="R1418" i="5"/>
  <c r="R1417" i="5"/>
  <c r="R1416" i="5"/>
  <c r="I805" i="5"/>
  <c r="J805" i="5"/>
  <c r="K805" i="5"/>
  <c r="D171" i="7" s="1"/>
  <c r="M805" i="5"/>
  <c r="N805" i="5"/>
  <c r="O805" i="5"/>
  <c r="P805" i="5"/>
  <c r="Q805" i="5"/>
  <c r="H805" i="5"/>
  <c r="C171" i="7" s="1"/>
  <c r="I585" i="5"/>
  <c r="J585" i="5"/>
  <c r="K585" i="5"/>
  <c r="D111" i="7" s="1"/>
  <c r="L585" i="5"/>
  <c r="F111" i="7" s="1"/>
  <c r="M585" i="5"/>
  <c r="N585" i="5"/>
  <c r="O585" i="5"/>
  <c r="P585" i="5"/>
  <c r="Q585" i="5"/>
  <c r="H585" i="5"/>
  <c r="C111" i="7" s="1"/>
  <c r="I222" i="5"/>
  <c r="J222" i="5"/>
  <c r="K222" i="5"/>
  <c r="D24" i="7" s="1"/>
  <c r="M222" i="5"/>
  <c r="N222" i="5"/>
  <c r="O222" i="5"/>
  <c r="P222" i="5"/>
  <c r="Q222" i="5"/>
  <c r="H222" i="5"/>
  <c r="C24" i="7" s="1"/>
  <c r="E47" i="7"/>
  <c r="E1509" i="6"/>
  <c r="F1509" i="6"/>
  <c r="G1509" i="6"/>
  <c r="H1509" i="6"/>
  <c r="I1509" i="6"/>
  <c r="J1509" i="6"/>
  <c r="K1509" i="6"/>
  <c r="L1509" i="6"/>
  <c r="M1509" i="6"/>
  <c r="N1509" i="6"/>
  <c r="O1509" i="6"/>
  <c r="P1509" i="6"/>
  <c r="Q1509" i="6"/>
  <c r="R1509" i="6"/>
  <c r="S1509" i="6"/>
  <c r="T1509" i="6"/>
  <c r="U1509" i="6"/>
  <c r="V1509" i="6"/>
  <c r="X1509" i="6"/>
  <c r="Y1509" i="6"/>
  <c r="D1511" i="6"/>
  <c r="C1511" i="6" s="1"/>
  <c r="D1512" i="6"/>
  <c r="C1512" i="6" s="1"/>
  <c r="D1510" i="6"/>
  <c r="C1510" i="6" s="1"/>
  <c r="E825" i="6"/>
  <c r="F825" i="6"/>
  <c r="G825" i="6"/>
  <c r="H825" i="6"/>
  <c r="I825" i="6"/>
  <c r="J825" i="6"/>
  <c r="K825" i="6"/>
  <c r="L825" i="6"/>
  <c r="M825" i="6"/>
  <c r="N825" i="6"/>
  <c r="O825" i="6"/>
  <c r="P825" i="6"/>
  <c r="Q825" i="6"/>
  <c r="R825" i="6"/>
  <c r="S825" i="6"/>
  <c r="T825" i="6"/>
  <c r="U825" i="6"/>
  <c r="V825" i="6"/>
  <c r="X825" i="6"/>
  <c r="Y825" i="6"/>
  <c r="D826" i="6"/>
  <c r="C826" i="6" s="1"/>
  <c r="C825" i="6" s="1"/>
  <c r="E626" i="6"/>
  <c r="F626" i="6"/>
  <c r="G626" i="6"/>
  <c r="H626" i="6"/>
  <c r="I626" i="6"/>
  <c r="J626" i="6"/>
  <c r="K626" i="6"/>
  <c r="L626" i="6"/>
  <c r="M626" i="6"/>
  <c r="N626" i="6"/>
  <c r="O626" i="6"/>
  <c r="P626" i="6"/>
  <c r="Q626" i="6"/>
  <c r="R626" i="6"/>
  <c r="S626" i="6"/>
  <c r="T626" i="6"/>
  <c r="U626" i="6"/>
  <c r="V626" i="6"/>
  <c r="X626" i="6"/>
  <c r="Y626" i="6"/>
  <c r="D628" i="6"/>
  <c r="C628" i="6" s="1"/>
  <c r="D629" i="6"/>
  <c r="C629" i="6" s="1"/>
  <c r="D630" i="6"/>
  <c r="C630" i="6" s="1"/>
  <c r="D627" i="6"/>
  <c r="C627" i="6" s="1"/>
  <c r="E299" i="6"/>
  <c r="F299" i="6"/>
  <c r="G299" i="6"/>
  <c r="H299" i="6"/>
  <c r="I299" i="6"/>
  <c r="J299" i="6"/>
  <c r="K299" i="6"/>
  <c r="L299" i="6"/>
  <c r="M299" i="6"/>
  <c r="N299" i="6"/>
  <c r="O299" i="6"/>
  <c r="P299" i="6"/>
  <c r="Q299" i="6"/>
  <c r="R299" i="6"/>
  <c r="S299" i="6"/>
  <c r="T299" i="6"/>
  <c r="U299" i="6"/>
  <c r="V299" i="6"/>
  <c r="X299" i="6"/>
  <c r="Y299" i="6"/>
  <c r="D301" i="6"/>
  <c r="C301" i="6" s="1"/>
  <c r="D302" i="6"/>
  <c r="C302" i="6" s="1"/>
  <c r="D303" i="6"/>
  <c r="C303" i="6" s="1"/>
  <c r="D304" i="6"/>
  <c r="C304" i="6" s="1"/>
  <c r="D300" i="6"/>
  <c r="C300" i="6" s="1"/>
  <c r="O1534" i="5"/>
  <c r="O1535" i="5"/>
  <c r="O1533" i="5"/>
  <c r="R1534" i="5"/>
  <c r="R1535" i="5"/>
  <c r="R1533" i="5"/>
  <c r="I1532" i="5"/>
  <c r="J1532" i="5"/>
  <c r="K1532" i="5"/>
  <c r="D263" i="7" s="1"/>
  <c r="L1532" i="5"/>
  <c r="F263" i="7" s="1"/>
  <c r="M1532" i="5"/>
  <c r="N1532" i="5"/>
  <c r="P1532" i="5"/>
  <c r="Q1532" i="5"/>
  <c r="H1532" i="5"/>
  <c r="C263" i="7" s="1"/>
  <c r="I842" i="5"/>
  <c r="J842" i="5"/>
  <c r="K842" i="5"/>
  <c r="D186" i="7" s="1"/>
  <c r="L842" i="5"/>
  <c r="F186" i="7" s="1"/>
  <c r="M842" i="5"/>
  <c r="N842" i="5"/>
  <c r="O842" i="5"/>
  <c r="P842" i="5"/>
  <c r="Q842" i="5"/>
  <c r="H842" i="5"/>
  <c r="C186" i="7" s="1"/>
  <c r="R843" i="5"/>
  <c r="O640" i="5"/>
  <c r="O641" i="5"/>
  <c r="O642" i="5"/>
  <c r="O639" i="5"/>
  <c r="R640" i="5"/>
  <c r="R641" i="5"/>
  <c r="R642" i="5"/>
  <c r="R639" i="5"/>
  <c r="I638" i="5"/>
  <c r="J638" i="5"/>
  <c r="K638" i="5"/>
  <c r="D131" i="7" s="1"/>
  <c r="L638" i="5"/>
  <c r="F131" i="7" s="1"/>
  <c r="M638" i="5"/>
  <c r="N638" i="5"/>
  <c r="P638" i="5"/>
  <c r="Q638" i="5"/>
  <c r="H638" i="5"/>
  <c r="C131" i="7" s="1"/>
  <c r="O308" i="5"/>
  <c r="O309" i="5"/>
  <c r="O310" i="5"/>
  <c r="O311" i="5"/>
  <c r="O307" i="5"/>
  <c r="R308" i="5"/>
  <c r="R309" i="5"/>
  <c r="R310" i="5"/>
  <c r="R311" i="5"/>
  <c r="R307" i="5"/>
  <c r="I306" i="5"/>
  <c r="J306" i="5"/>
  <c r="K306" i="5"/>
  <c r="D53" i="7" s="1"/>
  <c r="L306" i="5"/>
  <c r="F53" i="7" s="1"/>
  <c r="M306" i="5"/>
  <c r="N306" i="5"/>
  <c r="P306" i="5"/>
  <c r="Q306" i="5"/>
  <c r="H306" i="5"/>
  <c r="C53" i="7" s="1"/>
  <c r="D1550" i="6"/>
  <c r="C1550" i="6" s="1"/>
  <c r="D1552" i="6"/>
  <c r="C1552" i="6" s="1"/>
  <c r="D1553" i="6"/>
  <c r="C1553" i="6" s="1"/>
  <c r="D1554" i="6"/>
  <c r="C1554" i="6" s="1"/>
  <c r="D1549" i="6"/>
  <c r="C1549" i="6" s="1"/>
  <c r="E1548" i="6"/>
  <c r="F1548" i="6"/>
  <c r="G1548" i="6"/>
  <c r="H1548" i="6"/>
  <c r="I1548" i="6"/>
  <c r="J1548" i="6"/>
  <c r="K1548" i="6"/>
  <c r="L1548" i="6"/>
  <c r="M1548" i="6"/>
  <c r="N1548" i="6"/>
  <c r="O1548" i="6"/>
  <c r="P1548" i="6"/>
  <c r="Q1548" i="6"/>
  <c r="R1548" i="6"/>
  <c r="S1548" i="6"/>
  <c r="T1548" i="6"/>
  <c r="U1548" i="6"/>
  <c r="V1548" i="6"/>
  <c r="X1548" i="6"/>
  <c r="Y1548" i="6"/>
  <c r="K851" i="6"/>
  <c r="L851" i="6"/>
  <c r="M851" i="6"/>
  <c r="N851" i="6"/>
  <c r="O851" i="6"/>
  <c r="Q851" i="6"/>
  <c r="R851" i="6"/>
  <c r="S851" i="6"/>
  <c r="T851" i="6"/>
  <c r="U851" i="6"/>
  <c r="V851" i="6"/>
  <c r="X851" i="6"/>
  <c r="Y851" i="6"/>
  <c r="E651" i="6"/>
  <c r="F651" i="6"/>
  <c r="G651" i="6"/>
  <c r="H651" i="6"/>
  <c r="I651" i="6"/>
  <c r="J651" i="6"/>
  <c r="K651" i="6"/>
  <c r="L651" i="6"/>
  <c r="M651" i="6"/>
  <c r="N651" i="6"/>
  <c r="O651" i="6"/>
  <c r="P651" i="6"/>
  <c r="Q651" i="6"/>
  <c r="R651" i="6"/>
  <c r="S651" i="6"/>
  <c r="T651" i="6"/>
  <c r="U651" i="6"/>
  <c r="V651" i="6"/>
  <c r="X651" i="6"/>
  <c r="Y651" i="6"/>
  <c r="D653" i="6"/>
  <c r="C653" i="6" s="1"/>
  <c r="D654" i="6"/>
  <c r="D652" i="6"/>
  <c r="C652" i="6" s="1"/>
  <c r="K352" i="6"/>
  <c r="L352" i="6"/>
  <c r="M352" i="6"/>
  <c r="O352" i="6"/>
  <c r="P352" i="6"/>
  <c r="Q352" i="6"/>
  <c r="S352" i="6"/>
  <c r="U352" i="6"/>
  <c r="X352" i="6"/>
  <c r="Y352" i="6"/>
  <c r="D273" i="7"/>
  <c r="C273" i="7"/>
  <c r="R1575" i="5"/>
  <c r="R1576" i="5"/>
  <c r="R1577" i="5"/>
  <c r="I868" i="5"/>
  <c r="J868" i="5"/>
  <c r="K868" i="5"/>
  <c r="L868" i="5"/>
  <c r="M868" i="5"/>
  <c r="N868" i="5"/>
  <c r="O868" i="5"/>
  <c r="P868" i="5"/>
  <c r="Q868" i="5"/>
  <c r="H868" i="5"/>
  <c r="O665" i="5"/>
  <c r="O666" i="5"/>
  <c r="O664" i="5"/>
  <c r="R665" i="5"/>
  <c r="R666" i="5"/>
  <c r="R664" i="5"/>
  <c r="I663" i="5"/>
  <c r="J663" i="5"/>
  <c r="K663" i="5"/>
  <c r="D141" i="7" s="1"/>
  <c r="L663" i="5"/>
  <c r="F141" i="7" s="1"/>
  <c r="M663" i="5"/>
  <c r="N663" i="5"/>
  <c r="P663" i="5"/>
  <c r="Q663" i="5"/>
  <c r="H663" i="5"/>
  <c r="C141" i="7" s="1"/>
  <c r="I359" i="5"/>
  <c r="J359" i="5"/>
  <c r="K359" i="5"/>
  <c r="L359" i="5"/>
  <c r="M359" i="5"/>
  <c r="N359" i="5"/>
  <c r="P359" i="5"/>
  <c r="Q359" i="5"/>
  <c r="H359" i="5"/>
  <c r="O361" i="5"/>
  <c r="O362" i="5"/>
  <c r="O360" i="5"/>
  <c r="C1561" i="6" l="1"/>
  <c r="C1560" i="6" s="1"/>
  <c r="D1560" i="6"/>
  <c r="O306" i="5"/>
  <c r="O1532" i="5"/>
  <c r="C1545" i="6"/>
  <c r="R1586" i="5"/>
  <c r="D1545" i="6"/>
  <c r="C1393" i="6"/>
  <c r="D1509" i="6"/>
  <c r="C1509" i="6"/>
  <c r="D825" i="6"/>
  <c r="D626" i="6"/>
  <c r="C626" i="6"/>
  <c r="C299" i="6"/>
  <c r="D299" i="6"/>
  <c r="O638" i="5"/>
  <c r="O663" i="5"/>
  <c r="O359" i="5"/>
  <c r="D1548" i="6"/>
  <c r="C1548" i="6"/>
  <c r="D651" i="6"/>
  <c r="C654" i="6"/>
  <c r="C651" i="6" s="1"/>
  <c r="E229" i="7" l="1"/>
  <c r="E107" i="7"/>
  <c r="E19" i="7"/>
  <c r="E1365" i="6"/>
  <c r="F1365" i="6"/>
  <c r="G1365" i="6"/>
  <c r="H1365" i="6"/>
  <c r="I1365" i="6"/>
  <c r="J1365" i="6"/>
  <c r="K1365" i="6"/>
  <c r="L1365" i="6"/>
  <c r="M1365" i="6"/>
  <c r="N1365" i="6"/>
  <c r="O1365" i="6"/>
  <c r="P1365" i="6"/>
  <c r="Q1365" i="6"/>
  <c r="R1365" i="6"/>
  <c r="S1365" i="6"/>
  <c r="T1365" i="6"/>
  <c r="U1365" i="6"/>
  <c r="V1365" i="6"/>
  <c r="X1365" i="6"/>
  <c r="Y1365" i="6"/>
  <c r="D1367" i="6"/>
  <c r="C1367" i="6" s="1"/>
  <c r="D1368" i="6"/>
  <c r="D1369" i="6"/>
  <c r="C1369" i="6" s="1"/>
  <c r="D1366" i="6"/>
  <c r="C1366" i="6" s="1"/>
  <c r="D776" i="6"/>
  <c r="C776" i="6" s="1"/>
  <c r="D775" i="6"/>
  <c r="C775" i="6" s="1"/>
  <c r="E774" i="6"/>
  <c r="F774" i="6"/>
  <c r="G774" i="6"/>
  <c r="H774" i="6"/>
  <c r="I774" i="6"/>
  <c r="J774" i="6"/>
  <c r="K774" i="6"/>
  <c r="L774" i="6"/>
  <c r="M774" i="6"/>
  <c r="N774" i="6"/>
  <c r="O774" i="6"/>
  <c r="P774" i="6"/>
  <c r="Q774" i="6"/>
  <c r="R774" i="6"/>
  <c r="S774" i="6"/>
  <c r="T774" i="6"/>
  <c r="U774" i="6"/>
  <c r="V774" i="6"/>
  <c r="X774" i="6"/>
  <c r="Y774" i="6"/>
  <c r="E563" i="6"/>
  <c r="E562" i="6" s="1"/>
  <c r="F563" i="6"/>
  <c r="F562" i="6" s="1"/>
  <c r="G563" i="6"/>
  <c r="G562" i="6" s="1"/>
  <c r="H563" i="6"/>
  <c r="H562" i="6" s="1"/>
  <c r="I563" i="6"/>
  <c r="I562" i="6" s="1"/>
  <c r="J563" i="6"/>
  <c r="J562" i="6" s="1"/>
  <c r="K563" i="6"/>
  <c r="K562" i="6" s="1"/>
  <c r="L563" i="6"/>
  <c r="L562" i="6" s="1"/>
  <c r="M563" i="6"/>
  <c r="M562" i="6" s="1"/>
  <c r="N563" i="6"/>
  <c r="N562" i="6" s="1"/>
  <c r="O563" i="6"/>
  <c r="O562" i="6" s="1"/>
  <c r="P563" i="6"/>
  <c r="P562" i="6" s="1"/>
  <c r="Q563" i="6"/>
  <c r="Q562" i="6" s="1"/>
  <c r="R563" i="6"/>
  <c r="R562" i="6" s="1"/>
  <c r="S563" i="6"/>
  <c r="S562" i="6" s="1"/>
  <c r="T563" i="6"/>
  <c r="T562" i="6" s="1"/>
  <c r="U563" i="6"/>
  <c r="U562" i="6" s="1"/>
  <c r="V563" i="6"/>
  <c r="V562" i="6" s="1"/>
  <c r="X563" i="6"/>
  <c r="X562" i="6" s="1"/>
  <c r="Y563" i="6"/>
  <c r="Y562" i="6" s="1"/>
  <c r="D564" i="6"/>
  <c r="C564" i="6" s="1"/>
  <c r="C563" i="6" s="1"/>
  <c r="C562" i="6" s="1"/>
  <c r="E199" i="6"/>
  <c r="E198" i="6" s="1"/>
  <c r="F199" i="6"/>
  <c r="F198" i="6" s="1"/>
  <c r="G199" i="6"/>
  <c r="G198" i="6" s="1"/>
  <c r="H199" i="6"/>
  <c r="H198" i="6" s="1"/>
  <c r="I199" i="6"/>
  <c r="I198" i="6" s="1"/>
  <c r="J199" i="6"/>
  <c r="J198" i="6" s="1"/>
  <c r="K199" i="6"/>
  <c r="K198" i="6" s="1"/>
  <c r="L199" i="6"/>
  <c r="L198" i="6" s="1"/>
  <c r="M199" i="6"/>
  <c r="M198" i="6" s="1"/>
  <c r="N199" i="6"/>
  <c r="N198" i="6" s="1"/>
  <c r="O199" i="6"/>
  <c r="O198" i="6" s="1"/>
  <c r="P199" i="6"/>
  <c r="P198" i="6" s="1"/>
  <c r="Q199" i="6"/>
  <c r="Q198" i="6" s="1"/>
  <c r="R199" i="6"/>
  <c r="R198" i="6" s="1"/>
  <c r="S199" i="6"/>
  <c r="S198" i="6" s="1"/>
  <c r="T199" i="6"/>
  <c r="T198" i="6" s="1"/>
  <c r="U199" i="6"/>
  <c r="U198" i="6" s="1"/>
  <c r="V199" i="6"/>
  <c r="V198" i="6" s="1"/>
  <c r="X199" i="6"/>
  <c r="X198" i="6" s="1"/>
  <c r="Y199" i="6"/>
  <c r="Y198" i="6" s="1"/>
  <c r="D201" i="6"/>
  <c r="C201" i="6" s="1"/>
  <c r="D202" i="6"/>
  <c r="C202" i="6" s="1"/>
  <c r="D203" i="6"/>
  <c r="C203" i="6" s="1"/>
  <c r="D200" i="6"/>
  <c r="C200" i="6" s="1"/>
  <c r="I1388" i="5"/>
  <c r="J1388" i="5"/>
  <c r="K1388" i="5"/>
  <c r="D230" i="7" s="1"/>
  <c r="D229" i="7" s="1"/>
  <c r="L1388" i="5"/>
  <c r="F230" i="7" s="1"/>
  <c r="F229" i="7" s="1"/>
  <c r="M1388" i="5"/>
  <c r="N1388" i="5"/>
  <c r="O1388" i="5"/>
  <c r="Q1388" i="5"/>
  <c r="H1388" i="5"/>
  <c r="C230" i="7" s="1"/>
  <c r="C229" i="7" s="1"/>
  <c r="R1391" i="5"/>
  <c r="R1392" i="5"/>
  <c r="I791" i="5"/>
  <c r="J791" i="5"/>
  <c r="K791" i="5"/>
  <c r="D168" i="7" s="1"/>
  <c r="L791" i="5"/>
  <c r="F168" i="7" s="1"/>
  <c r="M791" i="5"/>
  <c r="N791" i="5"/>
  <c r="P791" i="5"/>
  <c r="Q791" i="5"/>
  <c r="H791" i="5"/>
  <c r="C168" i="7" s="1"/>
  <c r="I575" i="5"/>
  <c r="J575" i="5"/>
  <c r="J574" i="5" s="1"/>
  <c r="K575" i="5"/>
  <c r="K574" i="5" s="1"/>
  <c r="L575" i="5"/>
  <c r="L574" i="5" s="1"/>
  <c r="M575" i="5"/>
  <c r="M574" i="5" s="1"/>
  <c r="N575" i="5"/>
  <c r="N574" i="5" s="1"/>
  <c r="O575" i="5"/>
  <c r="O574" i="5" s="1"/>
  <c r="P575" i="5"/>
  <c r="P574" i="5" s="1"/>
  <c r="Q575" i="5"/>
  <c r="Q574" i="5" s="1"/>
  <c r="H575" i="5"/>
  <c r="H574" i="5" s="1"/>
  <c r="R580" i="5"/>
  <c r="R581" i="5"/>
  <c r="R582" i="5"/>
  <c r="R583" i="5"/>
  <c r="R584" i="5"/>
  <c r="R579" i="5"/>
  <c r="R576" i="5"/>
  <c r="I206" i="5"/>
  <c r="J206" i="5"/>
  <c r="K206" i="5"/>
  <c r="L206" i="5"/>
  <c r="M206" i="5"/>
  <c r="M205" i="5" s="1"/>
  <c r="N206" i="5"/>
  <c r="N205" i="5" s="1"/>
  <c r="O206" i="5"/>
  <c r="O205" i="5" s="1"/>
  <c r="P206" i="5"/>
  <c r="P205" i="5" s="1"/>
  <c r="Q206" i="5"/>
  <c r="Q205" i="5" s="1"/>
  <c r="H206" i="5"/>
  <c r="H205" i="5" s="1"/>
  <c r="R210" i="5"/>
  <c r="R209" i="5"/>
  <c r="R208" i="5"/>
  <c r="R207" i="5"/>
  <c r="L205" i="5" l="1"/>
  <c r="J205" i="5"/>
  <c r="I574" i="5"/>
  <c r="K205" i="5"/>
  <c r="I205" i="5"/>
  <c r="D774" i="6"/>
  <c r="D20" i="7"/>
  <c r="D19" i="7" s="1"/>
  <c r="C108" i="7"/>
  <c r="C107" i="7" s="1"/>
  <c r="F108" i="7"/>
  <c r="F107" i="7" s="1"/>
  <c r="C20" i="7"/>
  <c r="C19" i="7" s="1"/>
  <c r="F20" i="7"/>
  <c r="F19" i="7" s="1"/>
  <c r="D108" i="7"/>
  <c r="D107" i="7" s="1"/>
  <c r="D1365" i="6"/>
  <c r="C1368" i="6"/>
  <c r="C1365" i="6" s="1"/>
  <c r="C774" i="6"/>
  <c r="D563" i="6"/>
  <c r="D562" i="6" s="1"/>
  <c r="C199" i="6"/>
  <c r="C198" i="6" s="1"/>
  <c r="D199" i="6"/>
  <c r="D198" i="6" s="1"/>
  <c r="E215" i="7"/>
  <c r="E175" i="7"/>
  <c r="E30" i="7" l="1"/>
  <c r="E1431" i="6"/>
  <c r="F1431" i="6"/>
  <c r="G1431" i="6"/>
  <c r="H1431" i="6"/>
  <c r="I1431" i="6"/>
  <c r="J1431" i="6"/>
  <c r="K1431" i="6"/>
  <c r="K1423" i="6" s="1"/>
  <c r="L1431" i="6"/>
  <c r="L1423" i="6" s="1"/>
  <c r="M1431" i="6"/>
  <c r="N1431" i="6"/>
  <c r="O1431" i="6"/>
  <c r="P1431" i="6"/>
  <c r="Q1431" i="6"/>
  <c r="R1431" i="6"/>
  <c r="S1431" i="6"/>
  <c r="T1431" i="6"/>
  <c r="U1431" i="6"/>
  <c r="V1431" i="6"/>
  <c r="X1431" i="6"/>
  <c r="Y1431" i="6"/>
  <c r="D1432" i="6"/>
  <c r="D1431" i="6" s="1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X240" i="6"/>
  <c r="Y240" i="6"/>
  <c r="D242" i="6"/>
  <c r="C242" i="6" s="1"/>
  <c r="D241" i="6"/>
  <c r="C241" i="6" s="1"/>
  <c r="I1454" i="5"/>
  <c r="J1454" i="5"/>
  <c r="K1454" i="5"/>
  <c r="D245" i="7" s="1"/>
  <c r="L1454" i="5"/>
  <c r="F245" i="7" s="1"/>
  <c r="M1454" i="5"/>
  <c r="N1454" i="5"/>
  <c r="O1454" i="5"/>
  <c r="P1454" i="5"/>
  <c r="Q1454" i="5"/>
  <c r="H1454" i="5"/>
  <c r="C245" i="7" s="1"/>
  <c r="R1455" i="5"/>
  <c r="I247" i="5"/>
  <c r="J247" i="5"/>
  <c r="K247" i="5"/>
  <c r="D35" i="7" s="1"/>
  <c r="L247" i="5"/>
  <c r="F35" i="7" s="1"/>
  <c r="M247" i="5"/>
  <c r="N247" i="5"/>
  <c r="O247" i="5"/>
  <c r="P247" i="5"/>
  <c r="Q247" i="5"/>
  <c r="H247" i="5"/>
  <c r="C35" i="7" s="1"/>
  <c r="R249" i="5"/>
  <c r="R248" i="5"/>
  <c r="C1432" i="6" l="1"/>
  <c r="C1431" i="6" s="1"/>
  <c r="D240" i="6"/>
  <c r="C240" i="6"/>
  <c r="E248" i="7"/>
  <c r="K1438" i="6"/>
  <c r="L1438" i="6"/>
  <c r="E212" i="7" l="1"/>
  <c r="D824" i="6" l="1"/>
  <c r="E624" i="6"/>
  <c r="F624" i="6"/>
  <c r="G624" i="6"/>
  <c r="H624" i="6"/>
  <c r="I624" i="6"/>
  <c r="J624" i="6"/>
  <c r="K624" i="6"/>
  <c r="L624" i="6"/>
  <c r="M624" i="6"/>
  <c r="N624" i="6"/>
  <c r="O624" i="6"/>
  <c r="P624" i="6"/>
  <c r="Q624" i="6"/>
  <c r="R624" i="6"/>
  <c r="S624" i="6"/>
  <c r="T624" i="6"/>
  <c r="U624" i="6"/>
  <c r="V624" i="6"/>
  <c r="X624" i="6"/>
  <c r="Y624" i="6"/>
  <c r="D625" i="6"/>
  <c r="C625" i="6" s="1"/>
  <c r="C624" i="6" s="1"/>
  <c r="E297" i="6"/>
  <c r="F297" i="6"/>
  <c r="G297" i="6"/>
  <c r="H297" i="6"/>
  <c r="I297" i="6"/>
  <c r="J297" i="6"/>
  <c r="K297" i="6"/>
  <c r="L297" i="6"/>
  <c r="M297" i="6"/>
  <c r="N297" i="6"/>
  <c r="O297" i="6"/>
  <c r="P297" i="6"/>
  <c r="Q297" i="6"/>
  <c r="R297" i="6"/>
  <c r="S297" i="6"/>
  <c r="T297" i="6"/>
  <c r="U297" i="6"/>
  <c r="X297" i="6"/>
  <c r="Y297" i="6"/>
  <c r="D298" i="6"/>
  <c r="C298" i="6" s="1"/>
  <c r="C297" i="6" s="1"/>
  <c r="D185" i="7"/>
  <c r="F185" i="7"/>
  <c r="C185" i="7"/>
  <c r="I636" i="5"/>
  <c r="J636" i="5"/>
  <c r="K636" i="5"/>
  <c r="D130" i="7" s="1"/>
  <c r="L636" i="5"/>
  <c r="F130" i="7" s="1"/>
  <c r="M636" i="5"/>
  <c r="N636" i="5"/>
  <c r="O636" i="5"/>
  <c r="P636" i="5"/>
  <c r="Q636" i="5"/>
  <c r="H636" i="5"/>
  <c r="C130" i="7" s="1"/>
  <c r="R637" i="5"/>
  <c r="I304" i="5"/>
  <c r="J304" i="5"/>
  <c r="K304" i="5"/>
  <c r="D52" i="7" s="1"/>
  <c r="L304" i="5"/>
  <c r="F52" i="7" s="1"/>
  <c r="M304" i="5"/>
  <c r="N304" i="5"/>
  <c r="O304" i="5"/>
  <c r="P304" i="5"/>
  <c r="Q304" i="5"/>
  <c r="H304" i="5"/>
  <c r="C52" i="7" s="1"/>
  <c r="R305" i="5"/>
  <c r="E295" i="6"/>
  <c r="F295" i="6"/>
  <c r="G295" i="6"/>
  <c r="H295" i="6"/>
  <c r="I295" i="6"/>
  <c r="J295" i="6"/>
  <c r="K295" i="6"/>
  <c r="L295" i="6"/>
  <c r="M295" i="6"/>
  <c r="N295" i="6"/>
  <c r="O295" i="6"/>
  <c r="P295" i="6"/>
  <c r="Q295" i="6"/>
  <c r="R295" i="6"/>
  <c r="S295" i="6"/>
  <c r="T295" i="6"/>
  <c r="U295" i="6"/>
  <c r="V295" i="6"/>
  <c r="X295" i="6"/>
  <c r="Y295" i="6"/>
  <c r="D296" i="6"/>
  <c r="C296" i="6" s="1"/>
  <c r="C295" i="6" s="1"/>
  <c r="I302" i="5"/>
  <c r="J302" i="5"/>
  <c r="K302" i="5"/>
  <c r="D51" i="7" s="1"/>
  <c r="L302" i="5"/>
  <c r="F51" i="7" s="1"/>
  <c r="M302" i="5"/>
  <c r="N302" i="5"/>
  <c r="O302" i="5"/>
  <c r="P302" i="5"/>
  <c r="Q302" i="5"/>
  <c r="H302" i="5"/>
  <c r="C51" i="7" s="1"/>
  <c r="R303" i="5"/>
  <c r="D292" i="7"/>
  <c r="E1605" i="6"/>
  <c r="F1605" i="6"/>
  <c r="G1605" i="6"/>
  <c r="H1605" i="6"/>
  <c r="I1605" i="6"/>
  <c r="J1605" i="6"/>
  <c r="K1605" i="6"/>
  <c r="L1605" i="6"/>
  <c r="M1605" i="6"/>
  <c r="N1605" i="6"/>
  <c r="O1605" i="6"/>
  <c r="P1605" i="6"/>
  <c r="Q1605" i="6"/>
  <c r="R1605" i="6"/>
  <c r="S1605" i="6"/>
  <c r="T1605" i="6"/>
  <c r="U1605" i="6"/>
  <c r="V1605" i="6"/>
  <c r="X1605" i="6"/>
  <c r="Y1605" i="6"/>
  <c r="D1606" i="6"/>
  <c r="C1606" i="6" s="1"/>
  <c r="C1605" i="6" s="1"/>
  <c r="D893" i="6"/>
  <c r="C893" i="6" s="1"/>
  <c r="D894" i="6"/>
  <c r="C894" i="6" s="1"/>
  <c r="D895" i="6"/>
  <c r="C895" i="6" s="1"/>
  <c r="D892" i="6"/>
  <c r="E691" i="6"/>
  <c r="F691" i="6"/>
  <c r="G691" i="6"/>
  <c r="H691" i="6"/>
  <c r="I691" i="6"/>
  <c r="J691" i="6"/>
  <c r="K691" i="6"/>
  <c r="L691" i="6"/>
  <c r="M691" i="6"/>
  <c r="N691" i="6"/>
  <c r="O691" i="6"/>
  <c r="P691" i="6"/>
  <c r="Q691" i="6"/>
  <c r="R691" i="6"/>
  <c r="S691" i="6"/>
  <c r="T691" i="6"/>
  <c r="U691" i="6"/>
  <c r="V691" i="6"/>
  <c r="X691" i="6"/>
  <c r="Y691" i="6"/>
  <c r="D693" i="6"/>
  <c r="C693" i="6" s="1"/>
  <c r="D694" i="6"/>
  <c r="C694" i="6" s="1"/>
  <c r="D695" i="6"/>
  <c r="C695" i="6" s="1"/>
  <c r="D692" i="6"/>
  <c r="C692" i="6" s="1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X426" i="6"/>
  <c r="Y426" i="6"/>
  <c r="D428" i="6"/>
  <c r="C428" i="6" s="1"/>
  <c r="D429" i="6"/>
  <c r="C429" i="6" s="1"/>
  <c r="D430" i="6"/>
  <c r="C430" i="6" s="1"/>
  <c r="D431" i="6"/>
  <c r="C431" i="6" s="1"/>
  <c r="D432" i="6"/>
  <c r="C432" i="6" s="1"/>
  <c r="D427" i="6"/>
  <c r="C427" i="6" s="1"/>
  <c r="I1628" i="5"/>
  <c r="J1628" i="5"/>
  <c r="K1628" i="5"/>
  <c r="L1628" i="5"/>
  <c r="F292" i="7" s="1"/>
  <c r="M1628" i="5"/>
  <c r="N1628" i="5"/>
  <c r="O1628" i="5"/>
  <c r="P1628" i="5"/>
  <c r="Q1628" i="5"/>
  <c r="H1628" i="5"/>
  <c r="C292" i="7" s="1"/>
  <c r="R1629" i="5"/>
  <c r="R910" i="5"/>
  <c r="R911" i="5"/>
  <c r="R912" i="5"/>
  <c r="R909" i="5"/>
  <c r="I908" i="5"/>
  <c r="J908" i="5"/>
  <c r="K908" i="5"/>
  <c r="D214" i="7" s="1"/>
  <c r="L908" i="5"/>
  <c r="F214" i="7" s="1"/>
  <c r="M908" i="5"/>
  <c r="N908" i="5"/>
  <c r="P908" i="5"/>
  <c r="Q908" i="5"/>
  <c r="H908" i="5"/>
  <c r="C214" i="7" s="1"/>
  <c r="O912" i="5"/>
  <c r="O911" i="5"/>
  <c r="O910" i="5"/>
  <c r="O909" i="5"/>
  <c r="I703" i="5"/>
  <c r="J703" i="5"/>
  <c r="K703" i="5"/>
  <c r="D155" i="7" s="1"/>
  <c r="L703" i="5"/>
  <c r="F155" i="7" s="1"/>
  <c r="M703" i="5"/>
  <c r="N703" i="5"/>
  <c r="P703" i="5"/>
  <c r="Q703" i="5"/>
  <c r="H703" i="5"/>
  <c r="C155" i="7" s="1"/>
  <c r="R707" i="5"/>
  <c r="O707" i="5"/>
  <c r="R706" i="5"/>
  <c r="O706" i="5"/>
  <c r="R705" i="5"/>
  <c r="O705" i="5"/>
  <c r="R704" i="5"/>
  <c r="O704" i="5"/>
  <c r="O703" i="5" s="1"/>
  <c r="I416" i="5"/>
  <c r="J416" i="5"/>
  <c r="K416" i="5"/>
  <c r="D91" i="7" s="1"/>
  <c r="L416" i="5"/>
  <c r="F91" i="7" s="1"/>
  <c r="M416" i="5"/>
  <c r="N416" i="5"/>
  <c r="P416" i="5"/>
  <c r="Q416" i="5"/>
  <c r="H416" i="5"/>
  <c r="C91" i="7" s="1"/>
  <c r="R422" i="5"/>
  <c r="O422" i="5"/>
  <c r="R421" i="5"/>
  <c r="R420" i="5"/>
  <c r="O420" i="5"/>
  <c r="R419" i="5"/>
  <c r="O419" i="5"/>
  <c r="R418" i="5"/>
  <c r="O418" i="5"/>
  <c r="R417" i="5"/>
  <c r="O417" i="5"/>
  <c r="C892" i="6" l="1"/>
  <c r="C891" i="6" s="1"/>
  <c r="D891" i="6"/>
  <c r="C824" i="6"/>
  <c r="C823" i="6" s="1"/>
  <c r="D823" i="6"/>
  <c r="C691" i="6"/>
  <c r="D624" i="6"/>
  <c r="D295" i="6"/>
  <c r="D297" i="6"/>
  <c r="D1605" i="6"/>
  <c r="D691" i="6"/>
  <c r="C426" i="6"/>
  <c r="D426" i="6"/>
  <c r="O908" i="5"/>
  <c r="O416" i="5"/>
  <c r="E583" i="6" l="1"/>
  <c r="F583" i="6"/>
  <c r="G583" i="6"/>
  <c r="H583" i="6"/>
  <c r="I583" i="6"/>
  <c r="J583" i="6"/>
  <c r="K583" i="6"/>
  <c r="L583" i="6"/>
  <c r="M583" i="6"/>
  <c r="N583" i="6"/>
  <c r="O583" i="6"/>
  <c r="P583" i="6"/>
  <c r="Q583" i="6"/>
  <c r="R583" i="6"/>
  <c r="S583" i="6"/>
  <c r="T583" i="6"/>
  <c r="U583" i="6"/>
  <c r="V583" i="6"/>
  <c r="X583" i="6"/>
  <c r="Y583" i="6"/>
  <c r="D584" i="6"/>
  <c r="C584" i="6" s="1"/>
  <c r="C583" i="6" s="1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X229" i="6"/>
  <c r="Y229" i="6"/>
  <c r="D230" i="6"/>
  <c r="C230" i="6" s="1"/>
  <c r="C229" i="6" s="1"/>
  <c r="I595" i="5"/>
  <c r="J595" i="5"/>
  <c r="K595" i="5"/>
  <c r="D116" i="7" s="1"/>
  <c r="L595" i="5"/>
  <c r="F116" i="7" s="1"/>
  <c r="M595" i="5"/>
  <c r="N595" i="5"/>
  <c r="O595" i="5"/>
  <c r="P595" i="5"/>
  <c r="Q595" i="5"/>
  <c r="H595" i="5"/>
  <c r="C116" i="7" s="1"/>
  <c r="R596" i="5"/>
  <c r="I236" i="5"/>
  <c r="J236" i="5"/>
  <c r="K236" i="5"/>
  <c r="D31" i="7" s="1"/>
  <c r="L236" i="5"/>
  <c r="F31" i="7" s="1"/>
  <c r="M236" i="5"/>
  <c r="N236" i="5"/>
  <c r="O236" i="5"/>
  <c r="P236" i="5"/>
  <c r="Q236" i="5"/>
  <c r="H236" i="5"/>
  <c r="C31" i="7" s="1"/>
  <c r="R237" i="5"/>
  <c r="E281" i="7"/>
  <c r="E80" i="7"/>
  <c r="D1583" i="6"/>
  <c r="C1583" i="6" s="1"/>
  <c r="E412" i="6"/>
  <c r="F412" i="6"/>
  <c r="F411" i="6" s="1"/>
  <c r="G412" i="6"/>
  <c r="G411" i="6" s="1"/>
  <c r="H412" i="6"/>
  <c r="H411" i="6" s="1"/>
  <c r="I412" i="6"/>
  <c r="I411" i="6" s="1"/>
  <c r="J412" i="6"/>
  <c r="J411" i="6" s="1"/>
  <c r="K412" i="6"/>
  <c r="K411" i="6" s="1"/>
  <c r="L412" i="6"/>
  <c r="L411" i="6" s="1"/>
  <c r="M412" i="6"/>
  <c r="M411" i="6" s="1"/>
  <c r="N412" i="6"/>
  <c r="N411" i="6" s="1"/>
  <c r="O412" i="6"/>
  <c r="O411" i="6" s="1"/>
  <c r="P412" i="6"/>
  <c r="Q412" i="6"/>
  <c r="Q411" i="6" s="1"/>
  <c r="R412" i="6"/>
  <c r="R411" i="6" s="1"/>
  <c r="S412" i="6"/>
  <c r="S411" i="6" s="1"/>
  <c r="T412" i="6"/>
  <c r="T411" i="6" s="1"/>
  <c r="U412" i="6"/>
  <c r="U411" i="6" s="1"/>
  <c r="V412" i="6"/>
  <c r="V411" i="6" s="1"/>
  <c r="X412" i="6"/>
  <c r="X411" i="6" s="1"/>
  <c r="Y412" i="6"/>
  <c r="Y411" i="6" s="1"/>
  <c r="D413" i="6"/>
  <c r="C413" i="6" s="1"/>
  <c r="C412" i="6" s="1"/>
  <c r="C411" i="6" s="1"/>
  <c r="I390" i="5"/>
  <c r="J390" i="5"/>
  <c r="J389" i="5" s="1"/>
  <c r="K390" i="5"/>
  <c r="K389" i="5" s="1"/>
  <c r="L390" i="5"/>
  <c r="L389" i="5" s="1"/>
  <c r="M390" i="5"/>
  <c r="M389" i="5" s="1"/>
  <c r="N390" i="5"/>
  <c r="N389" i="5" s="1"/>
  <c r="O390" i="5"/>
  <c r="O389" i="5" s="1"/>
  <c r="P390" i="5"/>
  <c r="P389" i="5" s="1"/>
  <c r="Q390" i="5"/>
  <c r="Q389" i="5" s="1"/>
  <c r="H390" i="5"/>
  <c r="H389" i="5" s="1"/>
  <c r="R391" i="5"/>
  <c r="E621" i="6"/>
  <c r="F621" i="6"/>
  <c r="G621" i="6"/>
  <c r="H621" i="6"/>
  <c r="I621" i="6"/>
  <c r="J621" i="6"/>
  <c r="K621" i="6"/>
  <c r="L621" i="6"/>
  <c r="M621" i="6"/>
  <c r="N621" i="6"/>
  <c r="O621" i="6"/>
  <c r="P621" i="6"/>
  <c r="Q621" i="6"/>
  <c r="R621" i="6"/>
  <c r="S621" i="6"/>
  <c r="T621" i="6"/>
  <c r="U621" i="6"/>
  <c r="V621" i="6"/>
  <c r="X621" i="6"/>
  <c r="Y621" i="6"/>
  <c r="D623" i="6"/>
  <c r="C623" i="6" s="1"/>
  <c r="D622" i="6"/>
  <c r="C622" i="6" s="1"/>
  <c r="I633" i="5"/>
  <c r="J633" i="5"/>
  <c r="K633" i="5"/>
  <c r="D129" i="7" s="1"/>
  <c r="L633" i="5"/>
  <c r="F129" i="7" s="1"/>
  <c r="M633" i="5"/>
  <c r="N633" i="5"/>
  <c r="O633" i="5"/>
  <c r="P633" i="5"/>
  <c r="Q633" i="5"/>
  <c r="H633" i="5"/>
  <c r="C129" i="7" s="1"/>
  <c r="R635" i="5"/>
  <c r="R634" i="5"/>
  <c r="E169" i="7"/>
  <c r="E109" i="7"/>
  <c r="D1373" i="6"/>
  <c r="C1373" i="6" s="1"/>
  <c r="D1374" i="6"/>
  <c r="C1374" i="6" s="1"/>
  <c r="D1375" i="6"/>
  <c r="C1375" i="6" s="1"/>
  <c r="D1376" i="6"/>
  <c r="C1376" i="6" s="1"/>
  <c r="D1377" i="6"/>
  <c r="C1377" i="6" s="1"/>
  <c r="D1378" i="6"/>
  <c r="C1378" i="6" s="1"/>
  <c r="D1379" i="6"/>
  <c r="C1379" i="6" s="1"/>
  <c r="D1380" i="6"/>
  <c r="C1380" i="6" s="1"/>
  <c r="D1381" i="6"/>
  <c r="C1381" i="6" s="1"/>
  <c r="D1382" i="6"/>
  <c r="C1382" i="6" s="1"/>
  <c r="D1383" i="6"/>
  <c r="C1383" i="6" s="1"/>
  <c r="D1384" i="6"/>
  <c r="C1384" i="6" s="1"/>
  <c r="D1385" i="6"/>
  <c r="C1385" i="6" s="1"/>
  <c r="D1386" i="6"/>
  <c r="C1386" i="6" s="1"/>
  <c r="D1387" i="6"/>
  <c r="C1387" i="6" s="1"/>
  <c r="D1388" i="6"/>
  <c r="C1388" i="6" s="1"/>
  <c r="D1372" i="6"/>
  <c r="K778" i="6"/>
  <c r="K777" i="6" s="1"/>
  <c r="L778" i="6"/>
  <c r="L777" i="6" s="1"/>
  <c r="M778" i="6"/>
  <c r="M777" i="6" s="1"/>
  <c r="N778" i="6"/>
  <c r="N777" i="6" s="1"/>
  <c r="O778" i="6"/>
  <c r="O777" i="6" s="1"/>
  <c r="Q778" i="6"/>
  <c r="Q777" i="6" s="1"/>
  <c r="R778" i="6"/>
  <c r="R777" i="6" s="1"/>
  <c r="S778" i="6"/>
  <c r="S777" i="6" s="1"/>
  <c r="U778" i="6"/>
  <c r="U777" i="6" s="1"/>
  <c r="V778" i="6"/>
  <c r="V777" i="6" s="1"/>
  <c r="X778" i="6"/>
  <c r="X777" i="6" s="1"/>
  <c r="Y778" i="6"/>
  <c r="Y777" i="6" s="1"/>
  <c r="D786" i="6"/>
  <c r="C786" i="6" s="1"/>
  <c r="D787" i="6"/>
  <c r="C787" i="6" s="1"/>
  <c r="P778" i="6"/>
  <c r="E566" i="6"/>
  <c r="F566" i="6"/>
  <c r="F565" i="6" s="1"/>
  <c r="G566" i="6"/>
  <c r="G565" i="6" s="1"/>
  <c r="H566" i="6"/>
  <c r="H565" i="6" s="1"/>
  <c r="I566" i="6"/>
  <c r="I565" i="6" s="1"/>
  <c r="J566" i="6"/>
  <c r="J565" i="6" s="1"/>
  <c r="K566" i="6"/>
  <c r="K565" i="6" s="1"/>
  <c r="L566" i="6"/>
  <c r="L565" i="6" s="1"/>
  <c r="M566" i="6"/>
  <c r="M565" i="6" s="1"/>
  <c r="N566" i="6"/>
  <c r="N565" i="6" s="1"/>
  <c r="O566" i="6"/>
  <c r="O565" i="6" s="1"/>
  <c r="P566" i="6"/>
  <c r="P565" i="6" s="1"/>
  <c r="Q566" i="6"/>
  <c r="Q565" i="6" s="1"/>
  <c r="R566" i="6"/>
  <c r="R565" i="6" s="1"/>
  <c r="S566" i="6"/>
  <c r="S565" i="6" s="1"/>
  <c r="T566" i="6"/>
  <c r="T565" i="6" s="1"/>
  <c r="U566" i="6"/>
  <c r="U565" i="6" s="1"/>
  <c r="V566" i="6"/>
  <c r="V565" i="6" s="1"/>
  <c r="X566" i="6"/>
  <c r="X565" i="6" s="1"/>
  <c r="Y566" i="6"/>
  <c r="Y565" i="6" s="1"/>
  <c r="D568" i="6"/>
  <c r="C568" i="6" s="1"/>
  <c r="D569" i="6"/>
  <c r="C569" i="6" s="1"/>
  <c r="D570" i="6"/>
  <c r="C570" i="6" s="1"/>
  <c r="D571" i="6"/>
  <c r="C571" i="6" s="1"/>
  <c r="D572" i="6"/>
  <c r="C572" i="6" s="1"/>
  <c r="D567" i="6"/>
  <c r="C567" i="6" s="1"/>
  <c r="E205" i="6"/>
  <c r="E204" i="6" s="1"/>
  <c r="F205" i="6"/>
  <c r="F204" i="6" s="1"/>
  <c r="G205" i="6"/>
  <c r="G204" i="6" s="1"/>
  <c r="H205" i="6"/>
  <c r="H204" i="6" s="1"/>
  <c r="I205" i="6"/>
  <c r="I204" i="6" s="1"/>
  <c r="J205" i="6"/>
  <c r="J204" i="6" s="1"/>
  <c r="K205" i="6"/>
  <c r="K204" i="6" s="1"/>
  <c r="L205" i="6"/>
  <c r="L204" i="6" s="1"/>
  <c r="M205" i="6"/>
  <c r="M204" i="6" s="1"/>
  <c r="N205" i="6"/>
  <c r="N204" i="6" s="1"/>
  <c r="O205" i="6"/>
  <c r="O204" i="6" s="1"/>
  <c r="P205" i="6"/>
  <c r="P204" i="6" s="1"/>
  <c r="Q205" i="6"/>
  <c r="Q204" i="6" s="1"/>
  <c r="R205" i="6"/>
  <c r="R204" i="6" s="1"/>
  <c r="S205" i="6"/>
  <c r="S204" i="6" s="1"/>
  <c r="T205" i="6"/>
  <c r="T204" i="6" s="1"/>
  <c r="U205" i="6"/>
  <c r="U204" i="6" s="1"/>
  <c r="V205" i="6"/>
  <c r="V204" i="6" s="1"/>
  <c r="X205" i="6"/>
  <c r="X204" i="6" s="1"/>
  <c r="Y205" i="6"/>
  <c r="Y204" i="6" s="1"/>
  <c r="D207" i="6"/>
  <c r="C207" i="6" s="1"/>
  <c r="D208" i="6"/>
  <c r="C208" i="6" s="1"/>
  <c r="D209" i="6"/>
  <c r="C209" i="6" s="1"/>
  <c r="D210" i="6"/>
  <c r="C210" i="6" s="1"/>
  <c r="D211" i="6"/>
  <c r="C211" i="6" s="1"/>
  <c r="D212" i="6"/>
  <c r="C212" i="6" s="1"/>
  <c r="D206" i="6"/>
  <c r="I1394" i="5"/>
  <c r="J1394" i="5"/>
  <c r="J1393" i="5" s="1"/>
  <c r="K1394" i="5"/>
  <c r="D232" i="7" s="1"/>
  <c r="L1394" i="5"/>
  <c r="M1394" i="5"/>
  <c r="M1393" i="5" s="1"/>
  <c r="N1394" i="5"/>
  <c r="N1393" i="5" s="1"/>
  <c r="P1394" i="5"/>
  <c r="P1393" i="5" s="1"/>
  <c r="Q1394" i="5"/>
  <c r="Q1393" i="5" s="1"/>
  <c r="H1394" i="5"/>
  <c r="R1405" i="5"/>
  <c r="R1406" i="5"/>
  <c r="R1407" i="5"/>
  <c r="R1408" i="5"/>
  <c r="R1409" i="5"/>
  <c r="R1410" i="5"/>
  <c r="R1412" i="5"/>
  <c r="O1396" i="5"/>
  <c r="O1401" i="5"/>
  <c r="O1404" i="5"/>
  <c r="O1405" i="5"/>
  <c r="O1408" i="5"/>
  <c r="O1409" i="5"/>
  <c r="O1410" i="5"/>
  <c r="I795" i="5"/>
  <c r="J795" i="5"/>
  <c r="J794" i="5" s="1"/>
  <c r="K795" i="5"/>
  <c r="K794" i="5" s="1"/>
  <c r="L795" i="5"/>
  <c r="L794" i="5" s="1"/>
  <c r="M795" i="5"/>
  <c r="M794" i="5" s="1"/>
  <c r="N795" i="5"/>
  <c r="N794" i="5" s="1"/>
  <c r="P795" i="5"/>
  <c r="P794" i="5" s="1"/>
  <c r="Q795" i="5"/>
  <c r="Q794" i="5" s="1"/>
  <c r="H795" i="5"/>
  <c r="H794" i="5" s="1"/>
  <c r="R804" i="5"/>
  <c r="O804" i="5"/>
  <c r="O797" i="5"/>
  <c r="O798" i="5"/>
  <c r="O799" i="5"/>
  <c r="O800" i="5"/>
  <c r="O801" i="5"/>
  <c r="O802" i="5"/>
  <c r="O803" i="5"/>
  <c r="O796" i="5"/>
  <c r="R802" i="5"/>
  <c r="O580" i="5"/>
  <c r="O581" i="5"/>
  <c r="O582" i="5"/>
  <c r="O583" i="5"/>
  <c r="O584" i="5"/>
  <c r="O579" i="5"/>
  <c r="I578" i="5"/>
  <c r="J578" i="5"/>
  <c r="K578" i="5"/>
  <c r="D110" i="7" s="1"/>
  <c r="D109" i="7" s="1"/>
  <c r="L578" i="5"/>
  <c r="F110" i="7" s="1"/>
  <c r="F109" i="7" s="1"/>
  <c r="M578" i="5"/>
  <c r="M577" i="5" s="1"/>
  <c r="N578" i="5"/>
  <c r="P578" i="5"/>
  <c r="P577" i="5" s="1"/>
  <c r="Q578" i="5"/>
  <c r="Q577" i="5" s="1"/>
  <c r="I577" i="5"/>
  <c r="J577" i="5"/>
  <c r="K577" i="5"/>
  <c r="N577" i="5"/>
  <c r="H578" i="5"/>
  <c r="H577" i="5" s="1"/>
  <c r="O214" i="5"/>
  <c r="O215" i="5"/>
  <c r="O216" i="5"/>
  <c r="O217" i="5"/>
  <c r="O218" i="5"/>
  <c r="O219" i="5"/>
  <c r="O213" i="5"/>
  <c r="I212" i="5"/>
  <c r="I211" i="5" s="1"/>
  <c r="J212" i="5"/>
  <c r="J211" i="5" s="1"/>
  <c r="K212" i="5"/>
  <c r="K211" i="5" s="1"/>
  <c r="M212" i="5"/>
  <c r="M211" i="5" s="1"/>
  <c r="N212" i="5"/>
  <c r="N211" i="5" s="1"/>
  <c r="P212" i="5"/>
  <c r="P211" i="5" s="1"/>
  <c r="Q212" i="5"/>
  <c r="Q211" i="5" s="1"/>
  <c r="H212" i="5"/>
  <c r="H211" i="5" s="1"/>
  <c r="R219" i="5"/>
  <c r="R218" i="5"/>
  <c r="R217" i="5"/>
  <c r="R216" i="5"/>
  <c r="R215" i="5"/>
  <c r="R214" i="5"/>
  <c r="R213" i="5"/>
  <c r="D1344" i="6"/>
  <c r="C1344" i="6" s="1"/>
  <c r="D1345" i="6"/>
  <c r="C1345" i="6" s="1"/>
  <c r="D1346" i="6"/>
  <c r="C1346" i="6" s="1"/>
  <c r="D1347" i="6"/>
  <c r="C1347" i="6" s="1"/>
  <c r="D1348" i="6"/>
  <c r="C1348" i="6" s="1"/>
  <c r="D1349" i="6"/>
  <c r="C1349" i="6" s="1"/>
  <c r="D1350" i="6"/>
  <c r="C1350" i="6" s="1"/>
  <c r="D1351" i="6"/>
  <c r="C1351" i="6" s="1"/>
  <c r="D1343" i="6"/>
  <c r="D765" i="6"/>
  <c r="C765" i="6" s="1"/>
  <c r="D764" i="6"/>
  <c r="D552" i="6"/>
  <c r="D553" i="6"/>
  <c r="C553" i="6" s="1"/>
  <c r="D174" i="6"/>
  <c r="C174" i="6" s="1"/>
  <c r="D173" i="6"/>
  <c r="R1369" i="5"/>
  <c r="R181" i="5"/>
  <c r="R180" i="5"/>
  <c r="D1499" i="6"/>
  <c r="C1499" i="6" s="1"/>
  <c r="D1500" i="6"/>
  <c r="C1500" i="6" s="1"/>
  <c r="D1501" i="6"/>
  <c r="C1501" i="6" s="1"/>
  <c r="D1502" i="6"/>
  <c r="C1502" i="6" s="1"/>
  <c r="D1503" i="6"/>
  <c r="C1503" i="6" s="1"/>
  <c r="D1504" i="6"/>
  <c r="C1504" i="6" s="1"/>
  <c r="D1498" i="6"/>
  <c r="C1498" i="6" s="1"/>
  <c r="D1497" i="6"/>
  <c r="C1497" i="6" s="1"/>
  <c r="D830" i="6"/>
  <c r="C830" i="6" s="1"/>
  <c r="C829" i="6" s="1"/>
  <c r="E829" i="6"/>
  <c r="F829" i="6"/>
  <c r="G829" i="6"/>
  <c r="H829" i="6"/>
  <c r="I829" i="6"/>
  <c r="J829" i="6"/>
  <c r="K829" i="6"/>
  <c r="L829" i="6"/>
  <c r="M829" i="6"/>
  <c r="N829" i="6"/>
  <c r="O829" i="6"/>
  <c r="P829" i="6"/>
  <c r="Q829" i="6"/>
  <c r="R829" i="6"/>
  <c r="S829" i="6"/>
  <c r="T829" i="6"/>
  <c r="U829" i="6"/>
  <c r="V829" i="6"/>
  <c r="X829" i="6"/>
  <c r="Y829" i="6"/>
  <c r="O1522" i="5"/>
  <c r="O1523" i="5"/>
  <c r="O1524" i="5"/>
  <c r="O1525" i="5"/>
  <c r="O1526" i="5"/>
  <c r="O1527" i="5"/>
  <c r="I1519" i="5"/>
  <c r="J1519" i="5"/>
  <c r="K1519" i="5"/>
  <c r="D261" i="7" s="1"/>
  <c r="L1519" i="5"/>
  <c r="F261" i="7" s="1"/>
  <c r="M1519" i="5"/>
  <c r="N1519" i="5"/>
  <c r="Q1519" i="5"/>
  <c r="H1519" i="5"/>
  <c r="C261" i="7" s="1"/>
  <c r="R1527" i="5"/>
  <c r="R1526" i="5"/>
  <c r="R1524" i="5"/>
  <c r="P1524" i="5"/>
  <c r="R1523" i="5"/>
  <c r="P1523" i="5"/>
  <c r="P1519" i="5" s="1"/>
  <c r="I846" i="5"/>
  <c r="J846" i="5"/>
  <c r="K846" i="5"/>
  <c r="D188" i="7" s="1"/>
  <c r="L846" i="5"/>
  <c r="F188" i="7" s="1"/>
  <c r="M846" i="5"/>
  <c r="N846" i="5"/>
  <c r="O846" i="5"/>
  <c r="P846" i="5"/>
  <c r="Q846" i="5"/>
  <c r="H846" i="5"/>
  <c r="C188" i="7" s="1"/>
  <c r="E1329" i="6"/>
  <c r="F1329" i="6"/>
  <c r="G1329" i="6"/>
  <c r="H1329" i="6"/>
  <c r="I1329" i="6"/>
  <c r="J1329" i="6"/>
  <c r="K1329" i="6"/>
  <c r="L1329" i="6"/>
  <c r="M1329" i="6"/>
  <c r="N1329" i="6"/>
  <c r="O1329" i="6"/>
  <c r="P1329" i="6"/>
  <c r="Q1329" i="6"/>
  <c r="R1329" i="6"/>
  <c r="S1329" i="6"/>
  <c r="T1329" i="6"/>
  <c r="U1329" i="6"/>
  <c r="V1329" i="6"/>
  <c r="X1329" i="6"/>
  <c r="D1331" i="6"/>
  <c r="C1331" i="6" s="1"/>
  <c r="D1332" i="6"/>
  <c r="C1332" i="6" s="1"/>
  <c r="D1333" i="6"/>
  <c r="C1333" i="6" s="1"/>
  <c r="D1334" i="6"/>
  <c r="C1334" i="6" s="1"/>
  <c r="D1335" i="6"/>
  <c r="C1335" i="6" s="1"/>
  <c r="D1336" i="6"/>
  <c r="C1336" i="6" s="1"/>
  <c r="D1337" i="6"/>
  <c r="C1337" i="6" s="1"/>
  <c r="D1338" i="6"/>
  <c r="C1338" i="6" s="1"/>
  <c r="D1330" i="6"/>
  <c r="C1330" i="6" s="1"/>
  <c r="X760" i="6"/>
  <c r="X759" i="6" s="1"/>
  <c r="X550" i="6"/>
  <c r="X545" i="6" s="1"/>
  <c r="E545" i="6"/>
  <c r="F545" i="6"/>
  <c r="G545" i="6"/>
  <c r="H545" i="6"/>
  <c r="I545" i="6"/>
  <c r="J545" i="6"/>
  <c r="K545" i="6"/>
  <c r="L545" i="6"/>
  <c r="M545" i="6"/>
  <c r="N545" i="6"/>
  <c r="O545" i="6"/>
  <c r="P545" i="6"/>
  <c r="Q545" i="6"/>
  <c r="R545" i="6"/>
  <c r="S545" i="6"/>
  <c r="T545" i="6"/>
  <c r="U545" i="6"/>
  <c r="V545" i="6"/>
  <c r="Y545" i="6"/>
  <c r="D547" i="6"/>
  <c r="C547" i="6" s="1"/>
  <c r="D548" i="6"/>
  <c r="C548" i="6" s="1"/>
  <c r="D549" i="6"/>
  <c r="C549" i="6" s="1"/>
  <c r="D550" i="6"/>
  <c r="D546" i="6"/>
  <c r="C546" i="6" s="1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X168" i="6"/>
  <c r="Y168" i="6"/>
  <c r="D170" i="6"/>
  <c r="C170" i="6" s="1"/>
  <c r="D171" i="6"/>
  <c r="C171" i="6" s="1"/>
  <c r="D169" i="6"/>
  <c r="C169" i="6" s="1"/>
  <c r="I1352" i="5"/>
  <c r="J1352" i="5"/>
  <c r="K1352" i="5"/>
  <c r="D224" i="7" s="1"/>
  <c r="L1352" i="5"/>
  <c r="F224" i="7" s="1"/>
  <c r="M1352" i="5"/>
  <c r="N1352" i="5"/>
  <c r="P1352" i="5"/>
  <c r="Q1352" i="5"/>
  <c r="H1352" i="5"/>
  <c r="C224" i="7" s="1"/>
  <c r="R1355" i="5"/>
  <c r="R1356" i="5"/>
  <c r="R1357" i="5"/>
  <c r="R1358" i="5"/>
  <c r="R1359" i="5"/>
  <c r="R1360" i="5"/>
  <c r="R1361" i="5"/>
  <c r="O1356" i="5"/>
  <c r="O1357" i="5"/>
  <c r="O1358" i="5"/>
  <c r="O1359" i="5"/>
  <c r="O1360" i="5"/>
  <c r="O1361" i="5"/>
  <c r="O1355" i="5"/>
  <c r="I776" i="5"/>
  <c r="J776" i="5"/>
  <c r="K776" i="5"/>
  <c r="D163" i="7" s="1"/>
  <c r="M776" i="5"/>
  <c r="N776" i="5"/>
  <c r="P776" i="5"/>
  <c r="Q776" i="5"/>
  <c r="H776" i="5"/>
  <c r="C163" i="7" s="1"/>
  <c r="R778" i="5"/>
  <c r="R777" i="5"/>
  <c r="D103" i="7"/>
  <c r="F103" i="7"/>
  <c r="C103" i="7"/>
  <c r="D1342" i="6" l="1"/>
  <c r="C764" i="6"/>
  <c r="C763" i="6" s="1"/>
  <c r="D763" i="6"/>
  <c r="C552" i="6"/>
  <c r="C551" i="6" s="1"/>
  <c r="D551" i="6"/>
  <c r="C173" i="6"/>
  <c r="C172" i="6" s="1"/>
  <c r="D172" i="6"/>
  <c r="P777" i="6"/>
  <c r="E411" i="6"/>
  <c r="E565" i="6"/>
  <c r="P411" i="6"/>
  <c r="I1393" i="5"/>
  <c r="I794" i="5"/>
  <c r="I389" i="5"/>
  <c r="C1343" i="6"/>
  <c r="C1342" i="6" s="1"/>
  <c r="C1372" i="6"/>
  <c r="C1371" i="6" s="1"/>
  <c r="D1371" i="6"/>
  <c r="F232" i="7"/>
  <c r="F231" i="7" s="1"/>
  <c r="L1393" i="5"/>
  <c r="C232" i="7"/>
  <c r="C231" i="7" s="1"/>
  <c r="H1393" i="5"/>
  <c r="K1393" i="5"/>
  <c r="D231" i="7" s="1"/>
  <c r="C550" i="6"/>
  <c r="C545" i="6" s="1"/>
  <c r="D583" i="6"/>
  <c r="D81" i="7"/>
  <c r="D80" i="7" s="1"/>
  <c r="C81" i="7"/>
  <c r="C80" i="7" s="1"/>
  <c r="F81" i="7"/>
  <c r="F80" i="7" s="1"/>
  <c r="D412" i="6"/>
  <c r="D411" i="6" s="1"/>
  <c r="D229" i="6"/>
  <c r="C1329" i="6"/>
  <c r="C621" i="6"/>
  <c r="D621" i="6"/>
  <c r="J778" i="6"/>
  <c r="J777" i="6" s="1"/>
  <c r="H778" i="6"/>
  <c r="H777" i="6" s="1"/>
  <c r="F778" i="6"/>
  <c r="F777" i="6" s="1"/>
  <c r="D785" i="6"/>
  <c r="C785" i="6" s="1"/>
  <c r="D784" i="6"/>
  <c r="C784" i="6" s="1"/>
  <c r="T778" i="6"/>
  <c r="T777" i="6" s="1"/>
  <c r="I778" i="6"/>
  <c r="I777" i="6" s="1"/>
  <c r="G778" i="6"/>
  <c r="G777" i="6" s="1"/>
  <c r="E778" i="6"/>
  <c r="E777" i="6" s="1"/>
  <c r="C22" i="7"/>
  <c r="C21" i="7" s="1"/>
  <c r="C110" i="7"/>
  <c r="C109" i="7" s="1"/>
  <c r="F170" i="7"/>
  <c r="F169" i="7" s="1"/>
  <c r="D22" i="7"/>
  <c r="D21" i="7" s="1"/>
  <c r="D783" i="6"/>
  <c r="C783" i="6" s="1"/>
  <c r="D782" i="6"/>
  <c r="C782" i="6" s="1"/>
  <c r="D781" i="6"/>
  <c r="C781" i="6" s="1"/>
  <c r="D780" i="6"/>
  <c r="C780" i="6" s="1"/>
  <c r="D779" i="6"/>
  <c r="C779" i="6" s="1"/>
  <c r="D205" i="6"/>
  <c r="D204" i="6" s="1"/>
  <c r="C566" i="6"/>
  <c r="C565" i="6" s="1"/>
  <c r="D566" i="6"/>
  <c r="D565" i="6" s="1"/>
  <c r="C206" i="6"/>
  <c r="C205" i="6" s="1"/>
  <c r="C204" i="6" s="1"/>
  <c r="O795" i="5"/>
  <c r="O794" i="5" s="1"/>
  <c r="O578" i="5"/>
  <c r="O577" i="5" s="1"/>
  <c r="L577" i="5"/>
  <c r="L212" i="5"/>
  <c r="O212" i="5"/>
  <c r="O211" i="5" s="1"/>
  <c r="C1496" i="6"/>
  <c r="D829" i="6"/>
  <c r="D1329" i="6"/>
  <c r="O1352" i="5"/>
  <c r="D545" i="6"/>
  <c r="C168" i="6"/>
  <c r="D168" i="6"/>
  <c r="O776" i="5"/>
  <c r="L776" i="5"/>
  <c r="F163" i="7" s="1"/>
  <c r="R779" i="5"/>
  <c r="L211" i="5" l="1"/>
  <c r="C778" i="6"/>
  <c r="C777" i="6" s="1"/>
  <c r="F22" i="7"/>
  <c r="F21" i="7" s="1"/>
  <c r="D778" i="6"/>
  <c r="D777" i="6" s="1"/>
  <c r="I175" i="5" l="1"/>
  <c r="J175" i="5"/>
  <c r="K175" i="5"/>
  <c r="L175" i="5"/>
  <c r="M175" i="5"/>
  <c r="N175" i="5"/>
  <c r="O175" i="5"/>
  <c r="P175" i="5"/>
  <c r="Q175" i="5"/>
  <c r="H175" i="5"/>
  <c r="C15" i="7" s="1"/>
  <c r="R178" i="5"/>
  <c r="R177" i="5"/>
  <c r="R176" i="5"/>
  <c r="D15" i="7" l="1"/>
  <c r="F15" i="7"/>
  <c r="E265" i="7"/>
  <c r="E133" i="7"/>
  <c r="E55" i="7"/>
  <c r="E1517" i="6"/>
  <c r="F1517" i="6"/>
  <c r="G1517" i="6"/>
  <c r="H1517" i="6"/>
  <c r="I1517" i="6"/>
  <c r="J1517" i="6"/>
  <c r="K1517" i="6"/>
  <c r="L1517" i="6"/>
  <c r="M1517" i="6"/>
  <c r="N1517" i="6"/>
  <c r="O1517" i="6"/>
  <c r="P1517" i="6"/>
  <c r="Q1517" i="6"/>
  <c r="R1517" i="6"/>
  <c r="S1517" i="6"/>
  <c r="T1517" i="6"/>
  <c r="U1517" i="6"/>
  <c r="V1517" i="6"/>
  <c r="X1517" i="6"/>
  <c r="Y1517" i="6"/>
  <c r="D1519" i="6"/>
  <c r="C1519" i="6" s="1"/>
  <c r="D1520" i="6"/>
  <c r="C1520" i="6" s="1"/>
  <c r="D1521" i="6"/>
  <c r="C1521" i="6" s="1"/>
  <c r="D1522" i="6"/>
  <c r="C1522" i="6" s="1"/>
  <c r="D1518" i="6"/>
  <c r="C1518" i="6" s="1"/>
  <c r="D835" i="6"/>
  <c r="C835" i="6" s="1"/>
  <c r="D834" i="6"/>
  <c r="C834" i="6" s="1"/>
  <c r="D833" i="6"/>
  <c r="C833" i="6" s="1"/>
  <c r="E635" i="6"/>
  <c r="E634" i="6" s="1"/>
  <c r="F635" i="6"/>
  <c r="F634" i="6" s="1"/>
  <c r="G635" i="6"/>
  <c r="G634" i="6" s="1"/>
  <c r="H635" i="6"/>
  <c r="H634" i="6" s="1"/>
  <c r="I635" i="6"/>
  <c r="I634" i="6" s="1"/>
  <c r="J635" i="6"/>
  <c r="J634" i="6" s="1"/>
  <c r="K635" i="6"/>
  <c r="K634" i="6" s="1"/>
  <c r="L635" i="6"/>
  <c r="L634" i="6" s="1"/>
  <c r="M635" i="6"/>
  <c r="M634" i="6" s="1"/>
  <c r="N635" i="6"/>
  <c r="N634" i="6" s="1"/>
  <c r="O635" i="6"/>
  <c r="O634" i="6" s="1"/>
  <c r="P635" i="6"/>
  <c r="Q635" i="6"/>
  <c r="Q634" i="6" s="1"/>
  <c r="R635" i="6"/>
  <c r="R634" i="6" s="1"/>
  <c r="S635" i="6"/>
  <c r="S634" i="6" s="1"/>
  <c r="T635" i="6"/>
  <c r="T634" i="6" s="1"/>
  <c r="U635" i="6"/>
  <c r="U634" i="6" s="1"/>
  <c r="V635" i="6"/>
  <c r="V634" i="6" s="1"/>
  <c r="X635" i="6"/>
  <c r="X634" i="6" s="1"/>
  <c r="Y635" i="6"/>
  <c r="Y634" i="6" s="1"/>
  <c r="D636" i="6"/>
  <c r="C636" i="6" s="1"/>
  <c r="C635" i="6" s="1"/>
  <c r="C634" i="6" s="1"/>
  <c r="E310" i="6"/>
  <c r="E309" i="6" s="1"/>
  <c r="F310" i="6"/>
  <c r="F309" i="6" s="1"/>
  <c r="G310" i="6"/>
  <c r="G309" i="6" s="1"/>
  <c r="H310" i="6"/>
  <c r="H309" i="6" s="1"/>
  <c r="I310" i="6"/>
  <c r="I309" i="6" s="1"/>
  <c r="J310" i="6"/>
  <c r="J309" i="6" s="1"/>
  <c r="K310" i="6"/>
  <c r="K309" i="6" s="1"/>
  <c r="L310" i="6"/>
  <c r="L309" i="6" s="1"/>
  <c r="M310" i="6"/>
  <c r="M309" i="6" s="1"/>
  <c r="N310" i="6"/>
  <c r="N309" i="6" s="1"/>
  <c r="O310" i="6"/>
  <c r="O309" i="6" s="1"/>
  <c r="P310" i="6"/>
  <c r="Q310" i="6"/>
  <c r="Q309" i="6" s="1"/>
  <c r="R310" i="6"/>
  <c r="R309" i="6" s="1"/>
  <c r="S310" i="6"/>
  <c r="S309" i="6" s="1"/>
  <c r="T310" i="6"/>
  <c r="T309" i="6" s="1"/>
  <c r="U310" i="6"/>
  <c r="U309" i="6" s="1"/>
  <c r="V310" i="6"/>
  <c r="V309" i="6" s="1"/>
  <c r="X310" i="6"/>
  <c r="X309" i="6" s="1"/>
  <c r="Y310" i="6"/>
  <c r="Y309" i="6" s="1"/>
  <c r="D311" i="6"/>
  <c r="C311" i="6" s="1"/>
  <c r="C310" i="6" s="1"/>
  <c r="C309" i="6" s="1"/>
  <c r="I1540" i="5"/>
  <c r="J1540" i="5"/>
  <c r="K1540" i="5"/>
  <c r="D266" i="7" s="1"/>
  <c r="D265" i="7" s="1"/>
  <c r="L1540" i="5"/>
  <c r="F266" i="7" s="1"/>
  <c r="F265" i="7" s="1"/>
  <c r="M1540" i="5"/>
  <c r="N1540" i="5"/>
  <c r="Q1540" i="5"/>
  <c r="H1540" i="5"/>
  <c r="C266" i="7" s="1"/>
  <c r="C265" i="7" s="1"/>
  <c r="I851" i="5"/>
  <c r="J851" i="5"/>
  <c r="K851" i="5"/>
  <c r="D191" i="7" s="1"/>
  <c r="L851" i="5"/>
  <c r="F191" i="7" s="1"/>
  <c r="M851" i="5"/>
  <c r="N851" i="5"/>
  <c r="O851" i="5"/>
  <c r="P851" i="5"/>
  <c r="Q851" i="5"/>
  <c r="H851" i="5"/>
  <c r="C191" i="7" s="1"/>
  <c r="R853" i="5"/>
  <c r="R854" i="5"/>
  <c r="I647" i="5"/>
  <c r="J647" i="5"/>
  <c r="J646" i="5" s="1"/>
  <c r="K647" i="5"/>
  <c r="K646" i="5" s="1"/>
  <c r="L647" i="5"/>
  <c r="L646" i="5" s="1"/>
  <c r="M647" i="5"/>
  <c r="M646" i="5" s="1"/>
  <c r="N647" i="5"/>
  <c r="N646" i="5" s="1"/>
  <c r="O647" i="5"/>
  <c r="O646" i="5" s="1"/>
  <c r="P647" i="5"/>
  <c r="P646" i="5" s="1"/>
  <c r="Q647" i="5"/>
  <c r="Q646" i="5" s="1"/>
  <c r="H647" i="5"/>
  <c r="H646" i="5" s="1"/>
  <c r="R648" i="5"/>
  <c r="I317" i="5"/>
  <c r="J317" i="5"/>
  <c r="J316" i="5" s="1"/>
  <c r="K317" i="5"/>
  <c r="K316" i="5" s="1"/>
  <c r="L317" i="5"/>
  <c r="L316" i="5" s="1"/>
  <c r="M317" i="5"/>
  <c r="M316" i="5" s="1"/>
  <c r="N317" i="5"/>
  <c r="N316" i="5" s="1"/>
  <c r="O317" i="5"/>
  <c r="O316" i="5" s="1"/>
  <c r="P317" i="5"/>
  <c r="P316" i="5" s="1"/>
  <c r="Q317" i="5"/>
  <c r="Q316" i="5" s="1"/>
  <c r="H317" i="5"/>
  <c r="H316" i="5" s="1"/>
  <c r="R318" i="5"/>
  <c r="E92" i="7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X434" i="6"/>
  <c r="Y434" i="6"/>
  <c r="D435" i="6"/>
  <c r="C435" i="6" s="1"/>
  <c r="C434" i="6" s="1"/>
  <c r="I424" i="5"/>
  <c r="J424" i="5"/>
  <c r="K424" i="5"/>
  <c r="D93" i="7" s="1"/>
  <c r="L424" i="5"/>
  <c r="F93" i="7" s="1"/>
  <c r="M424" i="5"/>
  <c r="N424" i="5"/>
  <c r="O424" i="5"/>
  <c r="P424" i="5"/>
  <c r="Q424" i="5"/>
  <c r="H424" i="5"/>
  <c r="C93" i="7" s="1"/>
  <c r="R425" i="5"/>
  <c r="E43" i="7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X280" i="6"/>
  <c r="Y280" i="6"/>
  <c r="D281" i="6"/>
  <c r="C281" i="6" s="1"/>
  <c r="C280" i="6" s="1"/>
  <c r="E814" i="6"/>
  <c r="E813" i="6" s="1"/>
  <c r="F814" i="6"/>
  <c r="F813" i="6" s="1"/>
  <c r="G814" i="6"/>
  <c r="G813" i="6" s="1"/>
  <c r="H814" i="6"/>
  <c r="H813" i="6" s="1"/>
  <c r="I814" i="6"/>
  <c r="I813" i="6" s="1"/>
  <c r="J814" i="6"/>
  <c r="J813" i="6" s="1"/>
  <c r="K814" i="6"/>
  <c r="K813" i="6" s="1"/>
  <c r="L814" i="6"/>
  <c r="L813" i="6" s="1"/>
  <c r="M814" i="6"/>
  <c r="M813" i="6" s="1"/>
  <c r="N814" i="6"/>
  <c r="N813" i="6" s="1"/>
  <c r="O814" i="6"/>
  <c r="O813" i="6" s="1"/>
  <c r="P814" i="6"/>
  <c r="Q814" i="6"/>
  <c r="Q813" i="6" s="1"/>
  <c r="R814" i="6"/>
  <c r="R813" i="6" s="1"/>
  <c r="S814" i="6"/>
  <c r="S813" i="6" s="1"/>
  <c r="T814" i="6"/>
  <c r="T813" i="6" s="1"/>
  <c r="U814" i="6"/>
  <c r="U813" i="6" s="1"/>
  <c r="V814" i="6"/>
  <c r="V813" i="6" s="1"/>
  <c r="X814" i="6"/>
  <c r="X813" i="6" s="1"/>
  <c r="Y814" i="6"/>
  <c r="Y813" i="6" s="1"/>
  <c r="D815" i="6"/>
  <c r="C815" i="6" s="1"/>
  <c r="C814" i="6" s="1"/>
  <c r="C813" i="6" s="1"/>
  <c r="I831" i="5"/>
  <c r="J831" i="5"/>
  <c r="J830" i="5" s="1"/>
  <c r="K831" i="5"/>
  <c r="L831" i="5"/>
  <c r="M831" i="5"/>
  <c r="M830" i="5" s="1"/>
  <c r="N831" i="5"/>
  <c r="N830" i="5" s="1"/>
  <c r="O831" i="5"/>
  <c r="O830" i="5" s="1"/>
  <c r="P831" i="5"/>
  <c r="P830" i="5" s="1"/>
  <c r="Q831" i="5"/>
  <c r="Q830" i="5" s="1"/>
  <c r="H831" i="5"/>
  <c r="R832" i="5"/>
  <c r="I287" i="5"/>
  <c r="J287" i="5"/>
  <c r="K287" i="5"/>
  <c r="D46" i="7" s="1"/>
  <c r="L287" i="5"/>
  <c r="F46" i="7" s="1"/>
  <c r="M287" i="5"/>
  <c r="N287" i="5"/>
  <c r="O287" i="5"/>
  <c r="P287" i="5"/>
  <c r="Q287" i="5"/>
  <c r="H287" i="5"/>
  <c r="C46" i="7" s="1"/>
  <c r="R288" i="5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X234" i="6"/>
  <c r="Y234" i="6"/>
  <c r="D236" i="6"/>
  <c r="C236" i="6" s="1"/>
  <c r="D235" i="6"/>
  <c r="C235" i="6" s="1"/>
  <c r="I241" i="5"/>
  <c r="J241" i="5"/>
  <c r="K241" i="5"/>
  <c r="D33" i="7" s="1"/>
  <c r="L241" i="5"/>
  <c r="F33" i="7" s="1"/>
  <c r="M241" i="5"/>
  <c r="N241" i="5"/>
  <c r="O241" i="5"/>
  <c r="P241" i="5"/>
  <c r="Q241" i="5"/>
  <c r="H241" i="5"/>
  <c r="C33" i="7" s="1"/>
  <c r="R243" i="5"/>
  <c r="R242" i="5"/>
  <c r="D1488" i="6"/>
  <c r="E1488" i="6"/>
  <c r="F1488" i="6"/>
  <c r="G1488" i="6"/>
  <c r="H1488" i="6"/>
  <c r="I1488" i="6"/>
  <c r="J1488" i="6"/>
  <c r="K1488" i="6"/>
  <c r="L1488" i="6"/>
  <c r="M1488" i="6"/>
  <c r="N1488" i="6"/>
  <c r="O1488" i="6"/>
  <c r="P1488" i="6"/>
  <c r="Q1488" i="6"/>
  <c r="R1488" i="6"/>
  <c r="S1488" i="6"/>
  <c r="T1488" i="6"/>
  <c r="U1488" i="6"/>
  <c r="V1488" i="6"/>
  <c r="X1488" i="6"/>
  <c r="Y1488" i="6"/>
  <c r="C1490" i="6"/>
  <c r="E619" i="6"/>
  <c r="F619" i="6"/>
  <c r="G619" i="6"/>
  <c r="H619" i="6"/>
  <c r="I619" i="6"/>
  <c r="J619" i="6"/>
  <c r="K619" i="6"/>
  <c r="L619" i="6"/>
  <c r="M619" i="6"/>
  <c r="N619" i="6"/>
  <c r="O619" i="6"/>
  <c r="P619" i="6"/>
  <c r="Q619" i="6"/>
  <c r="R619" i="6"/>
  <c r="S619" i="6"/>
  <c r="T619" i="6"/>
  <c r="U619" i="6"/>
  <c r="V619" i="6"/>
  <c r="X619" i="6"/>
  <c r="Y619" i="6"/>
  <c r="D620" i="6"/>
  <c r="C620" i="6" s="1"/>
  <c r="C619" i="6" s="1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X290" i="6"/>
  <c r="Y290" i="6"/>
  <c r="D292" i="6"/>
  <c r="C292" i="6" s="1"/>
  <c r="D291" i="6"/>
  <c r="C291" i="6" s="1"/>
  <c r="I1511" i="5"/>
  <c r="J1511" i="5"/>
  <c r="K1511" i="5"/>
  <c r="D259" i="7" s="1"/>
  <c r="L1511" i="5"/>
  <c r="F259" i="7" s="1"/>
  <c r="M1511" i="5"/>
  <c r="N1511" i="5"/>
  <c r="Q1511" i="5"/>
  <c r="H1511" i="5"/>
  <c r="C259" i="7" s="1"/>
  <c r="R1514" i="5"/>
  <c r="I631" i="5"/>
  <c r="J631" i="5"/>
  <c r="K631" i="5"/>
  <c r="D128" i="7" s="1"/>
  <c r="L631" i="5"/>
  <c r="F128" i="7" s="1"/>
  <c r="M631" i="5"/>
  <c r="N631" i="5"/>
  <c r="O631" i="5"/>
  <c r="P631" i="5"/>
  <c r="Q631" i="5"/>
  <c r="H631" i="5"/>
  <c r="C128" i="7" s="1"/>
  <c r="R632" i="5"/>
  <c r="I297" i="5"/>
  <c r="J297" i="5"/>
  <c r="K297" i="5"/>
  <c r="D49" i="7" s="1"/>
  <c r="L297" i="5"/>
  <c r="F49" i="7" s="1"/>
  <c r="M297" i="5"/>
  <c r="N297" i="5"/>
  <c r="O297" i="5"/>
  <c r="P297" i="5"/>
  <c r="Q297" i="5"/>
  <c r="H297" i="5"/>
  <c r="C49" i="7" s="1"/>
  <c r="R299" i="5"/>
  <c r="R298" i="5"/>
  <c r="D1194" i="6"/>
  <c r="C1194" i="6" s="1"/>
  <c r="D1195" i="6"/>
  <c r="D1196" i="6"/>
  <c r="C1196" i="6" s="1"/>
  <c r="D1197" i="6"/>
  <c r="C1197" i="6" s="1"/>
  <c r="D1201" i="6"/>
  <c r="C1201" i="6" s="1"/>
  <c r="D1202" i="6"/>
  <c r="C1202" i="6" s="1"/>
  <c r="D1203" i="6"/>
  <c r="C1203" i="6" s="1"/>
  <c r="D1204" i="6"/>
  <c r="C1204" i="6" s="1"/>
  <c r="D1205" i="6"/>
  <c r="C1205" i="6" s="1"/>
  <c r="D1206" i="6"/>
  <c r="C1206" i="6" s="1"/>
  <c r="D1207" i="6"/>
  <c r="C1207" i="6" s="1"/>
  <c r="D1208" i="6"/>
  <c r="C1208" i="6" s="1"/>
  <c r="D1209" i="6"/>
  <c r="C1209" i="6" s="1"/>
  <c r="D1210" i="6"/>
  <c r="C1210" i="6" s="1"/>
  <c r="D1211" i="6"/>
  <c r="C1211" i="6" s="1"/>
  <c r="D1212" i="6"/>
  <c r="C1212" i="6" s="1"/>
  <c r="D1213" i="6"/>
  <c r="C1213" i="6" s="1"/>
  <c r="D1214" i="6"/>
  <c r="C1214" i="6" s="1"/>
  <c r="D1193" i="6"/>
  <c r="D726" i="6"/>
  <c r="C726" i="6" s="1"/>
  <c r="D727" i="6"/>
  <c r="C727" i="6" s="1"/>
  <c r="D728" i="6"/>
  <c r="C728" i="6" s="1"/>
  <c r="D729" i="6"/>
  <c r="C729" i="6" s="1"/>
  <c r="D730" i="6"/>
  <c r="C730" i="6" s="1"/>
  <c r="D731" i="6"/>
  <c r="C731" i="6" s="1"/>
  <c r="D732" i="6"/>
  <c r="C732" i="6" s="1"/>
  <c r="D733" i="6"/>
  <c r="C733" i="6" s="1"/>
  <c r="D734" i="6"/>
  <c r="C734" i="6" s="1"/>
  <c r="D735" i="6"/>
  <c r="C735" i="6" s="1"/>
  <c r="D736" i="6"/>
  <c r="C736" i="6" s="1"/>
  <c r="D737" i="6"/>
  <c r="C737" i="6" s="1"/>
  <c r="D738" i="6"/>
  <c r="C738" i="6" s="1"/>
  <c r="D739" i="6"/>
  <c r="C739" i="6" s="1"/>
  <c r="D725" i="6"/>
  <c r="D503" i="6"/>
  <c r="C503" i="6" s="1"/>
  <c r="D504" i="6"/>
  <c r="C504" i="6" s="1"/>
  <c r="D505" i="6"/>
  <c r="C505" i="6" s="1"/>
  <c r="D506" i="6"/>
  <c r="C506" i="6" s="1"/>
  <c r="D507" i="6"/>
  <c r="C507" i="6" s="1"/>
  <c r="D508" i="6"/>
  <c r="C508" i="6" s="1"/>
  <c r="D509" i="6"/>
  <c r="C509" i="6" s="1"/>
  <c r="D510" i="6"/>
  <c r="C510" i="6" s="1"/>
  <c r="D511" i="6"/>
  <c r="C511" i="6" s="1"/>
  <c r="D512" i="6"/>
  <c r="C512" i="6" s="1"/>
  <c r="D513" i="6"/>
  <c r="C513" i="6" s="1"/>
  <c r="D514" i="6"/>
  <c r="C514" i="6" s="1"/>
  <c r="D515" i="6"/>
  <c r="C515" i="6" s="1"/>
  <c r="D502" i="6"/>
  <c r="D94" i="6"/>
  <c r="C94" i="6" s="1"/>
  <c r="D95" i="6"/>
  <c r="C95" i="6" s="1"/>
  <c r="D96" i="6"/>
  <c r="C96" i="6" s="1"/>
  <c r="D97" i="6"/>
  <c r="C97" i="6" s="1"/>
  <c r="D98" i="6"/>
  <c r="C98" i="6" s="1"/>
  <c r="D99" i="6"/>
  <c r="C99" i="6" s="1"/>
  <c r="D100" i="6"/>
  <c r="C100" i="6" s="1"/>
  <c r="D101" i="6"/>
  <c r="C101" i="6" s="1"/>
  <c r="D102" i="6"/>
  <c r="C102" i="6" s="1"/>
  <c r="D103" i="6"/>
  <c r="C103" i="6" s="1"/>
  <c r="D104" i="6"/>
  <c r="C104" i="6" s="1"/>
  <c r="D105" i="6"/>
  <c r="C105" i="6" s="1"/>
  <c r="D106" i="6"/>
  <c r="C106" i="6" s="1"/>
  <c r="D107" i="6"/>
  <c r="C107" i="6" s="1"/>
  <c r="D108" i="6"/>
  <c r="C108" i="6" s="1"/>
  <c r="D109" i="6"/>
  <c r="C109" i="6" s="1"/>
  <c r="D110" i="6"/>
  <c r="C110" i="6" s="1"/>
  <c r="D111" i="6"/>
  <c r="C111" i="6" s="1"/>
  <c r="D112" i="6"/>
  <c r="C112" i="6" s="1"/>
  <c r="D113" i="6"/>
  <c r="C113" i="6" s="1"/>
  <c r="D114" i="6"/>
  <c r="C114" i="6" s="1"/>
  <c r="D115" i="6"/>
  <c r="C115" i="6" s="1"/>
  <c r="D116" i="6"/>
  <c r="C116" i="6" s="1"/>
  <c r="D117" i="6"/>
  <c r="C117" i="6" s="1"/>
  <c r="D118" i="6"/>
  <c r="C118" i="6" s="1"/>
  <c r="D119" i="6"/>
  <c r="C119" i="6" s="1"/>
  <c r="D120" i="6"/>
  <c r="C120" i="6" s="1"/>
  <c r="D121" i="6"/>
  <c r="C121" i="6" s="1"/>
  <c r="D93" i="6"/>
  <c r="C93" i="6" s="1"/>
  <c r="R1217" i="5"/>
  <c r="R1218" i="5"/>
  <c r="R1219" i="5"/>
  <c r="R1220" i="5"/>
  <c r="R1224" i="5"/>
  <c r="R1225" i="5"/>
  <c r="R1226" i="5"/>
  <c r="R1227" i="5"/>
  <c r="R1228" i="5"/>
  <c r="R1229" i="5"/>
  <c r="R1230" i="5"/>
  <c r="R1231" i="5"/>
  <c r="R1232" i="5"/>
  <c r="R1233" i="5"/>
  <c r="R1234" i="5"/>
  <c r="R1235" i="5"/>
  <c r="R1236" i="5"/>
  <c r="R1237" i="5"/>
  <c r="R1216" i="5"/>
  <c r="D220" i="7"/>
  <c r="F220" i="7"/>
  <c r="C220" i="7"/>
  <c r="F161" i="7"/>
  <c r="R755" i="5"/>
  <c r="R753" i="5"/>
  <c r="R752" i="5"/>
  <c r="R751" i="5"/>
  <c r="R750" i="5"/>
  <c r="R749" i="5"/>
  <c r="R748" i="5"/>
  <c r="R747" i="5"/>
  <c r="R746" i="5"/>
  <c r="R745" i="5"/>
  <c r="R744" i="5"/>
  <c r="R743" i="5"/>
  <c r="R742" i="5"/>
  <c r="D99" i="7"/>
  <c r="F99" i="7"/>
  <c r="C99" i="7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01" i="5"/>
  <c r="P100" i="5"/>
  <c r="D11" i="7"/>
  <c r="F11" i="7"/>
  <c r="C11" i="7"/>
  <c r="R128" i="5"/>
  <c r="R127" i="5"/>
  <c r="R126" i="5"/>
  <c r="R125" i="5"/>
  <c r="R124" i="5"/>
  <c r="R123" i="5"/>
  <c r="R122" i="5"/>
  <c r="R121" i="5"/>
  <c r="R120" i="5"/>
  <c r="R119" i="5"/>
  <c r="R118" i="5"/>
  <c r="R117" i="5"/>
  <c r="R116" i="5"/>
  <c r="R115" i="5"/>
  <c r="R114" i="5"/>
  <c r="R113" i="5"/>
  <c r="R112" i="5"/>
  <c r="R111" i="5"/>
  <c r="R110" i="5"/>
  <c r="R109" i="5"/>
  <c r="R108" i="5"/>
  <c r="R107" i="5"/>
  <c r="R106" i="5"/>
  <c r="R105" i="5"/>
  <c r="R104" i="5"/>
  <c r="R103" i="5"/>
  <c r="R102" i="5"/>
  <c r="R101" i="5"/>
  <c r="R100" i="5"/>
  <c r="D1192" i="6" l="1"/>
  <c r="P813" i="6"/>
  <c r="P309" i="6"/>
  <c r="P634" i="6"/>
  <c r="I830" i="5"/>
  <c r="I646" i="5"/>
  <c r="I316" i="5"/>
  <c r="C182" i="7"/>
  <c r="C181" i="7" s="1"/>
  <c r="H830" i="5"/>
  <c r="F182" i="7"/>
  <c r="F181" i="7" s="1"/>
  <c r="L830" i="5"/>
  <c r="D182" i="7"/>
  <c r="D181" i="7" s="1"/>
  <c r="K830" i="5"/>
  <c r="C1193" i="6"/>
  <c r="C725" i="6"/>
  <c r="C724" i="6" s="1"/>
  <c r="D724" i="6"/>
  <c r="C502" i="6"/>
  <c r="C501" i="6" s="1"/>
  <c r="D501" i="6"/>
  <c r="C92" i="6"/>
  <c r="D92" i="6"/>
  <c r="P99" i="5"/>
  <c r="C1517" i="6"/>
  <c r="C1488" i="6"/>
  <c r="C832" i="6"/>
  <c r="D1517" i="6"/>
  <c r="C56" i="7"/>
  <c r="C55" i="7" s="1"/>
  <c r="F56" i="7"/>
  <c r="F55" i="7" s="1"/>
  <c r="C134" i="7"/>
  <c r="C133" i="7" s="1"/>
  <c r="F134" i="7"/>
  <c r="F133" i="7" s="1"/>
  <c r="D56" i="7"/>
  <c r="D55" i="7" s="1"/>
  <c r="D134" i="7"/>
  <c r="D133" i="7" s="1"/>
  <c r="D310" i="6"/>
  <c r="D309" i="6" s="1"/>
  <c r="D635" i="6"/>
  <c r="D634" i="6" s="1"/>
  <c r="D814" i="6"/>
  <c r="D813" i="6" s="1"/>
  <c r="C290" i="6"/>
  <c r="D280" i="6"/>
  <c r="D434" i="6"/>
  <c r="C234" i="6"/>
  <c r="D234" i="6"/>
  <c r="D619" i="6"/>
  <c r="D290" i="6"/>
  <c r="D1473" i="6" l="1"/>
  <c r="C1473" i="6" s="1"/>
  <c r="D1474" i="6"/>
  <c r="D1475" i="6"/>
  <c r="C1475" i="6" s="1"/>
  <c r="D1476" i="6"/>
  <c r="C1476" i="6" s="1"/>
  <c r="D1477" i="6"/>
  <c r="C1477" i="6" s="1"/>
  <c r="D1478" i="6"/>
  <c r="C1478" i="6" s="1"/>
  <c r="D1479" i="6"/>
  <c r="C1479" i="6" s="1"/>
  <c r="D1480" i="6"/>
  <c r="C1480" i="6" s="1"/>
  <c r="D1481" i="6"/>
  <c r="C1481" i="6" s="1"/>
  <c r="D1482" i="6"/>
  <c r="D1483" i="6"/>
  <c r="C1483" i="6" s="1"/>
  <c r="D1472" i="6"/>
  <c r="E1471" i="6"/>
  <c r="F1471" i="6"/>
  <c r="G1471" i="6"/>
  <c r="H1471" i="6"/>
  <c r="I1471" i="6"/>
  <c r="J1471" i="6"/>
  <c r="K1471" i="6"/>
  <c r="K1470" i="6" s="1"/>
  <c r="L1471" i="6"/>
  <c r="L1470" i="6" s="1"/>
  <c r="M1471" i="6"/>
  <c r="N1471" i="6"/>
  <c r="O1471" i="6"/>
  <c r="P1471" i="6"/>
  <c r="Q1471" i="6"/>
  <c r="R1471" i="6"/>
  <c r="S1471" i="6"/>
  <c r="T1471" i="6"/>
  <c r="U1471" i="6"/>
  <c r="V1471" i="6"/>
  <c r="Y1471" i="6"/>
  <c r="X1482" i="6"/>
  <c r="X1474" i="6"/>
  <c r="X1472" i="6"/>
  <c r="D819" i="6"/>
  <c r="D820" i="6"/>
  <c r="D821" i="6"/>
  <c r="D822" i="6"/>
  <c r="C822" i="6" s="1"/>
  <c r="D818" i="6"/>
  <c r="C818" i="6" s="1"/>
  <c r="E817" i="6"/>
  <c r="E816" i="6" s="1"/>
  <c r="F817" i="6"/>
  <c r="F816" i="6" s="1"/>
  <c r="G817" i="6"/>
  <c r="G816" i="6" s="1"/>
  <c r="H817" i="6"/>
  <c r="H816" i="6" s="1"/>
  <c r="I817" i="6"/>
  <c r="I816" i="6" s="1"/>
  <c r="J817" i="6"/>
  <c r="J816" i="6" s="1"/>
  <c r="K817" i="6"/>
  <c r="K816" i="6" s="1"/>
  <c r="L817" i="6"/>
  <c r="L816" i="6" s="1"/>
  <c r="M817" i="6"/>
  <c r="M816" i="6" s="1"/>
  <c r="N817" i="6"/>
  <c r="N816" i="6" s="1"/>
  <c r="O817" i="6"/>
  <c r="O816" i="6" s="1"/>
  <c r="P817" i="6"/>
  <c r="P816" i="6" s="1"/>
  <c r="Q817" i="6"/>
  <c r="Q816" i="6" s="1"/>
  <c r="R817" i="6"/>
  <c r="R816" i="6" s="1"/>
  <c r="S817" i="6"/>
  <c r="S816" i="6" s="1"/>
  <c r="T817" i="6"/>
  <c r="T816" i="6" s="1"/>
  <c r="U817" i="6"/>
  <c r="U816" i="6" s="1"/>
  <c r="V817" i="6"/>
  <c r="V816" i="6" s="1"/>
  <c r="Y817" i="6"/>
  <c r="Y816" i="6" s="1"/>
  <c r="X821" i="6"/>
  <c r="X820" i="6"/>
  <c r="X819" i="6"/>
  <c r="E611" i="6"/>
  <c r="E610" i="6" s="1"/>
  <c r="F611" i="6"/>
  <c r="F610" i="6" s="1"/>
  <c r="G611" i="6"/>
  <c r="G610" i="6" s="1"/>
  <c r="H611" i="6"/>
  <c r="H610" i="6" s="1"/>
  <c r="I611" i="6"/>
  <c r="I610" i="6" s="1"/>
  <c r="J611" i="6"/>
  <c r="J610" i="6" s="1"/>
  <c r="K611" i="6"/>
  <c r="K610" i="6" s="1"/>
  <c r="L611" i="6"/>
  <c r="L610" i="6" s="1"/>
  <c r="M611" i="6"/>
  <c r="M610" i="6" s="1"/>
  <c r="N611" i="6"/>
  <c r="N610" i="6" s="1"/>
  <c r="O611" i="6"/>
  <c r="O610" i="6" s="1"/>
  <c r="Q611" i="6"/>
  <c r="Q610" i="6" s="1"/>
  <c r="R611" i="6"/>
  <c r="R610" i="6" s="1"/>
  <c r="S611" i="6"/>
  <c r="S610" i="6" s="1"/>
  <c r="U611" i="6"/>
  <c r="U610" i="6" s="1"/>
  <c r="V611" i="6"/>
  <c r="V610" i="6" s="1"/>
  <c r="Y611" i="6"/>
  <c r="Y610" i="6" s="1"/>
  <c r="D613" i="6"/>
  <c r="C613" i="6" s="1"/>
  <c r="D614" i="6"/>
  <c r="C614" i="6" s="1"/>
  <c r="D615" i="6"/>
  <c r="D616" i="6"/>
  <c r="D617" i="6"/>
  <c r="D618" i="6"/>
  <c r="D612" i="6"/>
  <c r="C612" i="6" s="1"/>
  <c r="X618" i="6"/>
  <c r="X617" i="6"/>
  <c r="C617" i="6" s="1"/>
  <c r="X616" i="6"/>
  <c r="T616" i="6"/>
  <c r="P616" i="6"/>
  <c r="X615" i="6"/>
  <c r="D285" i="6"/>
  <c r="D286" i="6"/>
  <c r="D287" i="6"/>
  <c r="D288" i="6"/>
  <c r="D289" i="6"/>
  <c r="D284" i="6"/>
  <c r="E283" i="6"/>
  <c r="F283" i="6"/>
  <c r="G283" i="6"/>
  <c r="H283" i="6"/>
  <c r="I283" i="6"/>
  <c r="J283" i="6"/>
  <c r="K283" i="6"/>
  <c r="K282" i="6" s="1"/>
  <c r="L283" i="6"/>
  <c r="L282" i="6" s="1"/>
  <c r="M283" i="6"/>
  <c r="O283" i="6"/>
  <c r="P283" i="6"/>
  <c r="Q283" i="6"/>
  <c r="R283" i="6"/>
  <c r="S283" i="6"/>
  <c r="T283" i="6"/>
  <c r="Y289" i="6"/>
  <c r="X289" i="6"/>
  <c r="V289" i="6"/>
  <c r="U289" i="6"/>
  <c r="X288" i="6"/>
  <c r="N285" i="6"/>
  <c r="N283" i="6" l="1"/>
  <c r="P611" i="6"/>
  <c r="P610" i="6" s="1"/>
  <c r="X1471" i="6"/>
  <c r="X817" i="6"/>
  <c r="X816" i="6" s="1"/>
  <c r="D1471" i="6"/>
  <c r="D817" i="6"/>
  <c r="D816" i="6" s="1"/>
  <c r="C1482" i="6"/>
  <c r="C1474" i="6"/>
  <c r="D283" i="6"/>
  <c r="X611" i="6"/>
  <c r="X610" i="6" s="1"/>
  <c r="C616" i="6"/>
  <c r="C1472" i="6"/>
  <c r="C821" i="6"/>
  <c r="C819" i="6"/>
  <c r="C618" i="6"/>
  <c r="C820" i="6"/>
  <c r="C615" i="6"/>
  <c r="T611" i="6"/>
  <c r="T610" i="6" s="1"/>
  <c r="D611" i="6"/>
  <c r="D610" i="6" s="1"/>
  <c r="X283" i="6"/>
  <c r="C289" i="6"/>
  <c r="C1471" i="6" l="1"/>
  <c r="C1470" i="6" s="1"/>
  <c r="C817" i="6"/>
  <c r="C816" i="6" s="1"/>
  <c r="C611" i="6"/>
  <c r="C610" i="6" s="1"/>
  <c r="O1496" i="5" l="1"/>
  <c r="O1497" i="5"/>
  <c r="O1498" i="5"/>
  <c r="O1499" i="5"/>
  <c r="O1500" i="5"/>
  <c r="O1501" i="5"/>
  <c r="O1502" i="5"/>
  <c r="O1503" i="5"/>
  <c r="O1504" i="5"/>
  <c r="O1505" i="5"/>
  <c r="O1506" i="5"/>
  <c r="O1495" i="5"/>
  <c r="I1494" i="5"/>
  <c r="K1494" i="5"/>
  <c r="K1493" i="5" s="1"/>
  <c r="M1494" i="5"/>
  <c r="M1493" i="5" s="1"/>
  <c r="N1494" i="5"/>
  <c r="N1493" i="5" s="1"/>
  <c r="P1494" i="5"/>
  <c r="Q1494" i="5"/>
  <c r="Q1493" i="5" s="1"/>
  <c r="H1494" i="5"/>
  <c r="H1493" i="5" s="1"/>
  <c r="R1506" i="5"/>
  <c r="R1505" i="5"/>
  <c r="J1505" i="5"/>
  <c r="R1504" i="5"/>
  <c r="J1504" i="5"/>
  <c r="R1503" i="5"/>
  <c r="J1503" i="5"/>
  <c r="R1502" i="5"/>
  <c r="J1502" i="5"/>
  <c r="R1501" i="5"/>
  <c r="J1501" i="5"/>
  <c r="R1500" i="5"/>
  <c r="J1500" i="5"/>
  <c r="R1499" i="5"/>
  <c r="J1499" i="5"/>
  <c r="R1498" i="5"/>
  <c r="J1498" i="5"/>
  <c r="R1497" i="5"/>
  <c r="J1497" i="5"/>
  <c r="J1494" i="5" s="1"/>
  <c r="J1493" i="5" s="1"/>
  <c r="R1496" i="5"/>
  <c r="R1495" i="5"/>
  <c r="O836" i="5"/>
  <c r="O837" i="5"/>
  <c r="O838" i="5"/>
  <c r="O839" i="5"/>
  <c r="O835" i="5"/>
  <c r="I834" i="5"/>
  <c r="I833" i="5" s="1"/>
  <c r="K834" i="5"/>
  <c r="K833" i="5" s="1"/>
  <c r="M834" i="5"/>
  <c r="M833" i="5" s="1"/>
  <c r="N834" i="5"/>
  <c r="N833" i="5" s="1"/>
  <c r="P834" i="5"/>
  <c r="P833" i="5" s="1"/>
  <c r="Q834" i="5"/>
  <c r="Q833" i="5" s="1"/>
  <c r="H834" i="5"/>
  <c r="H833" i="5" s="1"/>
  <c r="R839" i="5"/>
  <c r="J839" i="5"/>
  <c r="R838" i="5"/>
  <c r="J838" i="5"/>
  <c r="R837" i="5"/>
  <c r="J837" i="5"/>
  <c r="R836" i="5"/>
  <c r="J836" i="5"/>
  <c r="J835" i="5"/>
  <c r="O625" i="5"/>
  <c r="O626" i="5"/>
  <c r="O627" i="5"/>
  <c r="O628" i="5"/>
  <c r="O629" i="5"/>
  <c r="O630" i="5"/>
  <c r="O624" i="5"/>
  <c r="I623" i="5"/>
  <c r="I622" i="5" s="1"/>
  <c r="K623" i="5"/>
  <c r="K622" i="5" s="1"/>
  <c r="L623" i="5"/>
  <c r="L622" i="5" s="1"/>
  <c r="M623" i="5"/>
  <c r="M622" i="5" s="1"/>
  <c r="N623" i="5"/>
  <c r="N622" i="5" s="1"/>
  <c r="P623" i="5"/>
  <c r="P622" i="5" s="1"/>
  <c r="Q623" i="5"/>
  <c r="Q622" i="5" s="1"/>
  <c r="H623" i="5"/>
  <c r="H622" i="5" s="1"/>
  <c r="R630" i="5"/>
  <c r="J630" i="5"/>
  <c r="R629" i="5"/>
  <c r="J629" i="5"/>
  <c r="R628" i="5"/>
  <c r="J628" i="5"/>
  <c r="R627" i="5"/>
  <c r="J627" i="5"/>
  <c r="R626" i="5"/>
  <c r="J626" i="5"/>
  <c r="R625" i="5"/>
  <c r="J625" i="5"/>
  <c r="R624" i="5"/>
  <c r="J624" i="5"/>
  <c r="J623" i="5" s="1"/>
  <c r="J622" i="5" s="1"/>
  <c r="I290" i="5"/>
  <c r="K290" i="5"/>
  <c r="M290" i="5"/>
  <c r="N290" i="5"/>
  <c r="P290" i="5"/>
  <c r="Q290" i="5"/>
  <c r="H290" i="5"/>
  <c r="R296" i="5"/>
  <c r="J296" i="5"/>
  <c r="R295" i="5"/>
  <c r="J295" i="5"/>
  <c r="R294" i="5"/>
  <c r="J294" i="5"/>
  <c r="R293" i="5"/>
  <c r="J293" i="5"/>
  <c r="R292" i="5"/>
  <c r="J292" i="5"/>
  <c r="O290" i="5"/>
  <c r="R291" i="5"/>
  <c r="J291" i="5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X251" i="6"/>
  <c r="Y251" i="6"/>
  <c r="D253" i="6"/>
  <c r="C253" i="6" s="1"/>
  <c r="D252" i="6"/>
  <c r="C252" i="6" s="1"/>
  <c r="I258" i="5"/>
  <c r="J258" i="5"/>
  <c r="K258" i="5"/>
  <c r="D39" i="7" s="1"/>
  <c r="L258" i="5"/>
  <c r="F39" i="7" s="1"/>
  <c r="M258" i="5"/>
  <c r="N258" i="5"/>
  <c r="O258" i="5"/>
  <c r="P258" i="5"/>
  <c r="Q258" i="5"/>
  <c r="H258" i="5"/>
  <c r="C39" i="7" s="1"/>
  <c r="R260" i="5"/>
  <c r="R259" i="5"/>
  <c r="I1493" i="5" l="1"/>
  <c r="C48" i="7"/>
  <c r="D48" i="7"/>
  <c r="C184" i="7"/>
  <c r="C183" i="7" s="1"/>
  <c r="D257" i="7"/>
  <c r="D184" i="7"/>
  <c r="D183" i="7" s="1"/>
  <c r="C257" i="7"/>
  <c r="C127" i="7"/>
  <c r="C126" i="7" s="1"/>
  <c r="D127" i="7"/>
  <c r="D126" i="7" s="1"/>
  <c r="F127" i="7"/>
  <c r="F126" i="7" s="1"/>
  <c r="O1494" i="5"/>
  <c r="J834" i="5"/>
  <c r="J833" i="5" s="1"/>
  <c r="L1494" i="5"/>
  <c r="L1493" i="5" s="1"/>
  <c r="R835" i="5"/>
  <c r="L834" i="5"/>
  <c r="L833" i="5" s="1"/>
  <c r="O834" i="5"/>
  <c r="J290" i="5"/>
  <c r="O623" i="5"/>
  <c r="O622" i="5" s="1"/>
  <c r="L290" i="5"/>
  <c r="C251" i="6"/>
  <c r="D251" i="6"/>
  <c r="F48" i="7" l="1"/>
  <c r="F184" i="7"/>
  <c r="F183" i="7" s="1"/>
  <c r="F257" i="7"/>
  <c r="D747" i="6"/>
  <c r="C747" i="6" s="1"/>
  <c r="D748" i="6"/>
  <c r="C748" i="6" s="1"/>
  <c r="D749" i="6"/>
  <c r="C749" i="6" s="1"/>
  <c r="D750" i="6"/>
  <c r="C750" i="6" s="1"/>
  <c r="D751" i="6"/>
  <c r="C751" i="6" s="1"/>
  <c r="D752" i="6"/>
  <c r="C752" i="6" s="1"/>
  <c r="D753" i="6"/>
  <c r="C753" i="6" s="1"/>
  <c r="D746" i="6"/>
  <c r="D532" i="6"/>
  <c r="D758" i="6"/>
  <c r="C758" i="6" s="1"/>
  <c r="D533" i="6"/>
  <c r="C533" i="6" s="1"/>
  <c r="D534" i="6"/>
  <c r="C534" i="6" s="1"/>
  <c r="D535" i="6"/>
  <c r="C535" i="6" s="1"/>
  <c r="D536" i="6"/>
  <c r="C536" i="6" s="1"/>
  <c r="D537" i="6"/>
  <c r="C537" i="6" s="1"/>
  <c r="D538" i="6"/>
  <c r="C538" i="6" s="1"/>
  <c r="D539" i="6"/>
  <c r="C539" i="6" s="1"/>
  <c r="D531" i="6"/>
  <c r="D159" i="6"/>
  <c r="C159" i="6" s="1"/>
  <c r="D160" i="6"/>
  <c r="C160" i="6" s="1"/>
  <c r="D161" i="6"/>
  <c r="C161" i="6" s="1"/>
  <c r="D162" i="6"/>
  <c r="C162" i="6" s="1"/>
  <c r="D163" i="6"/>
  <c r="C163" i="6" s="1"/>
  <c r="D164" i="6"/>
  <c r="C164" i="6" s="1"/>
  <c r="D544" i="6"/>
  <c r="C544" i="6" s="1"/>
  <c r="D165" i="6"/>
  <c r="C165" i="6" s="1"/>
  <c r="D166" i="6"/>
  <c r="C166" i="6" s="1"/>
  <c r="D167" i="6"/>
  <c r="C167" i="6" s="1"/>
  <c r="D158" i="6"/>
  <c r="C158" i="6" s="1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X157" i="6"/>
  <c r="Y157" i="6"/>
  <c r="O1342" i="5"/>
  <c r="J1342" i="5"/>
  <c r="O1341" i="5"/>
  <c r="J1341" i="5"/>
  <c r="O1340" i="5"/>
  <c r="R1339" i="5"/>
  <c r="J1339" i="5"/>
  <c r="O1336" i="5"/>
  <c r="R1336" i="5"/>
  <c r="J1336" i="5"/>
  <c r="J1335" i="5"/>
  <c r="I1335" i="5"/>
  <c r="O1334" i="5"/>
  <c r="J1334" i="5"/>
  <c r="O1333" i="5"/>
  <c r="O1332" i="5"/>
  <c r="R1332" i="5"/>
  <c r="J1332" i="5"/>
  <c r="O1331" i="5"/>
  <c r="R1331" i="5"/>
  <c r="J1331" i="5"/>
  <c r="O770" i="5"/>
  <c r="R769" i="5"/>
  <c r="O768" i="5"/>
  <c r="R767" i="5"/>
  <c r="O766" i="5"/>
  <c r="O765" i="5"/>
  <c r="R765" i="5"/>
  <c r="O764" i="5"/>
  <c r="R763" i="5"/>
  <c r="I164" i="5"/>
  <c r="J164" i="5"/>
  <c r="K164" i="5"/>
  <c r="D14" i="7" s="1"/>
  <c r="L164" i="5"/>
  <c r="F14" i="7" s="1"/>
  <c r="P164" i="5"/>
  <c r="Q164" i="5"/>
  <c r="H164" i="5"/>
  <c r="C14" i="7" s="1"/>
  <c r="O174" i="5"/>
  <c r="O173" i="5"/>
  <c r="R173" i="5"/>
  <c r="O172" i="5"/>
  <c r="R556" i="5"/>
  <c r="O171" i="5"/>
  <c r="R170" i="5"/>
  <c r="O169" i="5"/>
  <c r="R168" i="5"/>
  <c r="O167" i="5"/>
  <c r="R166" i="5"/>
  <c r="O165" i="5"/>
  <c r="C531" i="6" l="1"/>
  <c r="D530" i="6"/>
  <c r="D745" i="6"/>
  <c r="C746" i="6"/>
  <c r="C745" i="6" s="1"/>
  <c r="C532" i="6"/>
  <c r="I1327" i="5"/>
  <c r="C162" i="7"/>
  <c r="D162" i="7"/>
  <c r="F162" i="7"/>
  <c r="C1304" i="6"/>
  <c r="J1327" i="5"/>
  <c r="D223" i="7"/>
  <c r="C223" i="7"/>
  <c r="D157" i="6"/>
  <c r="C157" i="6"/>
  <c r="O1339" i="5"/>
  <c r="R1340" i="5"/>
  <c r="R1341" i="5"/>
  <c r="R1342" i="5"/>
  <c r="R1335" i="5"/>
  <c r="O1335" i="5"/>
  <c r="R1333" i="5"/>
  <c r="R1334" i="5"/>
  <c r="O769" i="5"/>
  <c r="O767" i="5"/>
  <c r="O763" i="5"/>
  <c r="R764" i="5"/>
  <c r="R766" i="5"/>
  <c r="R768" i="5"/>
  <c r="R770" i="5"/>
  <c r="R165" i="5"/>
  <c r="O166" i="5"/>
  <c r="R167" i="5"/>
  <c r="O168" i="5"/>
  <c r="R169" i="5"/>
  <c r="O170" i="5"/>
  <c r="R171" i="5"/>
  <c r="O556" i="5"/>
  <c r="O542" i="5" s="1"/>
  <c r="R172" i="5"/>
  <c r="R174" i="5"/>
  <c r="C530" i="6" l="1"/>
  <c r="O762" i="5"/>
  <c r="O164" i="5"/>
  <c r="D868" i="6" l="1"/>
  <c r="D665" i="6"/>
  <c r="D383" i="6"/>
  <c r="R677" i="5"/>
  <c r="R373" i="5"/>
  <c r="D1437" i="6"/>
  <c r="C1437" i="6" s="1"/>
  <c r="D1436" i="6"/>
  <c r="C1436" i="6" s="1"/>
  <c r="D38" i="7"/>
  <c r="F38" i="7"/>
  <c r="C38" i="7"/>
  <c r="D857" i="6"/>
  <c r="C857" i="6" s="1"/>
  <c r="D858" i="6"/>
  <c r="C858" i="6" s="1"/>
  <c r="D859" i="6"/>
  <c r="C859" i="6" s="1"/>
  <c r="D860" i="6"/>
  <c r="C860" i="6" s="1"/>
  <c r="D861" i="6"/>
  <c r="C861" i="6" s="1"/>
  <c r="D862" i="6"/>
  <c r="C862" i="6" s="1"/>
  <c r="D863" i="6"/>
  <c r="C863" i="6" s="1"/>
  <c r="D864" i="6"/>
  <c r="C864" i="6" s="1"/>
  <c r="D865" i="6"/>
  <c r="C865" i="6" s="1"/>
  <c r="D866" i="6"/>
  <c r="C866" i="6" s="1"/>
  <c r="D856" i="6"/>
  <c r="C856" i="6" s="1"/>
  <c r="E855" i="6"/>
  <c r="F855" i="6"/>
  <c r="G855" i="6"/>
  <c r="H855" i="6"/>
  <c r="I855" i="6"/>
  <c r="J855" i="6"/>
  <c r="K855" i="6"/>
  <c r="L855" i="6"/>
  <c r="M855" i="6"/>
  <c r="N855" i="6"/>
  <c r="O855" i="6"/>
  <c r="P855" i="6"/>
  <c r="Q855" i="6"/>
  <c r="R855" i="6"/>
  <c r="S855" i="6"/>
  <c r="T855" i="6"/>
  <c r="U855" i="6"/>
  <c r="V855" i="6"/>
  <c r="X855" i="6"/>
  <c r="Y855" i="6"/>
  <c r="E655" i="6"/>
  <c r="F655" i="6"/>
  <c r="G655" i="6"/>
  <c r="H655" i="6"/>
  <c r="I655" i="6"/>
  <c r="J655" i="6"/>
  <c r="K655" i="6"/>
  <c r="L655" i="6"/>
  <c r="M655" i="6"/>
  <c r="N655" i="6"/>
  <c r="O655" i="6"/>
  <c r="P655" i="6"/>
  <c r="Q655" i="6"/>
  <c r="R655" i="6"/>
  <c r="S655" i="6"/>
  <c r="T655" i="6"/>
  <c r="U655" i="6"/>
  <c r="V655" i="6"/>
  <c r="X655" i="6"/>
  <c r="Y655" i="6"/>
  <c r="D657" i="6"/>
  <c r="C657" i="6" s="1"/>
  <c r="D658" i="6"/>
  <c r="C658" i="6" s="1"/>
  <c r="D659" i="6"/>
  <c r="C659" i="6" s="1"/>
  <c r="D660" i="6"/>
  <c r="C660" i="6" s="1"/>
  <c r="D661" i="6"/>
  <c r="C661" i="6" s="1"/>
  <c r="D662" i="6"/>
  <c r="C662" i="6" s="1"/>
  <c r="D663" i="6"/>
  <c r="C663" i="6" s="1"/>
  <c r="D656" i="6"/>
  <c r="D375" i="6"/>
  <c r="C375" i="6" s="1"/>
  <c r="D376" i="6"/>
  <c r="C376" i="6" s="1"/>
  <c r="D377" i="6"/>
  <c r="C377" i="6" s="1"/>
  <c r="D378" i="6"/>
  <c r="C378" i="6" s="1"/>
  <c r="D379" i="6"/>
  <c r="C379" i="6" s="1"/>
  <c r="D374" i="6"/>
  <c r="I872" i="5"/>
  <c r="J872" i="5"/>
  <c r="K872" i="5"/>
  <c r="L872" i="5"/>
  <c r="F200" i="7" s="1"/>
  <c r="M872" i="5"/>
  <c r="N872" i="5"/>
  <c r="O872" i="5"/>
  <c r="P872" i="5"/>
  <c r="Q872" i="5"/>
  <c r="H872" i="5"/>
  <c r="R883" i="5"/>
  <c r="R882" i="5"/>
  <c r="R881" i="5"/>
  <c r="R880" i="5"/>
  <c r="R879" i="5"/>
  <c r="R878" i="5"/>
  <c r="R877" i="5"/>
  <c r="R876" i="5"/>
  <c r="R875" i="5"/>
  <c r="R874" i="5"/>
  <c r="R873" i="5"/>
  <c r="I667" i="5"/>
  <c r="J667" i="5"/>
  <c r="K667" i="5"/>
  <c r="D142" i="7" s="1"/>
  <c r="L667" i="5"/>
  <c r="F142" i="7" s="1"/>
  <c r="M667" i="5"/>
  <c r="N667" i="5"/>
  <c r="O667" i="5"/>
  <c r="P667" i="5"/>
  <c r="Q667" i="5"/>
  <c r="H667" i="5"/>
  <c r="C142" i="7" s="1"/>
  <c r="R675" i="5"/>
  <c r="R674" i="5"/>
  <c r="R673" i="5"/>
  <c r="R672" i="5"/>
  <c r="R671" i="5"/>
  <c r="R670" i="5"/>
  <c r="R669" i="5"/>
  <c r="R668" i="5"/>
  <c r="D71" i="7"/>
  <c r="F71" i="7"/>
  <c r="C71" i="7"/>
  <c r="R369" i="5"/>
  <c r="R368" i="5"/>
  <c r="R367" i="5"/>
  <c r="R366" i="5"/>
  <c r="R365" i="5"/>
  <c r="R364" i="5"/>
  <c r="C868" i="6" l="1"/>
  <c r="C867" i="6" s="1"/>
  <c r="D867" i="6"/>
  <c r="C665" i="6"/>
  <c r="C664" i="6" s="1"/>
  <c r="D664" i="6"/>
  <c r="C383" i="6"/>
  <c r="C382" i="6" s="1"/>
  <c r="D382" i="6"/>
  <c r="C374" i="6"/>
  <c r="C373" i="6" s="1"/>
  <c r="D373" i="6"/>
  <c r="D655" i="6"/>
  <c r="C656" i="6"/>
  <c r="C655" i="6" s="1"/>
  <c r="D855" i="6"/>
  <c r="C855" i="6"/>
  <c r="E87" i="7" l="1"/>
  <c r="E419" i="6"/>
  <c r="F419" i="6"/>
  <c r="F418" i="6" s="1"/>
  <c r="G419" i="6"/>
  <c r="G418" i="6" s="1"/>
  <c r="H419" i="6"/>
  <c r="H418" i="6" s="1"/>
  <c r="I419" i="6"/>
  <c r="I418" i="6" s="1"/>
  <c r="J419" i="6"/>
  <c r="J418" i="6" s="1"/>
  <c r="K419" i="6"/>
  <c r="K418" i="6" s="1"/>
  <c r="L419" i="6"/>
  <c r="L418" i="6" s="1"/>
  <c r="M419" i="6"/>
  <c r="M418" i="6" s="1"/>
  <c r="N419" i="6"/>
  <c r="N418" i="6" s="1"/>
  <c r="O419" i="6"/>
  <c r="O418" i="6" s="1"/>
  <c r="P419" i="6"/>
  <c r="P418" i="6" s="1"/>
  <c r="Q419" i="6"/>
  <c r="Q418" i="6" s="1"/>
  <c r="R419" i="6"/>
  <c r="R418" i="6" s="1"/>
  <c r="S419" i="6"/>
  <c r="S418" i="6" s="1"/>
  <c r="T419" i="6"/>
  <c r="T418" i="6" s="1"/>
  <c r="U419" i="6"/>
  <c r="U418" i="6" s="1"/>
  <c r="V419" i="6"/>
  <c r="V418" i="6" s="1"/>
  <c r="X419" i="6"/>
  <c r="X418" i="6" s="1"/>
  <c r="Y419" i="6"/>
  <c r="Y418" i="6" s="1"/>
  <c r="D421" i="6"/>
  <c r="C421" i="6" s="1"/>
  <c r="D420" i="6"/>
  <c r="I409" i="5"/>
  <c r="J409" i="5"/>
  <c r="J408" i="5" s="1"/>
  <c r="K409" i="5"/>
  <c r="D88" i="7" s="1"/>
  <c r="D87" i="7" s="1"/>
  <c r="L409" i="5"/>
  <c r="F88" i="7" s="1"/>
  <c r="F87" i="7" s="1"/>
  <c r="M409" i="5"/>
  <c r="M408" i="5" s="1"/>
  <c r="N409" i="5"/>
  <c r="N408" i="5" s="1"/>
  <c r="O409" i="5"/>
  <c r="O408" i="5" s="1"/>
  <c r="P409" i="5"/>
  <c r="P408" i="5" s="1"/>
  <c r="Q409" i="5"/>
  <c r="Q408" i="5" s="1"/>
  <c r="H409" i="5"/>
  <c r="C88" i="7" s="1"/>
  <c r="C87" i="7" s="1"/>
  <c r="R411" i="5"/>
  <c r="R410" i="5"/>
  <c r="E686" i="6"/>
  <c r="F686" i="6"/>
  <c r="G686" i="6"/>
  <c r="H686" i="6"/>
  <c r="I686" i="6"/>
  <c r="J686" i="6"/>
  <c r="K686" i="6"/>
  <c r="L686" i="6"/>
  <c r="M686" i="6"/>
  <c r="N686" i="6"/>
  <c r="O686" i="6"/>
  <c r="P686" i="6"/>
  <c r="Q686" i="6"/>
  <c r="R686" i="6"/>
  <c r="S686" i="6"/>
  <c r="T686" i="6"/>
  <c r="U686" i="6"/>
  <c r="V686" i="6"/>
  <c r="X686" i="6"/>
  <c r="Y686" i="6"/>
  <c r="D687" i="6"/>
  <c r="C687" i="6" s="1"/>
  <c r="C686" i="6" s="1"/>
  <c r="I695" i="5"/>
  <c r="J695" i="5"/>
  <c r="K695" i="5"/>
  <c r="D152" i="7" s="1"/>
  <c r="L695" i="5"/>
  <c r="F152" i="7" s="1"/>
  <c r="M695" i="5"/>
  <c r="N695" i="5"/>
  <c r="O695" i="5"/>
  <c r="P695" i="5"/>
  <c r="Q695" i="5"/>
  <c r="H695" i="5"/>
  <c r="C152" i="7" s="1"/>
  <c r="R696" i="5"/>
  <c r="D1613" i="6"/>
  <c r="E1613" i="6"/>
  <c r="F1613" i="6"/>
  <c r="G1613" i="6"/>
  <c r="H1613" i="6"/>
  <c r="I1613" i="6"/>
  <c r="J1613" i="6"/>
  <c r="L1613" i="6"/>
  <c r="N1613" i="6"/>
  <c r="O1613" i="6"/>
  <c r="P1613" i="6"/>
  <c r="Q1613" i="6"/>
  <c r="R1613" i="6"/>
  <c r="S1613" i="6"/>
  <c r="T1613" i="6"/>
  <c r="U1613" i="6"/>
  <c r="V1613" i="6"/>
  <c r="X1613" i="6"/>
  <c r="Y1613" i="6"/>
  <c r="C1614" i="6"/>
  <c r="C1613" i="6" s="1"/>
  <c r="I1636" i="5"/>
  <c r="J1636" i="5"/>
  <c r="K1636" i="5"/>
  <c r="D295" i="7" s="1"/>
  <c r="L1636" i="5"/>
  <c r="F295" i="7" s="1"/>
  <c r="M1636" i="5"/>
  <c r="N1636" i="5"/>
  <c r="O1636" i="5"/>
  <c r="P1636" i="5"/>
  <c r="Q1636" i="5"/>
  <c r="H1636" i="5"/>
  <c r="C295" i="7" s="1"/>
  <c r="R1637" i="5"/>
  <c r="V439" i="6"/>
  <c r="R439" i="6"/>
  <c r="N439" i="6"/>
  <c r="J439" i="6"/>
  <c r="I439" i="6"/>
  <c r="H439" i="6"/>
  <c r="G439" i="6"/>
  <c r="D440" i="6"/>
  <c r="C440" i="6" s="1"/>
  <c r="Y439" i="6"/>
  <c r="X439" i="6"/>
  <c r="U439" i="6"/>
  <c r="T439" i="6"/>
  <c r="S439" i="6"/>
  <c r="Q439" i="6"/>
  <c r="P439" i="6"/>
  <c r="O439" i="6"/>
  <c r="M439" i="6"/>
  <c r="L439" i="6"/>
  <c r="K439" i="6"/>
  <c r="E439" i="6"/>
  <c r="I429" i="5"/>
  <c r="J429" i="5"/>
  <c r="K429" i="5"/>
  <c r="D95" i="7" s="1"/>
  <c r="L429" i="5"/>
  <c r="F95" i="7" s="1"/>
  <c r="M429" i="5"/>
  <c r="N429" i="5"/>
  <c r="O429" i="5"/>
  <c r="P429" i="5"/>
  <c r="Q429" i="5"/>
  <c r="H429" i="5"/>
  <c r="C95" i="7" s="1"/>
  <c r="R431" i="5"/>
  <c r="R430" i="5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X247" i="6"/>
  <c r="Y247" i="6"/>
  <c r="D248" i="6"/>
  <c r="C248" i="6" s="1"/>
  <c r="C247" i="6" s="1"/>
  <c r="I254" i="5"/>
  <c r="J254" i="5"/>
  <c r="K254" i="5"/>
  <c r="D37" i="7" s="1"/>
  <c r="L254" i="5"/>
  <c r="F37" i="7" s="1"/>
  <c r="M254" i="5"/>
  <c r="N254" i="5"/>
  <c r="O254" i="5"/>
  <c r="P254" i="5"/>
  <c r="Q254" i="5"/>
  <c r="H254" i="5"/>
  <c r="C37" i="7" s="1"/>
  <c r="R255" i="5"/>
  <c r="D1441" i="6"/>
  <c r="C1441" i="6" s="1"/>
  <c r="D1442" i="6"/>
  <c r="C1442" i="6" s="1"/>
  <c r="D1443" i="6"/>
  <c r="C1443" i="6" s="1"/>
  <c r="D1440" i="6"/>
  <c r="C1440" i="6" s="1"/>
  <c r="D803" i="6"/>
  <c r="E803" i="6"/>
  <c r="F803" i="6"/>
  <c r="G803" i="6"/>
  <c r="H803" i="6"/>
  <c r="I803" i="6"/>
  <c r="J803" i="6"/>
  <c r="K803" i="6"/>
  <c r="L803" i="6"/>
  <c r="M803" i="6"/>
  <c r="N803" i="6"/>
  <c r="O803" i="6"/>
  <c r="P803" i="6"/>
  <c r="Q803" i="6"/>
  <c r="R803" i="6"/>
  <c r="S803" i="6"/>
  <c r="T803" i="6"/>
  <c r="U803" i="6"/>
  <c r="V803" i="6"/>
  <c r="X803" i="6"/>
  <c r="Y803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X592" i="6"/>
  <c r="Y592" i="6"/>
  <c r="D593" i="6"/>
  <c r="D595" i="6"/>
  <c r="C595" i="6" s="1"/>
  <c r="D594" i="6"/>
  <c r="C594" i="6" s="1"/>
  <c r="D262" i="6"/>
  <c r="C262" i="6" s="1"/>
  <c r="D263" i="6"/>
  <c r="C263" i="6" s="1"/>
  <c r="K255" i="6"/>
  <c r="L255" i="6"/>
  <c r="M255" i="6"/>
  <c r="O255" i="6"/>
  <c r="P255" i="6"/>
  <c r="Q255" i="6"/>
  <c r="R255" i="6"/>
  <c r="S255" i="6"/>
  <c r="T255" i="6"/>
  <c r="U255" i="6"/>
  <c r="V255" i="6"/>
  <c r="X255" i="6"/>
  <c r="Y255" i="6"/>
  <c r="I1462" i="5"/>
  <c r="J1462" i="5"/>
  <c r="J1461" i="5" s="1"/>
  <c r="K1462" i="5"/>
  <c r="L1462" i="5"/>
  <c r="M1462" i="5"/>
  <c r="M1461" i="5" s="1"/>
  <c r="N1462" i="5"/>
  <c r="N1461" i="5" s="1"/>
  <c r="O1462" i="5"/>
  <c r="O1461" i="5" s="1"/>
  <c r="P1462" i="5"/>
  <c r="P1461" i="5" s="1"/>
  <c r="Q1462" i="5"/>
  <c r="Q1461" i="5" s="1"/>
  <c r="H1462" i="5"/>
  <c r="R1466" i="5"/>
  <c r="R1465" i="5"/>
  <c r="R1464" i="5"/>
  <c r="R1463" i="5"/>
  <c r="I820" i="5"/>
  <c r="J820" i="5"/>
  <c r="K820" i="5"/>
  <c r="D179" i="7" s="1"/>
  <c r="L820" i="5"/>
  <c r="F179" i="7" s="1"/>
  <c r="M820" i="5"/>
  <c r="N820" i="5"/>
  <c r="O820" i="5"/>
  <c r="P820" i="5"/>
  <c r="Q820" i="5"/>
  <c r="H820" i="5"/>
  <c r="C179" i="7" s="1"/>
  <c r="R823" i="5"/>
  <c r="R822" i="5"/>
  <c r="R821" i="5"/>
  <c r="I604" i="5"/>
  <c r="J604" i="5"/>
  <c r="K604" i="5"/>
  <c r="L604" i="5"/>
  <c r="M604" i="5"/>
  <c r="N604" i="5"/>
  <c r="O604" i="5"/>
  <c r="P604" i="5"/>
  <c r="Q604" i="5"/>
  <c r="H604" i="5"/>
  <c r="R608" i="5"/>
  <c r="R607" i="5"/>
  <c r="R606" i="5"/>
  <c r="R605" i="5"/>
  <c r="I262" i="5"/>
  <c r="J262" i="5"/>
  <c r="K262" i="5"/>
  <c r="L262" i="5"/>
  <c r="M262" i="5"/>
  <c r="N262" i="5"/>
  <c r="O262" i="5"/>
  <c r="P262" i="5"/>
  <c r="Q262" i="5"/>
  <c r="H262" i="5"/>
  <c r="R270" i="5"/>
  <c r="R269" i="5"/>
  <c r="R268" i="5"/>
  <c r="R267" i="5"/>
  <c r="R266" i="5"/>
  <c r="R265" i="5"/>
  <c r="R264" i="5"/>
  <c r="R263" i="5"/>
  <c r="E63" i="7"/>
  <c r="E345" i="6"/>
  <c r="F345" i="6"/>
  <c r="G345" i="6"/>
  <c r="H345" i="6"/>
  <c r="I345" i="6"/>
  <c r="J345" i="6"/>
  <c r="K345" i="6"/>
  <c r="L345" i="6"/>
  <c r="M345" i="6"/>
  <c r="N345" i="6"/>
  <c r="O345" i="6"/>
  <c r="P345" i="6"/>
  <c r="Q345" i="6"/>
  <c r="R345" i="6"/>
  <c r="S345" i="6"/>
  <c r="T345" i="6"/>
  <c r="U345" i="6"/>
  <c r="V345" i="6"/>
  <c r="X345" i="6"/>
  <c r="Y345" i="6"/>
  <c r="D346" i="6"/>
  <c r="D345" i="6" s="1"/>
  <c r="I352" i="5"/>
  <c r="J352" i="5"/>
  <c r="K352" i="5"/>
  <c r="D65" i="7" s="1"/>
  <c r="L352" i="5"/>
  <c r="F65" i="7" s="1"/>
  <c r="M352" i="5"/>
  <c r="N352" i="5"/>
  <c r="O352" i="5"/>
  <c r="P352" i="5"/>
  <c r="Q352" i="5"/>
  <c r="H352" i="5"/>
  <c r="C65" i="7" s="1"/>
  <c r="R353" i="5"/>
  <c r="E347" i="6"/>
  <c r="F347" i="6"/>
  <c r="F339" i="6" s="1"/>
  <c r="G347" i="6"/>
  <c r="H347" i="6"/>
  <c r="H339" i="6" s="1"/>
  <c r="I347" i="6"/>
  <c r="J347" i="6"/>
  <c r="J339" i="6" s="1"/>
  <c r="K347" i="6"/>
  <c r="L347" i="6"/>
  <c r="L339" i="6" s="1"/>
  <c r="M347" i="6"/>
  <c r="N347" i="6"/>
  <c r="N339" i="6" s="1"/>
  <c r="O347" i="6"/>
  <c r="P347" i="6"/>
  <c r="Q347" i="6"/>
  <c r="R347" i="6"/>
  <c r="R339" i="6" s="1"/>
  <c r="S347" i="6"/>
  <c r="T347" i="6"/>
  <c r="T339" i="6" s="1"/>
  <c r="U347" i="6"/>
  <c r="V347" i="6"/>
  <c r="V339" i="6" s="1"/>
  <c r="X347" i="6"/>
  <c r="Y347" i="6"/>
  <c r="Y339" i="6" s="1"/>
  <c r="D348" i="6"/>
  <c r="D347" i="6" s="1"/>
  <c r="I354" i="5"/>
  <c r="J354" i="5"/>
  <c r="K354" i="5"/>
  <c r="D66" i="7" s="1"/>
  <c r="L354" i="5"/>
  <c r="F66" i="7" s="1"/>
  <c r="M354" i="5"/>
  <c r="M346" i="5" s="1"/>
  <c r="N354" i="5"/>
  <c r="O354" i="5"/>
  <c r="O346" i="5" s="1"/>
  <c r="P354" i="5"/>
  <c r="Q354" i="5"/>
  <c r="Q346" i="5" s="1"/>
  <c r="H354" i="5"/>
  <c r="C66" i="7" s="1"/>
  <c r="R355" i="5"/>
  <c r="E75" i="7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X391" i="6"/>
  <c r="Y391" i="6"/>
  <c r="C393" i="6"/>
  <c r="C392" i="6"/>
  <c r="I381" i="5"/>
  <c r="J381" i="5"/>
  <c r="K381" i="5"/>
  <c r="D77" i="7" s="1"/>
  <c r="L381" i="5"/>
  <c r="F77" i="7" s="1"/>
  <c r="M381" i="5"/>
  <c r="N381" i="5"/>
  <c r="O381" i="5"/>
  <c r="P381" i="5"/>
  <c r="Q381" i="5"/>
  <c r="H381" i="5"/>
  <c r="C77" i="7" s="1"/>
  <c r="R383" i="5"/>
  <c r="R382" i="5"/>
  <c r="E271" i="7"/>
  <c r="D198" i="7"/>
  <c r="E139" i="7"/>
  <c r="D849" i="6"/>
  <c r="E849" i="6"/>
  <c r="F849" i="6"/>
  <c r="G849" i="6"/>
  <c r="H849" i="6"/>
  <c r="I849" i="6"/>
  <c r="J849" i="6"/>
  <c r="K849" i="6"/>
  <c r="L849" i="6"/>
  <c r="M849" i="6"/>
  <c r="N849" i="6"/>
  <c r="O849" i="6"/>
  <c r="P849" i="6"/>
  <c r="Q849" i="6"/>
  <c r="R849" i="6"/>
  <c r="S849" i="6"/>
  <c r="T849" i="6"/>
  <c r="U849" i="6"/>
  <c r="V849" i="6"/>
  <c r="X849" i="6"/>
  <c r="Y849" i="6"/>
  <c r="E645" i="6"/>
  <c r="F645" i="6"/>
  <c r="G645" i="6"/>
  <c r="H645" i="6"/>
  <c r="I645" i="6"/>
  <c r="J645" i="6"/>
  <c r="K645" i="6"/>
  <c r="L645" i="6"/>
  <c r="M645" i="6"/>
  <c r="N645" i="6"/>
  <c r="O645" i="6"/>
  <c r="P645" i="6"/>
  <c r="Q645" i="6"/>
  <c r="R645" i="6"/>
  <c r="S645" i="6"/>
  <c r="T645" i="6"/>
  <c r="U645" i="6"/>
  <c r="V645" i="6"/>
  <c r="X645" i="6"/>
  <c r="Y645" i="6"/>
  <c r="D647" i="6"/>
  <c r="D646" i="6" s="1"/>
  <c r="D342" i="6"/>
  <c r="D344" i="6"/>
  <c r="C344" i="6" s="1"/>
  <c r="D272" i="7"/>
  <c r="D271" i="7" s="1"/>
  <c r="F272" i="7"/>
  <c r="F271" i="7" s="1"/>
  <c r="C272" i="7"/>
  <c r="C271" i="7" s="1"/>
  <c r="I866" i="5"/>
  <c r="J866" i="5"/>
  <c r="K866" i="5"/>
  <c r="L866" i="5"/>
  <c r="F198" i="7" s="1"/>
  <c r="M866" i="5"/>
  <c r="N866" i="5"/>
  <c r="P866" i="5"/>
  <c r="Q866" i="5"/>
  <c r="H866" i="5"/>
  <c r="C198" i="7" s="1"/>
  <c r="I657" i="5"/>
  <c r="J657" i="5"/>
  <c r="K657" i="5"/>
  <c r="L657" i="5"/>
  <c r="M657" i="5"/>
  <c r="N657" i="5"/>
  <c r="O657" i="5"/>
  <c r="P657" i="5"/>
  <c r="Q657" i="5"/>
  <c r="H657" i="5"/>
  <c r="R659" i="5"/>
  <c r="R349" i="5"/>
  <c r="R351" i="5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X406" i="6"/>
  <c r="Y406" i="6"/>
  <c r="D410" i="6"/>
  <c r="C410" i="6" s="1"/>
  <c r="D409" i="6"/>
  <c r="C409" i="6" s="1"/>
  <c r="D408" i="6"/>
  <c r="C408" i="6" s="1"/>
  <c r="D407" i="6"/>
  <c r="C407" i="6" s="1"/>
  <c r="I403" i="5"/>
  <c r="J403" i="5"/>
  <c r="K403" i="5"/>
  <c r="D86" i="7" s="1"/>
  <c r="L403" i="5"/>
  <c r="F86" i="7" s="1"/>
  <c r="M403" i="5"/>
  <c r="N403" i="5"/>
  <c r="O403" i="5"/>
  <c r="P403" i="5"/>
  <c r="Q403" i="5"/>
  <c r="H403" i="5"/>
  <c r="C86" i="7" s="1"/>
  <c r="R405" i="5"/>
  <c r="R406" i="5"/>
  <c r="R407" i="5"/>
  <c r="R404" i="5"/>
  <c r="E1536" i="6"/>
  <c r="F1536" i="6"/>
  <c r="G1536" i="6"/>
  <c r="H1536" i="6"/>
  <c r="I1536" i="6"/>
  <c r="J1536" i="6"/>
  <c r="K1536" i="6"/>
  <c r="K1523" i="6" s="1"/>
  <c r="L1536" i="6"/>
  <c r="L1523" i="6" s="1"/>
  <c r="M1536" i="6"/>
  <c r="N1536" i="6"/>
  <c r="O1536" i="6"/>
  <c r="P1536" i="6"/>
  <c r="Q1536" i="6"/>
  <c r="R1536" i="6"/>
  <c r="S1536" i="6"/>
  <c r="T1536" i="6"/>
  <c r="U1536" i="6"/>
  <c r="V1536" i="6"/>
  <c r="X1536" i="6"/>
  <c r="Y1536" i="6"/>
  <c r="D1541" i="6"/>
  <c r="C1541" i="6" s="1"/>
  <c r="D1538" i="6"/>
  <c r="C1538" i="6" s="1"/>
  <c r="D1539" i="6"/>
  <c r="C1539" i="6" s="1"/>
  <c r="D1540" i="6"/>
  <c r="C1540" i="6" s="1"/>
  <c r="D1537" i="6"/>
  <c r="C1537" i="6" s="1"/>
  <c r="K841" i="6"/>
  <c r="L841" i="6"/>
  <c r="M841" i="6"/>
  <c r="N841" i="6"/>
  <c r="O841" i="6"/>
  <c r="P841" i="6"/>
  <c r="Q841" i="6"/>
  <c r="R841" i="6"/>
  <c r="S841" i="6"/>
  <c r="T841" i="6"/>
  <c r="U841" i="6"/>
  <c r="V841" i="6"/>
  <c r="X841" i="6"/>
  <c r="Y841" i="6"/>
  <c r="D842" i="6"/>
  <c r="C842" i="6" s="1"/>
  <c r="D332" i="6"/>
  <c r="C332" i="6" s="1"/>
  <c r="D331" i="6"/>
  <c r="H330" i="6"/>
  <c r="K330" i="6"/>
  <c r="L330" i="6"/>
  <c r="M330" i="6"/>
  <c r="O330" i="6"/>
  <c r="P330" i="6"/>
  <c r="Q330" i="6"/>
  <c r="S330" i="6"/>
  <c r="U330" i="6"/>
  <c r="X330" i="6"/>
  <c r="Y330" i="6"/>
  <c r="C331" i="6"/>
  <c r="I1559" i="5"/>
  <c r="J1559" i="5"/>
  <c r="K1559" i="5"/>
  <c r="D269" i="7" s="1"/>
  <c r="M1559" i="5"/>
  <c r="N1559" i="5"/>
  <c r="O1559" i="5"/>
  <c r="P1559" i="5"/>
  <c r="Q1559" i="5"/>
  <c r="H1559" i="5"/>
  <c r="C269" i="7" s="1"/>
  <c r="R1564" i="5"/>
  <c r="I858" i="5"/>
  <c r="J858" i="5"/>
  <c r="K858" i="5"/>
  <c r="D194" i="7" s="1"/>
  <c r="L858" i="5"/>
  <c r="F194" i="7" s="1"/>
  <c r="M858" i="5"/>
  <c r="N858" i="5"/>
  <c r="P858" i="5"/>
  <c r="Q858" i="5"/>
  <c r="H858" i="5"/>
  <c r="C194" i="7" s="1"/>
  <c r="R859" i="5"/>
  <c r="I337" i="5"/>
  <c r="J337" i="5"/>
  <c r="K337" i="5"/>
  <c r="L337" i="5"/>
  <c r="M337" i="5"/>
  <c r="N337" i="5"/>
  <c r="Q337" i="5"/>
  <c r="H337" i="5"/>
  <c r="R339" i="5"/>
  <c r="R340" i="5"/>
  <c r="P340" i="5"/>
  <c r="O340" i="5"/>
  <c r="E156" i="7"/>
  <c r="D1610" i="6"/>
  <c r="E1610" i="6"/>
  <c r="F1610" i="6"/>
  <c r="G1610" i="6"/>
  <c r="H1610" i="6"/>
  <c r="I1610" i="6"/>
  <c r="J1610" i="6"/>
  <c r="K1610" i="6"/>
  <c r="K1607" i="6" s="1"/>
  <c r="L1610" i="6"/>
  <c r="M1610" i="6"/>
  <c r="M1607" i="6" s="1"/>
  <c r="N1610" i="6"/>
  <c r="O1610" i="6"/>
  <c r="P1610" i="6"/>
  <c r="Q1610" i="6"/>
  <c r="R1610" i="6"/>
  <c r="S1610" i="6"/>
  <c r="T1610" i="6"/>
  <c r="U1610" i="6"/>
  <c r="V1610" i="6"/>
  <c r="X1610" i="6"/>
  <c r="Y1610" i="6"/>
  <c r="C1611" i="6"/>
  <c r="C1612" i="6"/>
  <c r="D897" i="6"/>
  <c r="D896" i="6" s="1"/>
  <c r="E897" i="6"/>
  <c r="F897" i="6"/>
  <c r="F896" i="6" s="1"/>
  <c r="G897" i="6"/>
  <c r="G896" i="6" s="1"/>
  <c r="H897" i="6"/>
  <c r="H896" i="6" s="1"/>
  <c r="I897" i="6"/>
  <c r="I896" i="6" s="1"/>
  <c r="J897" i="6"/>
  <c r="J896" i="6" s="1"/>
  <c r="K897" i="6"/>
  <c r="K896" i="6" s="1"/>
  <c r="L897" i="6"/>
  <c r="L896" i="6" s="1"/>
  <c r="M897" i="6"/>
  <c r="M896" i="6" s="1"/>
  <c r="N897" i="6"/>
  <c r="N896" i="6" s="1"/>
  <c r="O897" i="6"/>
  <c r="O896" i="6" s="1"/>
  <c r="P897" i="6"/>
  <c r="P896" i="6" s="1"/>
  <c r="Q897" i="6"/>
  <c r="Q896" i="6" s="1"/>
  <c r="R897" i="6"/>
  <c r="R896" i="6" s="1"/>
  <c r="S897" i="6"/>
  <c r="S896" i="6" s="1"/>
  <c r="T897" i="6"/>
  <c r="T896" i="6" s="1"/>
  <c r="U897" i="6"/>
  <c r="U896" i="6" s="1"/>
  <c r="V897" i="6"/>
  <c r="V896" i="6" s="1"/>
  <c r="X897" i="6"/>
  <c r="X896" i="6" s="1"/>
  <c r="Y897" i="6"/>
  <c r="Y896" i="6" s="1"/>
  <c r="V697" i="6"/>
  <c r="V696" i="6" s="1"/>
  <c r="R697" i="6"/>
  <c r="R696" i="6" s="1"/>
  <c r="N697" i="6"/>
  <c r="N696" i="6" s="1"/>
  <c r="J697" i="6"/>
  <c r="J696" i="6" s="1"/>
  <c r="I697" i="6"/>
  <c r="I696" i="6" s="1"/>
  <c r="H697" i="6"/>
  <c r="H696" i="6" s="1"/>
  <c r="G697" i="6"/>
  <c r="G696" i="6" s="1"/>
  <c r="D698" i="6"/>
  <c r="C698" i="6" s="1"/>
  <c r="Y697" i="6"/>
  <c r="Y696" i="6" s="1"/>
  <c r="X697" i="6"/>
  <c r="X696" i="6" s="1"/>
  <c r="U697" i="6"/>
  <c r="U696" i="6" s="1"/>
  <c r="T697" i="6"/>
  <c r="T696" i="6" s="1"/>
  <c r="S697" i="6"/>
  <c r="S696" i="6" s="1"/>
  <c r="Q697" i="6"/>
  <c r="Q696" i="6" s="1"/>
  <c r="P697" i="6"/>
  <c r="P696" i="6" s="1"/>
  <c r="O697" i="6"/>
  <c r="O696" i="6" s="1"/>
  <c r="M697" i="6"/>
  <c r="L697" i="6"/>
  <c r="K697" i="6"/>
  <c r="F697" i="6"/>
  <c r="F696" i="6" s="1"/>
  <c r="V436" i="6"/>
  <c r="N436" i="6"/>
  <c r="J436" i="6"/>
  <c r="I436" i="6"/>
  <c r="H436" i="6"/>
  <c r="G436" i="6"/>
  <c r="F436" i="6"/>
  <c r="D437" i="6"/>
  <c r="C437" i="6" s="1"/>
  <c r="Y436" i="6"/>
  <c r="X436" i="6"/>
  <c r="U436" i="6"/>
  <c r="T436" i="6"/>
  <c r="S436" i="6"/>
  <c r="R436" i="6"/>
  <c r="Q436" i="6"/>
  <c r="P436" i="6"/>
  <c r="O436" i="6"/>
  <c r="M436" i="6"/>
  <c r="L436" i="6"/>
  <c r="K436" i="6"/>
  <c r="I1633" i="5"/>
  <c r="J1633" i="5"/>
  <c r="K1633" i="5"/>
  <c r="L1633" i="5"/>
  <c r="M1633" i="5"/>
  <c r="N1633" i="5"/>
  <c r="Q1633" i="5"/>
  <c r="H1633" i="5"/>
  <c r="R1634" i="5"/>
  <c r="I914" i="5"/>
  <c r="J914" i="5"/>
  <c r="J913" i="5" s="1"/>
  <c r="K914" i="5"/>
  <c r="L914" i="5"/>
  <c r="M914" i="5"/>
  <c r="M913" i="5" s="1"/>
  <c r="N914" i="5"/>
  <c r="N913" i="5" s="1"/>
  <c r="O914" i="5"/>
  <c r="O913" i="5" s="1"/>
  <c r="P914" i="5"/>
  <c r="P913" i="5" s="1"/>
  <c r="Q914" i="5"/>
  <c r="Q913" i="5" s="1"/>
  <c r="H914" i="5"/>
  <c r="I709" i="5"/>
  <c r="J709" i="5"/>
  <c r="J708" i="5" s="1"/>
  <c r="K709" i="5"/>
  <c r="K708" i="5" s="1"/>
  <c r="L709" i="5"/>
  <c r="L708" i="5" s="1"/>
  <c r="M709" i="5"/>
  <c r="M708" i="5" s="1"/>
  <c r="N709" i="5"/>
  <c r="N708" i="5" s="1"/>
  <c r="O709" i="5"/>
  <c r="O708" i="5" s="1"/>
  <c r="P709" i="5"/>
  <c r="P708" i="5" s="1"/>
  <c r="Q709" i="5"/>
  <c r="Q708" i="5" s="1"/>
  <c r="H709" i="5"/>
  <c r="H708" i="5" s="1"/>
  <c r="R711" i="5"/>
  <c r="R710" i="5"/>
  <c r="I426" i="5"/>
  <c r="J426" i="5"/>
  <c r="K426" i="5"/>
  <c r="L426" i="5"/>
  <c r="M426" i="5"/>
  <c r="N426" i="5"/>
  <c r="O426" i="5"/>
  <c r="P426" i="5"/>
  <c r="Q426" i="5"/>
  <c r="H426" i="5"/>
  <c r="R428" i="5"/>
  <c r="R427" i="5"/>
  <c r="E192" i="7"/>
  <c r="E58" i="7"/>
  <c r="E846" i="6"/>
  <c r="F846" i="6"/>
  <c r="G846" i="6"/>
  <c r="H846" i="6"/>
  <c r="I846" i="6"/>
  <c r="J846" i="6"/>
  <c r="K846" i="6"/>
  <c r="L846" i="6"/>
  <c r="M846" i="6"/>
  <c r="N846" i="6"/>
  <c r="O846" i="6"/>
  <c r="P846" i="6"/>
  <c r="Q846" i="6"/>
  <c r="R846" i="6"/>
  <c r="S846" i="6"/>
  <c r="T846" i="6"/>
  <c r="U846" i="6"/>
  <c r="V846" i="6"/>
  <c r="X846" i="6"/>
  <c r="Y846" i="6"/>
  <c r="D847" i="6"/>
  <c r="C847" i="6" s="1"/>
  <c r="C846" i="6" s="1"/>
  <c r="E337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X337" i="6"/>
  <c r="Y337" i="6"/>
  <c r="D338" i="6"/>
  <c r="C338" i="6" s="1"/>
  <c r="C337" i="6" s="1"/>
  <c r="I863" i="5"/>
  <c r="J863" i="5"/>
  <c r="K863" i="5"/>
  <c r="D196" i="7" s="1"/>
  <c r="L863" i="5"/>
  <c r="F196" i="7" s="1"/>
  <c r="M863" i="5"/>
  <c r="N863" i="5"/>
  <c r="O863" i="5"/>
  <c r="P863" i="5"/>
  <c r="Q863" i="5"/>
  <c r="H863" i="5"/>
  <c r="C196" i="7" s="1"/>
  <c r="R864" i="5"/>
  <c r="I344" i="5"/>
  <c r="J344" i="5"/>
  <c r="K344" i="5"/>
  <c r="D62" i="7" s="1"/>
  <c r="L344" i="5"/>
  <c r="F62" i="7" s="1"/>
  <c r="M344" i="5"/>
  <c r="N344" i="5"/>
  <c r="O344" i="5"/>
  <c r="P344" i="5"/>
  <c r="Q344" i="5"/>
  <c r="H344" i="5"/>
  <c r="C62" i="7" s="1"/>
  <c r="R345" i="5"/>
  <c r="E67" i="7"/>
  <c r="E350" i="6"/>
  <c r="E349" i="6" s="1"/>
  <c r="F350" i="6"/>
  <c r="F349" i="6" s="1"/>
  <c r="G350" i="6"/>
  <c r="G349" i="6" s="1"/>
  <c r="H350" i="6"/>
  <c r="H349" i="6" s="1"/>
  <c r="I350" i="6"/>
  <c r="I349" i="6" s="1"/>
  <c r="J350" i="6"/>
  <c r="J349" i="6" s="1"/>
  <c r="K350" i="6"/>
  <c r="K349" i="6" s="1"/>
  <c r="L350" i="6"/>
  <c r="L349" i="6" s="1"/>
  <c r="M350" i="6"/>
  <c r="M349" i="6" s="1"/>
  <c r="N350" i="6"/>
  <c r="N349" i="6" s="1"/>
  <c r="O350" i="6"/>
  <c r="O349" i="6" s="1"/>
  <c r="P350" i="6"/>
  <c r="Q350" i="6"/>
  <c r="Q349" i="6" s="1"/>
  <c r="R350" i="6"/>
  <c r="R349" i="6" s="1"/>
  <c r="S350" i="6"/>
  <c r="S349" i="6" s="1"/>
  <c r="T350" i="6"/>
  <c r="T349" i="6" s="1"/>
  <c r="U350" i="6"/>
  <c r="U349" i="6" s="1"/>
  <c r="V350" i="6"/>
  <c r="V349" i="6" s="1"/>
  <c r="X350" i="6"/>
  <c r="X349" i="6" s="1"/>
  <c r="Y350" i="6"/>
  <c r="Y349" i="6" s="1"/>
  <c r="D351" i="6"/>
  <c r="C351" i="6" s="1"/>
  <c r="C350" i="6" s="1"/>
  <c r="C349" i="6" s="1"/>
  <c r="I357" i="5"/>
  <c r="J357" i="5"/>
  <c r="J356" i="5" s="1"/>
  <c r="K357" i="5"/>
  <c r="D68" i="7" s="1"/>
  <c r="D67" i="7" s="1"/>
  <c r="L357" i="5"/>
  <c r="L356" i="5" s="1"/>
  <c r="M357" i="5"/>
  <c r="M356" i="5" s="1"/>
  <c r="N357" i="5"/>
  <c r="N356" i="5" s="1"/>
  <c r="O357" i="5"/>
  <c r="O356" i="5" s="1"/>
  <c r="P357" i="5"/>
  <c r="P356" i="5" s="1"/>
  <c r="Q357" i="5"/>
  <c r="Q356" i="5" s="1"/>
  <c r="H357" i="5"/>
  <c r="H356" i="5" s="1"/>
  <c r="R358" i="5"/>
  <c r="D1571" i="6"/>
  <c r="D1570" i="6" s="1"/>
  <c r="D671" i="6"/>
  <c r="C671" i="6" s="1"/>
  <c r="D670" i="6"/>
  <c r="D395" i="6"/>
  <c r="O890" i="5"/>
  <c r="O889" i="5" s="1"/>
  <c r="R683" i="5"/>
  <c r="R682" i="5"/>
  <c r="R385" i="5"/>
  <c r="E283" i="7"/>
  <c r="D1587" i="6"/>
  <c r="C1587" i="6" s="1"/>
  <c r="D1590" i="6"/>
  <c r="C1590" i="6" s="1"/>
  <c r="D1586" i="6"/>
  <c r="C1586" i="6" s="1"/>
  <c r="D887" i="6"/>
  <c r="C887" i="6" s="1"/>
  <c r="D886" i="6"/>
  <c r="C886" i="6" s="1"/>
  <c r="D885" i="6"/>
  <c r="C885" i="6" s="1"/>
  <c r="E884" i="6"/>
  <c r="F884" i="6"/>
  <c r="G884" i="6"/>
  <c r="H884" i="6"/>
  <c r="I884" i="6"/>
  <c r="J884" i="6"/>
  <c r="K884" i="6"/>
  <c r="L884" i="6"/>
  <c r="M884" i="6"/>
  <c r="N884" i="6"/>
  <c r="O884" i="6"/>
  <c r="P884" i="6"/>
  <c r="Q884" i="6"/>
  <c r="R884" i="6"/>
  <c r="S884" i="6"/>
  <c r="T884" i="6"/>
  <c r="U884" i="6"/>
  <c r="V884" i="6"/>
  <c r="X884" i="6"/>
  <c r="Y884" i="6"/>
  <c r="D403" i="6"/>
  <c r="C403" i="6" s="1"/>
  <c r="D404" i="6"/>
  <c r="C404" i="6" s="1"/>
  <c r="K400" i="6"/>
  <c r="K399" i="6" s="1"/>
  <c r="L400" i="6"/>
  <c r="L399" i="6" s="1"/>
  <c r="M400" i="6"/>
  <c r="M399" i="6" s="1"/>
  <c r="O400" i="6"/>
  <c r="O399" i="6" s="1"/>
  <c r="P400" i="6"/>
  <c r="Q400" i="6"/>
  <c r="Q399" i="6" s="1"/>
  <c r="S400" i="6"/>
  <c r="S399" i="6" s="1"/>
  <c r="U400" i="6"/>
  <c r="U399" i="6" s="1"/>
  <c r="X400" i="6"/>
  <c r="X399" i="6" s="1"/>
  <c r="Y400" i="6"/>
  <c r="Y399" i="6" s="1"/>
  <c r="E680" i="6"/>
  <c r="E679" i="6" s="1"/>
  <c r="F680" i="6"/>
  <c r="F679" i="6" s="1"/>
  <c r="G680" i="6"/>
  <c r="G679" i="6" s="1"/>
  <c r="H680" i="6"/>
  <c r="H679" i="6" s="1"/>
  <c r="I680" i="6"/>
  <c r="I679" i="6" s="1"/>
  <c r="J680" i="6"/>
  <c r="J679" i="6" s="1"/>
  <c r="K680" i="6"/>
  <c r="K679" i="6" s="1"/>
  <c r="L680" i="6"/>
  <c r="L679" i="6" s="1"/>
  <c r="M680" i="6"/>
  <c r="M679" i="6" s="1"/>
  <c r="N680" i="6"/>
  <c r="N679" i="6" s="1"/>
  <c r="O680" i="6"/>
  <c r="O679" i="6" s="1"/>
  <c r="P680" i="6"/>
  <c r="P679" i="6" s="1"/>
  <c r="Q680" i="6"/>
  <c r="Q679" i="6" s="1"/>
  <c r="R680" i="6"/>
  <c r="R679" i="6" s="1"/>
  <c r="S680" i="6"/>
  <c r="S679" i="6" s="1"/>
  <c r="T680" i="6"/>
  <c r="T679" i="6" s="1"/>
  <c r="U680" i="6"/>
  <c r="U679" i="6" s="1"/>
  <c r="V680" i="6"/>
  <c r="V679" i="6" s="1"/>
  <c r="X680" i="6"/>
  <c r="X679" i="6" s="1"/>
  <c r="Y680" i="6"/>
  <c r="Y679" i="6" s="1"/>
  <c r="D683" i="6"/>
  <c r="C683" i="6" s="1"/>
  <c r="D684" i="6"/>
  <c r="C684" i="6" s="1"/>
  <c r="D685" i="6"/>
  <c r="C685" i="6" s="1"/>
  <c r="D682" i="6"/>
  <c r="C682" i="6" s="1"/>
  <c r="D681" i="6"/>
  <c r="C681" i="6" s="1"/>
  <c r="H653" i="5"/>
  <c r="I653" i="5"/>
  <c r="J653" i="5"/>
  <c r="K653" i="5"/>
  <c r="L653" i="5"/>
  <c r="M653" i="5"/>
  <c r="N653" i="5"/>
  <c r="P653" i="5"/>
  <c r="Q653" i="5"/>
  <c r="O654" i="5"/>
  <c r="O653" i="5" s="1"/>
  <c r="R654" i="5"/>
  <c r="I689" i="5"/>
  <c r="J689" i="5"/>
  <c r="K689" i="5"/>
  <c r="L689" i="5"/>
  <c r="M689" i="5"/>
  <c r="N689" i="5"/>
  <c r="O689" i="5"/>
  <c r="P689" i="5"/>
  <c r="Q689" i="5"/>
  <c r="H689" i="5"/>
  <c r="R694" i="5"/>
  <c r="R693" i="5"/>
  <c r="R692" i="5"/>
  <c r="R691" i="5"/>
  <c r="R690" i="5"/>
  <c r="I397" i="5"/>
  <c r="J397" i="5"/>
  <c r="K397" i="5"/>
  <c r="L397" i="5"/>
  <c r="M397" i="5"/>
  <c r="N397" i="5"/>
  <c r="O397" i="5"/>
  <c r="P397" i="5"/>
  <c r="Q397" i="5"/>
  <c r="H397" i="5"/>
  <c r="R402" i="5"/>
  <c r="R401" i="5"/>
  <c r="R400" i="5"/>
  <c r="R399" i="5"/>
  <c r="R398" i="5"/>
  <c r="D314" i="6"/>
  <c r="C314" i="6" s="1"/>
  <c r="D313" i="6"/>
  <c r="L321" i="5"/>
  <c r="R320" i="5"/>
  <c r="E123" i="7"/>
  <c r="E608" i="6"/>
  <c r="F608" i="6"/>
  <c r="G608" i="6"/>
  <c r="H608" i="6"/>
  <c r="I608" i="6"/>
  <c r="J608" i="6"/>
  <c r="K608" i="6"/>
  <c r="L608" i="6"/>
  <c r="M608" i="6"/>
  <c r="N608" i="6"/>
  <c r="O608" i="6"/>
  <c r="P608" i="6"/>
  <c r="Q608" i="6"/>
  <c r="R608" i="6"/>
  <c r="S608" i="6"/>
  <c r="T608" i="6"/>
  <c r="U608" i="6"/>
  <c r="V608" i="6"/>
  <c r="X608" i="6"/>
  <c r="Y608" i="6"/>
  <c r="D609" i="6"/>
  <c r="C609" i="6" s="1"/>
  <c r="C608" i="6" s="1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X278" i="6"/>
  <c r="Y278" i="6"/>
  <c r="D279" i="6"/>
  <c r="C279" i="6" s="1"/>
  <c r="C278" i="6" s="1"/>
  <c r="I620" i="5"/>
  <c r="J620" i="5"/>
  <c r="K620" i="5"/>
  <c r="D125" i="7" s="1"/>
  <c r="L620" i="5"/>
  <c r="F125" i="7" s="1"/>
  <c r="M620" i="5"/>
  <c r="N620" i="5"/>
  <c r="O620" i="5"/>
  <c r="P620" i="5"/>
  <c r="Q620" i="5"/>
  <c r="H620" i="5"/>
  <c r="C125" i="7" s="1"/>
  <c r="R621" i="5"/>
  <c r="I285" i="5"/>
  <c r="J285" i="5"/>
  <c r="K285" i="5"/>
  <c r="D45" i="7" s="1"/>
  <c r="L285" i="5"/>
  <c r="F45" i="7" s="1"/>
  <c r="M285" i="5"/>
  <c r="N285" i="5"/>
  <c r="O285" i="5"/>
  <c r="P285" i="5"/>
  <c r="Q285" i="5"/>
  <c r="H285" i="5"/>
  <c r="C45" i="7" s="1"/>
  <c r="R286" i="5"/>
  <c r="D1446" i="6"/>
  <c r="C1446" i="6" s="1"/>
  <c r="D1447" i="6"/>
  <c r="C1447" i="6" s="1"/>
  <c r="D1450" i="6"/>
  <c r="C1450" i="6" s="1"/>
  <c r="D1451" i="6"/>
  <c r="C1451" i="6" s="1"/>
  <c r="D1452" i="6"/>
  <c r="C1452" i="6" s="1"/>
  <c r="D1453" i="6"/>
  <c r="C1453" i="6" s="1"/>
  <c r="D1454" i="6"/>
  <c r="C1454" i="6" s="1"/>
  <c r="D1455" i="6"/>
  <c r="C1455" i="6" s="1"/>
  <c r="D1445" i="6"/>
  <c r="D812" i="6"/>
  <c r="C812" i="6" s="1"/>
  <c r="D809" i="6"/>
  <c r="C809" i="6" s="1"/>
  <c r="D810" i="6"/>
  <c r="C810" i="6" s="1"/>
  <c r="D811" i="6"/>
  <c r="C811" i="6" s="1"/>
  <c r="D808" i="6"/>
  <c r="C808" i="6" s="1"/>
  <c r="E807" i="6"/>
  <c r="F807" i="6"/>
  <c r="G807" i="6"/>
  <c r="H807" i="6"/>
  <c r="I807" i="6"/>
  <c r="J807" i="6"/>
  <c r="K807" i="6"/>
  <c r="L807" i="6"/>
  <c r="M807" i="6"/>
  <c r="N807" i="6"/>
  <c r="O807" i="6"/>
  <c r="P807" i="6"/>
  <c r="Q807" i="6"/>
  <c r="R807" i="6"/>
  <c r="S807" i="6"/>
  <c r="T807" i="6"/>
  <c r="U807" i="6"/>
  <c r="V807" i="6"/>
  <c r="X807" i="6"/>
  <c r="Y807" i="6"/>
  <c r="E597" i="6"/>
  <c r="F597" i="6"/>
  <c r="G597" i="6"/>
  <c r="H597" i="6"/>
  <c r="I597" i="6"/>
  <c r="J597" i="6"/>
  <c r="K597" i="6"/>
  <c r="L597" i="6"/>
  <c r="M597" i="6"/>
  <c r="N597" i="6"/>
  <c r="O597" i="6"/>
  <c r="P597" i="6"/>
  <c r="Q597" i="6"/>
  <c r="R597" i="6"/>
  <c r="S597" i="6"/>
  <c r="T597" i="6"/>
  <c r="U597" i="6"/>
  <c r="V597" i="6"/>
  <c r="X597" i="6"/>
  <c r="Y597" i="6"/>
  <c r="D599" i="6"/>
  <c r="C599" i="6" s="1"/>
  <c r="D600" i="6"/>
  <c r="C600" i="6" s="1"/>
  <c r="D601" i="6"/>
  <c r="C601" i="6" s="1"/>
  <c r="D602" i="6"/>
  <c r="C602" i="6" s="1"/>
  <c r="D603" i="6"/>
  <c r="C603" i="6" s="1"/>
  <c r="D604" i="6"/>
  <c r="C604" i="6" s="1"/>
  <c r="D598" i="6"/>
  <c r="C598" i="6" s="1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X264" i="6"/>
  <c r="Y264" i="6"/>
  <c r="D266" i="6"/>
  <c r="C266" i="6" s="1"/>
  <c r="D267" i="6"/>
  <c r="C267" i="6" s="1"/>
  <c r="D268" i="6"/>
  <c r="C268" i="6" s="1"/>
  <c r="D269" i="6"/>
  <c r="C269" i="6" s="1"/>
  <c r="D270" i="6"/>
  <c r="C270" i="6" s="1"/>
  <c r="D271" i="6"/>
  <c r="C271" i="6" s="1"/>
  <c r="D272" i="6"/>
  <c r="C272" i="6" s="1"/>
  <c r="D265" i="6"/>
  <c r="C265" i="6" s="1"/>
  <c r="F250" i="7"/>
  <c r="R1469" i="5"/>
  <c r="R1470" i="5"/>
  <c r="R1473" i="5"/>
  <c r="R1474" i="5"/>
  <c r="R1475" i="5"/>
  <c r="R1476" i="5"/>
  <c r="R1477" i="5"/>
  <c r="R1478" i="5"/>
  <c r="R1479" i="5"/>
  <c r="R1468" i="5"/>
  <c r="R826" i="5"/>
  <c r="R827" i="5"/>
  <c r="R828" i="5"/>
  <c r="R829" i="5"/>
  <c r="R825" i="5"/>
  <c r="I824" i="5"/>
  <c r="J824" i="5"/>
  <c r="K824" i="5"/>
  <c r="L824" i="5"/>
  <c r="M824" i="5"/>
  <c r="N824" i="5"/>
  <c r="O824" i="5"/>
  <c r="P824" i="5"/>
  <c r="Q824" i="5"/>
  <c r="H824" i="5"/>
  <c r="I609" i="5"/>
  <c r="J609" i="5"/>
  <c r="K609" i="5"/>
  <c r="L609" i="5"/>
  <c r="M609" i="5"/>
  <c r="N609" i="5"/>
  <c r="O609" i="5"/>
  <c r="P609" i="5"/>
  <c r="Q609" i="5"/>
  <c r="H609" i="5"/>
  <c r="R616" i="5"/>
  <c r="R615" i="5"/>
  <c r="R614" i="5"/>
  <c r="R613" i="5"/>
  <c r="R612" i="5"/>
  <c r="R611" i="5"/>
  <c r="R610" i="5"/>
  <c r="I271" i="5"/>
  <c r="J271" i="5"/>
  <c r="K271" i="5"/>
  <c r="D42" i="7" s="1"/>
  <c r="L271" i="5"/>
  <c r="F42" i="7" s="1"/>
  <c r="M271" i="5"/>
  <c r="N271" i="5"/>
  <c r="O271" i="5"/>
  <c r="P271" i="5"/>
  <c r="Q271" i="5"/>
  <c r="H271" i="5"/>
  <c r="C42" i="7" s="1"/>
  <c r="R273" i="5"/>
  <c r="R274" i="5"/>
  <c r="R275" i="5"/>
  <c r="R276" i="5"/>
  <c r="R277" i="5"/>
  <c r="R278" i="5"/>
  <c r="R279" i="5"/>
  <c r="R272" i="5"/>
  <c r="Q396" i="5" l="1"/>
  <c r="O396" i="5"/>
  <c r="M396" i="5"/>
  <c r="K396" i="5"/>
  <c r="H688" i="5"/>
  <c r="P688" i="5"/>
  <c r="N688" i="5"/>
  <c r="L688" i="5"/>
  <c r="J688" i="5"/>
  <c r="H396" i="5"/>
  <c r="P396" i="5"/>
  <c r="N396" i="5"/>
  <c r="L396" i="5"/>
  <c r="J396" i="5"/>
  <c r="Q688" i="5"/>
  <c r="O688" i="5"/>
  <c r="M688" i="5"/>
  <c r="K688" i="5"/>
  <c r="I688" i="5"/>
  <c r="P399" i="6"/>
  <c r="C313" i="6"/>
  <c r="C312" i="6" s="1"/>
  <c r="D312" i="6"/>
  <c r="R321" i="5"/>
  <c r="L319" i="5"/>
  <c r="F57" i="7" s="1"/>
  <c r="I396" i="5"/>
  <c r="D669" i="6"/>
  <c r="C395" i="6"/>
  <c r="C394" i="6" s="1"/>
  <c r="D394" i="6"/>
  <c r="D340" i="6"/>
  <c r="D339" i="6" s="1"/>
  <c r="P349" i="6"/>
  <c r="E896" i="6"/>
  <c r="C647" i="6"/>
  <c r="C646" i="6" s="1"/>
  <c r="P339" i="6"/>
  <c r="E418" i="6"/>
  <c r="I356" i="5"/>
  <c r="I708" i="5"/>
  <c r="I913" i="5"/>
  <c r="I1461" i="5"/>
  <c r="I346" i="5"/>
  <c r="I408" i="5"/>
  <c r="C342" i="6"/>
  <c r="C340" i="6" s="1"/>
  <c r="X1607" i="6"/>
  <c r="U1607" i="6"/>
  <c r="S1607" i="6"/>
  <c r="Q1607" i="6"/>
  <c r="O1607" i="6"/>
  <c r="I1607" i="6"/>
  <c r="G1607" i="6"/>
  <c r="E1607" i="6"/>
  <c r="L1607" i="6"/>
  <c r="L900" i="6" s="1"/>
  <c r="H423" i="5"/>
  <c r="P423" i="5"/>
  <c r="N423" i="5"/>
  <c r="L423" i="5"/>
  <c r="J423" i="5"/>
  <c r="S433" i="6"/>
  <c r="U433" i="6"/>
  <c r="Y433" i="6"/>
  <c r="K900" i="6"/>
  <c r="Q1630" i="5"/>
  <c r="M1630" i="5"/>
  <c r="K1630" i="5"/>
  <c r="I1630" i="5"/>
  <c r="K346" i="5"/>
  <c r="H1630" i="5"/>
  <c r="N1630" i="5"/>
  <c r="L1630" i="5"/>
  <c r="J1630" i="5"/>
  <c r="C1571" i="6"/>
  <c r="C1570" i="6" s="1"/>
  <c r="K433" i="6"/>
  <c r="M433" i="6"/>
  <c r="P433" i="6"/>
  <c r="Y1607" i="6"/>
  <c r="V1607" i="6"/>
  <c r="T1607" i="6"/>
  <c r="R1607" i="6"/>
  <c r="P1607" i="6"/>
  <c r="N1607" i="6"/>
  <c r="J1607" i="6"/>
  <c r="H1607" i="6"/>
  <c r="F1607" i="6"/>
  <c r="D1607" i="6"/>
  <c r="C1445" i="6"/>
  <c r="C1444" i="6" s="1"/>
  <c r="D1444" i="6"/>
  <c r="L433" i="6"/>
  <c r="O433" i="6"/>
  <c r="Q433" i="6"/>
  <c r="G433" i="6"/>
  <c r="I433" i="6"/>
  <c r="N433" i="6"/>
  <c r="V433" i="6"/>
  <c r="C216" i="7"/>
  <c r="C215" i="7" s="1"/>
  <c r="H913" i="5"/>
  <c r="F216" i="7"/>
  <c r="F215" i="7" s="1"/>
  <c r="L913" i="5"/>
  <c r="D216" i="7"/>
  <c r="D215" i="7" s="1"/>
  <c r="K913" i="5"/>
  <c r="R433" i="6"/>
  <c r="H433" i="6"/>
  <c r="J433" i="6"/>
  <c r="Q423" i="5"/>
  <c r="O423" i="5"/>
  <c r="M423" i="5"/>
  <c r="K423" i="5"/>
  <c r="I423" i="5"/>
  <c r="D249" i="7"/>
  <c r="D248" i="7" s="1"/>
  <c r="K1461" i="5"/>
  <c r="C249" i="7"/>
  <c r="C248" i="7" s="1"/>
  <c r="H1461" i="5"/>
  <c r="F249" i="7"/>
  <c r="F248" i="7" s="1"/>
  <c r="L1461" i="5"/>
  <c r="T433" i="6"/>
  <c r="X433" i="6"/>
  <c r="C296" i="7"/>
  <c r="C293" i="7" s="1"/>
  <c r="F296" i="7"/>
  <c r="F293" i="7" s="1"/>
  <c r="D296" i="7"/>
  <c r="D293" i="7" s="1"/>
  <c r="D686" i="6"/>
  <c r="D419" i="6"/>
  <c r="D418" i="6" s="1"/>
  <c r="H408" i="5"/>
  <c r="L408" i="5"/>
  <c r="K408" i="5"/>
  <c r="C420" i="6"/>
  <c r="C419" i="6" s="1"/>
  <c r="C418" i="6" s="1"/>
  <c r="D247" i="6"/>
  <c r="D441" i="6"/>
  <c r="C441" i="6" s="1"/>
  <c r="C439" i="6" s="1"/>
  <c r="F439" i="6"/>
  <c r="F433" i="6" s="1"/>
  <c r="X339" i="6"/>
  <c r="U339" i="6"/>
  <c r="S339" i="6"/>
  <c r="Q339" i="6"/>
  <c r="O339" i="6"/>
  <c r="M339" i="6"/>
  <c r="K339" i="6"/>
  <c r="I339" i="6"/>
  <c r="G339" i="6"/>
  <c r="E339" i="6"/>
  <c r="C346" i="6"/>
  <c r="C345" i="6" s="1"/>
  <c r="C593" i="6"/>
  <c r="C348" i="6"/>
  <c r="C347" i="6" s="1"/>
  <c r="H346" i="5"/>
  <c r="P346" i="5"/>
  <c r="N346" i="5"/>
  <c r="L346" i="5"/>
  <c r="J346" i="5"/>
  <c r="C63" i="7"/>
  <c r="F63" i="7"/>
  <c r="D140" i="7"/>
  <c r="D139" i="7" s="1"/>
  <c r="D63" i="7"/>
  <c r="C140" i="7"/>
  <c r="C139" i="7" s="1"/>
  <c r="F140" i="7"/>
  <c r="F139" i="7" s="1"/>
  <c r="C391" i="6"/>
  <c r="C645" i="6"/>
  <c r="D699" i="6"/>
  <c r="D697" i="6" s="1"/>
  <c r="D696" i="6" s="1"/>
  <c r="C1610" i="6"/>
  <c r="C1607" i="6" s="1"/>
  <c r="D645" i="6"/>
  <c r="E697" i="6"/>
  <c r="E696" i="6" s="1"/>
  <c r="C406" i="6"/>
  <c r="D406" i="6"/>
  <c r="C1536" i="6"/>
  <c r="D438" i="6"/>
  <c r="C438" i="6" s="1"/>
  <c r="C436" i="6" s="1"/>
  <c r="D1536" i="6"/>
  <c r="E436" i="6"/>
  <c r="C68" i="7"/>
  <c r="C67" i="7" s="1"/>
  <c r="D94" i="7"/>
  <c r="D92" i="7" s="1"/>
  <c r="D157" i="7"/>
  <c r="D156" i="7" s="1"/>
  <c r="F68" i="7"/>
  <c r="F67" i="7" s="1"/>
  <c r="C94" i="7"/>
  <c r="C92" i="7" s="1"/>
  <c r="F94" i="7"/>
  <c r="F92" i="7" s="1"/>
  <c r="C157" i="7"/>
  <c r="C156" i="7" s="1"/>
  <c r="F157" i="7"/>
  <c r="F156" i="7" s="1"/>
  <c r="D337" i="6"/>
  <c r="D846" i="6"/>
  <c r="K356" i="5"/>
  <c r="D350" i="6"/>
  <c r="D349" i="6" s="1"/>
  <c r="C670" i="6"/>
  <c r="C151" i="7"/>
  <c r="C150" i="7" s="1"/>
  <c r="F151" i="7"/>
  <c r="F150" i="7" s="1"/>
  <c r="D151" i="7"/>
  <c r="D150" i="7" s="1"/>
  <c r="C884" i="6"/>
  <c r="D884" i="6"/>
  <c r="D608" i="6"/>
  <c r="D278" i="6"/>
  <c r="C680" i="6"/>
  <c r="C679" i="6" s="1"/>
  <c r="D680" i="6"/>
  <c r="D679" i="6" s="1"/>
  <c r="D807" i="6"/>
  <c r="C807" i="6"/>
  <c r="C597" i="6"/>
  <c r="D597" i="6"/>
  <c r="C264" i="6"/>
  <c r="D264" i="6"/>
  <c r="C669" i="6" l="1"/>
  <c r="E433" i="6"/>
  <c r="C433" i="6"/>
  <c r="C699" i="6"/>
  <c r="C697" i="6" s="1"/>
  <c r="C696" i="6" s="1"/>
  <c r="D439" i="6"/>
  <c r="C339" i="6"/>
  <c r="D436" i="6"/>
  <c r="D433" i="6" s="1"/>
  <c r="D1425" i="6"/>
  <c r="C1425" i="6" s="1"/>
  <c r="D800" i="6"/>
  <c r="E800" i="6"/>
  <c r="F800" i="6"/>
  <c r="G800" i="6"/>
  <c r="H800" i="6"/>
  <c r="I800" i="6"/>
  <c r="J800" i="6"/>
  <c r="K800" i="6"/>
  <c r="K797" i="6" s="1"/>
  <c r="L800" i="6"/>
  <c r="L797" i="6" s="1"/>
  <c r="M800" i="6"/>
  <c r="M797" i="6" s="1"/>
  <c r="N800" i="6"/>
  <c r="O800" i="6"/>
  <c r="P800" i="6"/>
  <c r="Q800" i="6"/>
  <c r="R800" i="6"/>
  <c r="S800" i="6"/>
  <c r="T800" i="6"/>
  <c r="U800" i="6"/>
  <c r="V800" i="6"/>
  <c r="X800" i="6"/>
  <c r="Y800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X231" i="6"/>
  <c r="Y231" i="6"/>
  <c r="D232" i="6"/>
  <c r="C232" i="6" s="1"/>
  <c r="D233" i="6"/>
  <c r="C233" i="6" s="1"/>
  <c r="L818" i="5"/>
  <c r="I817" i="5"/>
  <c r="J817" i="5"/>
  <c r="K817" i="5"/>
  <c r="L817" i="5"/>
  <c r="M817" i="5"/>
  <c r="N817" i="5"/>
  <c r="P817" i="5"/>
  <c r="P814" i="5" s="1"/>
  <c r="Q817" i="5"/>
  <c r="H817" i="5"/>
  <c r="I238" i="5"/>
  <c r="J238" i="5"/>
  <c r="K238" i="5"/>
  <c r="D32" i="7" s="1"/>
  <c r="L238" i="5"/>
  <c r="F32" i="7" s="1"/>
  <c r="M238" i="5"/>
  <c r="N238" i="5"/>
  <c r="O238" i="5"/>
  <c r="P238" i="5"/>
  <c r="Q238" i="5"/>
  <c r="H238" i="5"/>
  <c r="C32" i="7" s="1"/>
  <c r="R240" i="5"/>
  <c r="R239" i="5"/>
  <c r="D1515" i="6"/>
  <c r="C1515" i="6" s="1"/>
  <c r="D1514" i="6"/>
  <c r="D837" i="6"/>
  <c r="D633" i="6"/>
  <c r="C633" i="6" s="1"/>
  <c r="D632" i="6"/>
  <c r="D308" i="6"/>
  <c r="C308" i="6" s="1"/>
  <c r="D307" i="6"/>
  <c r="C307" i="6" s="1"/>
  <c r="D306" i="6"/>
  <c r="R645" i="5"/>
  <c r="R644" i="5"/>
  <c r="R315" i="5"/>
  <c r="R314" i="5"/>
  <c r="R313" i="5"/>
  <c r="C1514" i="6" l="1"/>
  <c r="C1513" i="6" s="1"/>
  <c r="D1513" i="6"/>
  <c r="C837" i="6"/>
  <c r="C836" i="6" s="1"/>
  <c r="D836" i="6"/>
  <c r="C632" i="6"/>
  <c r="C631" i="6" s="1"/>
  <c r="D631" i="6"/>
  <c r="C306" i="6"/>
  <c r="C305" i="6" s="1"/>
  <c r="D305" i="6"/>
  <c r="C231" i="6"/>
  <c r="D231" i="6"/>
  <c r="E520" i="6" l="1"/>
  <c r="F520" i="6"/>
  <c r="G520" i="6"/>
  <c r="H520" i="6"/>
  <c r="I520" i="6"/>
  <c r="J520" i="6"/>
  <c r="K520" i="6"/>
  <c r="L520" i="6"/>
  <c r="M520" i="6"/>
  <c r="N520" i="6"/>
  <c r="O520" i="6"/>
  <c r="P520" i="6"/>
  <c r="Q520" i="6"/>
  <c r="R520" i="6"/>
  <c r="S520" i="6"/>
  <c r="T520" i="6"/>
  <c r="U520" i="6"/>
  <c r="V520" i="6"/>
  <c r="X520" i="6"/>
  <c r="Y520" i="6"/>
  <c r="D521" i="6"/>
  <c r="C521" i="6" s="1"/>
  <c r="C520" i="6" s="1"/>
  <c r="D131" i="6"/>
  <c r="C131" i="6" s="1"/>
  <c r="D132" i="6"/>
  <c r="C132" i="6" s="1"/>
  <c r="D133" i="6"/>
  <c r="C133" i="6" s="1"/>
  <c r="D134" i="6"/>
  <c r="C134" i="6" s="1"/>
  <c r="D130" i="6"/>
  <c r="C130" i="6" s="1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X129" i="6"/>
  <c r="Y129" i="6"/>
  <c r="D100" i="7"/>
  <c r="F100" i="7"/>
  <c r="C100" i="7"/>
  <c r="I136" i="5"/>
  <c r="J136" i="5"/>
  <c r="K136" i="5"/>
  <c r="L136" i="5"/>
  <c r="M136" i="5"/>
  <c r="N136" i="5"/>
  <c r="O136" i="5"/>
  <c r="P136" i="5"/>
  <c r="Q136" i="5"/>
  <c r="H136" i="5"/>
  <c r="C12" i="7" s="1"/>
  <c r="R138" i="5"/>
  <c r="R139" i="5"/>
  <c r="R140" i="5"/>
  <c r="R141" i="5"/>
  <c r="R137" i="5"/>
  <c r="E135" i="7"/>
  <c r="D1532" i="6"/>
  <c r="C1532" i="6" s="1"/>
  <c r="D1531" i="6"/>
  <c r="C1531" i="6" s="1"/>
  <c r="D1530" i="6"/>
  <c r="C1530" i="6" s="1"/>
  <c r="D1529" i="6"/>
  <c r="C1529" i="6" s="1"/>
  <c r="D1525" i="6"/>
  <c r="D1528" i="6"/>
  <c r="C1528" i="6" s="1"/>
  <c r="D1527" i="6"/>
  <c r="C1527" i="6" s="1"/>
  <c r="D1526" i="6"/>
  <c r="C1526" i="6" s="1"/>
  <c r="D840" i="6"/>
  <c r="C840" i="6" s="1"/>
  <c r="C839" i="6" s="1"/>
  <c r="E839" i="6"/>
  <c r="F839" i="6"/>
  <c r="G839" i="6"/>
  <c r="H839" i="6"/>
  <c r="I839" i="6"/>
  <c r="J839" i="6"/>
  <c r="K839" i="6"/>
  <c r="L839" i="6"/>
  <c r="M839" i="6"/>
  <c r="N839" i="6"/>
  <c r="O839" i="6"/>
  <c r="P839" i="6"/>
  <c r="Q839" i="6"/>
  <c r="R839" i="6"/>
  <c r="S839" i="6"/>
  <c r="T839" i="6"/>
  <c r="U839" i="6"/>
  <c r="V839" i="6"/>
  <c r="X839" i="6"/>
  <c r="Y839" i="6"/>
  <c r="D640" i="6"/>
  <c r="C640" i="6" s="1"/>
  <c r="D639" i="6"/>
  <c r="C639" i="6" s="1"/>
  <c r="E638" i="6"/>
  <c r="F638" i="6"/>
  <c r="G638" i="6"/>
  <c r="H638" i="6"/>
  <c r="I638" i="6"/>
  <c r="J638" i="6"/>
  <c r="K638" i="6"/>
  <c r="L638" i="6"/>
  <c r="M638" i="6"/>
  <c r="N638" i="6"/>
  <c r="O638" i="6"/>
  <c r="P638" i="6"/>
  <c r="Q638" i="6"/>
  <c r="R638" i="6"/>
  <c r="S638" i="6"/>
  <c r="T638" i="6"/>
  <c r="U638" i="6"/>
  <c r="V638" i="6"/>
  <c r="X638" i="6"/>
  <c r="Y638" i="6"/>
  <c r="E316" i="6"/>
  <c r="F316" i="6"/>
  <c r="G316" i="6"/>
  <c r="H316" i="6"/>
  <c r="I316" i="6"/>
  <c r="J316" i="6"/>
  <c r="K316" i="6"/>
  <c r="L316" i="6"/>
  <c r="M316" i="6"/>
  <c r="N316" i="6"/>
  <c r="O316" i="6"/>
  <c r="P316" i="6"/>
  <c r="Q316" i="6"/>
  <c r="R316" i="6"/>
  <c r="S316" i="6"/>
  <c r="T316" i="6"/>
  <c r="U316" i="6"/>
  <c r="V316" i="6"/>
  <c r="X316" i="6"/>
  <c r="Y316" i="6"/>
  <c r="D329" i="6"/>
  <c r="C329" i="6" s="1"/>
  <c r="D328" i="6"/>
  <c r="C328" i="6" s="1"/>
  <c r="D327" i="6"/>
  <c r="C327" i="6" s="1"/>
  <c r="D326" i="6"/>
  <c r="C326" i="6" s="1"/>
  <c r="D325" i="6"/>
  <c r="C325" i="6" s="1"/>
  <c r="D324" i="6"/>
  <c r="C324" i="6" s="1"/>
  <c r="D323" i="6"/>
  <c r="C323" i="6" s="1"/>
  <c r="D322" i="6"/>
  <c r="C322" i="6" s="1"/>
  <c r="D321" i="6"/>
  <c r="C321" i="6" s="1"/>
  <c r="D320" i="6"/>
  <c r="C320" i="6" s="1"/>
  <c r="D319" i="6"/>
  <c r="C319" i="6" s="1"/>
  <c r="D318" i="6"/>
  <c r="C318" i="6" s="1"/>
  <c r="D317" i="6"/>
  <c r="C317" i="6" s="1"/>
  <c r="J1546" i="5"/>
  <c r="K1546" i="5"/>
  <c r="M1546" i="5"/>
  <c r="N1546" i="5"/>
  <c r="O1546" i="5"/>
  <c r="Q1546" i="5"/>
  <c r="H1546" i="5"/>
  <c r="R1548" i="5"/>
  <c r="I650" i="5"/>
  <c r="J650" i="5"/>
  <c r="K650" i="5"/>
  <c r="D136" i="7" s="1"/>
  <c r="L650" i="5"/>
  <c r="F136" i="7" s="1"/>
  <c r="M650" i="5"/>
  <c r="N650" i="5"/>
  <c r="O650" i="5"/>
  <c r="P650" i="5"/>
  <c r="Q650" i="5"/>
  <c r="H650" i="5"/>
  <c r="C136" i="7" s="1"/>
  <c r="R652" i="5"/>
  <c r="R651" i="5"/>
  <c r="R325" i="5"/>
  <c r="R326" i="5"/>
  <c r="R327" i="5"/>
  <c r="R328" i="5"/>
  <c r="R329" i="5"/>
  <c r="R330" i="5"/>
  <c r="R331" i="5"/>
  <c r="R332" i="5"/>
  <c r="R333" i="5"/>
  <c r="R334" i="5"/>
  <c r="R335" i="5"/>
  <c r="R336" i="5"/>
  <c r="R324" i="5"/>
  <c r="I323" i="5"/>
  <c r="J323" i="5"/>
  <c r="K323" i="5"/>
  <c r="D59" i="7" s="1"/>
  <c r="L323" i="5"/>
  <c r="F59" i="7" s="1"/>
  <c r="M323" i="5"/>
  <c r="N323" i="5"/>
  <c r="P323" i="5"/>
  <c r="Q323" i="5"/>
  <c r="H323" i="5"/>
  <c r="C59" i="7" s="1"/>
  <c r="O336" i="5"/>
  <c r="O335" i="5"/>
  <c r="O334" i="5"/>
  <c r="O333" i="5"/>
  <c r="O332" i="5"/>
  <c r="O331" i="5"/>
  <c r="O330" i="5"/>
  <c r="O329" i="5"/>
  <c r="O328" i="5"/>
  <c r="O327" i="5"/>
  <c r="O326" i="5"/>
  <c r="O325" i="5"/>
  <c r="O324" i="5"/>
  <c r="C1525" i="6" l="1"/>
  <c r="C1524" i="6" s="1"/>
  <c r="D1524" i="6"/>
  <c r="F12" i="7"/>
  <c r="I1546" i="5"/>
  <c r="D12" i="7"/>
  <c r="C268" i="7"/>
  <c r="C267" i="7" s="1"/>
  <c r="D268" i="7"/>
  <c r="D267" i="7" s="1"/>
  <c r="C316" i="6"/>
  <c r="D638" i="6"/>
  <c r="C638" i="6"/>
  <c r="D839" i="6"/>
  <c r="D520" i="6"/>
  <c r="D129" i="6"/>
  <c r="C129" i="6"/>
  <c r="D316" i="6"/>
  <c r="O323" i="5"/>
  <c r="D1396" i="6" l="1"/>
  <c r="D1398" i="6"/>
  <c r="C1398" i="6" s="1"/>
  <c r="D1397" i="6"/>
  <c r="C1397" i="6" s="1"/>
  <c r="D575" i="6"/>
  <c r="C575" i="6" s="1"/>
  <c r="D574" i="6"/>
  <c r="D217" i="6"/>
  <c r="C217" i="6" s="1"/>
  <c r="D216" i="6"/>
  <c r="L807" i="5"/>
  <c r="L805" i="5" s="1"/>
  <c r="F171" i="7" s="1"/>
  <c r="R587" i="5"/>
  <c r="R586" i="5"/>
  <c r="L223" i="5"/>
  <c r="L222" i="5" s="1"/>
  <c r="F24" i="7" s="1"/>
  <c r="R224" i="5"/>
  <c r="R223" i="5"/>
  <c r="E208" i="7"/>
  <c r="E148" i="7"/>
  <c r="E82" i="7"/>
  <c r="F881" i="6"/>
  <c r="K881" i="6"/>
  <c r="L881" i="6"/>
  <c r="M881" i="6"/>
  <c r="N881" i="6"/>
  <c r="O881" i="6"/>
  <c r="P881" i="6"/>
  <c r="Q881" i="6"/>
  <c r="R881" i="6"/>
  <c r="S881" i="6"/>
  <c r="T881" i="6"/>
  <c r="U881" i="6"/>
  <c r="V881" i="6"/>
  <c r="X881" i="6"/>
  <c r="Y881" i="6"/>
  <c r="E677" i="6"/>
  <c r="F677" i="6"/>
  <c r="F676" i="6" s="1"/>
  <c r="G677" i="6"/>
  <c r="G676" i="6" s="1"/>
  <c r="H677" i="6"/>
  <c r="H676" i="6" s="1"/>
  <c r="I677" i="6"/>
  <c r="I676" i="6" s="1"/>
  <c r="J677" i="6"/>
  <c r="J676" i="6" s="1"/>
  <c r="K677" i="6"/>
  <c r="K676" i="6" s="1"/>
  <c r="L677" i="6"/>
  <c r="L676" i="6" s="1"/>
  <c r="M677" i="6"/>
  <c r="M676" i="6" s="1"/>
  <c r="N677" i="6"/>
  <c r="N676" i="6" s="1"/>
  <c r="O677" i="6"/>
  <c r="O676" i="6" s="1"/>
  <c r="P677" i="6"/>
  <c r="P676" i="6" s="1"/>
  <c r="Q677" i="6"/>
  <c r="Q676" i="6" s="1"/>
  <c r="R677" i="6"/>
  <c r="R676" i="6" s="1"/>
  <c r="S677" i="6"/>
  <c r="S676" i="6" s="1"/>
  <c r="T677" i="6"/>
  <c r="T676" i="6" s="1"/>
  <c r="U677" i="6"/>
  <c r="U676" i="6" s="1"/>
  <c r="V677" i="6"/>
  <c r="V676" i="6" s="1"/>
  <c r="X677" i="6"/>
  <c r="X676" i="6" s="1"/>
  <c r="Y677" i="6"/>
  <c r="Y676" i="6" s="1"/>
  <c r="D678" i="6"/>
  <c r="C678" i="6" s="1"/>
  <c r="C677" i="6" s="1"/>
  <c r="C676" i="6" s="1"/>
  <c r="E415" i="6"/>
  <c r="F415" i="6"/>
  <c r="F414" i="6" s="1"/>
  <c r="G415" i="6"/>
  <c r="G414" i="6" s="1"/>
  <c r="H415" i="6"/>
  <c r="H414" i="6" s="1"/>
  <c r="I415" i="6"/>
  <c r="I414" i="6" s="1"/>
  <c r="J415" i="6"/>
  <c r="J414" i="6" s="1"/>
  <c r="K415" i="6"/>
  <c r="K414" i="6" s="1"/>
  <c r="L415" i="6"/>
  <c r="L414" i="6" s="1"/>
  <c r="M415" i="6"/>
  <c r="M414" i="6" s="1"/>
  <c r="N415" i="6"/>
  <c r="N414" i="6" s="1"/>
  <c r="O415" i="6"/>
  <c r="O414" i="6" s="1"/>
  <c r="P415" i="6"/>
  <c r="Q415" i="6"/>
  <c r="Q414" i="6" s="1"/>
  <c r="R415" i="6"/>
  <c r="R414" i="6" s="1"/>
  <c r="S415" i="6"/>
  <c r="S414" i="6" s="1"/>
  <c r="T415" i="6"/>
  <c r="T414" i="6" s="1"/>
  <c r="U415" i="6"/>
  <c r="U414" i="6" s="1"/>
  <c r="V415" i="6"/>
  <c r="V414" i="6" s="1"/>
  <c r="X415" i="6"/>
  <c r="X414" i="6" s="1"/>
  <c r="Y415" i="6"/>
  <c r="Y414" i="6" s="1"/>
  <c r="D416" i="6"/>
  <c r="C416" i="6" s="1"/>
  <c r="D417" i="6"/>
  <c r="C417" i="6" s="1"/>
  <c r="I898" i="5"/>
  <c r="J898" i="5"/>
  <c r="K898" i="5"/>
  <c r="L898" i="5"/>
  <c r="F209" i="7" s="1"/>
  <c r="F208" i="7" s="1"/>
  <c r="M898" i="5"/>
  <c r="N898" i="5"/>
  <c r="O898" i="5"/>
  <c r="P898" i="5"/>
  <c r="Q898" i="5"/>
  <c r="H898" i="5"/>
  <c r="I698" i="5"/>
  <c r="J698" i="5"/>
  <c r="J697" i="5" s="1"/>
  <c r="K698" i="5"/>
  <c r="K697" i="5" s="1"/>
  <c r="D149" i="7" s="1"/>
  <c r="D148" i="7" s="1"/>
  <c r="L698" i="5"/>
  <c r="L697" i="5" s="1"/>
  <c r="M698" i="5"/>
  <c r="M697" i="5" s="1"/>
  <c r="N698" i="5"/>
  <c r="N697" i="5" s="1"/>
  <c r="O698" i="5"/>
  <c r="O697" i="5" s="1"/>
  <c r="P698" i="5"/>
  <c r="P697" i="5" s="1"/>
  <c r="Q698" i="5"/>
  <c r="Q697" i="5" s="1"/>
  <c r="H698" i="5"/>
  <c r="H697" i="5" s="1"/>
  <c r="R699" i="5"/>
  <c r="I393" i="5"/>
  <c r="J393" i="5"/>
  <c r="J392" i="5" s="1"/>
  <c r="K393" i="5"/>
  <c r="K392" i="5" s="1"/>
  <c r="L393" i="5"/>
  <c r="L392" i="5" s="1"/>
  <c r="M393" i="5"/>
  <c r="M392" i="5" s="1"/>
  <c r="N393" i="5"/>
  <c r="N392" i="5" s="1"/>
  <c r="O393" i="5"/>
  <c r="O392" i="5" s="1"/>
  <c r="P393" i="5"/>
  <c r="P392" i="5" s="1"/>
  <c r="Q393" i="5"/>
  <c r="Q392" i="5" s="1"/>
  <c r="H393" i="5"/>
  <c r="H392" i="5" s="1"/>
  <c r="R395" i="5"/>
  <c r="R394" i="5"/>
  <c r="P414" i="6" l="1"/>
  <c r="E676" i="6"/>
  <c r="E414" i="6"/>
  <c r="I697" i="5"/>
  <c r="I392" i="5"/>
  <c r="C1396" i="6"/>
  <c r="C1392" i="6" s="1"/>
  <c r="D1392" i="6"/>
  <c r="C574" i="6"/>
  <c r="C573" i="6" s="1"/>
  <c r="D573" i="6"/>
  <c r="C216" i="6"/>
  <c r="C215" i="6" s="1"/>
  <c r="D215" i="6"/>
  <c r="D83" i="7"/>
  <c r="D82" i="7" s="1"/>
  <c r="C83" i="7"/>
  <c r="C82" i="7" s="1"/>
  <c r="F83" i="7"/>
  <c r="F82" i="7" s="1"/>
  <c r="C149" i="7"/>
  <c r="C148" i="7" s="1"/>
  <c r="F149" i="7"/>
  <c r="F148" i="7" s="1"/>
  <c r="C415" i="6"/>
  <c r="C414" i="6" s="1"/>
  <c r="D415" i="6"/>
  <c r="D414" i="6" s="1"/>
  <c r="D677" i="6"/>
  <c r="D676" i="6" s="1"/>
  <c r="E643" i="6"/>
  <c r="F643" i="6"/>
  <c r="G643" i="6"/>
  <c r="H643" i="6"/>
  <c r="I643" i="6"/>
  <c r="J643" i="6"/>
  <c r="K643" i="6"/>
  <c r="K637" i="6" s="1"/>
  <c r="L643" i="6"/>
  <c r="L637" i="6" s="1"/>
  <c r="M643" i="6"/>
  <c r="N643" i="6"/>
  <c r="O643" i="6"/>
  <c r="P643" i="6"/>
  <c r="Q643" i="6"/>
  <c r="R643" i="6"/>
  <c r="S643" i="6"/>
  <c r="T643" i="6"/>
  <c r="U643" i="6"/>
  <c r="V643" i="6"/>
  <c r="X643" i="6"/>
  <c r="Y643" i="6"/>
  <c r="D644" i="6"/>
  <c r="C644" i="6" s="1"/>
  <c r="C643" i="6" s="1"/>
  <c r="E334" i="6"/>
  <c r="F334" i="6"/>
  <c r="G334" i="6"/>
  <c r="H334" i="6"/>
  <c r="I334" i="6"/>
  <c r="J334" i="6"/>
  <c r="K334" i="6"/>
  <c r="K315" i="6" s="1"/>
  <c r="L334" i="6"/>
  <c r="L315" i="6" s="1"/>
  <c r="M334" i="6"/>
  <c r="N334" i="6"/>
  <c r="O334" i="6"/>
  <c r="P334" i="6"/>
  <c r="Q334" i="6"/>
  <c r="R334" i="6"/>
  <c r="S334" i="6"/>
  <c r="T334" i="6"/>
  <c r="U334" i="6"/>
  <c r="V334" i="6"/>
  <c r="X334" i="6"/>
  <c r="X315" i="6" s="1"/>
  <c r="Y334" i="6"/>
  <c r="Y315" i="6" s="1"/>
  <c r="D336" i="6"/>
  <c r="C336" i="6" s="1"/>
  <c r="D335" i="6"/>
  <c r="C335" i="6" s="1"/>
  <c r="I861" i="5"/>
  <c r="J861" i="5"/>
  <c r="K861" i="5"/>
  <c r="D195" i="7" s="1"/>
  <c r="L861" i="5"/>
  <c r="F195" i="7" s="1"/>
  <c r="M861" i="5"/>
  <c r="N861" i="5"/>
  <c r="O861" i="5"/>
  <c r="P861" i="5"/>
  <c r="Q861" i="5"/>
  <c r="H861" i="5"/>
  <c r="C195" i="7" s="1"/>
  <c r="H844" i="6"/>
  <c r="K844" i="6"/>
  <c r="K838" i="6" s="1"/>
  <c r="L844" i="6"/>
  <c r="L838" i="6" s="1"/>
  <c r="M844" i="6"/>
  <c r="M838" i="6" s="1"/>
  <c r="N844" i="6"/>
  <c r="O844" i="6"/>
  <c r="P844" i="6"/>
  <c r="Q844" i="6"/>
  <c r="R844" i="6"/>
  <c r="S844" i="6"/>
  <c r="T844" i="6"/>
  <c r="U844" i="6"/>
  <c r="V844" i="6"/>
  <c r="X844" i="6"/>
  <c r="Y844" i="6"/>
  <c r="I655" i="5"/>
  <c r="J655" i="5"/>
  <c r="K655" i="5"/>
  <c r="D138" i="7" s="1"/>
  <c r="L655" i="5"/>
  <c r="F138" i="7" s="1"/>
  <c r="M655" i="5"/>
  <c r="N655" i="5"/>
  <c r="O655" i="5"/>
  <c r="P655" i="5"/>
  <c r="Q655" i="5"/>
  <c r="H655" i="5"/>
  <c r="C138" i="7" s="1"/>
  <c r="R656" i="5"/>
  <c r="I341" i="5"/>
  <c r="J341" i="5"/>
  <c r="K341" i="5"/>
  <c r="D61" i="7" s="1"/>
  <c r="L341" i="5"/>
  <c r="F61" i="7" s="1"/>
  <c r="M341" i="5"/>
  <c r="N341" i="5"/>
  <c r="O341" i="5"/>
  <c r="P341" i="5"/>
  <c r="Q341" i="5"/>
  <c r="H341" i="5"/>
  <c r="C61" i="7" s="1"/>
  <c r="R343" i="5"/>
  <c r="R342" i="5"/>
  <c r="E112" i="7"/>
  <c r="E25" i="7"/>
  <c r="D793" i="6"/>
  <c r="C793" i="6" s="1"/>
  <c r="E792" i="6"/>
  <c r="F792" i="6"/>
  <c r="G792" i="6"/>
  <c r="H792" i="6"/>
  <c r="I792" i="6"/>
  <c r="J792" i="6"/>
  <c r="K792" i="6"/>
  <c r="L792" i="6"/>
  <c r="M792" i="6"/>
  <c r="N792" i="6"/>
  <c r="O792" i="6"/>
  <c r="P792" i="6"/>
  <c r="Q792" i="6"/>
  <c r="R792" i="6"/>
  <c r="S792" i="6"/>
  <c r="T792" i="6"/>
  <c r="U792" i="6"/>
  <c r="V792" i="6"/>
  <c r="X792" i="6"/>
  <c r="Y792" i="6"/>
  <c r="E577" i="6"/>
  <c r="F577" i="6"/>
  <c r="F576" i="6" s="1"/>
  <c r="G577" i="6"/>
  <c r="G576" i="6" s="1"/>
  <c r="H577" i="6"/>
  <c r="H576" i="6" s="1"/>
  <c r="I577" i="6"/>
  <c r="I576" i="6" s="1"/>
  <c r="J577" i="6"/>
  <c r="J576" i="6" s="1"/>
  <c r="K577" i="6"/>
  <c r="K576" i="6" s="1"/>
  <c r="L577" i="6"/>
  <c r="L576" i="6" s="1"/>
  <c r="M577" i="6"/>
  <c r="M576" i="6" s="1"/>
  <c r="N577" i="6"/>
  <c r="N576" i="6" s="1"/>
  <c r="O577" i="6"/>
  <c r="O576" i="6" s="1"/>
  <c r="P577" i="6"/>
  <c r="Q577" i="6"/>
  <c r="Q576" i="6" s="1"/>
  <c r="R577" i="6"/>
  <c r="R576" i="6" s="1"/>
  <c r="S577" i="6"/>
  <c r="S576" i="6" s="1"/>
  <c r="T577" i="6"/>
  <c r="T576" i="6" s="1"/>
  <c r="U577" i="6"/>
  <c r="U576" i="6" s="1"/>
  <c r="V577" i="6"/>
  <c r="V576" i="6" s="1"/>
  <c r="X577" i="6"/>
  <c r="X576" i="6" s="1"/>
  <c r="Y577" i="6"/>
  <c r="Y576" i="6" s="1"/>
  <c r="D578" i="6"/>
  <c r="C578" i="6" s="1"/>
  <c r="C577" i="6" s="1"/>
  <c r="C576" i="6" s="1"/>
  <c r="E219" i="6"/>
  <c r="E218" i="6" s="1"/>
  <c r="F219" i="6"/>
  <c r="F218" i="6" s="1"/>
  <c r="G219" i="6"/>
  <c r="G218" i="6" s="1"/>
  <c r="H219" i="6"/>
  <c r="H218" i="6" s="1"/>
  <c r="I219" i="6"/>
  <c r="I218" i="6" s="1"/>
  <c r="J219" i="6"/>
  <c r="J218" i="6" s="1"/>
  <c r="K219" i="6"/>
  <c r="K218" i="6" s="1"/>
  <c r="L219" i="6"/>
  <c r="L218" i="6" s="1"/>
  <c r="M219" i="6"/>
  <c r="M218" i="6" s="1"/>
  <c r="N219" i="6"/>
  <c r="N218" i="6" s="1"/>
  <c r="O219" i="6"/>
  <c r="O218" i="6" s="1"/>
  <c r="P219" i="6"/>
  <c r="Q219" i="6"/>
  <c r="Q218" i="6" s="1"/>
  <c r="R219" i="6"/>
  <c r="R218" i="6" s="1"/>
  <c r="S219" i="6"/>
  <c r="S218" i="6" s="1"/>
  <c r="T219" i="6"/>
  <c r="T218" i="6" s="1"/>
  <c r="U219" i="6"/>
  <c r="U218" i="6" s="1"/>
  <c r="V219" i="6"/>
  <c r="V218" i="6" s="1"/>
  <c r="X219" i="6"/>
  <c r="X218" i="6" s="1"/>
  <c r="Y219" i="6"/>
  <c r="Y218" i="6" s="1"/>
  <c r="D220" i="6"/>
  <c r="C220" i="6" s="1"/>
  <c r="C219" i="6" s="1"/>
  <c r="C218" i="6" s="1"/>
  <c r="I809" i="5"/>
  <c r="J809" i="5"/>
  <c r="K809" i="5"/>
  <c r="D173" i="7" s="1"/>
  <c r="L809" i="5"/>
  <c r="F173" i="7" s="1"/>
  <c r="M809" i="5"/>
  <c r="N809" i="5"/>
  <c r="O809" i="5"/>
  <c r="P809" i="5"/>
  <c r="Q809" i="5"/>
  <c r="H809" i="5"/>
  <c r="C173" i="7" s="1"/>
  <c r="I589" i="5"/>
  <c r="J589" i="5"/>
  <c r="J588" i="5" s="1"/>
  <c r="K589" i="5"/>
  <c r="K588" i="5" s="1"/>
  <c r="L589" i="5"/>
  <c r="L588" i="5" s="1"/>
  <c r="M589" i="5"/>
  <c r="M588" i="5" s="1"/>
  <c r="N589" i="5"/>
  <c r="N588" i="5" s="1"/>
  <c r="O589" i="5"/>
  <c r="O588" i="5" s="1"/>
  <c r="P589" i="5"/>
  <c r="P588" i="5" s="1"/>
  <c r="Q589" i="5"/>
  <c r="Q588" i="5" s="1"/>
  <c r="H589" i="5"/>
  <c r="H588" i="5" s="1"/>
  <c r="R590" i="5"/>
  <c r="I226" i="5"/>
  <c r="J226" i="5"/>
  <c r="J225" i="5" s="1"/>
  <c r="K226" i="5"/>
  <c r="K225" i="5" s="1"/>
  <c r="L226" i="5"/>
  <c r="L225" i="5" s="1"/>
  <c r="M226" i="5"/>
  <c r="M225" i="5" s="1"/>
  <c r="N226" i="5"/>
  <c r="N225" i="5" s="1"/>
  <c r="O226" i="5"/>
  <c r="O225" i="5" s="1"/>
  <c r="P226" i="5"/>
  <c r="P225" i="5" s="1"/>
  <c r="Q226" i="5"/>
  <c r="Q225" i="5" s="1"/>
  <c r="H226" i="5"/>
  <c r="H225" i="5" s="1"/>
  <c r="R227" i="5"/>
  <c r="E153" i="7"/>
  <c r="D689" i="6"/>
  <c r="E689" i="6"/>
  <c r="F689" i="6"/>
  <c r="G689" i="6"/>
  <c r="H689" i="6"/>
  <c r="I689" i="6"/>
  <c r="J689" i="6"/>
  <c r="K689" i="6"/>
  <c r="L689" i="6"/>
  <c r="M689" i="6"/>
  <c r="N689" i="6"/>
  <c r="O689" i="6"/>
  <c r="P689" i="6"/>
  <c r="Q689" i="6"/>
  <c r="R689" i="6"/>
  <c r="S689" i="6"/>
  <c r="T689" i="6"/>
  <c r="U689" i="6"/>
  <c r="V689" i="6"/>
  <c r="X689" i="6"/>
  <c r="Y689" i="6"/>
  <c r="D889" i="6"/>
  <c r="D888" i="6" s="1"/>
  <c r="E889" i="6"/>
  <c r="F889" i="6"/>
  <c r="F888" i="6" s="1"/>
  <c r="G889" i="6"/>
  <c r="G888" i="6" s="1"/>
  <c r="H889" i="6"/>
  <c r="H888" i="6" s="1"/>
  <c r="I889" i="6"/>
  <c r="I888" i="6" s="1"/>
  <c r="J889" i="6"/>
  <c r="J888" i="6" s="1"/>
  <c r="K889" i="6"/>
  <c r="K888" i="6" s="1"/>
  <c r="L889" i="6"/>
  <c r="L888" i="6" s="1"/>
  <c r="M889" i="6"/>
  <c r="M888" i="6" s="1"/>
  <c r="N889" i="6"/>
  <c r="N888" i="6" s="1"/>
  <c r="O889" i="6"/>
  <c r="O888" i="6" s="1"/>
  <c r="P889" i="6"/>
  <c r="Q889" i="6"/>
  <c r="Q888" i="6" s="1"/>
  <c r="R889" i="6"/>
  <c r="R888" i="6" s="1"/>
  <c r="S889" i="6"/>
  <c r="S888" i="6" s="1"/>
  <c r="T889" i="6"/>
  <c r="T888" i="6" s="1"/>
  <c r="U889" i="6"/>
  <c r="U888" i="6" s="1"/>
  <c r="V889" i="6"/>
  <c r="V888" i="6" s="1"/>
  <c r="X889" i="6"/>
  <c r="X888" i="6" s="1"/>
  <c r="Y889" i="6"/>
  <c r="Y888" i="6" s="1"/>
  <c r="D424" i="6"/>
  <c r="C424" i="6" s="1"/>
  <c r="K423" i="6"/>
  <c r="L423" i="6"/>
  <c r="M423" i="6"/>
  <c r="O423" i="6"/>
  <c r="P423" i="6"/>
  <c r="Q423" i="6"/>
  <c r="S423" i="6"/>
  <c r="U423" i="6"/>
  <c r="X423" i="6"/>
  <c r="Y423" i="6"/>
  <c r="I906" i="5"/>
  <c r="I905" i="5" s="1"/>
  <c r="J906" i="5"/>
  <c r="J905" i="5" s="1"/>
  <c r="K906" i="5"/>
  <c r="L906" i="5"/>
  <c r="M906" i="5"/>
  <c r="M905" i="5" s="1"/>
  <c r="N906" i="5"/>
  <c r="N905" i="5" s="1"/>
  <c r="O906" i="5"/>
  <c r="O905" i="5" s="1"/>
  <c r="P906" i="5"/>
  <c r="P905" i="5" s="1"/>
  <c r="Q906" i="5"/>
  <c r="Q905" i="5" s="1"/>
  <c r="H906" i="5"/>
  <c r="I701" i="5"/>
  <c r="J701" i="5"/>
  <c r="K701" i="5"/>
  <c r="D154" i="7" s="1"/>
  <c r="D153" i="7" s="1"/>
  <c r="L701" i="5"/>
  <c r="F154" i="7" s="1"/>
  <c r="F153" i="7" s="1"/>
  <c r="M701" i="5"/>
  <c r="N701" i="5"/>
  <c r="O701" i="5"/>
  <c r="P701" i="5"/>
  <c r="Q701" i="5"/>
  <c r="Q700" i="5" s="1"/>
  <c r="H701" i="5"/>
  <c r="C154" i="7" s="1"/>
  <c r="C153" i="7" s="1"/>
  <c r="R702" i="5"/>
  <c r="P700" i="5"/>
  <c r="O700" i="5"/>
  <c r="N700" i="5"/>
  <c r="M700" i="5"/>
  <c r="L700" i="5"/>
  <c r="K700" i="5"/>
  <c r="J700" i="5"/>
  <c r="I700" i="5"/>
  <c r="H700" i="5"/>
  <c r="R414" i="5"/>
  <c r="I413" i="5"/>
  <c r="J413" i="5"/>
  <c r="K413" i="5"/>
  <c r="L413" i="5"/>
  <c r="M413" i="5"/>
  <c r="N413" i="5"/>
  <c r="O413" i="5"/>
  <c r="Q413" i="5"/>
  <c r="H413" i="5"/>
  <c r="E606" i="6"/>
  <c r="E605" i="6" s="1"/>
  <c r="F606" i="6"/>
  <c r="F605" i="6" s="1"/>
  <c r="G606" i="6"/>
  <c r="G605" i="6" s="1"/>
  <c r="H606" i="6"/>
  <c r="H605" i="6" s="1"/>
  <c r="I606" i="6"/>
  <c r="I605" i="6" s="1"/>
  <c r="J606" i="6"/>
  <c r="J605" i="6" s="1"/>
  <c r="K606" i="6"/>
  <c r="K605" i="6" s="1"/>
  <c r="L606" i="6"/>
  <c r="L605" i="6" s="1"/>
  <c r="M606" i="6"/>
  <c r="M605" i="6" s="1"/>
  <c r="N606" i="6"/>
  <c r="N605" i="6" s="1"/>
  <c r="O606" i="6"/>
  <c r="O605" i="6" s="1"/>
  <c r="P606" i="6"/>
  <c r="P605" i="6" s="1"/>
  <c r="Q606" i="6"/>
  <c r="Q605" i="6" s="1"/>
  <c r="R606" i="6"/>
  <c r="R605" i="6" s="1"/>
  <c r="S606" i="6"/>
  <c r="S605" i="6" s="1"/>
  <c r="T606" i="6"/>
  <c r="T605" i="6" s="1"/>
  <c r="U606" i="6"/>
  <c r="U605" i="6" s="1"/>
  <c r="V606" i="6"/>
  <c r="V605" i="6" s="1"/>
  <c r="Y606" i="6"/>
  <c r="Y605" i="6" s="1"/>
  <c r="X607" i="6"/>
  <c r="D607" i="6"/>
  <c r="D606" i="6" s="1"/>
  <c r="D605" i="6" s="1"/>
  <c r="E274" i="6"/>
  <c r="E273" i="6" s="1"/>
  <c r="F274" i="6"/>
  <c r="F273" i="6" s="1"/>
  <c r="G274" i="6"/>
  <c r="G273" i="6" s="1"/>
  <c r="H274" i="6"/>
  <c r="H273" i="6" s="1"/>
  <c r="I274" i="6"/>
  <c r="I273" i="6" s="1"/>
  <c r="J274" i="6"/>
  <c r="J273" i="6" s="1"/>
  <c r="K274" i="6"/>
  <c r="K273" i="6" s="1"/>
  <c r="L274" i="6"/>
  <c r="L273" i="6" s="1"/>
  <c r="M274" i="6"/>
  <c r="M273" i="6" s="1"/>
  <c r="N274" i="6"/>
  <c r="N273" i="6" s="1"/>
  <c r="O274" i="6"/>
  <c r="O273" i="6" s="1"/>
  <c r="Q274" i="6"/>
  <c r="Q273" i="6" s="1"/>
  <c r="R274" i="6"/>
  <c r="R273" i="6" s="1"/>
  <c r="S274" i="6"/>
  <c r="S273" i="6" s="1"/>
  <c r="T274" i="6"/>
  <c r="T273" i="6" s="1"/>
  <c r="U274" i="6"/>
  <c r="U273" i="6" s="1"/>
  <c r="V274" i="6"/>
  <c r="V273" i="6" s="1"/>
  <c r="Y274" i="6"/>
  <c r="Y273" i="6" s="1"/>
  <c r="P275" i="6"/>
  <c r="P274" i="6" s="1"/>
  <c r="X277" i="6"/>
  <c r="X274" i="6" s="1"/>
  <c r="X273" i="6" s="1"/>
  <c r="D277" i="6"/>
  <c r="D276" i="6"/>
  <c r="C276" i="6" s="1"/>
  <c r="D275" i="6"/>
  <c r="C275" i="6" s="1"/>
  <c r="I618" i="5"/>
  <c r="I617" i="5" s="1"/>
  <c r="J618" i="5"/>
  <c r="J617" i="5" s="1"/>
  <c r="K618" i="5"/>
  <c r="L618" i="5"/>
  <c r="M618" i="5"/>
  <c r="M617" i="5" s="1"/>
  <c r="N618" i="5"/>
  <c r="N617" i="5" s="1"/>
  <c r="O618" i="5"/>
  <c r="O617" i="5" s="1"/>
  <c r="P618" i="5"/>
  <c r="P617" i="5" s="1"/>
  <c r="Q618" i="5"/>
  <c r="Q617" i="5" s="1"/>
  <c r="H618" i="5"/>
  <c r="I281" i="5"/>
  <c r="I280" i="5" s="1"/>
  <c r="K281" i="5"/>
  <c r="K280" i="5" s="1"/>
  <c r="L281" i="5"/>
  <c r="L280" i="5" s="1"/>
  <c r="M281" i="5"/>
  <c r="M280" i="5" s="1"/>
  <c r="N281" i="5"/>
  <c r="N280" i="5" s="1"/>
  <c r="O281" i="5"/>
  <c r="O280" i="5" s="1"/>
  <c r="P281" i="5"/>
  <c r="P280" i="5" s="1"/>
  <c r="Q281" i="5"/>
  <c r="Q280" i="5" s="1"/>
  <c r="H281" i="5"/>
  <c r="H280" i="5" s="1"/>
  <c r="J284" i="5"/>
  <c r="J283" i="5"/>
  <c r="J282" i="5"/>
  <c r="D1406" i="6"/>
  <c r="C1406" i="6" s="1"/>
  <c r="D1407" i="6"/>
  <c r="C1407" i="6" s="1"/>
  <c r="D1408" i="6"/>
  <c r="C1408" i="6" s="1"/>
  <c r="D1409" i="6"/>
  <c r="C1409" i="6" s="1"/>
  <c r="D1410" i="6"/>
  <c r="C1410" i="6" s="1"/>
  <c r="D1411" i="6"/>
  <c r="C1411" i="6" s="1"/>
  <c r="D1412" i="6"/>
  <c r="C1412" i="6" s="1"/>
  <c r="D1413" i="6"/>
  <c r="C1413" i="6" s="1"/>
  <c r="D1405" i="6"/>
  <c r="D581" i="6"/>
  <c r="C581" i="6" s="1"/>
  <c r="D580" i="6"/>
  <c r="D796" i="6"/>
  <c r="D224" i="6"/>
  <c r="C224" i="6" s="1"/>
  <c r="D223" i="6"/>
  <c r="C223" i="6" s="1"/>
  <c r="D222" i="6"/>
  <c r="R1436" i="5"/>
  <c r="R1435" i="5"/>
  <c r="R1434" i="5"/>
  <c r="R1433" i="5"/>
  <c r="R1432" i="5"/>
  <c r="O1432" i="5"/>
  <c r="R1431" i="5"/>
  <c r="R1430" i="5"/>
  <c r="R1429" i="5"/>
  <c r="R1428" i="5"/>
  <c r="D221" i="6" l="1"/>
  <c r="C796" i="6"/>
  <c r="D794" i="6"/>
  <c r="C1405" i="6"/>
  <c r="C1404" i="6" s="1"/>
  <c r="D1404" i="6"/>
  <c r="C580" i="6"/>
  <c r="C579" i="6" s="1"/>
  <c r="D579" i="6"/>
  <c r="C222" i="6"/>
  <c r="C221" i="6" s="1"/>
  <c r="O1427" i="5"/>
  <c r="P888" i="6"/>
  <c r="P218" i="6"/>
  <c r="E576" i="6"/>
  <c r="P273" i="6"/>
  <c r="E888" i="6"/>
  <c r="P576" i="6"/>
  <c r="I588" i="5"/>
  <c r="I225" i="5"/>
  <c r="D213" i="7"/>
  <c r="D212" i="7" s="1"/>
  <c r="K905" i="5"/>
  <c r="F213" i="7"/>
  <c r="F212" i="7" s="1"/>
  <c r="L905" i="5"/>
  <c r="C213" i="7"/>
  <c r="C212" i="7" s="1"/>
  <c r="H905" i="5"/>
  <c r="C124" i="7"/>
  <c r="C123" i="7" s="1"/>
  <c r="H617" i="5"/>
  <c r="F124" i="7"/>
  <c r="F123" i="7" s="1"/>
  <c r="L617" i="5"/>
  <c r="D124" i="7"/>
  <c r="D123" i="7" s="1"/>
  <c r="K617" i="5"/>
  <c r="D643" i="6"/>
  <c r="C334" i="6"/>
  <c r="D334" i="6"/>
  <c r="D26" i="7"/>
  <c r="D25" i="7" s="1"/>
  <c r="D113" i="7"/>
  <c r="D112" i="7" s="1"/>
  <c r="C26" i="7"/>
  <c r="C25" i="7" s="1"/>
  <c r="F26" i="7"/>
  <c r="F25" i="7" s="1"/>
  <c r="C113" i="7"/>
  <c r="C112" i="7" s="1"/>
  <c r="F113" i="7"/>
  <c r="F112" i="7" s="1"/>
  <c r="D792" i="6"/>
  <c r="D219" i="6"/>
  <c r="D218" i="6" s="1"/>
  <c r="D577" i="6"/>
  <c r="D576" i="6" s="1"/>
  <c r="J281" i="5"/>
  <c r="J280" i="5" s="1"/>
  <c r="D44" i="7"/>
  <c r="D43" i="7" s="1"/>
  <c r="C277" i="6"/>
  <c r="C274" i="6" s="1"/>
  <c r="C273" i="6" s="1"/>
  <c r="C607" i="6"/>
  <c r="C606" i="6" s="1"/>
  <c r="C605" i="6" s="1"/>
  <c r="X606" i="6"/>
  <c r="X605" i="6" s="1"/>
  <c r="C44" i="7"/>
  <c r="C43" i="7" s="1"/>
  <c r="F44" i="7"/>
  <c r="F43" i="7" s="1"/>
  <c r="D274" i="6"/>
  <c r="D273" i="6" s="1"/>
  <c r="R619" i="5"/>
  <c r="R282" i="5"/>
  <c r="R283" i="5"/>
  <c r="R284" i="5"/>
  <c r="R593" i="5"/>
  <c r="R592" i="5"/>
  <c r="R813" i="5"/>
  <c r="R231" i="5"/>
  <c r="R230" i="5"/>
  <c r="R229" i="5"/>
  <c r="E144" i="7"/>
  <c r="E667" i="6"/>
  <c r="E666" i="6" s="1"/>
  <c r="F667" i="6"/>
  <c r="F666" i="6" s="1"/>
  <c r="G667" i="6"/>
  <c r="G666" i="6" s="1"/>
  <c r="H667" i="6"/>
  <c r="H666" i="6" s="1"/>
  <c r="I667" i="6"/>
  <c r="I666" i="6" s="1"/>
  <c r="J667" i="6"/>
  <c r="J666" i="6" s="1"/>
  <c r="K667" i="6"/>
  <c r="K666" i="6" s="1"/>
  <c r="L667" i="6"/>
  <c r="L666" i="6" s="1"/>
  <c r="M667" i="6"/>
  <c r="M666" i="6" s="1"/>
  <c r="N667" i="6"/>
  <c r="N666" i="6" s="1"/>
  <c r="O667" i="6"/>
  <c r="O666" i="6" s="1"/>
  <c r="P667" i="6"/>
  <c r="P666" i="6" s="1"/>
  <c r="Q667" i="6"/>
  <c r="Q666" i="6" s="1"/>
  <c r="R667" i="6"/>
  <c r="R666" i="6" s="1"/>
  <c r="S667" i="6"/>
  <c r="S666" i="6" s="1"/>
  <c r="T667" i="6"/>
  <c r="T666" i="6" s="1"/>
  <c r="U667" i="6"/>
  <c r="U666" i="6" s="1"/>
  <c r="V667" i="6"/>
  <c r="V666" i="6" s="1"/>
  <c r="X667" i="6"/>
  <c r="X666" i="6" s="1"/>
  <c r="Y667" i="6"/>
  <c r="Y666" i="6" s="1"/>
  <c r="D668" i="6"/>
  <c r="C668" i="6" s="1"/>
  <c r="C667" i="6" s="1"/>
  <c r="C666" i="6" s="1"/>
  <c r="I679" i="5"/>
  <c r="J679" i="5"/>
  <c r="J678" i="5" s="1"/>
  <c r="K679" i="5"/>
  <c r="K678" i="5" s="1"/>
  <c r="L679" i="5"/>
  <c r="F145" i="7" s="1"/>
  <c r="F144" i="7" s="1"/>
  <c r="M679" i="5"/>
  <c r="M678" i="5" s="1"/>
  <c r="N679" i="5"/>
  <c r="N678" i="5" s="1"/>
  <c r="O679" i="5"/>
  <c r="O678" i="5" s="1"/>
  <c r="P679" i="5"/>
  <c r="P678" i="5" s="1"/>
  <c r="Q679" i="5"/>
  <c r="Q678" i="5" s="1"/>
  <c r="H679" i="5"/>
  <c r="C145" i="7" s="1"/>
  <c r="C144" i="7" s="1"/>
  <c r="R680" i="5"/>
  <c r="E227" i="7"/>
  <c r="E105" i="7"/>
  <c r="E17" i="7"/>
  <c r="D1356" i="6"/>
  <c r="C1356" i="6" s="1"/>
  <c r="D1357" i="6"/>
  <c r="C1357" i="6" s="1"/>
  <c r="D1358" i="6"/>
  <c r="C1358" i="6" s="1"/>
  <c r="D1359" i="6"/>
  <c r="C1359" i="6" s="1"/>
  <c r="D1360" i="6"/>
  <c r="C1360" i="6" s="1"/>
  <c r="D1361" i="6"/>
  <c r="C1361" i="6" s="1"/>
  <c r="D1362" i="6"/>
  <c r="C1362" i="6" s="1"/>
  <c r="D1363" i="6"/>
  <c r="C1363" i="6" s="1"/>
  <c r="D1355" i="6"/>
  <c r="C1355" i="6" s="1"/>
  <c r="E1354" i="6"/>
  <c r="F1354" i="6"/>
  <c r="G1354" i="6"/>
  <c r="H1354" i="6"/>
  <c r="I1354" i="6"/>
  <c r="J1354" i="6"/>
  <c r="K1354" i="6"/>
  <c r="L1354" i="6"/>
  <c r="M1354" i="6"/>
  <c r="N1354" i="6"/>
  <c r="O1354" i="6"/>
  <c r="P1354" i="6"/>
  <c r="Q1354" i="6"/>
  <c r="R1354" i="6"/>
  <c r="S1354" i="6"/>
  <c r="T1354" i="6"/>
  <c r="U1354" i="6"/>
  <c r="V1354" i="6"/>
  <c r="X1354" i="6"/>
  <c r="Y1354" i="6"/>
  <c r="D769" i="6"/>
  <c r="C769" i="6" s="1"/>
  <c r="D770" i="6"/>
  <c r="C770" i="6" s="1"/>
  <c r="D771" i="6"/>
  <c r="C771" i="6" s="1"/>
  <c r="D772" i="6"/>
  <c r="C772" i="6" s="1"/>
  <c r="D768" i="6"/>
  <c r="C768" i="6" s="1"/>
  <c r="E767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X767" i="6"/>
  <c r="Y767" i="6"/>
  <c r="D557" i="6"/>
  <c r="D558" i="6"/>
  <c r="D559" i="6"/>
  <c r="D560" i="6"/>
  <c r="D561" i="6"/>
  <c r="D556" i="6"/>
  <c r="C556" i="6" s="1"/>
  <c r="C557" i="6"/>
  <c r="C558" i="6"/>
  <c r="C559" i="6"/>
  <c r="C560" i="6"/>
  <c r="C561" i="6"/>
  <c r="E555" i="6"/>
  <c r="F555" i="6"/>
  <c r="F554" i="6" s="1"/>
  <c r="G555" i="6"/>
  <c r="G554" i="6" s="1"/>
  <c r="H555" i="6"/>
  <c r="H554" i="6" s="1"/>
  <c r="I555" i="6"/>
  <c r="I554" i="6" s="1"/>
  <c r="J555" i="6"/>
  <c r="J554" i="6" s="1"/>
  <c r="K555" i="6"/>
  <c r="K554" i="6" s="1"/>
  <c r="L555" i="6"/>
  <c r="L554" i="6" s="1"/>
  <c r="M555" i="6"/>
  <c r="M554" i="6" s="1"/>
  <c r="N555" i="6"/>
  <c r="N554" i="6" s="1"/>
  <c r="O555" i="6"/>
  <c r="O554" i="6" s="1"/>
  <c r="P555" i="6"/>
  <c r="Q555" i="6"/>
  <c r="Q554" i="6" s="1"/>
  <c r="R555" i="6"/>
  <c r="R554" i="6" s="1"/>
  <c r="S555" i="6"/>
  <c r="S554" i="6" s="1"/>
  <c r="T555" i="6"/>
  <c r="U555" i="6"/>
  <c r="U554" i="6" s="1"/>
  <c r="V555" i="6"/>
  <c r="V554" i="6" s="1"/>
  <c r="X555" i="6"/>
  <c r="X554" i="6" s="1"/>
  <c r="Y555" i="6"/>
  <c r="Y554" i="6" s="1"/>
  <c r="D178" i="6"/>
  <c r="C178" i="6" s="1"/>
  <c r="D179" i="6"/>
  <c r="C179" i="6" s="1"/>
  <c r="D180" i="6"/>
  <c r="C180" i="6" s="1"/>
  <c r="D181" i="6"/>
  <c r="C181" i="6" s="1"/>
  <c r="D182" i="6"/>
  <c r="C182" i="6" s="1"/>
  <c r="D183" i="6"/>
  <c r="C183" i="6" s="1"/>
  <c r="D184" i="6"/>
  <c r="C184" i="6" s="1"/>
  <c r="D185" i="6"/>
  <c r="C185" i="6" s="1"/>
  <c r="D186" i="6"/>
  <c r="C186" i="6" s="1"/>
  <c r="D187" i="6"/>
  <c r="C187" i="6" s="1"/>
  <c r="D188" i="6"/>
  <c r="C188" i="6" s="1"/>
  <c r="D189" i="6"/>
  <c r="C189" i="6" s="1"/>
  <c r="D190" i="6"/>
  <c r="C190" i="6" s="1"/>
  <c r="D191" i="6"/>
  <c r="C191" i="6" s="1"/>
  <c r="D192" i="6"/>
  <c r="C192" i="6" s="1"/>
  <c r="D193" i="6"/>
  <c r="C193" i="6" s="1"/>
  <c r="D194" i="6"/>
  <c r="C194" i="6" s="1"/>
  <c r="D195" i="6"/>
  <c r="C195" i="6" s="1"/>
  <c r="D196" i="6"/>
  <c r="C196" i="6" s="1"/>
  <c r="D197" i="6"/>
  <c r="C197" i="6" s="1"/>
  <c r="D177" i="6"/>
  <c r="C177" i="6" s="1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X176" i="6"/>
  <c r="Y176" i="6"/>
  <c r="I1377" i="5"/>
  <c r="K1377" i="5"/>
  <c r="D228" i="7" s="1"/>
  <c r="D227" i="7" s="1"/>
  <c r="L1377" i="5"/>
  <c r="F228" i="7" s="1"/>
  <c r="F227" i="7" s="1"/>
  <c r="M1377" i="5"/>
  <c r="N1377" i="5"/>
  <c r="O1377" i="5"/>
  <c r="P1377" i="5"/>
  <c r="Q1377" i="5"/>
  <c r="H1377" i="5"/>
  <c r="C228" i="7" s="1"/>
  <c r="C227" i="7" s="1"/>
  <c r="R1386" i="5"/>
  <c r="R1385" i="5"/>
  <c r="J1385" i="5"/>
  <c r="R1384" i="5"/>
  <c r="J1384" i="5"/>
  <c r="R1383" i="5"/>
  <c r="J1383" i="5"/>
  <c r="R1382" i="5"/>
  <c r="J1382" i="5"/>
  <c r="R1381" i="5"/>
  <c r="J1381" i="5"/>
  <c r="R1380" i="5"/>
  <c r="J1380" i="5"/>
  <c r="R1379" i="5"/>
  <c r="J1379" i="5"/>
  <c r="R1378" i="5"/>
  <c r="J1378" i="5"/>
  <c r="I784" i="5"/>
  <c r="J784" i="5"/>
  <c r="K784" i="5"/>
  <c r="D166" i="7" s="1"/>
  <c r="L784" i="5"/>
  <c r="F166" i="7" s="1"/>
  <c r="M784" i="5"/>
  <c r="N784" i="5"/>
  <c r="O784" i="5"/>
  <c r="P784" i="5"/>
  <c r="Q784" i="5"/>
  <c r="H784" i="5"/>
  <c r="C166" i="7" s="1"/>
  <c r="R789" i="5"/>
  <c r="R788" i="5"/>
  <c r="R787" i="5"/>
  <c r="R786" i="5"/>
  <c r="I567" i="5"/>
  <c r="J567" i="5"/>
  <c r="J566" i="5" s="1"/>
  <c r="K567" i="5"/>
  <c r="K566" i="5" s="1"/>
  <c r="L567" i="5"/>
  <c r="L566" i="5" s="1"/>
  <c r="M567" i="5"/>
  <c r="M566" i="5" s="1"/>
  <c r="M555" i="5" s="1"/>
  <c r="M554" i="5" s="1"/>
  <c r="M542" i="5" s="1"/>
  <c r="N567" i="5"/>
  <c r="N566" i="5" s="1"/>
  <c r="N555" i="5" s="1"/>
  <c r="N554" i="5" s="1"/>
  <c r="N542" i="5" s="1"/>
  <c r="O567" i="5"/>
  <c r="O566" i="5" s="1"/>
  <c r="P567" i="5"/>
  <c r="P566" i="5" s="1"/>
  <c r="Q567" i="5"/>
  <c r="Q566" i="5" s="1"/>
  <c r="H567" i="5"/>
  <c r="H566" i="5" s="1"/>
  <c r="R573" i="5"/>
  <c r="R572" i="5"/>
  <c r="R571" i="5"/>
  <c r="R570" i="5"/>
  <c r="R569" i="5"/>
  <c r="R568" i="5"/>
  <c r="I183" i="5"/>
  <c r="I182" i="5" s="1"/>
  <c r="K183" i="5"/>
  <c r="K182" i="5" s="1"/>
  <c r="L183" i="5"/>
  <c r="L182" i="5" s="1"/>
  <c r="M183" i="5"/>
  <c r="M182" i="5" s="1"/>
  <c r="M164" i="5" s="1"/>
  <c r="N183" i="5"/>
  <c r="N182" i="5" s="1"/>
  <c r="N164" i="5" s="1"/>
  <c r="O183" i="5"/>
  <c r="O182" i="5" s="1"/>
  <c r="P183" i="5"/>
  <c r="P182" i="5" s="1"/>
  <c r="Q183" i="5"/>
  <c r="Q182" i="5" s="1"/>
  <c r="H183" i="5"/>
  <c r="H182" i="5" s="1"/>
  <c r="R204" i="5"/>
  <c r="R203" i="5"/>
  <c r="R202" i="5"/>
  <c r="R201" i="5"/>
  <c r="R200" i="5"/>
  <c r="J200" i="5"/>
  <c r="R199" i="5"/>
  <c r="J199" i="5"/>
  <c r="R198" i="5"/>
  <c r="R197" i="5"/>
  <c r="J197" i="5"/>
  <c r="R196" i="5"/>
  <c r="R195" i="5"/>
  <c r="R194" i="5"/>
  <c r="R192" i="5"/>
  <c r="R191" i="5"/>
  <c r="J191" i="5"/>
  <c r="R190" i="5"/>
  <c r="J190" i="5"/>
  <c r="R189" i="5"/>
  <c r="J189" i="5"/>
  <c r="R188" i="5"/>
  <c r="R187" i="5"/>
  <c r="R186" i="5"/>
  <c r="J186" i="5"/>
  <c r="R185" i="5"/>
  <c r="R184" i="5"/>
  <c r="J184" i="5"/>
  <c r="E28" i="7"/>
  <c r="E226" i="6"/>
  <c r="E225" i="6" s="1"/>
  <c r="F226" i="6"/>
  <c r="F225" i="6" s="1"/>
  <c r="G226" i="6"/>
  <c r="G225" i="6" s="1"/>
  <c r="H226" i="6"/>
  <c r="H225" i="6" s="1"/>
  <c r="I226" i="6"/>
  <c r="I225" i="6" s="1"/>
  <c r="J226" i="6"/>
  <c r="J225" i="6" s="1"/>
  <c r="K226" i="6"/>
  <c r="K225" i="6" s="1"/>
  <c r="L226" i="6"/>
  <c r="L225" i="6" s="1"/>
  <c r="M226" i="6"/>
  <c r="M225" i="6" s="1"/>
  <c r="N226" i="6"/>
  <c r="N225" i="6" s="1"/>
  <c r="O226" i="6"/>
  <c r="O225" i="6" s="1"/>
  <c r="P226" i="6"/>
  <c r="Q226" i="6"/>
  <c r="Q225" i="6" s="1"/>
  <c r="R226" i="6"/>
  <c r="R225" i="6" s="1"/>
  <c r="S226" i="6"/>
  <c r="S225" i="6" s="1"/>
  <c r="T226" i="6"/>
  <c r="T225" i="6" s="1"/>
  <c r="U226" i="6"/>
  <c r="U225" i="6" s="1"/>
  <c r="V226" i="6"/>
  <c r="V225" i="6" s="1"/>
  <c r="X226" i="6"/>
  <c r="X225" i="6" s="1"/>
  <c r="Y226" i="6"/>
  <c r="Y225" i="6" s="1"/>
  <c r="D227" i="6"/>
  <c r="C227" i="6" s="1"/>
  <c r="C226" i="6" s="1"/>
  <c r="C225" i="6" s="1"/>
  <c r="R234" i="5"/>
  <c r="Q233" i="5"/>
  <c r="Q232" i="5" s="1"/>
  <c r="P233" i="5"/>
  <c r="P232" i="5" s="1"/>
  <c r="O233" i="5"/>
  <c r="O232" i="5" s="1"/>
  <c r="N233" i="5"/>
  <c r="N232" i="5" s="1"/>
  <c r="M233" i="5"/>
  <c r="M232" i="5" s="1"/>
  <c r="L233" i="5"/>
  <c r="F29" i="7" s="1"/>
  <c r="F28" i="7" s="1"/>
  <c r="K233" i="5"/>
  <c r="K232" i="5" s="1"/>
  <c r="J233" i="5"/>
  <c r="J232" i="5" s="1"/>
  <c r="I233" i="5"/>
  <c r="H233" i="5"/>
  <c r="C29" i="7" s="1"/>
  <c r="C28" i="7" s="1"/>
  <c r="H244" i="5"/>
  <c r="I244" i="5"/>
  <c r="J244" i="5"/>
  <c r="K244" i="5"/>
  <c r="L244" i="5"/>
  <c r="M244" i="5"/>
  <c r="N244" i="5"/>
  <c r="O244" i="5"/>
  <c r="P244" i="5"/>
  <c r="Q244" i="5"/>
  <c r="E587" i="6"/>
  <c r="F587" i="6"/>
  <c r="G587" i="6"/>
  <c r="H587" i="6"/>
  <c r="I587" i="6"/>
  <c r="J587" i="6"/>
  <c r="K587" i="6"/>
  <c r="K582" i="6" s="1"/>
  <c r="L587" i="6"/>
  <c r="L582" i="6" s="1"/>
  <c r="M587" i="6"/>
  <c r="N587" i="6"/>
  <c r="O587" i="6"/>
  <c r="P587" i="6"/>
  <c r="Q587" i="6"/>
  <c r="R587" i="6"/>
  <c r="S587" i="6"/>
  <c r="T587" i="6"/>
  <c r="U587" i="6"/>
  <c r="V587" i="6"/>
  <c r="X587" i="6"/>
  <c r="Y587" i="6"/>
  <c r="D588" i="6"/>
  <c r="C588" i="6" s="1"/>
  <c r="C587" i="6" s="1"/>
  <c r="D246" i="6"/>
  <c r="C246" i="6" s="1"/>
  <c r="D245" i="6"/>
  <c r="D244" i="6"/>
  <c r="C244" i="6" s="1"/>
  <c r="C245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X243" i="6"/>
  <c r="Y243" i="6"/>
  <c r="I599" i="5"/>
  <c r="J599" i="5"/>
  <c r="K599" i="5"/>
  <c r="D118" i="7" s="1"/>
  <c r="L599" i="5"/>
  <c r="F118" i="7" s="1"/>
  <c r="M599" i="5"/>
  <c r="N599" i="5"/>
  <c r="O599" i="5"/>
  <c r="P599" i="5"/>
  <c r="Q599" i="5"/>
  <c r="H599" i="5"/>
  <c r="C118" i="7" s="1"/>
  <c r="R600" i="5"/>
  <c r="I250" i="5"/>
  <c r="J250" i="5"/>
  <c r="K250" i="5"/>
  <c r="D36" i="7" s="1"/>
  <c r="L250" i="5"/>
  <c r="F36" i="7" s="1"/>
  <c r="M250" i="5"/>
  <c r="N250" i="5"/>
  <c r="Q250" i="5"/>
  <c r="H250" i="5"/>
  <c r="C36" i="7" s="1"/>
  <c r="O252" i="5"/>
  <c r="O253" i="5"/>
  <c r="R252" i="5"/>
  <c r="R253" i="5"/>
  <c r="R251" i="5"/>
  <c r="P251" i="5"/>
  <c r="P250" i="5" s="1"/>
  <c r="O251" i="5"/>
  <c r="R380" i="5"/>
  <c r="P380" i="5"/>
  <c r="Q379" i="5"/>
  <c r="O379" i="5"/>
  <c r="O378" i="5" s="1"/>
  <c r="N379" i="5"/>
  <c r="N378" i="5" s="1"/>
  <c r="M379" i="5"/>
  <c r="M378" i="5" s="1"/>
  <c r="L379" i="5"/>
  <c r="K379" i="5"/>
  <c r="J379" i="5"/>
  <c r="J378" i="5" s="1"/>
  <c r="I379" i="5"/>
  <c r="H379" i="5"/>
  <c r="D1580" i="6"/>
  <c r="C1576" i="6"/>
  <c r="C1577" i="6"/>
  <c r="C1578" i="6"/>
  <c r="C1579" i="6"/>
  <c r="C1575" i="6"/>
  <c r="C1574" i="6"/>
  <c r="K875" i="6"/>
  <c r="K874" i="6" s="1"/>
  <c r="L875" i="6"/>
  <c r="L874" i="6" s="1"/>
  <c r="M875" i="6"/>
  <c r="M874" i="6" s="1"/>
  <c r="C875" i="6"/>
  <c r="C674" i="6"/>
  <c r="C675" i="6"/>
  <c r="C673" i="6"/>
  <c r="D398" i="6"/>
  <c r="C398" i="6" s="1"/>
  <c r="D397" i="6"/>
  <c r="R1602" i="5"/>
  <c r="R892" i="5"/>
  <c r="C1580" i="6" l="1"/>
  <c r="D1573" i="6"/>
  <c r="C1573" i="6"/>
  <c r="C672" i="6"/>
  <c r="C397" i="6"/>
  <c r="C396" i="6" s="1"/>
  <c r="D396" i="6"/>
  <c r="P225" i="6"/>
  <c r="E554" i="6"/>
  <c r="T554" i="6"/>
  <c r="P554" i="6"/>
  <c r="I678" i="5"/>
  <c r="I378" i="5"/>
  <c r="I232" i="5"/>
  <c r="I566" i="5"/>
  <c r="E218" i="7"/>
  <c r="L443" i="6"/>
  <c r="K443" i="6"/>
  <c r="J1377" i="5"/>
  <c r="P235" i="5"/>
  <c r="N235" i="5"/>
  <c r="L235" i="5"/>
  <c r="J235" i="5"/>
  <c r="H235" i="5"/>
  <c r="Q235" i="5"/>
  <c r="M235" i="5"/>
  <c r="K235" i="5"/>
  <c r="I235" i="5"/>
  <c r="D555" i="6"/>
  <c r="D554" i="6" s="1"/>
  <c r="C76" i="7"/>
  <c r="C75" i="7" s="1"/>
  <c r="H378" i="5"/>
  <c r="P379" i="5"/>
  <c r="P378" i="5" s="1"/>
  <c r="Q378" i="5"/>
  <c r="F76" i="7"/>
  <c r="F75" i="7" s="1"/>
  <c r="L378" i="5"/>
  <c r="D76" i="7"/>
  <c r="D75" i="7" s="1"/>
  <c r="K378" i="5"/>
  <c r="D1354" i="6"/>
  <c r="F18" i="7"/>
  <c r="F17" i="7" s="1"/>
  <c r="C18" i="7"/>
  <c r="C17" i="7" s="1"/>
  <c r="D145" i="7"/>
  <c r="D144" i="7" s="1"/>
  <c r="C106" i="7"/>
  <c r="C105" i="7" s="1"/>
  <c r="F106" i="7"/>
  <c r="F105" i="7" s="1"/>
  <c r="H678" i="5"/>
  <c r="L678" i="5"/>
  <c r="D18" i="7"/>
  <c r="D17" i="7" s="1"/>
  <c r="D106" i="7"/>
  <c r="D105" i="7" s="1"/>
  <c r="D667" i="6"/>
  <c r="D666" i="6" s="1"/>
  <c r="C1354" i="6"/>
  <c r="C767" i="6"/>
  <c r="D767" i="6"/>
  <c r="C555" i="6"/>
  <c r="C554" i="6" s="1"/>
  <c r="C176" i="6"/>
  <c r="D176" i="6"/>
  <c r="D226" i="6"/>
  <c r="D225" i="6" s="1"/>
  <c r="O250" i="5"/>
  <c r="O235" i="5" s="1"/>
  <c r="J183" i="5"/>
  <c r="J182" i="5" s="1"/>
  <c r="H232" i="5"/>
  <c r="L232" i="5"/>
  <c r="D29" i="7"/>
  <c r="D28" i="7" s="1"/>
  <c r="D587" i="6"/>
  <c r="D243" i="6"/>
  <c r="C243" i="6"/>
  <c r="X389" i="6"/>
  <c r="X388" i="6" s="1"/>
  <c r="Y389" i="6"/>
  <c r="Y388" i="6" s="1"/>
  <c r="R686" i="5"/>
  <c r="R685" i="5"/>
  <c r="R687" i="5"/>
  <c r="R388" i="5"/>
  <c r="R387" i="5"/>
  <c r="V389" i="6" l="1"/>
  <c r="V388" i="6" s="1"/>
  <c r="C1429" i="6"/>
  <c r="D1430" i="6"/>
  <c r="C1430" i="6" s="1"/>
  <c r="I1451" i="5"/>
  <c r="J1451" i="5"/>
  <c r="K1451" i="5"/>
  <c r="D244" i="7" s="1"/>
  <c r="L1451" i="5"/>
  <c r="F244" i="7" s="1"/>
  <c r="M1451" i="5"/>
  <c r="N1451" i="5"/>
  <c r="O1451" i="5"/>
  <c r="P1451" i="5"/>
  <c r="Q1451" i="5"/>
  <c r="H1451" i="5"/>
  <c r="C244" i="7" s="1"/>
  <c r="J237" i="6"/>
  <c r="J228" i="6" s="1"/>
  <c r="K237" i="6"/>
  <c r="K228" i="6" s="1"/>
  <c r="L237" i="6"/>
  <c r="L228" i="6" s="1"/>
  <c r="M237" i="6"/>
  <c r="M228" i="6" s="1"/>
  <c r="N237" i="6"/>
  <c r="N228" i="6" s="1"/>
  <c r="O237" i="6"/>
  <c r="O228" i="6" s="1"/>
  <c r="P237" i="6"/>
  <c r="P228" i="6" s="1"/>
  <c r="Q237" i="6"/>
  <c r="Q228" i="6" s="1"/>
  <c r="R237" i="6"/>
  <c r="R228" i="6" s="1"/>
  <c r="S237" i="6"/>
  <c r="S228" i="6" s="1"/>
  <c r="T237" i="6"/>
  <c r="T228" i="6" s="1"/>
  <c r="U237" i="6"/>
  <c r="U228" i="6" s="1"/>
  <c r="V237" i="6"/>
  <c r="V228" i="6" s="1"/>
  <c r="X237" i="6"/>
  <c r="X228" i="6" s="1"/>
  <c r="Y237" i="6"/>
  <c r="Y228" i="6" s="1"/>
  <c r="G237" i="6" l="1"/>
  <c r="G228" i="6" s="1"/>
  <c r="I237" i="6"/>
  <c r="I228" i="6" s="1"/>
  <c r="U389" i="6"/>
  <c r="U388" i="6" s="1"/>
  <c r="D239" i="6"/>
  <c r="C239" i="6" s="1"/>
  <c r="D238" i="6"/>
  <c r="C238" i="6" s="1"/>
  <c r="E237" i="6"/>
  <c r="H237" i="6"/>
  <c r="H228" i="6" s="1"/>
  <c r="F237" i="6"/>
  <c r="F228" i="6" s="1"/>
  <c r="R246" i="5"/>
  <c r="R245" i="5"/>
  <c r="R452" i="5"/>
  <c r="R451" i="5"/>
  <c r="R450" i="5"/>
  <c r="R449" i="5"/>
  <c r="R448" i="5"/>
  <c r="R447" i="5"/>
  <c r="R446" i="5"/>
  <c r="R445" i="5"/>
  <c r="R444" i="5"/>
  <c r="R443" i="5"/>
  <c r="R442" i="5"/>
  <c r="R441" i="5"/>
  <c r="R440" i="5"/>
  <c r="R439" i="5"/>
  <c r="R438" i="5"/>
  <c r="R437" i="5"/>
  <c r="E228" i="6" l="1"/>
  <c r="T389" i="6"/>
  <c r="T388" i="6" s="1"/>
  <c r="D237" i="6"/>
  <c r="D228" i="6" s="1"/>
  <c r="C237" i="6"/>
  <c r="C228" i="6" s="1"/>
  <c r="C34" i="7"/>
  <c r="C30" i="7" s="1"/>
  <c r="F34" i="7"/>
  <c r="F30" i="7" s="1"/>
  <c r="D34" i="7"/>
  <c r="D30" i="7" s="1"/>
  <c r="I895" i="5"/>
  <c r="J895" i="5"/>
  <c r="K895" i="5"/>
  <c r="D207" i="7" s="1"/>
  <c r="L895" i="5"/>
  <c r="F207" i="7" s="1"/>
  <c r="M895" i="5"/>
  <c r="N895" i="5"/>
  <c r="O895" i="5"/>
  <c r="P895" i="5"/>
  <c r="Q895" i="5"/>
  <c r="H895" i="5"/>
  <c r="C207" i="7" s="1"/>
  <c r="D878" i="6"/>
  <c r="E878" i="6"/>
  <c r="F878" i="6"/>
  <c r="G878" i="6"/>
  <c r="H878" i="6"/>
  <c r="I878" i="6"/>
  <c r="J878" i="6"/>
  <c r="N878" i="6"/>
  <c r="O878" i="6"/>
  <c r="P878" i="6"/>
  <c r="Q878" i="6"/>
  <c r="R878" i="6"/>
  <c r="S878" i="6"/>
  <c r="T878" i="6"/>
  <c r="U878" i="6"/>
  <c r="V878" i="6"/>
  <c r="X878" i="6"/>
  <c r="Y878" i="6"/>
  <c r="Q1353" i="6"/>
  <c r="Q1364" i="6"/>
  <c r="Q1414" i="6"/>
  <c r="Q1424" i="6"/>
  <c r="Q1428" i="6"/>
  <c r="Q1435" i="6"/>
  <c r="Q1439" i="6"/>
  <c r="Q1438" i="6" s="1"/>
  <c r="Q1496" i="6"/>
  <c r="Q1470" i="6" s="1"/>
  <c r="Q1516" i="6"/>
  <c r="Q1523" i="6"/>
  <c r="Q1582" i="6"/>
  <c r="Q1581" i="6" s="1"/>
  <c r="Q1585" i="6"/>
  <c r="Q1584" i="6" s="1"/>
  <c r="Q766" i="6"/>
  <c r="Q773" i="6"/>
  <c r="Q791" i="6"/>
  <c r="Q798" i="6"/>
  <c r="Q797" i="6" s="1"/>
  <c r="Q802" i="6"/>
  <c r="Q832" i="6"/>
  <c r="Q831" i="6" s="1"/>
  <c r="Q838" i="6"/>
  <c r="Q848" i="6"/>
  <c r="Q870" i="6"/>
  <c r="Q869" i="6" s="1"/>
  <c r="Q877" i="6"/>
  <c r="Q875" i="6" s="1"/>
  <c r="Q874" i="6" s="1"/>
  <c r="Q880" i="6"/>
  <c r="Q883" i="6"/>
  <c r="Q585" i="6"/>
  <c r="Q582" i="6" s="1"/>
  <c r="Q591" i="6"/>
  <c r="Q641" i="6"/>
  <c r="Q637" i="6" s="1"/>
  <c r="Q688" i="6"/>
  <c r="Q175" i="6"/>
  <c r="Q254" i="6"/>
  <c r="Q293" i="6"/>
  <c r="Q282" i="6" s="1"/>
  <c r="Q315" i="6"/>
  <c r="Q385" i="6"/>
  <c r="Q384" i="6" s="1"/>
  <c r="Q422" i="6"/>
  <c r="K880" i="6"/>
  <c r="K701" i="6" s="1"/>
  <c r="L880" i="6"/>
  <c r="L701" i="6" s="1"/>
  <c r="Q443" i="6" l="1"/>
  <c r="Q701" i="6"/>
  <c r="Q1423" i="6"/>
  <c r="S389" i="6"/>
  <c r="S388" i="6" s="1"/>
  <c r="R389" i="6" l="1"/>
  <c r="R388" i="6" s="1"/>
  <c r="Q389" i="6" l="1"/>
  <c r="Q388" i="6" s="1"/>
  <c r="Q9" i="6" s="1"/>
  <c r="P389" i="6" l="1"/>
  <c r="D1585" i="6"/>
  <c r="D1584" i="6" s="1"/>
  <c r="E1585" i="6"/>
  <c r="E1584" i="6" s="1"/>
  <c r="F1585" i="6"/>
  <c r="F1584" i="6" s="1"/>
  <c r="G1585" i="6"/>
  <c r="G1584" i="6" s="1"/>
  <c r="H1585" i="6"/>
  <c r="H1584" i="6" s="1"/>
  <c r="I1585" i="6"/>
  <c r="I1584" i="6" s="1"/>
  <c r="J1585" i="6"/>
  <c r="J1584" i="6" s="1"/>
  <c r="M1585" i="6"/>
  <c r="M1584" i="6" s="1"/>
  <c r="N1585" i="6"/>
  <c r="N1584" i="6" s="1"/>
  <c r="O1585" i="6"/>
  <c r="O1584" i="6" s="1"/>
  <c r="P1585" i="6"/>
  <c r="R1585" i="6"/>
  <c r="R1584" i="6" s="1"/>
  <c r="S1585" i="6"/>
  <c r="S1584" i="6" s="1"/>
  <c r="T1585" i="6"/>
  <c r="U1585" i="6"/>
  <c r="U1584" i="6" s="1"/>
  <c r="V1585" i="6"/>
  <c r="V1584" i="6" s="1"/>
  <c r="X1585" i="6"/>
  <c r="X1584" i="6" s="1"/>
  <c r="Y1585" i="6"/>
  <c r="Y1584" i="6" s="1"/>
  <c r="C1585" i="6"/>
  <c r="C1584" i="6" s="1"/>
  <c r="D1582" i="6"/>
  <c r="D1581" i="6" s="1"/>
  <c r="E1582" i="6"/>
  <c r="E1581" i="6" s="1"/>
  <c r="F1582" i="6"/>
  <c r="F1581" i="6" s="1"/>
  <c r="G1582" i="6"/>
  <c r="G1581" i="6" s="1"/>
  <c r="H1582" i="6"/>
  <c r="H1581" i="6" s="1"/>
  <c r="I1582" i="6"/>
  <c r="I1581" i="6" s="1"/>
  <c r="J1582" i="6"/>
  <c r="J1581" i="6" s="1"/>
  <c r="M1582" i="6"/>
  <c r="M1581" i="6" s="1"/>
  <c r="N1582" i="6"/>
  <c r="N1581" i="6" s="1"/>
  <c r="O1582" i="6"/>
  <c r="O1581" i="6" s="1"/>
  <c r="P1582" i="6"/>
  <c r="R1582" i="6"/>
  <c r="R1581" i="6" s="1"/>
  <c r="S1582" i="6"/>
  <c r="S1581" i="6" s="1"/>
  <c r="T1582" i="6"/>
  <c r="T1581" i="6" s="1"/>
  <c r="U1582" i="6"/>
  <c r="U1581" i="6" s="1"/>
  <c r="V1582" i="6"/>
  <c r="V1581" i="6" s="1"/>
  <c r="X1582" i="6"/>
  <c r="X1581" i="6" s="1"/>
  <c r="Y1582" i="6"/>
  <c r="Y1581" i="6" s="1"/>
  <c r="D1544" i="6"/>
  <c r="E1544" i="6"/>
  <c r="F1544" i="6"/>
  <c r="G1544" i="6"/>
  <c r="H1544" i="6"/>
  <c r="I1544" i="6"/>
  <c r="J1544" i="6"/>
  <c r="M1544" i="6"/>
  <c r="N1544" i="6"/>
  <c r="O1544" i="6"/>
  <c r="P1544" i="6"/>
  <c r="Q1544" i="6"/>
  <c r="R1544" i="6"/>
  <c r="S1544" i="6"/>
  <c r="T1544" i="6"/>
  <c r="U1544" i="6"/>
  <c r="V1544" i="6"/>
  <c r="X1544" i="6"/>
  <c r="Y1544" i="6"/>
  <c r="C1544" i="6"/>
  <c r="D1523" i="6"/>
  <c r="F1523" i="6"/>
  <c r="G1523" i="6"/>
  <c r="H1523" i="6"/>
  <c r="I1523" i="6"/>
  <c r="J1523" i="6"/>
  <c r="M1523" i="6"/>
  <c r="N1523" i="6"/>
  <c r="O1523" i="6"/>
  <c r="R1523" i="6"/>
  <c r="S1523" i="6"/>
  <c r="T1523" i="6"/>
  <c r="U1523" i="6"/>
  <c r="V1523" i="6"/>
  <c r="X1523" i="6"/>
  <c r="Y1523" i="6"/>
  <c r="C1523" i="6"/>
  <c r="D1516" i="6"/>
  <c r="E1516" i="6"/>
  <c r="F1516" i="6"/>
  <c r="G1516" i="6"/>
  <c r="H1516" i="6"/>
  <c r="I1516" i="6"/>
  <c r="J1516" i="6"/>
  <c r="M1516" i="6"/>
  <c r="N1516" i="6"/>
  <c r="O1516" i="6"/>
  <c r="P1516" i="6"/>
  <c r="R1516" i="6"/>
  <c r="S1516" i="6"/>
  <c r="T1516" i="6"/>
  <c r="U1516" i="6"/>
  <c r="V1516" i="6"/>
  <c r="X1516" i="6"/>
  <c r="Y1516" i="6"/>
  <c r="C1516" i="6"/>
  <c r="D1496" i="6"/>
  <c r="D1470" i="6" s="1"/>
  <c r="E1496" i="6"/>
  <c r="F1496" i="6"/>
  <c r="F1470" i="6" s="1"/>
  <c r="G1496" i="6"/>
  <c r="G1470" i="6" s="1"/>
  <c r="H1496" i="6"/>
  <c r="H1470" i="6" s="1"/>
  <c r="I1496" i="6"/>
  <c r="I1470" i="6" s="1"/>
  <c r="J1496" i="6"/>
  <c r="J1470" i="6" s="1"/>
  <c r="M1496" i="6"/>
  <c r="M1470" i="6" s="1"/>
  <c r="N1496" i="6"/>
  <c r="N1470" i="6" s="1"/>
  <c r="O1496" i="6"/>
  <c r="O1470" i="6" s="1"/>
  <c r="P1496" i="6"/>
  <c r="R1496" i="6"/>
  <c r="R1470" i="6" s="1"/>
  <c r="S1496" i="6"/>
  <c r="S1470" i="6" s="1"/>
  <c r="T1496" i="6"/>
  <c r="U1496" i="6"/>
  <c r="U1470" i="6" s="1"/>
  <c r="V1496" i="6"/>
  <c r="V1470" i="6" s="1"/>
  <c r="X1496" i="6"/>
  <c r="X1470" i="6" s="1"/>
  <c r="Y1496" i="6"/>
  <c r="Y1470" i="6" s="1"/>
  <c r="D1439" i="6"/>
  <c r="D1438" i="6" s="1"/>
  <c r="E1439" i="6"/>
  <c r="F1439" i="6"/>
  <c r="F1438" i="6" s="1"/>
  <c r="G1439" i="6"/>
  <c r="G1438" i="6" s="1"/>
  <c r="H1439" i="6"/>
  <c r="H1438" i="6" s="1"/>
  <c r="I1439" i="6"/>
  <c r="I1438" i="6" s="1"/>
  <c r="J1439" i="6"/>
  <c r="J1438" i="6" s="1"/>
  <c r="M1439" i="6"/>
  <c r="M1438" i="6" s="1"/>
  <c r="N1439" i="6"/>
  <c r="N1438" i="6" s="1"/>
  <c r="O1439" i="6"/>
  <c r="O1438" i="6" s="1"/>
  <c r="P1439" i="6"/>
  <c r="R1439" i="6"/>
  <c r="R1438" i="6" s="1"/>
  <c r="S1439" i="6"/>
  <c r="S1438" i="6" s="1"/>
  <c r="T1439" i="6"/>
  <c r="T1438" i="6" s="1"/>
  <c r="U1439" i="6"/>
  <c r="U1438" i="6" s="1"/>
  <c r="V1439" i="6"/>
  <c r="V1438" i="6" s="1"/>
  <c r="X1439" i="6"/>
  <c r="X1438" i="6" s="1"/>
  <c r="Y1439" i="6"/>
  <c r="Y1438" i="6" s="1"/>
  <c r="C1439" i="6"/>
  <c r="C1438" i="6" s="1"/>
  <c r="D1435" i="6"/>
  <c r="E1435" i="6"/>
  <c r="F1435" i="6"/>
  <c r="G1435" i="6"/>
  <c r="H1435" i="6"/>
  <c r="I1435" i="6"/>
  <c r="J1435" i="6"/>
  <c r="M1435" i="6"/>
  <c r="N1435" i="6"/>
  <c r="O1435" i="6"/>
  <c r="P1435" i="6"/>
  <c r="R1435" i="6"/>
  <c r="S1435" i="6"/>
  <c r="T1435" i="6"/>
  <c r="U1435" i="6"/>
  <c r="V1435" i="6"/>
  <c r="X1435" i="6"/>
  <c r="Y1435" i="6"/>
  <c r="C1435" i="6"/>
  <c r="D1428" i="6"/>
  <c r="E1428" i="6"/>
  <c r="F1428" i="6"/>
  <c r="G1428" i="6"/>
  <c r="H1428" i="6"/>
  <c r="I1428" i="6"/>
  <c r="J1428" i="6"/>
  <c r="M1428" i="6"/>
  <c r="N1428" i="6"/>
  <c r="O1428" i="6"/>
  <c r="P1428" i="6"/>
  <c r="R1428" i="6"/>
  <c r="S1428" i="6"/>
  <c r="T1428" i="6"/>
  <c r="U1428" i="6"/>
  <c r="V1428" i="6"/>
  <c r="X1428" i="6"/>
  <c r="Y1428" i="6"/>
  <c r="C1428" i="6"/>
  <c r="D1424" i="6"/>
  <c r="E1424" i="6"/>
  <c r="F1424" i="6"/>
  <c r="G1424" i="6"/>
  <c r="H1424" i="6"/>
  <c r="I1424" i="6"/>
  <c r="J1424" i="6"/>
  <c r="M1424" i="6"/>
  <c r="N1424" i="6"/>
  <c r="O1424" i="6"/>
  <c r="P1424" i="6"/>
  <c r="R1424" i="6"/>
  <c r="S1424" i="6"/>
  <c r="T1424" i="6"/>
  <c r="U1424" i="6"/>
  <c r="V1424" i="6"/>
  <c r="X1424" i="6"/>
  <c r="Y1424" i="6"/>
  <c r="D1414" i="6"/>
  <c r="E1414" i="6"/>
  <c r="F1414" i="6"/>
  <c r="G1414" i="6"/>
  <c r="H1414" i="6"/>
  <c r="I1414" i="6"/>
  <c r="J1414" i="6"/>
  <c r="M1414" i="6"/>
  <c r="N1414" i="6"/>
  <c r="O1414" i="6"/>
  <c r="P1414" i="6"/>
  <c r="R1414" i="6"/>
  <c r="S1414" i="6"/>
  <c r="T1414" i="6"/>
  <c r="U1414" i="6"/>
  <c r="V1414" i="6"/>
  <c r="X1414" i="6"/>
  <c r="Y1414" i="6"/>
  <c r="C1414" i="6"/>
  <c r="C1582" i="6"/>
  <c r="C1581" i="6" s="1"/>
  <c r="C1424" i="6"/>
  <c r="D1370" i="6"/>
  <c r="E1370" i="6"/>
  <c r="F1370" i="6"/>
  <c r="G1370" i="6"/>
  <c r="H1370" i="6"/>
  <c r="I1370" i="6"/>
  <c r="J1370" i="6"/>
  <c r="M1370" i="6"/>
  <c r="N1370" i="6"/>
  <c r="O1370" i="6"/>
  <c r="P1370" i="6"/>
  <c r="Q1370" i="6"/>
  <c r="R1370" i="6"/>
  <c r="S1370" i="6"/>
  <c r="T1370" i="6"/>
  <c r="U1370" i="6"/>
  <c r="V1370" i="6"/>
  <c r="X1370" i="6"/>
  <c r="Y1370" i="6"/>
  <c r="D1364" i="6"/>
  <c r="E1364" i="6"/>
  <c r="F1364" i="6"/>
  <c r="G1364" i="6"/>
  <c r="H1364" i="6"/>
  <c r="I1364" i="6"/>
  <c r="J1364" i="6"/>
  <c r="M1364" i="6"/>
  <c r="N1364" i="6"/>
  <c r="O1364" i="6"/>
  <c r="P1364" i="6"/>
  <c r="R1364" i="6"/>
  <c r="S1364" i="6"/>
  <c r="T1364" i="6"/>
  <c r="U1364" i="6"/>
  <c r="V1364" i="6"/>
  <c r="X1364" i="6"/>
  <c r="Y1364" i="6"/>
  <c r="D1353" i="6"/>
  <c r="E1353" i="6"/>
  <c r="F1353" i="6"/>
  <c r="G1353" i="6"/>
  <c r="H1353" i="6"/>
  <c r="I1353" i="6"/>
  <c r="J1353" i="6"/>
  <c r="M1353" i="6"/>
  <c r="N1353" i="6"/>
  <c r="O1353" i="6"/>
  <c r="R1353" i="6"/>
  <c r="S1353" i="6"/>
  <c r="T1353" i="6"/>
  <c r="U1353" i="6"/>
  <c r="V1353" i="6"/>
  <c r="X1353" i="6"/>
  <c r="Y1353" i="6"/>
  <c r="P1353" i="6"/>
  <c r="Y1329" i="6"/>
  <c r="C1364" i="6"/>
  <c r="C1353" i="6"/>
  <c r="E1438" i="6" l="1"/>
  <c r="T1470" i="6"/>
  <c r="E1470" i="6"/>
  <c r="P1523" i="6"/>
  <c r="P1581" i="6"/>
  <c r="T1584" i="6"/>
  <c r="P388" i="6"/>
  <c r="P1438" i="6"/>
  <c r="P1470" i="6"/>
  <c r="E1523" i="6"/>
  <c r="P1584" i="6"/>
  <c r="X1423" i="6"/>
  <c r="X900" i="6" s="1"/>
  <c r="U1423" i="6"/>
  <c r="S1423" i="6"/>
  <c r="S900" i="6" s="1"/>
  <c r="P1423" i="6"/>
  <c r="N1423" i="6"/>
  <c r="J1423" i="6"/>
  <c r="J900" i="6" s="1"/>
  <c r="H1423" i="6"/>
  <c r="F1423" i="6"/>
  <c r="F900" i="6" s="1"/>
  <c r="D1423" i="6"/>
  <c r="C1423" i="6"/>
  <c r="Y1423" i="6"/>
  <c r="V1423" i="6"/>
  <c r="T1423" i="6"/>
  <c r="R1423" i="6"/>
  <c r="O1423" i="6"/>
  <c r="O900" i="6" s="1"/>
  <c r="M1423" i="6"/>
  <c r="I1423" i="6"/>
  <c r="G1423" i="6"/>
  <c r="E1423" i="6"/>
  <c r="D160" i="7"/>
  <c r="O389" i="6"/>
  <c r="O388" i="6" s="1"/>
  <c r="C160" i="7"/>
  <c r="Q900" i="6"/>
  <c r="P900" i="6" l="1"/>
  <c r="U900" i="6"/>
  <c r="Y900" i="6"/>
  <c r="T900" i="6"/>
  <c r="N900" i="6"/>
  <c r="H900" i="6"/>
  <c r="D900" i="6"/>
  <c r="M900" i="6"/>
  <c r="G900" i="6"/>
  <c r="V900" i="6"/>
  <c r="R900" i="6"/>
  <c r="I900" i="6"/>
  <c r="E900" i="6"/>
  <c r="N389" i="6"/>
  <c r="N388" i="6" s="1"/>
  <c r="C1370" i="6"/>
  <c r="M389" i="6" l="1"/>
  <c r="M388" i="6" s="1"/>
  <c r="R1635" i="5"/>
  <c r="P1635" i="5"/>
  <c r="P1633" i="5" s="1"/>
  <c r="P1630" i="5" s="1"/>
  <c r="O1635" i="5"/>
  <c r="O1633" i="5" s="1"/>
  <c r="O1630" i="5" s="1"/>
  <c r="R1613" i="5"/>
  <c r="O1613" i="5"/>
  <c r="R1610" i="5"/>
  <c r="O1610" i="5"/>
  <c r="R1609" i="5"/>
  <c r="P1609" i="5"/>
  <c r="P1608" i="5" s="1"/>
  <c r="O1609" i="5"/>
  <c r="Q1608" i="5"/>
  <c r="Q1607" i="5" s="1"/>
  <c r="P1607" i="5" s="1"/>
  <c r="N1608" i="5"/>
  <c r="N1607" i="5" s="1"/>
  <c r="M1608" i="5"/>
  <c r="M1607" i="5" s="1"/>
  <c r="L1608" i="5"/>
  <c r="K1608" i="5"/>
  <c r="J1608" i="5"/>
  <c r="J1607" i="5" s="1"/>
  <c r="I1608" i="5"/>
  <c r="H1608" i="5"/>
  <c r="R1606" i="5"/>
  <c r="P1606" i="5"/>
  <c r="Q1605" i="5"/>
  <c r="P1605" i="5" s="1"/>
  <c r="O1605" i="5"/>
  <c r="N1605" i="5"/>
  <c r="M1605" i="5"/>
  <c r="L1605" i="5"/>
  <c r="F282" i="7" s="1"/>
  <c r="F281" i="7" s="1"/>
  <c r="K1605" i="5"/>
  <c r="D282" i="7" s="1"/>
  <c r="D281" i="7" s="1"/>
  <c r="J1605" i="5"/>
  <c r="I1605" i="5"/>
  <c r="H1605" i="5"/>
  <c r="C282" i="7" s="1"/>
  <c r="C281" i="7" s="1"/>
  <c r="Q1604" i="5"/>
  <c r="P1604" i="5" s="1"/>
  <c r="O1604" i="5"/>
  <c r="N1604" i="5"/>
  <c r="M1604" i="5"/>
  <c r="L1604" i="5"/>
  <c r="K1604" i="5"/>
  <c r="J1604" i="5"/>
  <c r="I1604" i="5"/>
  <c r="H1604" i="5"/>
  <c r="R1603" i="5"/>
  <c r="R1601" i="5"/>
  <c r="O1601" i="5"/>
  <c r="R1600" i="5"/>
  <c r="O1600" i="5"/>
  <c r="O1596" i="5" s="1"/>
  <c r="P1599" i="5"/>
  <c r="L1599" i="5"/>
  <c r="R1599" i="5" s="1"/>
  <c r="P1598" i="5"/>
  <c r="L1598" i="5"/>
  <c r="R1598" i="5" s="1"/>
  <c r="P1597" i="5"/>
  <c r="P1596" i="5" s="1"/>
  <c r="L1597" i="5"/>
  <c r="R1594" i="5"/>
  <c r="O1594" i="5"/>
  <c r="O1593" i="5" s="1"/>
  <c r="R1580" i="5"/>
  <c r="P1580" i="5"/>
  <c r="O1580" i="5"/>
  <c r="R1579" i="5"/>
  <c r="P1579" i="5"/>
  <c r="O1579" i="5"/>
  <c r="F274" i="7"/>
  <c r="D274" i="7"/>
  <c r="C274" i="7"/>
  <c r="R1573" i="5"/>
  <c r="L1572" i="5"/>
  <c r="L1571" i="5" s="1"/>
  <c r="R1569" i="5"/>
  <c r="P1569" i="5"/>
  <c r="P1568" i="5" s="1"/>
  <c r="O1569" i="5"/>
  <c r="O1568" i="5" s="1"/>
  <c r="Q1567" i="5"/>
  <c r="P1567" i="5" s="1"/>
  <c r="N1567" i="5"/>
  <c r="L1567" i="5"/>
  <c r="K1567" i="5"/>
  <c r="J1567" i="5"/>
  <c r="I1567" i="5"/>
  <c r="H1567" i="5"/>
  <c r="M1567" i="5"/>
  <c r="R1563" i="5"/>
  <c r="R1562" i="5"/>
  <c r="R1561" i="5"/>
  <c r="L1560" i="5"/>
  <c r="R1555" i="5"/>
  <c r="R1554" i="5"/>
  <c r="R1553" i="5"/>
  <c r="R1552" i="5"/>
  <c r="P1551" i="5"/>
  <c r="L1551" i="5"/>
  <c r="P1550" i="5"/>
  <c r="P1549" i="5"/>
  <c r="R1549" i="5"/>
  <c r="R1546" i="5"/>
  <c r="R1542" i="5"/>
  <c r="R1541" i="5"/>
  <c r="R1545" i="5"/>
  <c r="R1544" i="5"/>
  <c r="P1544" i="5"/>
  <c r="O1544" i="5"/>
  <c r="O1540" i="5" s="1"/>
  <c r="O1539" i="5" s="1"/>
  <c r="R1543" i="5"/>
  <c r="P1543" i="5"/>
  <c r="R1539" i="5"/>
  <c r="Q1539" i="5"/>
  <c r="P1539" i="5" s="1"/>
  <c r="N1539" i="5"/>
  <c r="M1539" i="5"/>
  <c r="L1539" i="5"/>
  <c r="K1539" i="5"/>
  <c r="J1539" i="5"/>
  <c r="I1539" i="5"/>
  <c r="H1539" i="5"/>
  <c r="P1538" i="5"/>
  <c r="R1538" i="5"/>
  <c r="P1537" i="5"/>
  <c r="P1536" i="5" s="1"/>
  <c r="R1537" i="5"/>
  <c r="R1522" i="5"/>
  <c r="R1521" i="5"/>
  <c r="O1521" i="5"/>
  <c r="R1520" i="5"/>
  <c r="O1520" i="5"/>
  <c r="O1519" i="5" s="1"/>
  <c r="R1525" i="5"/>
  <c r="R1517" i="5"/>
  <c r="R1516" i="5"/>
  <c r="R1513" i="5"/>
  <c r="O1513" i="5"/>
  <c r="O1511" i="5" s="1"/>
  <c r="R1512" i="5"/>
  <c r="P1512" i="5"/>
  <c r="P1511" i="5" s="1"/>
  <c r="P1493" i="5" s="1"/>
  <c r="R1460" i="5"/>
  <c r="R1459" i="5"/>
  <c r="Q1458" i="5"/>
  <c r="P1458" i="5"/>
  <c r="O1458" i="5"/>
  <c r="N1458" i="5"/>
  <c r="M1458" i="5"/>
  <c r="L1458" i="5"/>
  <c r="F247" i="7" s="1"/>
  <c r="K1458" i="5"/>
  <c r="D247" i="7" s="1"/>
  <c r="J1458" i="5"/>
  <c r="I1458" i="5"/>
  <c r="H1458" i="5"/>
  <c r="C247" i="7" s="1"/>
  <c r="R1453" i="5"/>
  <c r="R1452" i="5"/>
  <c r="R1448" i="5"/>
  <c r="O1448" i="5"/>
  <c r="O1447" i="5" s="1"/>
  <c r="Q1447" i="5"/>
  <c r="Q1446" i="5" s="1"/>
  <c r="P1447" i="5"/>
  <c r="P1446" i="5" s="1"/>
  <c r="N1447" i="5"/>
  <c r="M1447" i="5"/>
  <c r="L1447" i="5"/>
  <c r="K1447" i="5"/>
  <c r="J1447" i="5"/>
  <c r="I1447" i="5"/>
  <c r="H1447" i="5"/>
  <c r="O1437" i="5"/>
  <c r="P1437" i="5"/>
  <c r="Q1437" i="5"/>
  <c r="N1437" i="5"/>
  <c r="M1437" i="5"/>
  <c r="J1437" i="5"/>
  <c r="I1437" i="5"/>
  <c r="R1419" i="5"/>
  <c r="P1421" i="5"/>
  <c r="R1421" i="5"/>
  <c r="P1420" i="5"/>
  <c r="P1415" i="5" s="1"/>
  <c r="R1420" i="5"/>
  <c r="R1396" i="5"/>
  <c r="R1395" i="5"/>
  <c r="O1395" i="5"/>
  <c r="R1404" i="5"/>
  <c r="R1401" i="5"/>
  <c r="R1390" i="5"/>
  <c r="P1389" i="5"/>
  <c r="P1388" i="5" s="1"/>
  <c r="R1389" i="5"/>
  <c r="Q1387" i="5"/>
  <c r="P1387" i="5" s="1"/>
  <c r="O1387" i="5"/>
  <c r="N1387" i="5"/>
  <c r="M1387" i="5"/>
  <c r="J1387" i="5"/>
  <c r="I1387" i="5"/>
  <c r="H1387" i="5"/>
  <c r="K1387" i="5"/>
  <c r="Q1376" i="5"/>
  <c r="P1376" i="5" s="1"/>
  <c r="N1376" i="5"/>
  <c r="M1376" i="5"/>
  <c r="K1376" i="5"/>
  <c r="I1376" i="5"/>
  <c r="H1376" i="5"/>
  <c r="R1368" i="5"/>
  <c r="O1368" i="5"/>
  <c r="R1367" i="5"/>
  <c r="O1367" i="5"/>
  <c r="R1366" i="5"/>
  <c r="O1366" i="5"/>
  <c r="R1370" i="5"/>
  <c r="O1370" i="5"/>
  <c r="R1374" i="5"/>
  <c r="O1374" i="5"/>
  <c r="P1372" i="5"/>
  <c r="R1372" i="5"/>
  <c r="P1373" i="5"/>
  <c r="R1373" i="5"/>
  <c r="P1371" i="5"/>
  <c r="P1365" i="5" s="1"/>
  <c r="R1371" i="5"/>
  <c r="R1354" i="5"/>
  <c r="R1353" i="5"/>
  <c r="R1330" i="5"/>
  <c r="O1330" i="5"/>
  <c r="R1329" i="5"/>
  <c r="O1329" i="5"/>
  <c r="O1327" i="5" s="1"/>
  <c r="P1328" i="5"/>
  <c r="P1327" i="5" s="1"/>
  <c r="L1328" i="5"/>
  <c r="L1327" i="5" s="1"/>
  <c r="R1597" i="5" l="1"/>
  <c r="L1596" i="5"/>
  <c r="F280" i="7" s="1"/>
  <c r="O1365" i="5"/>
  <c r="P1547" i="5"/>
  <c r="P1546" i="5" s="1"/>
  <c r="R1551" i="5"/>
  <c r="L1547" i="5"/>
  <c r="I1607" i="5"/>
  <c r="I1446" i="5"/>
  <c r="K1446" i="5"/>
  <c r="M1446" i="5"/>
  <c r="M923" i="5" s="1"/>
  <c r="H1446" i="5"/>
  <c r="J1446" i="5"/>
  <c r="L1446" i="5"/>
  <c r="N1446" i="5"/>
  <c r="N923" i="5" s="1"/>
  <c r="O1578" i="5"/>
  <c r="O1446" i="5"/>
  <c r="O1493" i="5"/>
  <c r="D239" i="7"/>
  <c r="D238" i="7" s="1"/>
  <c r="K1437" i="5"/>
  <c r="C239" i="7"/>
  <c r="C238" i="7" s="1"/>
  <c r="H1437" i="5"/>
  <c r="P1578" i="5"/>
  <c r="F223" i="7"/>
  <c r="R1572" i="5"/>
  <c r="F273" i="7"/>
  <c r="C242" i="7"/>
  <c r="C241" i="7" s="1"/>
  <c r="F242" i="7"/>
  <c r="F241" i="7" s="1"/>
  <c r="D242" i="7"/>
  <c r="D241" i="7" s="1"/>
  <c r="D260" i="7"/>
  <c r="D256" i="7" s="1"/>
  <c r="C260" i="7"/>
  <c r="C256" i="7" s="1"/>
  <c r="F260" i="7"/>
  <c r="F256" i="7" s="1"/>
  <c r="P1540" i="5"/>
  <c r="R1328" i="5"/>
  <c r="R1560" i="5"/>
  <c r="L1559" i="5"/>
  <c r="F269" i="7" s="1"/>
  <c r="K1607" i="5"/>
  <c r="D284" i="7"/>
  <c r="D283" i="7" s="1"/>
  <c r="H1607" i="5"/>
  <c r="C284" i="7"/>
  <c r="C283" i="7" s="1"/>
  <c r="L1607" i="5"/>
  <c r="F284" i="7"/>
  <c r="F283" i="7" s="1"/>
  <c r="R1550" i="5"/>
  <c r="L389" i="6"/>
  <c r="F219" i="7"/>
  <c r="O1567" i="5"/>
  <c r="L1387" i="5"/>
  <c r="O1608" i="5"/>
  <c r="O1607" i="5" s="1"/>
  <c r="J1376" i="5"/>
  <c r="O1376" i="5"/>
  <c r="L1376" i="5" s="1"/>
  <c r="E120" i="7"/>
  <c r="E97" i="7" s="1"/>
  <c r="E89" i="7"/>
  <c r="O649" i="5"/>
  <c r="I649" i="5"/>
  <c r="J649" i="5"/>
  <c r="K649" i="5"/>
  <c r="M649" i="5"/>
  <c r="N649" i="5"/>
  <c r="P649" i="5"/>
  <c r="Q649" i="5"/>
  <c r="H649" i="5"/>
  <c r="P603" i="5"/>
  <c r="I597" i="5"/>
  <c r="I594" i="5" s="1"/>
  <c r="J597" i="5"/>
  <c r="J594" i="5" s="1"/>
  <c r="K597" i="5"/>
  <c r="K594" i="5" s="1"/>
  <c r="L597" i="5"/>
  <c r="L594" i="5" s="1"/>
  <c r="M597" i="5"/>
  <c r="M594" i="5" s="1"/>
  <c r="N597" i="5"/>
  <c r="N594" i="5" s="1"/>
  <c r="P597" i="5"/>
  <c r="P594" i="5" s="1"/>
  <c r="Q597" i="5"/>
  <c r="Q594" i="5" s="1"/>
  <c r="H597" i="5"/>
  <c r="H594" i="5" s="1"/>
  <c r="D218" i="7" l="1"/>
  <c r="I923" i="5"/>
  <c r="H923" i="5"/>
  <c r="H921" i="5" s="1"/>
  <c r="K923" i="5"/>
  <c r="K921" i="5" s="1"/>
  <c r="C218" i="7"/>
  <c r="J923" i="5"/>
  <c r="J921" i="5" s="1"/>
  <c r="L1546" i="5"/>
  <c r="F239" i="7"/>
  <c r="F238" i="7" s="1"/>
  <c r="L1437" i="5"/>
  <c r="F268" i="7"/>
  <c r="F267" i="7" s="1"/>
  <c r="N921" i="5"/>
  <c r="M921" i="5"/>
  <c r="L388" i="6"/>
  <c r="L9" i="6" s="1"/>
  <c r="F117" i="7"/>
  <c r="F115" i="7" s="1"/>
  <c r="C117" i="7"/>
  <c r="C115" i="7" s="1"/>
  <c r="D117" i="7"/>
  <c r="D115" i="7" s="1"/>
  <c r="K389" i="6"/>
  <c r="C137" i="7"/>
  <c r="C135" i="7" s="1"/>
  <c r="D137" i="7"/>
  <c r="D135" i="7" s="1"/>
  <c r="L649" i="5"/>
  <c r="X175" i="6"/>
  <c r="V175" i="6"/>
  <c r="U175" i="6"/>
  <c r="T175" i="6"/>
  <c r="S175" i="6"/>
  <c r="R175" i="6"/>
  <c r="P175" i="6"/>
  <c r="O175" i="6"/>
  <c r="N175" i="6"/>
  <c r="M175" i="6"/>
  <c r="J175" i="6"/>
  <c r="I175" i="6"/>
  <c r="H175" i="6"/>
  <c r="G175" i="6"/>
  <c r="F175" i="6"/>
  <c r="E175" i="6"/>
  <c r="I921" i="5" l="1"/>
  <c r="F218" i="7"/>
  <c r="L923" i="5"/>
  <c r="K388" i="6"/>
  <c r="K9" i="6" s="1"/>
  <c r="J389" i="6"/>
  <c r="J388" i="6" s="1"/>
  <c r="C175" i="6"/>
  <c r="I389" i="6" l="1"/>
  <c r="I388" i="6" s="1"/>
  <c r="D175" i="6"/>
  <c r="H389" i="6" l="1"/>
  <c r="H388" i="6" s="1"/>
  <c r="Q923" i="5"/>
  <c r="I300" i="5"/>
  <c r="I289" i="5" s="1"/>
  <c r="J300" i="5"/>
  <c r="J289" i="5" s="1"/>
  <c r="K300" i="5"/>
  <c r="K289" i="5" s="1"/>
  <c r="L300" i="5"/>
  <c r="L289" i="5" s="1"/>
  <c r="M300" i="5"/>
  <c r="M289" i="5" s="1"/>
  <c r="N300" i="5"/>
  <c r="N289" i="5" s="1"/>
  <c r="O300" i="5"/>
  <c r="O289" i="5" s="1"/>
  <c r="Q300" i="5"/>
  <c r="Q289" i="5" s="1"/>
  <c r="I412" i="5"/>
  <c r="J412" i="5"/>
  <c r="M412" i="5"/>
  <c r="N412" i="5"/>
  <c r="O412" i="5"/>
  <c r="Q412" i="5"/>
  <c r="H300" i="5"/>
  <c r="H289" i="5" s="1"/>
  <c r="J641" i="6"/>
  <c r="J637" i="6" s="1"/>
  <c r="M641" i="6"/>
  <c r="M637" i="6" s="1"/>
  <c r="N641" i="6"/>
  <c r="N637" i="6" s="1"/>
  <c r="O641" i="6"/>
  <c r="O637" i="6" s="1"/>
  <c r="R641" i="6"/>
  <c r="R637" i="6" s="1"/>
  <c r="S641" i="6"/>
  <c r="S637" i="6" s="1"/>
  <c r="U641" i="6"/>
  <c r="U637" i="6" s="1"/>
  <c r="V641" i="6"/>
  <c r="V637" i="6" s="1"/>
  <c r="X641" i="6"/>
  <c r="X637" i="6" s="1"/>
  <c r="Y641" i="6"/>
  <c r="Y637" i="6" s="1"/>
  <c r="M591" i="6"/>
  <c r="N591" i="6"/>
  <c r="O591" i="6"/>
  <c r="R591" i="6"/>
  <c r="S591" i="6"/>
  <c r="T591" i="6"/>
  <c r="U591" i="6"/>
  <c r="V591" i="6"/>
  <c r="X591" i="6"/>
  <c r="Y591" i="6"/>
  <c r="M585" i="6"/>
  <c r="M582" i="6" s="1"/>
  <c r="N585" i="6"/>
  <c r="N582" i="6" s="1"/>
  <c r="O585" i="6"/>
  <c r="O582" i="6" s="1"/>
  <c r="R585" i="6"/>
  <c r="R582" i="6" s="1"/>
  <c r="S585" i="6"/>
  <c r="S582" i="6" s="1"/>
  <c r="T585" i="6"/>
  <c r="T582" i="6" s="1"/>
  <c r="U585" i="6"/>
  <c r="U582" i="6" s="1"/>
  <c r="V585" i="6"/>
  <c r="V582" i="6" s="1"/>
  <c r="X585" i="6"/>
  <c r="Y585" i="6"/>
  <c r="Y443" i="6" l="1"/>
  <c r="Y582" i="6"/>
  <c r="X443" i="6"/>
  <c r="X582" i="6"/>
  <c r="C50" i="7"/>
  <c r="C47" i="7" s="1"/>
  <c r="D50" i="7"/>
  <c r="D47" i="7" s="1"/>
  <c r="G389" i="6"/>
  <c r="G388" i="6" s="1"/>
  <c r="P923" i="5"/>
  <c r="Q921" i="5"/>
  <c r="L412" i="5"/>
  <c r="F90" i="7"/>
  <c r="F89" i="7" s="1"/>
  <c r="H412" i="5"/>
  <c r="C90" i="7"/>
  <c r="C89" i="7" s="1"/>
  <c r="K412" i="5"/>
  <c r="D90" i="7"/>
  <c r="D89" i="7" s="1"/>
  <c r="P921" i="5" l="1"/>
  <c r="F389" i="6"/>
  <c r="F388" i="6" s="1"/>
  <c r="O422" i="6"/>
  <c r="S422" i="6"/>
  <c r="U422" i="6"/>
  <c r="X422" i="6"/>
  <c r="Y422" i="6"/>
  <c r="M293" i="6"/>
  <c r="M282" i="6" s="1"/>
  <c r="O293" i="6"/>
  <c r="O282" i="6" s="1"/>
  <c r="S293" i="6"/>
  <c r="S282" i="6" s="1"/>
  <c r="U293" i="6"/>
  <c r="X293" i="6"/>
  <c r="X282" i="6" s="1"/>
  <c r="Y293" i="6"/>
  <c r="Y288" i="6" s="1"/>
  <c r="Y287" i="6" s="1"/>
  <c r="Y286" i="6" s="1"/>
  <c r="Y285" i="6" s="1"/>
  <c r="Y284" i="6" s="1"/>
  <c r="Y283" i="6" s="1"/>
  <c r="Y282" i="6" s="1"/>
  <c r="Y9" i="6" l="1"/>
  <c r="E389" i="6"/>
  <c r="E388" i="6" l="1"/>
  <c r="D389" i="6"/>
  <c r="D388" i="6" s="1"/>
  <c r="C390" i="6"/>
  <c r="C389" i="6" s="1"/>
  <c r="C388" i="6" s="1"/>
  <c r="T355" i="6" l="1"/>
  <c r="R355" i="6"/>
  <c r="N355" i="6"/>
  <c r="T354" i="6"/>
  <c r="R354" i="6"/>
  <c r="N354" i="6"/>
  <c r="T353" i="6"/>
  <c r="R353" i="6"/>
  <c r="N353" i="6"/>
  <c r="T333" i="6"/>
  <c r="T330" i="6" s="1"/>
  <c r="R333" i="6"/>
  <c r="R330" i="6" s="1"/>
  <c r="N333" i="6"/>
  <c r="N330" i="6" s="1"/>
  <c r="T294" i="6"/>
  <c r="T293" i="6" s="1"/>
  <c r="R294" i="6"/>
  <c r="R293" i="6" s="1"/>
  <c r="R282" i="6" s="1"/>
  <c r="P293" i="6"/>
  <c r="P282" i="6" s="1"/>
  <c r="N294" i="6"/>
  <c r="N293" i="6" s="1"/>
  <c r="N282" i="6" s="1"/>
  <c r="J355" i="6"/>
  <c r="I355" i="6"/>
  <c r="H355" i="6"/>
  <c r="G355" i="6"/>
  <c r="F355" i="6"/>
  <c r="J354" i="6"/>
  <c r="I354" i="6"/>
  <c r="H354" i="6"/>
  <c r="G354" i="6"/>
  <c r="F354" i="6"/>
  <c r="E354" i="6"/>
  <c r="J353" i="6"/>
  <c r="I353" i="6"/>
  <c r="H353" i="6"/>
  <c r="G353" i="6"/>
  <c r="F353" i="6"/>
  <c r="E353" i="6"/>
  <c r="J333" i="6"/>
  <c r="J330" i="6" s="1"/>
  <c r="I333" i="6"/>
  <c r="I330" i="6" s="1"/>
  <c r="G333" i="6"/>
  <c r="G330" i="6" s="1"/>
  <c r="F333" i="6"/>
  <c r="F330" i="6" s="1"/>
  <c r="E333" i="6"/>
  <c r="J294" i="6"/>
  <c r="J293" i="6" s="1"/>
  <c r="J282" i="6" s="1"/>
  <c r="I294" i="6"/>
  <c r="I293" i="6" s="1"/>
  <c r="I282" i="6" s="1"/>
  <c r="H294" i="6"/>
  <c r="H293" i="6" s="1"/>
  <c r="H282" i="6" s="1"/>
  <c r="G294" i="6"/>
  <c r="G293" i="6" s="1"/>
  <c r="G282" i="6" s="1"/>
  <c r="F294" i="6"/>
  <c r="F293" i="6" s="1"/>
  <c r="F282" i="6" s="1"/>
  <c r="E294" i="6"/>
  <c r="J261" i="6"/>
  <c r="I261" i="6"/>
  <c r="H261" i="6"/>
  <c r="G261" i="6"/>
  <c r="F261" i="6"/>
  <c r="E261" i="6"/>
  <c r="J260" i="6"/>
  <c r="I260" i="6"/>
  <c r="H260" i="6"/>
  <c r="G260" i="6"/>
  <c r="F260" i="6"/>
  <c r="E260" i="6"/>
  <c r="J259" i="6"/>
  <c r="I259" i="6"/>
  <c r="H259" i="6"/>
  <c r="G259" i="6"/>
  <c r="F259" i="6"/>
  <c r="E259" i="6"/>
  <c r="J258" i="6"/>
  <c r="I258" i="6"/>
  <c r="H258" i="6"/>
  <c r="G258" i="6"/>
  <c r="F258" i="6"/>
  <c r="E258" i="6"/>
  <c r="J257" i="6"/>
  <c r="I257" i="6"/>
  <c r="H257" i="6"/>
  <c r="G257" i="6"/>
  <c r="F257" i="6"/>
  <c r="E257" i="6"/>
  <c r="J256" i="6"/>
  <c r="J255" i="6" s="1"/>
  <c r="I256" i="6"/>
  <c r="H256" i="6"/>
  <c r="H255" i="6" s="1"/>
  <c r="G256" i="6"/>
  <c r="G255" i="6" s="1"/>
  <c r="F256" i="6"/>
  <c r="F255" i="6" s="1"/>
  <c r="E256" i="6"/>
  <c r="N261" i="6"/>
  <c r="N260" i="6"/>
  <c r="N259" i="6"/>
  <c r="N258" i="6"/>
  <c r="N257" i="6"/>
  <c r="N256" i="6"/>
  <c r="V355" i="6"/>
  <c r="V354" i="6"/>
  <c r="V353" i="6"/>
  <c r="V333" i="6"/>
  <c r="V330" i="6" s="1"/>
  <c r="V294" i="6"/>
  <c r="V293" i="6" s="1"/>
  <c r="T282" i="6" l="1"/>
  <c r="E255" i="6"/>
  <c r="E293" i="6"/>
  <c r="E282" i="6" s="1"/>
  <c r="E330" i="6"/>
  <c r="V352" i="6"/>
  <c r="F352" i="6"/>
  <c r="H352" i="6"/>
  <c r="J352" i="6"/>
  <c r="R352" i="6"/>
  <c r="G352" i="6"/>
  <c r="I352" i="6"/>
  <c r="N352" i="6"/>
  <c r="T352" i="6"/>
  <c r="D354" i="6"/>
  <c r="C354" i="6" s="1"/>
  <c r="D353" i="6"/>
  <c r="E352" i="6"/>
  <c r="D355" i="6"/>
  <c r="C355" i="6" s="1"/>
  <c r="I255" i="6"/>
  <c r="I254" i="6" s="1"/>
  <c r="N255" i="6"/>
  <c r="N254" i="6" s="1"/>
  <c r="R254" i="6"/>
  <c r="V254" i="6"/>
  <c r="P254" i="6"/>
  <c r="T254" i="6"/>
  <c r="D333" i="6"/>
  <c r="D330" i="6" s="1"/>
  <c r="V315" i="6"/>
  <c r="V288" i="6" s="1"/>
  <c r="C288" i="6" s="1"/>
  <c r="U315" i="6"/>
  <c r="U288" i="6" s="1"/>
  <c r="U287" i="6" s="1"/>
  <c r="U286" i="6" s="1"/>
  <c r="U285" i="6" s="1"/>
  <c r="U284" i="6" s="1"/>
  <c r="T315" i="6"/>
  <c r="S315" i="6"/>
  <c r="R315" i="6"/>
  <c r="P315" i="6"/>
  <c r="O315" i="6"/>
  <c r="N315" i="6"/>
  <c r="M315" i="6"/>
  <c r="J315" i="6"/>
  <c r="I315" i="6"/>
  <c r="H315" i="6"/>
  <c r="G315" i="6"/>
  <c r="F315" i="6"/>
  <c r="E315" i="6"/>
  <c r="D294" i="6"/>
  <c r="D293" i="6" s="1"/>
  <c r="D282" i="6" s="1"/>
  <c r="D261" i="6"/>
  <c r="D260" i="6"/>
  <c r="C260" i="6" s="1"/>
  <c r="D259" i="6"/>
  <c r="D258" i="6"/>
  <c r="C258" i="6" s="1"/>
  <c r="D257" i="6"/>
  <c r="G254" i="6"/>
  <c r="D256" i="6"/>
  <c r="S254" i="6"/>
  <c r="O254" i="6"/>
  <c r="M254" i="6"/>
  <c r="J254" i="6"/>
  <c r="H254" i="6"/>
  <c r="F254" i="6"/>
  <c r="U254" i="6"/>
  <c r="C353" i="6" l="1"/>
  <c r="C352" i="6" s="1"/>
  <c r="D352" i="6"/>
  <c r="U283" i="6"/>
  <c r="U282" i="6" s="1"/>
  <c r="V287" i="6"/>
  <c r="C287" i="6" s="1"/>
  <c r="D255" i="6"/>
  <c r="D254" i="6" s="1"/>
  <c r="C256" i="6"/>
  <c r="E254" i="6"/>
  <c r="C259" i="6"/>
  <c r="C261" i="6"/>
  <c r="D315" i="6"/>
  <c r="C333" i="6"/>
  <c r="C257" i="6"/>
  <c r="C294" i="6"/>
  <c r="C293" i="6" s="1"/>
  <c r="V286" i="6" l="1"/>
  <c r="C286" i="6" s="1"/>
  <c r="C255" i="6"/>
  <c r="C254" i="6" s="1"/>
  <c r="C330" i="6"/>
  <c r="C315" i="6" s="1"/>
  <c r="V285" i="6" l="1"/>
  <c r="C285" i="6" s="1"/>
  <c r="D180" i="7"/>
  <c r="C180" i="7"/>
  <c r="D122" i="7"/>
  <c r="C122" i="7"/>
  <c r="V284" i="6" l="1"/>
  <c r="Y838" i="6"/>
  <c r="X838" i="6"/>
  <c r="V838" i="6"/>
  <c r="U838" i="6"/>
  <c r="T838" i="6"/>
  <c r="S838" i="6"/>
  <c r="R838" i="6"/>
  <c r="P838" i="6"/>
  <c r="O838" i="6"/>
  <c r="N838" i="6"/>
  <c r="R862" i="5"/>
  <c r="R860" i="5"/>
  <c r="O860" i="5"/>
  <c r="O858" i="5" s="1"/>
  <c r="R857" i="5"/>
  <c r="Q856" i="5"/>
  <c r="Q855" i="5" s="1"/>
  <c r="P856" i="5"/>
  <c r="P855" i="5" s="1"/>
  <c r="N856" i="5"/>
  <c r="N855" i="5" s="1"/>
  <c r="M856" i="5"/>
  <c r="M855" i="5" s="1"/>
  <c r="L856" i="5"/>
  <c r="K856" i="5"/>
  <c r="J856" i="5"/>
  <c r="J855" i="5" s="1"/>
  <c r="I856" i="5"/>
  <c r="H856" i="5"/>
  <c r="T855" i="5"/>
  <c r="S855" i="5"/>
  <c r="R855" i="5"/>
  <c r="R362" i="5"/>
  <c r="R361" i="5"/>
  <c r="R360" i="5"/>
  <c r="R338" i="5"/>
  <c r="P338" i="5"/>
  <c r="P337" i="5" s="1"/>
  <c r="O338" i="5"/>
  <c r="O337" i="5" s="1"/>
  <c r="O322" i="5" s="1"/>
  <c r="Q322" i="5"/>
  <c r="N322" i="5"/>
  <c r="M322" i="5"/>
  <c r="L322" i="5"/>
  <c r="K322" i="5"/>
  <c r="J322" i="5"/>
  <c r="I322" i="5"/>
  <c r="H322" i="5"/>
  <c r="I855" i="5" l="1"/>
  <c r="V283" i="6"/>
  <c r="C284" i="6"/>
  <c r="C283" i="6" s="1"/>
  <c r="C282" i="6" s="1"/>
  <c r="C193" i="7"/>
  <c r="C192" i="7" s="1"/>
  <c r="H855" i="5"/>
  <c r="F193" i="7"/>
  <c r="F192" i="7" s="1"/>
  <c r="L855" i="5"/>
  <c r="D193" i="7"/>
  <c r="D192" i="7" s="1"/>
  <c r="K855" i="5"/>
  <c r="C60" i="7"/>
  <c r="C58" i="7" s="1"/>
  <c r="P322" i="5"/>
  <c r="D60" i="7"/>
  <c r="D58" i="7" s="1"/>
  <c r="O856" i="5"/>
  <c r="O855" i="5" s="1"/>
  <c r="F60" i="7" l="1"/>
  <c r="F58" i="7" s="1"/>
  <c r="D199" i="7" l="1"/>
  <c r="C199" i="7"/>
  <c r="D69" i="7"/>
  <c r="C69" i="7"/>
  <c r="C790" i="6" l="1"/>
  <c r="R807" i="5"/>
  <c r="E848" i="6" l="1"/>
  <c r="F848" i="6"/>
  <c r="G848" i="6"/>
  <c r="H848" i="6"/>
  <c r="I848" i="6"/>
  <c r="J848" i="6"/>
  <c r="N848" i="6"/>
  <c r="P848" i="6"/>
  <c r="R848" i="6"/>
  <c r="S848" i="6"/>
  <c r="T848" i="6"/>
  <c r="U848" i="6"/>
  <c r="V848" i="6"/>
  <c r="Y848" i="6"/>
  <c r="D197" i="7"/>
  <c r="E197" i="7"/>
  <c r="F197" i="7"/>
  <c r="D848" i="6" l="1"/>
  <c r="D190" i="7" l="1"/>
  <c r="E190" i="7"/>
  <c r="F190" i="7"/>
  <c r="D832" i="6"/>
  <c r="D831" i="6" s="1"/>
  <c r="E832" i="6"/>
  <c r="F832" i="6"/>
  <c r="F831" i="6" s="1"/>
  <c r="G832" i="6"/>
  <c r="G831" i="6" s="1"/>
  <c r="H832" i="6"/>
  <c r="H831" i="6" s="1"/>
  <c r="I832" i="6"/>
  <c r="I831" i="6" s="1"/>
  <c r="J832" i="6"/>
  <c r="J831" i="6" s="1"/>
  <c r="N832" i="6"/>
  <c r="N831" i="6" s="1"/>
  <c r="O832" i="6"/>
  <c r="O831" i="6" s="1"/>
  <c r="P832" i="6"/>
  <c r="P831" i="6" s="1"/>
  <c r="R832" i="6"/>
  <c r="R831" i="6" s="1"/>
  <c r="S832" i="6"/>
  <c r="S831" i="6" s="1"/>
  <c r="T832" i="6"/>
  <c r="U832" i="6"/>
  <c r="U831" i="6" s="1"/>
  <c r="V832" i="6"/>
  <c r="V831" i="6" s="1"/>
  <c r="X832" i="6"/>
  <c r="X831" i="6" s="1"/>
  <c r="Y832" i="6"/>
  <c r="Y831" i="6" s="1"/>
  <c r="E831" i="6" l="1"/>
  <c r="T831" i="6"/>
  <c r="D178" i="7"/>
  <c r="E178" i="7"/>
  <c r="F178" i="7"/>
  <c r="E802" i="6"/>
  <c r="G802" i="6"/>
  <c r="H802" i="6"/>
  <c r="I802" i="6"/>
  <c r="J802" i="6"/>
  <c r="N802" i="6"/>
  <c r="O802" i="6"/>
  <c r="P802" i="6"/>
  <c r="R802" i="6"/>
  <c r="S802" i="6"/>
  <c r="T802" i="6"/>
  <c r="U802" i="6"/>
  <c r="V802" i="6"/>
  <c r="X802" i="6"/>
  <c r="Y802" i="6"/>
  <c r="D802" i="6"/>
  <c r="F802" i="6"/>
  <c r="E773" i="6"/>
  <c r="F773" i="6"/>
  <c r="G773" i="6"/>
  <c r="H773" i="6"/>
  <c r="I773" i="6"/>
  <c r="J773" i="6"/>
  <c r="N773" i="6"/>
  <c r="O773" i="6"/>
  <c r="P773" i="6"/>
  <c r="R773" i="6"/>
  <c r="S773" i="6"/>
  <c r="T773" i="6"/>
  <c r="U773" i="6"/>
  <c r="V773" i="6"/>
  <c r="X773" i="6"/>
  <c r="Y773" i="6"/>
  <c r="R847" i="5" l="1"/>
  <c r="C876" i="6" l="1"/>
  <c r="C874" i="6" s="1"/>
  <c r="F841" i="6" l="1"/>
  <c r="G841" i="6"/>
  <c r="I841" i="6"/>
  <c r="J841" i="6"/>
  <c r="E841" i="6" l="1"/>
  <c r="D843" i="6"/>
  <c r="H841" i="6"/>
  <c r="H838" i="6" s="1"/>
  <c r="C843" i="6" l="1"/>
  <c r="C841" i="6" s="1"/>
  <c r="D841" i="6"/>
  <c r="D167" i="7"/>
  <c r="E167" i="7"/>
  <c r="F167" i="7"/>
  <c r="C167" i="7"/>
  <c r="R792" i="5"/>
  <c r="R793" i="5"/>
  <c r="O793" i="5"/>
  <c r="O792" i="5"/>
  <c r="I790" i="5"/>
  <c r="J790" i="5"/>
  <c r="K790" i="5"/>
  <c r="L790" i="5"/>
  <c r="M790" i="5"/>
  <c r="N790" i="5"/>
  <c r="P790" i="5"/>
  <c r="P718" i="5" s="1"/>
  <c r="Q790" i="5"/>
  <c r="H790" i="5"/>
  <c r="O791" i="5" l="1"/>
  <c r="O790" i="5" s="1"/>
  <c r="D773" i="6"/>
  <c r="C773" i="6" l="1"/>
  <c r="C690" i="6"/>
  <c r="C689" i="6" s="1"/>
  <c r="D172" i="7" l="1"/>
  <c r="E172" i="7"/>
  <c r="F172" i="7"/>
  <c r="M791" i="6"/>
  <c r="D791" i="6"/>
  <c r="E791" i="6"/>
  <c r="F791" i="6"/>
  <c r="G791" i="6"/>
  <c r="H791" i="6"/>
  <c r="I791" i="6"/>
  <c r="J791" i="6"/>
  <c r="N791" i="6"/>
  <c r="O791" i="6"/>
  <c r="R791" i="6"/>
  <c r="S791" i="6"/>
  <c r="T791" i="6"/>
  <c r="U791" i="6"/>
  <c r="V791" i="6"/>
  <c r="X791" i="6"/>
  <c r="Y791" i="6"/>
  <c r="C792" i="6"/>
  <c r="R810" i="5"/>
  <c r="D798" i="6"/>
  <c r="D797" i="6" s="1"/>
  <c r="E798" i="6"/>
  <c r="F798" i="6"/>
  <c r="F797" i="6" s="1"/>
  <c r="G798" i="6"/>
  <c r="G797" i="6" s="1"/>
  <c r="H798" i="6"/>
  <c r="H797" i="6" s="1"/>
  <c r="I798" i="6"/>
  <c r="I797" i="6" s="1"/>
  <c r="J798" i="6"/>
  <c r="J797" i="6" s="1"/>
  <c r="N798" i="6"/>
  <c r="N797" i="6" s="1"/>
  <c r="O798" i="6"/>
  <c r="O797" i="6" s="1"/>
  <c r="P798" i="6"/>
  <c r="R798" i="6"/>
  <c r="R797" i="6" s="1"/>
  <c r="S798" i="6"/>
  <c r="S797" i="6" s="1"/>
  <c r="T798" i="6"/>
  <c r="T797" i="6" s="1"/>
  <c r="U798" i="6"/>
  <c r="U797" i="6" s="1"/>
  <c r="V798" i="6"/>
  <c r="V797" i="6" s="1"/>
  <c r="X798" i="6"/>
  <c r="X797" i="6" s="1"/>
  <c r="Y798" i="6"/>
  <c r="Y797" i="6" s="1"/>
  <c r="P797" i="6" l="1"/>
  <c r="E797" i="6"/>
  <c r="E870" i="6" l="1"/>
  <c r="E869" i="6" s="1"/>
  <c r="M870" i="6"/>
  <c r="M869" i="6" s="1"/>
  <c r="N870" i="6"/>
  <c r="N869" i="6" s="1"/>
  <c r="O870" i="6"/>
  <c r="O869" i="6" s="1"/>
  <c r="R870" i="6"/>
  <c r="R869" i="6" s="1"/>
  <c r="S870" i="6"/>
  <c r="S869" i="6" s="1"/>
  <c r="T870" i="6"/>
  <c r="T869" i="6" s="1"/>
  <c r="U870" i="6"/>
  <c r="U869" i="6" s="1"/>
  <c r="V870" i="6"/>
  <c r="V869" i="6" s="1"/>
  <c r="X870" i="6"/>
  <c r="X869" i="6" s="1"/>
  <c r="Y870" i="6"/>
  <c r="Y869" i="6" s="1"/>
  <c r="I887" i="5"/>
  <c r="J887" i="5"/>
  <c r="K887" i="5"/>
  <c r="D203" i="7" s="1"/>
  <c r="L887" i="5"/>
  <c r="F203" i="7" s="1"/>
  <c r="M887" i="5"/>
  <c r="N887" i="5"/>
  <c r="O887" i="5"/>
  <c r="P887" i="5"/>
  <c r="Q887" i="5"/>
  <c r="H887" i="5"/>
  <c r="C203" i="7" s="1"/>
  <c r="E210" i="7" l="1"/>
  <c r="M883" i="6"/>
  <c r="D883" i="6"/>
  <c r="E883" i="6"/>
  <c r="F883" i="6"/>
  <c r="G883" i="6"/>
  <c r="H883" i="6"/>
  <c r="I883" i="6"/>
  <c r="J883" i="6"/>
  <c r="N883" i="6"/>
  <c r="O883" i="6"/>
  <c r="P883" i="6"/>
  <c r="R883" i="6"/>
  <c r="S883" i="6"/>
  <c r="T883" i="6"/>
  <c r="U883" i="6"/>
  <c r="V883" i="6"/>
  <c r="X883" i="6"/>
  <c r="I901" i="5"/>
  <c r="J901" i="5"/>
  <c r="K901" i="5"/>
  <c r="D211" i="7" s="1"/>
  <c r="D210" i="7" s="1"/>
  <c r="L901" i="5"/>
  <c r="F211" i="7" s="1"/>
  <c r="F210" i="7" s="1"/>
  <c r="M901" i="5"/>
  <c r="N901" i="5"/>
  <c r="P901" i="5"/>
  <c r="Q901" i="5"/>
  <c r="H901" i="5"/>
  <c r="C211" i="7" s="1"/>
  <c r="C210" i="7" s="1"/>
  <c r="R904" i="5"/>
  <c r="N766" i="6" l="1"/>
  <c r="O766" i="6"/>
  <c r="R766" i="6"/>
  <c r="S766" i="6"/>
  <c r="T766" i="6"/>
  <c r="U766" i="6"/>
  <c r="V766" i="6"/>
  <c r="X766" i="6"/>
  <c r="Y766" i="6"/>
  <c r="Y880" i="6"/>
  <c r="M880" i="6"/>
  <c r="M701" i="6" s="1"/>
  <c r="F880" i="6"/>
  <c r="N880" i="6"/>
  <c r="O880" i="6"/>
  <c r="R880" i="6"/>
  <c r="S880" i="6"/>
  <c r="T880" i="6"/>
  <c r="U880" i="6"/>
  <c r="V880" i="6"/>
  <c r="X880" i="6"/>
  <c r="E206" i="7"/>
  <c r="F206" i="7"/>
  <c r="X877" i="6"/>
  <c r="Y877" i="6"/>
  <c r="D877" i="6"/>
  <c r="D875" i="6" s="1"/>
  <c r="D874" i="6" s="1"/>
  <c r="E877" i="6"/>
  <c r="F877" i="6"/>
  <c r="F875" i="6" s="1"/>
  <c r="F874" i="6" s="1"/>
  <c r="G877" i="6"/>
  <c r="G875" i="6" s="1"/>
  <c r="G874" i="6" s="1"/>
  <c r="H877" i="6"/>
  <c r="H875" i="6" s="1"/>
  <c r="H874" i="6" s="1"/>
  <c r="I877" i="6"/>
  <c r="I875" i="6" s="1"/>
  <c r="I874" i="6" s="1"/>
  <c r="J877" i="6"/>
  <c r="J875" i="6" s="1"/>
  <c r="J874" i="6" s="1"/>
  <c r="N877" i="6"/>
  <c r="N875" i="6" s="1"/>
  <c r="N874" i="6" s="1"/>
  <c r="O877" i="6"/>
  <c r="P877" i="6"/>
  <c r="R877" i="6"/>
  <c r="R875" i="6" s="1"/>
  <c r="R874" i="6" s="1"/>
  <c r="S877" i="6"/>
  <c r="S875" i="6" s="1"/>
  <c r="S874" i="6" s="1"/>
  <c r="T877" i="6"/>
  <c r="T875" i="6" s="1"/>
  <c r="T874" i="6" s="1"/>
  <c r="U877" i="6"/>
  <c r="U875" i="6" s="1"/>
  <c r="U874" i="6" s="1"/>
  <c r="V877" i="6"/>
  <c r="V875" i="6" s="1"/>
  <c r="V874" i="6" s="1"/>
  <c r="E875" i="6" l="1"/>
  <c r="E874" i="6" s="1"/>
  <c r="S701" i="6"/>
  <c r="Y701" i="6"/>
  <c r="V701" i="6"/>
  <c r="T701" i="6"/>
  <c r="R701" i="6"/>
  <c r="N701" i="6"/>
  <c r="U701" i="6"/>
  <c r="T850" i="5"/>
  <c r="E202" i="7" l="1"/>
  <c r="E165" i="7"/>
  <c r="E159" i="7" l="1"/>
  <c r="E73" i="7"/>
  <c r="E40" i="7"/>
  <c r="E9" i="7" l="1"/>
  <c r="E7" i="7" s="1"/>
  <c r="D202" i="7"/>
  <c r="C202" i="7"/>
  <c r="J881" i="6" l="1"/>
  <c r="I881" i="6"/>
  <c r="H881" i="6"/>
  <c r="G881" i="6"/>
  <c r="E881" i="6"/>
  <c r="J870" i="6"/>
  <c r="J869" i="6" s="1"/>
  <c r="I870" i="6"/>
  <c r="I869" i="6" s="1"/>
  <c r="H870" i="6"/>
  <c r="H869" i="6" s="1"/>
  <c r="G870" i="6"/>
  <c r="G869" i="6" s="1"/>
  <c r="F870" i="6"/>
  <c r="F869" i="6" s="1"/>
  <c r="J851" i="6"/>
  <c r="I851" i="6"/>
  <c r="H851" i="6"/>
  <c r="G851" i="6"/>
  <c r="P870" i="6"/>
  <c r="P869" i="6" s="1"/>
  <c r="P791" i="6"/>
  <c r="P641" i="6"/>
  <c r="T641" i="6"/>
  <c r="T637" i="6" s="1"/>
  <c r="P591" i="6"/>
  <c r="P585" i="6"/>
  <c r="P582" i="6" s="1"/>
  <c r="P637" i="6" l="1"/>
  <c r="D854" i="6"/>
  <c r="C854" i="6" s="1"/>
  <c r="D853" i="6"/>
  <c r="C853" i="6" s="1"/>
  <c r="E851" i="6"/>
  <c r="F851" i="6"/>
  <c r="D852" i="6"/>
  <c r="P851" i="6"/>
  <c r="E844" i="6"/>
  <c r="G844" i="6"/>
  <c r="G838" i="6" s="1"/>
  <c r="J844" i="6"/>
  <c r="J838" i="6" s="1"/>
  <c r="F844" i="6"/>
  <c r="F838" i="6" s="1"/>
  <c r="I844" i="6"/>
  <c r="I838" i="6" s="1"/>
  <c r="P880" i="6"/>
  <c r="G880" i="6"/>
  <c r="I880" i="6"/>
  <c r="E880" i="6"/>
  <c r="H880" i="6"/>
  <c r="J880" i="6"/>
  <c r="G766" i="6"/>
  <c r="I766" i="6"/>
  <c r="F766" i="6"/>
  <c r="F701" i="6" s="1"/>
  <c r="P766" i="6"/>
  <c r="E766" i="6"/>
  <c r="H766" i="6"/>
  <c r="H701" i="6" s="1"/>
  <c r="J766" i="6"/>
  <c r="J701" i="6" s="1"/>
  <c r="D762" i="6"/>
  <c r="D871" i="6"/>
  <c r="D882" i="6"/>
  <c r="D845" i="6"/>
  <c r="I641" i="6"/>
  <c r="I637" i="6" s="1"/>
  <c r="H641" i="6"/>
  <c r="H637" i="6" s="1"/>
  <c r="G641" i="6"/>
  <c r="G637" i="6" s="1"/>
  <c r="F641" i="6"/>
  <c r="F637" i="6" s="1"/>
  <c r="E641" i="6"/>
  <c r="J585" i="6"/>
  <c r="J582" i="6" s="1"/>
  <c r="I585" i="6"/>
  <c r="I582" i="6" s="1"/>
  <c r="H585" i="6"/>
  <c r="H582" i="6" s="1"/>
  <c r="G585" i="6"/>
  <c r="G582" i="6" s="1"/>
  <c r="F585" i="6"/>
  <c r="F582" i="6" s="1"/>
  <c r="E585" i="6"/>
  <c r="E582" i="6" s="1"/>
  <c r="P422" i="6"/>
  <c r="T400" i="6"/>
  <c r="T399" i="6" s="1"/>
  <c r="J400" i="6"/>
  <c r="J399" i="6" s="1"/>
  <c r="I400" i="6"/>
  <c r="I399" i="6" s="1"/>
  <c r="H400" i="6"/>
  <c r="H399" i="6" s="1"/>
  <c r="X254" i="6"/>
  <c r="X9" i="6" s="1"/>
  <c r="C890" i="6"/>
  <c r="C889" i="6" s="1"/>
  <c r="C888" i="6" s="1"/>
  <c r="C879" i="6"/>
  <c r="C878" i="6" s="1"/>
  <c r="C873" i="6"/>
  <c r="C872" i="6" s="1"/>
  <c r="C831" i="6"/>
  <c r="C799" i="6"/>
  <c r="C798" i="6" s="1"/>
  <c r="G701" i="6" l="1"/>
  <c r="E838" i="6"/>
  <c r="E701" i="6"/>
  <c r="E637" i="6"/>
  <c r="P701" i="6"/>
  <c r="I701" i="6"/>
  <c r="C852" i="6"/>
  <c r="C851" i="6" s="1"/>
  <c r="D851" i="6"/>
  <c r="F592" i="6"/>
  <c r="F591" i="6" s="1"/>
  <c r="H592" i="6"/>
  <c r="H591" i="6" s="1"/>
  <c r="J592" i="6"/>
  <c r="J591" i="6" s="1"/>
  <c r="E592" i="6"/>
  <c r="G592" i="6"/>
  <c r="G591" i="6" s="1"/>
  <c r="I592" i="6"/>
  <c r="I591" i="6" s="1"/>
  <c r="D405" i="6"/>
  <c r="C405" i="6" s="1"/>
  <c r="N400" i="6"/>
  <c r="N399" i="6" s="1"/>
  <c r="V400" i="6"/>
  <c r="V399" i="6" s="1"/>
  <c r="R400" i="6"/>
  <c r="R399" i="6" s="1"/>
  <c r="G400" i="6"/>
  <c r="G399" i="6" s="1"/>
  <c r="D402" i="6"/>
  <c r="C402" i="6" s="1"/>
  <c r="E400" i="6"/>
  <c r="E399" i="6" s="1"/>
  <c r="D401" i="6"/>
  <c r="F400" i="6"/>
  <c r="F399" i="6" s="1"/>
  <c r="C882" i="6"/>
  <c r="C881" i="6" s="1"/>
  <c r="C880" i="6" s="1"/>
  <c r="D881" i="6"/>
  <c r="D880" i="6" s="1"/>
  <c r="D844" i="6"/>
  <c r="D838" i="6" s="1"/>
  <c r="F423" i="6"/>
  <c r="F422" i="6" s="1"/>
  <c r="H423" i="6"/>
  <c r="H422" i="6" s="1"/>
  <c r="J423" i="6"/>
  <c r="J422" i="6" s="1"/>
  <c r="T423" i="6"/>
  <c r="T422" i="6" s="1"/>
  <c r="N423" i="6"/>
  <c r="N422" i="6" s="1"/>
  <c r="E423" i="6"/>
  <c r="G423" i="6"/>
  <c r="G422" i="6" s="1"/>
  <c r="I423" i="6"/>
  <c r="I422" i="6" s="1"/>
  <c r="R423" i="6"/>
  <c r="R422" i="6" s="1"/>
  <c r="V423" i="6"/>
  <c r="V422" i="6" s="1"/>
  <c r="D870" i="6"/>
  <c r="D869" i="6" s="1"/>
  <c r="C871" i="6"/>
  <c r="C870" i="6" s="1"/>
  <c r="C869" i="6" s="1"/>
  <c r="D766" i="6"/>
  <c r="C883" i="6"/>
  <c r="C877" i="6"/>
  <c r="C801" i="6"/>
  <c r="C845" i="6"/>
  <c r="C844" i="6" s="1"/>
  <c r="C838" i="6" s="1"/>
  <c r="C898" i="6"/>
  <c r="C897" i="6" s="1"/>
  <c r="C896" i="6" s="1"/>
  <c r="C762" i="6"/>
  <c r="C795" i="6"/>
  <c r="C794" i="6" s="1"/>
  <c r="C805" i="6"/>
  <c r="C791" i="6"/>
  <c r="C804" i="6"/>
  <c r="C850" i="6"/>
  <c r="C806" i="6"/>
  <c r="D642" i="6"/>
  <c r="D386" i="6"/>
  <c r="D425" i="6"/>
  <c r="D387" i="6"/>
  <c r="D586" i="6"/>
  <c r="D596" i="6"/>
  <c r="D592" i="6" s="1"/>
  <c r="C789" i="6"/>
  <c r="C788" i="6" s="1"/>
  <c r="E591" i="6" l="1"/>
  <c r="E422" i="6"/>
  <c r="C803" i="6"/>
  <c r="C802" i="6" s="1"/>
  <c r="C849" i="6"/>
  <c r="C848" i="6" s="1"/>
  <c r="C401" i="6"/>
  <c r="C400" i="6" s="1"/>
  <c r="C399" i="6" s="1"/>
  <c r="D400" i="6"/>
  <c r="D399" i="6" s="1"/>
  <c r="C800" i="6"/>
  <c r="C797" i="6" s="1"/>
  <c r="D423" i="6"/>
  <c r="D422" i="6" s="1"/>
  <c r="C642" i="6"/>
  <c r="C641" i="6" s="1"/>
  <c r="C637" i="6" s="1"/>
  <c r="D641" i="6"/>
  <c r="D637" i="6" s="1"/>
  <c r="C596" i="6"/>
  <c r="D591" i="6"/>
  <c r="C586" i="6"/>
  <c r="C585" i="6" s="1"/>
  <c r="C582" i="6" s="1"/>
  <c r="D585" i="6"/>
  <c r="D582" i="6" s="1"/>
  <c r="C766" i="6"/>
  <c r="X848" i="6"/>
  <c r="X701" i="6" s="1"/>
  <c r="C592" i="6" l="1"/>
  <c r="C591" i="6" s="1"/>
  <c r="F137" i="7"/>
  <c r="F135" i="7" s="1"/>
  <c r="R385" i="6" l="1"/>
  <c r="R384" i="6" s="1"/>
  <c r="P385" i="6"/>
  <c r="P384" i="6" l="1"/>
  <c r="R9" i="6"/>
  <c r="P9" i="6"/>
  <c r="T385" i="6"/>
  <c r="T384" i="6" s="1"/>
  <c r="T9" i="6" s="1"/>
  <c r="V385" i="6"/>
  <c r="V384" i="6" s="1"/>
  <c r="C425" i="6"/>
  <c r="C387" i="6"/>
  <c r="C386" i="6"/>
  <c r="V9" i="6" l="1"/>
  <c r="C423" i="6"/>
  <c r="C422" i="6" s="1"/>
  <c r="S850" i="5"/>
  <c r="I456" i="5" l="1"/>
  <c r="K456" i="5"/>
  <c r="L456" i="5"/>
  <c r="M456" i="5"/>
  <c r="N456" i="5"/>
  <c r="P456" i="5"/>
  <c r="P455" i="5" s="1"/>
  <c r="Q456" i="5"/>
  <c r="H456" i="5"/>
  <c r="D10" i="7" l="1"/>
  <c r="C10" i="7"/>
  <c r="D98" i="7"/>
  <c r="C98" i="7"/>
  <c r="F98" i="7"/>
  <c r="F102" i="7"/>
  <c r="F121" i="7"/>
  <c r="F120" i="7" s="1"/>
  <c r="O456" i="5"/>
  <c r="J456" i="5"/>
  <c r="C102" i="7" l="1"/>
  <c r="D102" i="7"/>
  <c r="D165" i="7"/>
  <c r="F165" i="7"/>
  <c r="C165" i="7"/>
  <c r="D85" i="7"/>
  <c r="D84" i="7" s="1"/>
  <c r="C85" i="7"/>
  <c r="C84" i="7" s="1"/>
  <c r="D177" i="7" l="1"/>
  <c r="C177" i="7"/>
  <c r="F177" i="7"/>
  <c r="R818" i="5"/>
  <c r="O817" i="5"/>
  <c r="R598" i="5"/>
  <c r="O598" i="5"/>
  <c r="O597" i="5" s="1"/>
  <c r="O594" i="5" s="1"/>
  <c r="D761" i="6" l="1"/>
  <c r="C761" i="6" s="1"/>
  <c r="D760" i="6"/>
  <c r="P435" i="5"/>
  <c r="P301" i="5"/>
  <c r="P300" i="5" s="1"/>
  <c r="P289" i="5" s="1"/>
  <c r="P377" i="5"/>
  <c r="P415" i="5"/>
  <c r="C760" i="6" l="1"/>
  <c r="C759" i="6" s="1"/>
  <c r="D759" i="6"/>
  <c r="P413" i="5"/>
  <c r="P412" i="5" s="1"/>
  <c r="D701" i="6"/>
  <c r="C701" i="6"/>
  <c r="D101" i="7" l="1"/>
  <c r="C101" i="7"/>
  <c r="R849" i="5" l="1"/>
  <c r="D13" i="7" l="1"/>
  <c r="I897" i="5"/>
  <c r="J897" i="5"/>
  <c r="D209" i="7"/>
  <c r="D208" i="7" s="1"/>
  <c r="M897" i="5"/>
  <c r="N897" i="5"/>
  <c r="O897" i="5"/>
  <c r="Q897" i="5"/>
  <c r="H897" i="5"/>
  <c r="R899" i="5" l="1"/>
  <c r="K897" i="5"/>
  <c r="C209" i="7"/>
  <c r="C208" i="7" s="1"/>
  <c r="L897" i="5" l="1"/>
  <c r="F199" i="7" l="1"/>
  <c r="F69" i="7"/>
  <c r="R870" i="5"/>
  <c r="R869" i="5"/>
  <c r="R871" i="5"/>
  <c r="R796" i="5"/>
  <c r="C170" i="7" l="1"/>
  <c r="C169" i="7" s="1"/>
  <c r="D170" i="7"/>
  <c r="D169" i="7" s="1"/>
  <c r="R798" i="5"/>
  <c r="R801" i="5"/>
  <c r="R803" i="5"/>
  <c r="R799" i="5"/>
  <c r="R800" i="5"/>
  <c r="R797" i="5"/>
  <c r="C172" i="7" l="1"/>
  <c r="C190" i="7"/>
  <c r="C206" i="7"/>
  <c r="D206" i="7"/>
  <c r="O848" i="6"/>
  <c r="O701" i="6" s="1"/>
  <c r="V688" i="6"/>
  <c r="V443" i="6" s="1"/>
  <c r="U688" i="6"/>
  <c r="U443" i="6" s="1"/>
  <c r="T688" i="6"/>
  <c r="T443" i="6" s="1"/>
  <c r="S688" i="6"/>
  <c r="S443" i="6" s="1"/>
  <c r="R688" i="6"/>
  <c r="R443" i="6" s="1"/>
  <c r="P688" i="6"/>
  <c r="P443" i="6" s="1"/>
  <c r="O688" i="6"/>
  <c r="O443" i="6" s="1"/>
  <c r="N688" i="6"/>
  <c r="N443" i="6" s="1"/>
  <c r="M688" i="6"/>
  <c r="M443" i="6" s="1"/>
  <c r="J688" i="6"/>
  <c r="J443" i="6" s="1"/>
  <c r="I688" i="6"/>
  <c r="I443" i="6" s="1"/>
  <c r="H688" i="6"/>
  <c r="H443" i="6" s="1"/>
  <c r="G688" i="6"/>
  <c r="G443" i="6" s="1"/>
  <c r="F688" i="6"/>
  <c r="F443" i="6" s="1"/>
  <c r="E688" i="6"/>
  <c r="U385" i="6"/>
  <c r="U384" i="6" s="1"/>
  <c r="S385" i="6"/>
  <c r="S384" i="6" s="1"/>
  <c r="O385" i="6"/>
  <c r="N385" i="6"/>
  <c r="N384" i="6" s="1"/>
  <c r="M385" i="6"/>
  <c r="M384" i="6" s="1"/>
  <c r="J385" i="6"/>
  <c r="J384" i="6" s="1"/>
  <c r="I385" i="6"/>
  <c r="I384" i="6" s="1"/>
  <c r="H385" i="6"/>
  <c r="H384" i="6" s="1"/>
  <c r="G385" i="6"/>
  <c r="G384" i="6" s="1"/>
  <c r="F385" i="6"/>
  <c r="F384" i="6" s="1"/>
  <c r="E385" i="6"/>
  <c r="D385" i="6"/>
  <c r="C385" i="6"/>
  <c r="I815" i="5"/>
  <c r="J815" i="5"/>
  <c r="J814" i="5" s="1"/>
  <c r="K815" i="5"/>
  <c r="K814" i="5" s="1"/>
  <c r="L815" i="5"/>
  <c r="L814" i="5" s="1"/>
  <c r="M815" i="5"/>
  <c r="M814" i="5" s="1"/>
  <c r="N815" i="5"/>
  <c r="N814" i="5" s="1"/>
  <c r="Q815" i="5"/>
  <c r="Q814" i="5" s="1"/>
  <c r="H815" i="5"/>
  <c r="H814" i="5" s="1"/>
  <c r="C504" i="2"/>
  <c r="C505" i="2"/>
  <c r="C503" i="2"/>
  <c r="E384" i="6" l="1"/>
  <c r="O384" i="6"/>
  <c r="E443" i="6"/>
  <c r="I814" i="5"/>
  <c r="C176" i="7"/>
  <c r="C175" i="7" s="1"/>
  <c r="F176" i="7"/>
  <c r="F175" i="7" s="1"/>
  <c r="D176" i="7"/>
  <c r="D175" i="7" s="1"/>
  <c r="F85" i="7"/>
  <c r="F84" i="7" s="1"/>
  <c r="C688" i="6"/>
  <c r="C443" i="6" s="1"/>
  <c r="D688" i="6"/>
  <c r="D443" i="6" s="1"/>
  <c r="J9" i="6"/>
  <c r="O9" i="6"/>
  <c r="S9" i="6"/>
  <c r="F9" i="6"/>
  <c r="H9" i="6"/>
  <c r="M9" i="6"/>
  <c r="U9" i="6"/>
  <c r="C384" i="6"/>
  <c r="D384" i="6"/>
  <c r="E9" i="6"/>
  <c r="G9" i="6"/>
  <c r="I9" i="6"/>
  <c r="N9" i="6"/>
  <c r="D9" i="6" l="1"/>
  <c r="F202" i="7" l="1"/>
  <c r="R915" i="5"/>
  <c r="R907" i="5"/>
  <c r="R903" i="5"/>
  <c r="O903" i="5"/>
  <c r="R902" i="5"/>
  <c r="O902" i="5"/>
  <c r="O901" i="5" s="1"/>
  <c r="M900" i="5"/>
  <c r="K900" i="5"/>
  <c r="J900" i="5"/>
  <c r="I900" i="5"/>
  <c r="H900" i="5"/>
  <c r="Q900" i="5"/>
  <c r="N900" i="5"/>
  <c r="R896" i="5"/>
  <c r="Q894" i="5"/>
  <c r="O894" i="5"/>
  <c r="N894" i="5"/>
  <c r="M894" i="5"/>
  <c r="L894" i="5"/>
  <c r="K894" i="5"/>
  <c r="J894" i="5"/>
  <c r="I894" i="5"/>
  <c r="H894" i="5"/>
  <c r="R893" i="5"/>
  <c r="R890" i="5"/>
  <c r="R888" i="5"/>
  <c r="N886" i="5"/>
  <c r="M886" i="5"/>
  <c r="K886" i="5"/>
  <c r="J886" i="5"/>
  <c r="I886" i="5"/>
  <c r="H886" i="5"/>
  <c r="O886" i="5"/>
  <c r="R885" i="5"/>
  <c r="D200" i="7"/>
  <c r="C200" i="7"/>
  <c r="R867" i="5"/>
  <c r="O867" i="5"/>
  <c r="O866" i="5" s="1"/>
  <c r="Q865" i="5"/>
  <c r="N865" i="5"/>
  <c r="M865" i="5"/>
  <c r="K865" i="5"/>
  <c r="J865" i="5"/>
  <c r="I865" i="5"/>
  <c r="H865" i="5"/>
  <c r="R852" i="5"/>
  <c r="Q850" i="5"/>
  <c r="O850" i="5"/>
  <c r="N850" i="5"/>
  <c r="M850" i="5"/>
  <c r="K850" i="5"/>
  <c r="J850" i="5"/>
  <c r="I850" i="5"/>
  <c r="H850" i="5"/>
  <c r="R850" i="5"/>
  <c r="R841" i="5"/>
  <c r="O841" i="5"/>
  <c r="K819" i="5"/>
  <c r="J819" i="5"/>
  <c r="I819" i="5"/>
  <c r="H819" i="5"/>
  <c r="R816" i="5"/>
  <c r="O816" i="5"/>
  <c r="O815" i="5" s="1"/>
  <c r="O814" i="5" s="1"/>
  <c r="R812" i="5"/>
  <c r="Q808" i="5"/>
  <c r="O808" i="5"/>
  <c r="N808" i="5"/>
  <c r="M808" i="5"/>
  <c r="L808" i="5"/>
  <c r="K808" i="5"/>
  <c r="J808" i="5"/>
  <c r="I808" i="5"/>
  <c r="H808" i="5"/>
  <c r="R806" i="5"/>
  <c r="Q783" i="5"/>
  <c r="N783" i="5"/>
  <c r="M783" i="5"/>
  <c r="K783" i="5"/>
  <c r="I783" i="5"/>
  <c r="H783" i="5"/>
  <c r="R782" i="5"/>
  <c r="O782" i="5"/>
  <c r="O780" i="5" s="1"/>
  <c r="R781" i="5"/>
  <c r="L603" i="5"/>
  <c r="L455" i="5" s="1"/>
  <c r="J603" i="5"/>
  <c r="J455" i="5" s="1"/>
  <c r="I603" i="5"/>
  <c r="R415" i="5"/>
  <c r="R377" i="5"/>
  <c r="R376" i="5"/>
  <c r="O375" i="5"/>
  <c r="O374" i="5" s="1"/>
  <c r="N375" i="5"/>
  <c r="N374" i="5" s="1"/>
  <c r="N16" i="5" s="1"/>
  <c r="M375" i="5"/>
  <c r="M374" i="5" s="1"/>
  <c r="L375" i="5"/>
  <c r="K375" i="5"/>
  <c r="D74" i="7" s="1"/>
  <c r="J375" i="5"/>
  <c r="J374" i="5" s="1"/>
  <c r="I375" i="5"/>
  <c r="H375" i="5"/>
  <c r="C74" i="7" s="1"/>
  <c r="R301" i="5"/>
  <c r="D41" i="7"/>
  <c r="J261" i="5"/>
  <c r="I261" i="5"/>
  <c r="C41" i="7"/>
  <c r="O840" i="5" l="1"/>
  <c r="O833" i="5" s="1"/>
  <c r="I455" i="5"/>
  <c r="I374" i="5"/>
  <c r="I718" i="5"/>
  <c r="J16" i="5"/>
  <c r="I16" i="5"/>
  <c r="C13" i="7"/>
  <c r="K603" i="5"/>
  <c r="K455" i="5" s="1"/>
  <c r="D121" i="7"/>
  <c r="D120" i="7" s="1"/>
  <c r="D97" i="7" s="1"/>
  <c r="H603" i="5"/>
  <c r="H455" i="5" s="1"/>
  <c r="C121" i="7"/>
  <c r="C120" i="7" s="1"/>
  <c r="C97" i="7" s="1"/>
  <c r="F122" i="7"/>
  <c r="F180" i="7"/>
  <c r="F159" i="7" s="1"/>
  <c r="O865" i="5"/>
  <c r="O783" i="5"/>
  <c r="J783" i="5"/>
  <c r="J718" i="5" s="1"/>
  <c r="F74" i="7"/>
  <c r="F73" i="7" s="1"/>
  <c r="F41" i="7"/>
  <c r="F40" i="7" s="1"/>
  <c r="F50" i="7"/>
  <c r="F47" i="7" s="1"/>
  <c r="K261" i="5"/>
  <c r="H374" i="5"/>
  <c r="C73" i="7"/>
  <c r="K374" i="5"/>
  <c r="D73" i="7"/>
  <c r="H261" i="5"/>
  <c r="H16" i="5" s="1"/>
  <c r="L886" i="5"/>
  <c r="L261" i="5"/>
  <c r="L783" i="5"/>
  <c r="L819" i="5"/>
  <c r="L850" i="5"/>
  <c r="L900" i="5"/>
  <c r="L374" i="5"/>
  <c r="L865" i="5"/>
  <c r="O819" i="5"/>
  <c r="O261" i="5"/>
  <c r="O16" i="5" s="1"/>
  <c r="O900" i="5"/>
  <c r="Q435" i="5"/>
  <c r="O435" i="5"/>
  <c r="M435" i="5"/>
  <c r="D161" i="7"/>
  <c r="C161" i="7"/>
  <c r="K435" i="5"/>
  <c r="Q886" i="5"/>
  <c r="O603" i="5"/>
  <c r="O455" i="5" s="1"/>
  <c r="I435" i="5"/>
  <c r="H435" i="5"/>
  <c r="J435" i="5" l="1"/>
  <c r="J14" i="5" s="1"/>
  <c r="N435" i="5"/>
  <c r="N14" i="5" s="1"/>
  <c r="O718" i="5"/>
  <c r="L718" i="5"/>
  <c r="H718" i="5"/>
  <c r="K718" i="5"/>
  <c r="O14" i="5"/>
  <c r="K16" i="5"/>
  <c r="K14" i="5" s="1"/>
  <c r="L16" i="5"/>
  <c r="I14" i="5"/>
  <c r="H14" i="5"/>
  <c r="L435" i="5"/>
  <c r="L14" i="5" l="1"/>
  <c r="Q375" i="5"/>
  <c r="Q374" i="5" l="1"/>
  <c r="Q16" i="5" s="1"/>
  <c r="Q14" i="5" s="1"/>
  <c r="P375" i="5"/>
  <c r="E207" i="3"/>
  <c r="F207" i="3"/>
  <c r="G207" i="3"/>
  <c r="H207" i="3"/>
  <c r="J207" i="3"/>
  <c r="K207" i="3"/>
  <c r="L207" i="3"/>
  <c r="E114" i="3"/>
  <c r="F114" i="3"/>
  <c r="G114" i="3"/>
  <c r="H114" i="3"/>
  <c r="J114" i="3"/>
  <c r="K114" i="3"/>
  <c r="L114" i="3"/>
  <c r="Y813" i="2"/>
  <c r="P374" i="5" l="1"/>
  <c r="P16" i="5" s="1"/>
  <c r="P14" i="5" s="1"/>
  <c r="I235" i="3"/>
  <c r="D354" i="2"/>
  <c r="E354" i="2"/>
  <c r="F354" i="2"/>
  <c r="G354" i="2"/>
  <c r="H354" i="2"/>
  <c r="I354" i="2"/>
  <c r="J354" i="2"/>
  <c r="K354" i="2"/>
  <c r="L354" i="2"/>
  <c r="M354" i="2"/>
  <c r="N354" i="2"/>
  <c r="P354" i="2"/>
  <c r="Q354" i="2"/>
  <c r="R354" i="2"/>
  <c r="S354" i="2"/>
  <c r="T354" i="2"/>
  <c r="U354" i="2"/>
  <c r="D892" i="2"/>
  <c r="E892" i="2"/>
  <c r="F892" i="2"/>
  <c r="G892" i="2"/>
  <c r="H892" i="2"/>
  <c r="I892" i="2"/>
  <c r="J892" i="2"/>
  <c r="K892" i="2"/>
  <c r="L892" i="2"/>
  <c r="M892" i="2"/>
  <c r="N892" i="2"/>
  <c r="P892" i="2"/>
  <c r="Q892" i="2"/>
  <c r="R892" i="2"/>
  <c r="S892" i="2"/>
  <c r="T892" i="2"/>
  <c r="U892" i="2"/>
  <c r="D1383" i="2"/>
  <c r="E1383" i="2"/>
  <c r="F1383" i="2"/>
  <c r="G1383" i="2"/>
  <c r="H1383" i="2"/>
  <c r="I1383" i="2"/>
  <c r="J1383" i="2"/>
  <c r="K1383" i="2"/>
  <c r="L1383" i="2"/>
  <c r="M1383" i="2"/>
  <c r="N1383" i="2"/>
  <c r="P1383" i="2"/>
  <c r="Q1383" i="2"/>
  <c r="R1383" i="2"/>
  <c r="S1383" i="2"/>
  <c r="T1383" i="2"/>
  <c r="U1383" i="2"/>
  <c r="L1417" i="1"/>
  <c r="O1385" i="2" s="1"/>
  <c r="W1385" i="2" s="1"/>
  <c r="L1418" i="1"/>
  <c r="O1386" i="2" s="1"/>
  <c r="W1386" i="2" s="1"/>
  <c r="L1419" i="1"/>
  <c r="O1387" i="2" s="1"/>
  <c r="W1387" i="2" s="1"/>
  <c r="L1420" i="1"/>
  <c r="O1388" i="2" s="1"/>
  <c r="W1388" i="2" s="1"/>
  <c r="L1421" i="1"/>
  <c r="O1389" i="2" s="1"/>
  <c r="W1389" i="2" s="1"/>
  <c r="L1422" i="1"/>
  <c r="O1390" i="2" s="1"/>
  <c r="W1390" i="2" s="1"/>
  <c r="L1416" i="1"/>
  <c r="O1384" i="2" s="1"/>
  <c r="L919" i="1"/>
  <c r="O894" i="2" s="1"/>
  <c r="W894" i="2" s="1"/>
  <c r="L920" i="1"/>
  <c r="O895" i="2" s="1"/>
  <c r="W895" i="2" s="1"/>
  <c r="L921" i="1"/>
  <c r="O896" i="2" s="1"/>
  <c r="W896" i="2" s="1"/>
  <c r="L922" i="1"/>
  <c r="O897" i="2" s="1"/>
  <c r="W897" i="2" s="1"/>
  <c r="L923" i="1"/>
  <c r="O898" i="2" s="1"/>
  <c r="W898" i="2" s="1"/>
  <c r="L924" i="1"/>
  <c r="O899" i="2" s="1"/>
  <c r="W899" i="2" s="1"/>
  <c r="L925" i="1"/>
  <c r="O900" i="2" s="1"/>
  <c r="W900" i="2" s="1"/>
  <c r="L918" i="1"/>
  <c r="O893" i="2" s="1"/>
  <c r="L366" i="1"/>
  <c r="L367" i="1"/>
  <c r="L368" i="1"/>
  <c r="L369" i="1"/>
  <c r="L370" i="1"/>
  <c r="L371" i="1"/>
  <c r="L372" i="1"/>
  <c r="L365" i="1"/>
  <c r="O362" i="2" l="1"/>
  <c r="W362" i="2" s="1"/>
  <c r="O355" i="2"/>
  <c r="W355" i="2" s="1"/>
  <c r="O361" i="2"/>
  <c r="W361" i="2" s="1"/>
  <c r="O359" i="2"/>
  <c r="W359" i="2" s="1"/>
  <c r="O357" i="2"/>
  <c r="W357" i="2" s="1"/>
  <c r="O360" i="2"/>
  <c r="W360" i="2" s="1"/>
  <c r="O358" i="2"/>
  <c r="W358" i="2" s="1"/>
  <c r="W356" i="2"/>
  <c r="W893" i="2"/>
  <c r="O892" i="2"/>
  <c r="W1384" i="2"/>
  <c r="O1383" i="2"/>
  <c r="C1384" i="2"/>
  <c r="C1389" i="2"/>
  <c r="C1387" i="2"/>
  <c r="C1385" i="2"/>
  <c r="C900" i="2"/>
  <c r="C898" i="2"/>
  <c r="C896" i="2"/>
  <c r="C894" i="2"/>
  <c r="C355" i="2"/>
  <c r="C361" i="2"/>
  <c r="C359" i="2"/>
  <c r="C357" i="2"/>
  <c r="C1390" i="2"/>
  <c r="C1388" i="2"/>
  <c r="C1386" i="2"/>
  <c r="C893" i="2"/>
  <c r="C899" i="2"/>
  <c r="C897" i="2"/>
  <c r="C895" i="2"/>
  <c r="C362" i="2"/>
  <c r="C360" i="2"/>
  <c r="C358" i="2"/>
  <c r="C356" i="2"/>
  <c r="E216" i="3"/>
  <c r="F216" i="3"/>
  <c r="G216" i="3"/>
  <c r="H216" i="3"/>
  <c r="J216" i="3"/>
  <c r="K216" i="3"/>
  <c r="E25" i="3"/>
  <c r="F25" i="3"/>
  <c r="G25" i="3"/>
  <c r="H25" i="3"/>
  <c r="J25" i="3"/>
  <c r="K25" i="3"/>
  <c r="L25" i="3"/>
  <c r="W300" i="2"/>
  <c r="W302" i="2"/>
  <c r="W304" i="2"/>
  <c r="W306" i="2"/>
  <c r="W310" i="2"/>
  <c r="I878" i="1"/>
  <c r="J878" i="1"/>
  <c r="K878" i="1"/>
  <c r="L878" i="1"/>
  <c r="M878" i="1"/>
  <c r="N878" i="1"/>
  <c r="P878" i="1"/>
  <c r="H878" i="1"/>
  <c r="O354" i="2" l="1"/>
  <c r="C354" i="2"/>
  <c r="C1383" i="2"/>
  <c r="C892" i="2"/>
  <c r="C250" i="3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W411" i="2"/>
  <c r="C411" i="2"/>
  <c r="C410" i="2" s="1"/>
  <c r="X945" i="2"/>
  <c r="X944" i="2"/>
  <c r="D943" i="2"/>
  <c r="E943" i="2"/>
  <c r="F943" i="2"/>
  <c r="G943" i="2"/>
  <c r="H943" i="2"/>
  <c r="I943" i="2"/>
  <c r="J943" i="2"/>
  <c r="K943" i="2"/>
  <c r="L943" i="2"/>
  <c r="M943" i="2"/>
  <c r="N943" i="2"/>
  <c r="O943" i="2"/>
  <c r="P943" i="2"/>
  <c r="Q943" i="2"/>
  <c r="R943" i="2"/>
  <c r="S943" i="2"/>
  <c r="T943" i="2"/>
  <c r="U943" i="2"/>
  <c r="V943" i="2"/>
  <c r="C945" i="2"/>
  <c r="C944" i="2"/>
  <c r="C1430" i="2"/>
  <c r="I958" i="1"/>
  <c r="J958" i="1"/>
  <c r="K958" i="1"/>
  <c r="L958" i="1"/>
  <c r="M157" i="3" s="1"/>
  <c r="M958" i="1"/>
  <c r="N958" i="1"/>
  <c r="O958" i="1"/>
  <c r="P958" i="1"/>
  <c r="H958" i="1"/>
  <c r="Q960" i="1"/>
  <c r="Q959" i="1"/>
  <c r="Q416" i="1"/>
  <c r="D1222" i="2"/>
  <c r="E1222" i="2"/>
  <c r="F1222" i="2"/>
  <c r="G1222" i="2"/>
  <c r="H1222" i="2"/>
  <c r="I1222" i="2"/>
  <c r="J1222" i="2"/>
  <c r="K1222" i="2"/>
  <c r="L1222" i="2"/>
  <c r="M1222" i="2"/>
  <c r="N1222" i="2"/>
  <c r="P1222" i="2"/>
  <c r="Q1222" i="2"/>
  <c r="R1222" i="2"/>
  <c r="S1222" i="2"/>
  <c r="T1222" i="2"/>
  <c r="U1222" i="2"/>
  <c r="D730" i="2"/>
  <c r="E730" i="2"/>
  <c r="F730" i="2"/>
  <c r="G730" i="2"/>
  <c r="H730" i="2"/>
  <c r="I730" i="2"/>
  <c r="J730" i="2"/>
  <c r="K730" i="2"/>
  <c r="L730" i="2"/>
  <c r="M730" i="2"/>
  <c r="N730" i="2"/>
  <c r="P730" i="2"/>
  <c r="Q730" i="2"/>
  <c r="R730" i="2"/>
  <c r="S730" i="2"/>
  <c r="T730" i="2"/>
  <c r="U730" i="2"/>
  <c r="V730" i="2"/>
  <c r="D177" i="2"/>
  <c r="E177" i="2"/>
  <c r="F177" i="2"/>
  <c r="G177" i="2"/>
  <c r="H177" i="2"/>
  <c r="I177" i="2"/>
  <c r="J177" i="2"/>
  <c r="K177" i="2"/>
  <c r="L177" i="2"/>
  <c r="M177" i="2"/>
  <c r="N177" i="2"/>
  <c r="P177" i="2"/>
  <c r="Q177" i="2"/>
  <c r="R177" i="2"/>
  <c r="S177" i="2"/>
  <c r="T177" i="2"/>
  <c r="U177" i="2"/>
  <c r="V177" i="2"/>
  <c r="L1257" i="1"/>
  <c r="C1224" i="2" s="1"/>
  <c r="O1224" i="2" s="1"/>
  <c r="W1224" i="2" s="1"/>
  <c r="L1258" i="1"/>
  <c r="C1225" i="2" s="1"/>
  <c r="O1225" i="2" s="1"/>
  <c r="W1225" i="2" s="1"/>
  <c r="L1259" i="1"/>
  <c r="C1226" i="2" s="1"/>
  <c r="O1226" i="2" s="1"/>
  <c r="W1226" i="2" s="1"/>
  <c r="L1260" i="1"/>
  <c r="C1227" i="2" s="1"/>
  <c r="O1227" i="2" s="1"/>
  <c r="W1227" i="2" s="1"/>
  <c r="L1261" i="1"/>
  <c r="C1228" i="2" s="1"/>
  <c r="O1228" i="2" s="1"/>
  <c r="W1228" i="2" s="1"/>
  <c r="L1262" i="1"/>
  <c r="C1229" i="2" s="1"/>
  <c r="O1229" i="2" s="1"/>
  <c r="W1229" i="2" s="1"/>
  <c r="L1263" i="1"/>
  <c r="C1230" i="2" s="1"/>
  <c r="O1230" i="2" s="1"/>
  <c r="W1230" i="2" s="1"/>
  <c r="L1264" i="1"/>
  <c r="C1231" i="2" s="1"/>
  <c r="O1231" i="2" s="1"/>
  <c r="W1231" i="2" s="1"/>
  <c r="L1265" i="1"/>
  <c r="C1232" i="2" s="1"/>
  <c r="O1232" i="2" s="1"/>
  <c r="W1232" i="2" s="1"/>
  <c r="L1266" i="1"/>
  <c r="C1233" i="2" s="1"/>
  <c r="O1233" i="2" s="1"/>
  <c r="W1233" i="2" s="1"/>
  <c r="L1256" i="1"/>
  <c r="C1223" i="2" s="1"/>
  <c r="H1255" i="1"/>
  <c r="C199" i="3" s="1"/>
  <c r="L755" i="1"/>
  <c r="C732" i="2" s="1"/>
  <c r="O732" i="2" s="1"/>
  <c r="W732" i="2" s="1"/>
  <c r="L756" i="1"/>
  <c r="C733" i="2" s="1"/>
  <c r="O733" i="2" s="1"/>
  <c r="W733" i="2" s="1"/>
  <c r="L757" i="1"/>
  <c r="C734" i="2" s="1"/>
  <c r="O734" i="2" s="1"/>
  <c r="W734" i="2" s="1"/>
  <c r="L758" i="1"/>
  <c r="C735" i="2" s="1"/>
  <c r="O735" i="2" s="1"/>
  <c r="W735" i="2" s="1"/>
  <c r="L759" i="1"/>
  <c r="C736" i="2" s="1"/>
  <c r="O736" i="2" s="1"/>
  <c r="W736" i="2" s="1"/>
  <c r="L760" i="1"/>
  <c r="C737" i="2" s="1"/>
  <c r="O737" i="2" s="1"/>
  <c r="W737" i="2" s="1"/>
  <c r="L761" i="1"/>
  <c r="C738" i="2" s="1"/>
  <c r="O738" i="2" s="1"/>
  <c r="W738" i="2" s="1"/>
  <c r="L762" i="1"/>
  <c r="C739" i="2" s="1"/>
  <c r="O739" i="2" s="1"/>
  <c r="W739" i="2" s="1"/>
  <c r="L763" i="1"/>
  <c r="C740" i="2" s="1"/>
  <c r="O740" i="2" s="1"/>
  <c r="W740" i="2" s="1"/>
  <c r="L764" i="1"/>
  <c r="C741" i="2" s="1"/>
  <c r="O741" i="2" s="1"/>
  <c r="W741" i="2" s="1"/>
  <c r="L765" i="1"/>
  <c r="C742" i="2" s="1"/>
  <c r="O742" i="2" s="1"/>
  <c r="W742" i="2" s="1"/>
  <c r="L766" i="1"/>
  <c r="C743" i="2" s="1"/>
  <c r="O743" i="2" s="1"/>
  <c r="W743" i="2" s="1"/>
  <c r="L754" i="1"/>
  <c r="C731" i="2" s="1"/>
  <c r="O731" i="2" s="1"/>
  <c r="L190" i="1"/>
  <c r="C179" i="2" s="1"/>
  <c r="O179" i="2" s="1"/>
  <c r="W179" i="2" s="1"/>
  <c r="L191" i="1"/>
  <c r="C180" i="2" s="1"/>
  <c r="O180" i="2" s="1"/>
  <c r="W180" i="2" s="1"/>
  <c r="L192" i="1"/>
  <c r="C181" i="2" s="1"/>
  <c r="O181" i="2" s="1"/>
  <c r="W181" i="2" s="1"/>
  <c r="L193" i="1"/>
  <c r="C182" i="2" s="1"/>
  <c r="O182" i="2" s="1"/>
  <c r="W182" i="2" s="1"/>
  <c r="L194" i="1"/>
  <c r="C183" i="2" s="1"/>
  <c r="O183" i="2" s="1"/>
  <c r="W183" i="2" s="1"/>
  <c r="L195" i="1"/>
  <c r="C184" i="2" s="1"/>
  <c r="O184" i="2" s="1"/>
  <c r="W184" i="2" s="1"/>
  <c r="L196" i="1"/>
  <c r="C185" i="2" s="1"/>
  <c r="O185" i="2" s="1"/>
  <c r="W185" i="2" s="1"/>
  <c r="L197" i="1"/>
  <c r="C186" i="2" s="1"/>
  <c r="O186" i="2" s="1"/>
  <c r="W186" i="2" s="1"/>
  <c r="L198" i="1"/>
  <c r="C187" i="2" s="1"/>
  <c r="O187" i="2" s="1"/>
  <c r="W187" i="2" s="1"/>
  <c r="L199" i="1"/>
  <c r="C188" i="2" s="1"/>
  <c r="O188" i="2" s="1"/>
  <c r="W188" i="2" s="1"/>
  <c r="L200" i="1"/>
  <c r="C189" i="2" s="1"/>
  <c r="O189" i="2" s="1"/>
  <c r="W189" i="2" s="1"/>
  <c r="L201" i="1"/>
  <c r="C190" i="2" s="1"/>
  <c r="O190" i="2" s="1"/>
  <c r="W190" i="2" s="1"/>
  <c r="L202" i="1"/>
  <c r="C191" i="2" s="1"/>
  <c r="O191" i="2" s="1"/>
  <c r="W191" i="2" s="1"/>
  <c r="L203" i="1"/>
  <c r="C192" i="2" s="1"/>
  <c r="O192" i="2" s="1"/>
  <c r="W192" i="2" s="1"/>
  <c r="L204" i="1"/>
  <c r="C193" i="2" s="1"/>
  <c r="O193" i="2" s="1"/>
  <c r="W193" i="2" s="1"/>
  <c r="L189" i="1"/>
  <c r="C178" i="2" s="1"/>
  <c r="O188" i="1"/>
  <c r="O939" i="1"/>
  <c r="C157" i="3" l="1"/>
  <c r="D157" i="3"/>
  <c r="C1222" i="2"/>
  <c r="C943" i="2"/>
  <c r="O1223" i="2"/>
  <c r="C177" i="2"/>
  <c r="O730" i="2"/>
  <c r="W731" i="2"/>
  <c r="C730" i="2"/>
  <c r="O178" i="2"/>
  <c r="W178" i="2" s="1"/>
  <c r="W1223" i="2" l="1"/>
  <c r="O1222" i="2"/>
  <c r="O177" i="2"/>
  <c r="E430" i="2" l="1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W1456" i="2"/>
  <c r="D1455" i="2"/>
  <c r="E1455" i="2"/>
  <c r="F1455" i="2"/>
  <c r="G1455" i="2"/>
  <c r="H1455" i="2"/>
  <c r="I1455" i="2"/>
  <c r="J1455" i="2"/>
  <c r="K1455" i="2"/>
  <c r="L1455" i="2"/>
  <c r="M1455" i="2"/>
  <c r="N1455" i="2"/>
  <c r="O1455" i="2"/>
  <c r="P1455" i="2"/>
  <c r="Q1455" i="2"/>
  <c r="R1455" i="2"/>
  <c r="S1455" i="2"/>
  <c r="T1455" i="2"/>
  <c r="U1455" i="2"/>
  <c r="C1456" i="2"/>
  <c r="C1455" i="2" s="1"/>
  <c r="X974" i="2"/>
  <c r="X973" i="2"/>
  <c r="X972" i="2"/>
  <c r="D971" i="2"/>
  <c r="E971" i="2"/>
  <c r="F971" i="2"/>
  <c r="G971" i="2"/>
  <c r="H971" i="2"/>
  <c r="I971" i="2"/>
  <c r="J971" i="2"/>
  <c r="K971" i="2"/>
  <c r="L971" i="2"/>
  <c r="M971" i="2"/>
  <c r="N971" i="2"/>
  <c r="O971" i="2"/>
  <c r="P971" i="2"/>
  <c r="Q971" i="2"/>
  <c r="R971" i="2"/>
  <c r="S971" i="2"/>
  <c r="T971" i="2"/>
  <c r="U971" i="2"/>
  <c r="V971" i="2"/>
  <c r="C973" i="2"/>
  <c r="C974" i="2"/>
  <c r="C972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7" i="2"/>
  <c r="C437" i="2"/>
  <c r="C436" i="2" s="1"/>
  <c r="Q988" i="1"/>
  <c r="I986" i="1"/>
  <c r="J986" i="1"/>
  <c r="K986" i="1"/>
  <c r="L986" i="1"/>
  <c r="M986" i="1"/>
  <c r="N986" i="1"/>
  <c r="P986" i="1"/>
  <c r="H986" i="1"/>
  <c r="Q987" i="1"/>
  <c r="H441" i="1"/>
  <c r="X333" i="2"/>
  <c r="W333" i="2"/>
  <c r="X332" i="2"/>
  <c r="W332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C333" i="2"/>
  <c r="C332" i="2"/>
  <c r="I341" i="1"/>
  <c r="J341" i="1"/>
  <c r="K341" i="1"/>
  <c r="D42" i="3" s="1"/>
  <c r="L341" i="1"/>
  <c r="L42" i="3" s="1"/>
  <c r="N42" i="3" s="1"/>
  <c r="M341" i="1"/>
  <c r="N341" i="1"/>
  <c r="O341" i="1"/>
  <c r="P341" i="1"/>
  <c r="H341" i="1"/>
  <c r="C42" i="3" s="1"/>
  <c r="Q343" i="1"/>
  <c r="Q342" i="1"/>
  <c r="D166" i="3" l="1"/>
  <c r="C166" i="3"/>
  <c r="M166" i="3"/>
  <c r="C971" i="2"/>
  <c r="C331" i="2"/>
  <c r="AB968" i="2"/>
  <c r="E964" i="2"/>
  <c r="F964" i="2"/>
  <c r="G964" i="2"/>
  <c r="H964" i="2"/>
  <c r="I964" i="2"/>
  <c r="J964" i="2"/>
  <c r="K964" i="2"/>
  <c r="L964" i="2"/>
  <c r="M964" i="2"/>
  <c r="N964" i="2"/>
  <c r="O964" i="2"/>
  <c r="P964" i="2"/>
  <c r="Q964" i="2"/>
  <c r="R964" i="2"/>
  <c r="S964" i="2"/>
  <c r="T964" i="2"/>
  <c r="U964" i="2"/>
  <c r="H979" i="1"/>
  <c r="E172" i="3" l="1"/>
  <c r="F172" i="3"/>
  <c r="G172" i="3"/>
  <c r="H172" i="3"/>
  <c r="J172" i="3"/>
  <c r="K172" i="3"/>
  <c r="L172" i="3"/>
  <c r="M172" i="3"/>
  <c r="D265" i="3"/>
  <c r="E265" i="3"/>
  <c r="F265" i="3"/>
  <c r="G265" i="3"/>
  <c r="H265" i="3"/>
  <c r="I265" i="3"/>
  <c r="J265" i="3"/>
  <c r="K265" i="3"/>
  <c r="L265" i="3"/>
  <c r="M265" i="3"/>
  <c r="C265" i="3"/>
  <c r="D1474" i="2"/>
  <c r="E1474" i="2"/>
  <c r="F1474" i="2"/>
  <c r="G1474" i="2"/>
  <c r="H1474" i="2"/>
  <c r="I1474" i="2"/>
  <c r="J1474" i="2"/>
  <c r="K1474" i="2"/>
  <c r="L1474" i="2"/>
  <c r="M1474" i="2"/>
  <c r="N1474" i="2"/>
  <c r="O1474" i="2"/>
  <c r="P1474" i="2"/>
  <c r="Q1474" i="2"/>
  <c r="R1474" i="2"/>
  <c r="S1474" i="2"/>
  <c r="T1474" i="2"/>
  <c r="U1474" i="2"/>
  <c r="V1474" i="2"/>
  <c r="C1474" i="2"/>
  <c r="D993" i="2"/>
  <c r="E993" i="2"/>
  <c r="F993" i="2"/>
  <c r="G993" i="2"/>
  <c r="H993" i="2"/>
  <c r="I993" i="2"/>
  <c r="J993" i="2"/>
  <c r="K993" i="2"/>
  <c r="L993" i="2"/>
  <c r="M993" i="2"/>
  <c r="N993" i="2"/>
  <c r="O993" i="2"/>
  <c r="P993" i="2"/>
  <c r="Q993" i="2"/>
  <c r="R993" i="2"/>
  <c r="S993" i="2"/>
  <c r="T993" i="2"/>
  <c r="U993" i="2"/>
  <c r="V993" i="2"/>
  <c r="C993" i="2"/>
  <c r="H1080" i="1"/>
  <c r="V1459" i="2"/>
  <c r="D1460" i="2"/>
  <c r="D1459" i="2" s="1"/>
  <c r="E1460" i="2"/>
  <c r="E1459" i="2" s="1"/>
  <c r="F1460" i="2"/>
  <c r="F1459" i="2" s="1"/>
  <c r="G1460" i="2"/>
  <c r="G1459" i="2" s="1"/>
  <c r="H1460" i="2"/>
  <c r="H1459" i="2" s="1"/>
  <c r="I1460" i="2"/>
  <c r="I1459" i="2" s="1"/>
  <c r="J1460" i="2"/>
  <c r="J1459" i="2" s="1"/>
  <c r="K1460" i="2"/>
  <c r="K1459" i="2" s="1"/>
  <c r="L1460" i="2"/>
  <c r="L1459" i="2" s="1"/>
  <c r="M1460" i="2"/>
  <c r="M1459" i="2" s="1"/>
  <c r="N1460" i="2"/>
  <c r="N1459" i="2" s="1"/>
  <c r="O1460" i="2"/>
  <c r="O1459" i="2" s="1"/>
  <c r="P1460" i="2"/>
  <c r="P1459" i="2" s="1"/>
  <c r="Q1460" i="2"/>
  <c r="Q1459" i="2" s="1"/>
  <c r="R1460" i="2"/>
  <c r="R1459" i="2" s="1"/>
  <c r="S1460" i="2"/>
  <c r="S1459" i="2" s="1"/>
  <c r="T1460" i="2"/>
  <c r="T1459" i="2" s="1"/>
  <c r="U1460" i="2"/>
  <c r="U1459" i="2" s="1"/>
  <c r="W1461" i="2"/>
  <c r="C1461" i="2"/>
  <c r="C1460" i="2" s="1"/>
  <c r="C1459" i="2" s="1"/>
  <c r="D978" i="2"/>
  <c r="E978" i="2"/>
  <c r="F978" i="2"/>
  <c r="G978" i="2"/>
  <c r="H978" i="2"/>
  <c r="I978" i="2"/>
  <c r="J978" i="2"/>
  <c r="K978" i="2"/>
  <c r="L978" i="2"/>
  <c r="M978" i="2"/>
  <c r="N978" i="2"/>
  <c r="O978" i="2"/>
  <c r="P978" i="2"/>
  <c r="Q978" i="2"/>
  <c r="R978" i="2"/>
  <c r="S978" i="2"/>
  <c r="T978" i="2"/>
  <c r="U978" i="2"/>
  <c r="W980" i="2"/>
  <c r="AE979" i="2"/>
  <c r="C980" i="2"/>
  <c r="C979" i="2"/>
  <c r="Y443" i="2"/>
  <c r="AE442" i="2"/>
  <c r="D443" i="2"/>
  <c r="D442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C443" i="2"/>
  <c r="C442" i="2"/>
  <c r="C441" i="2" l="1"/>
  <c r="C978" i="2"/>
  <c r="D441" i="2"/>
  <c r="E76" i="3"/>
  <c r="F76" i="3"/>
  <c r="G76" i="3"/>
  <c r="H76" i="3"/>
  <c r="J76" i="3"/>
  <c r="K76" i="3"/>
  <c r="L76" i="3"/>
  <c r="AG484" i="2"/>
  <c r="AG475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466" i="2"/>
  <c r="L547" i="1"/>
  <c r="L548" i="1"/>
  <c r="L549" i="1"/>
  <c r="L550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46" i="1"/>
  <c r="D1536" i="2" l="1"/>
  <c r="E1536" i="2"/>
  <c r="F1536" i="2"/>
  <c r="G1536" i="2"/>
  <c r="H1536" i="2"/>
  <c r="I1536" i="2"/>
  <c r="J1536" i="2"/>
  <c r="K1536" i="2"/>
  <c r="L1536" i="2"/>
  <c r="M1536" i="2"/>
  <c r="N1536" i="2"/>
  <c r="O1536" i="2"/>
  <c r="P1536" i="2"/>
  <c r="Q1536" i="2"/>
  <c r="R1536" i="2"/>
  <c r="S1536" i="2"/>
  <c r="T1536" i="2"/>
  <c r="U1536" i="2"/>
  <c r="V1536" i="2"/>
  <c r="W1537" i="2"/>
  <c r="C1537" i="2"/>
  <c r="C1536" i="2" s="1"/>
  <c r="W560" i="2"/>
  <c r="I1488" i="1"/>
  <c r="J1488" i="1"/>
  <c r="K1488" i="1"/>
  <c r="L1488" i="1"/>
  <c r="M1488" i="1"/>
  <c r="N1488" i="1"/>
  <c r="P1488" i="1"/>
  <c r="H1488" i="1"/>
  <c r="W1374" i="2"/>
  <c r="W1375" i="2"/>
  <c r="W1376" i="2"/>
  <c r="W1377" i="2"/>
  <c r="W1378" i="2"/>
  <c r="W1379" i="2"/>
  <c r="W1380" i="2"/>
  <c r="W1381" i="2"/>
  <c r="W1373" i="2"/>
  <c r="V1371" i="2"/>
  <c r="D1372" i="2"/>
  <c r="D1371" i="2" s="1"/>
  <c r="E1372" i="2"/>
  <c r="E1371" i="2" s="1"/>
  <c r="F1372" i="2"/>
  <c r="F1371" i="2" s="1"/>
  <c r="G1372" i="2"/>
  <c r="G1371" i="2" s="1"/>
  <c r="H1372" i="2"/>
  <c r="H1371" i="2" s="1"/>
  <c r="I1372" i="2"/>
  <c r="I1371" i="2" s="1"/>
  <c r="J1372" i="2"/>
  <c r="J1371" i="2" s="1"/>
  <c r="K1372" i="2"/>
  <c r="K1371" i="2" s="1"/>
  <c r="L1372" i="2"/>
  <c r="L1371" i="2" s="1"/>
  <c r="M1372" i="2"/>
  <c r="M1371" i="2" s="1"/>
  <c r="N1372" i="2"/>
  <c r="N1371" i="2" s="1"/>
  <c r="O1372" i="2"/>
  <c r="O1371" i="2" s="1"/>
  <c r="P1372" i="2"/>
  <c r="P1371" i="2" s="1"/>
  <c r="Q1372" i="2"/>
  <c r="Q1371" i="2" s="1"/>
  <c r="R1372" i="2"/>
  <c r="R1371" i="2" s="1"/>
  <c r="S1372" i="2"/>
  <c r="S1371" i="2" s="1"/>
  <c r="T1372" i="2"/>
  <c r="T1371" i="2" s="1"/>
  <c r="U1372" i="2"/>
  <c r="U1371" i="2" s="1"/>
  <c r="C1374" i="2"/>
  <c r="C1375" i="2"/>
  <c r="C1376" i="2"/>
  <c r="C1377" i="2"/>
  <c r="C1378" i="2"/>
  <c r="C1379" i="2"/>
  <c r="C1380" i="2"/>
  <c r="C1381" i="2"/>
  <c r="C1373" i="2"/>
  <c r="W886" i="2"/>
  <c r="W887" i="2"/>
  <c r="W888" i="2"/>
  <c r="W889" i="2"/>
  <c r="W890" i="2"/>
  <c r="W885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U884" i="2"/>
  <c r="V884" i="2"/>
  <c r="C886" i="2"/>
  <c r="C887" i="2"/>
  <c r="C888" i="2"/>
  <c r="C889" i="2"/>
  <c r="C890" i="2"/>
  <c r="C885" i="2"/>
  <c r="W345" i="2"/>
  <c r="W346" i="2"/>
  <c r="W347" i="2"/>
  <c r="W348" i="2"/>
  <c r="W349" i="2"/>
  <c r="W350" i="2"/>
  <c r="W351" i="2"/>
  <c r="W352" i="2"/>
  <c r="W344" i="2"/>
  <c r="D343" i="2"/>
  <c r="D342" i="2" s="1"/>
  <c r="E343" i="2"/>
  <c r="E342" i="2" s="1"/>
  <c r="F343" i="2"/>
  <c r="F342" i="2" s="1"/>
  <c r="G343" i="2"/>
  <c r="G342" i="2" s="1"/>
  <c r="H343" i="2"/>
  <c r="H342" i="2" s="1"/>
  <c r="I343" i="2"/>
  <c r="I342" i="2" s="1"/>
  <c r="J343" i="2"/>
  <c r="J342" i="2" s="1"/>
  <c r="K343" i="2"/>
  <c r="K342" i="2" s="1"/>
  <c r="L343" i="2"/>
  <c r="L342" i="2" s="1"/>
  <c r="M343" i="2"/>
  <c r="M342" i="2" s="1"/>
  <c r="N343" i="2"/>
  <c r="N342" i="2" s="1"/>
  <c r="O343" i="2"/>
  <c r="O342" i="2" s="1"/>
  <c r="P343" i="2"/>
  <c r="P342" i="2" s="1"/>
  <c r="Q343" i="2"/>
  <c r="Q342" i="2" s="1"/>
  <c r="R343" i="2"/>
  <c r="R342" i="2" s="1"/>
  <c r="S343" i="2"/>
  <c r="S342" i="2" s="1"/>
  <c r="T343" i="2"/>
  <c r="T342" i="2" s="1"/>
  <c r="U343" i="2"/>
  <c r="U342" i="2" s="1"/>
  <c r="C345" i="2"/>
  <c r="C346" i="2"/>
  <c r="C347" i="2"/>
  <c r="C348" i="2"/>
  <c r="C349" i="2"/>
  <c r="C350" i="2"/>
  <c r="C351" i="2"/>
  <c r="C352" i="2"/>
  <c r="C344" i="2"/>
  <c r="D224" i="2"/>
  <c r="D225" i="2"/>
  <c r="D226" i="2"/>
  <c r="D227" i="2"/>
  <c r="D228" i="2"/>
  <c r="D229" i="2"/>
  <c r="D230" i="2"/>
  <c r="D231" i="2"/>
  <c r="C224" i="2"/>
  <c r="C225" i="2"/>
  <c r="C226" i="2"/>
  <c r="C227" i="2"/>
  <c r="C228" i="2"/>
  <c r="C229" i="2"/>
  <c r="C230" i="2"/>
  <c r="C231" i="2"/>
  <c r="C223" i="2"/>
  <c r="X1264" i="2"/>
  <c r="AF1263" i="2"/>
  <c r="D1262" i="2"/>
  <c r="E1262" i="2"/>
  <c r="F1262" i="2"/>
  <c r="G1262" i="2"/>
  <c r="H1262" i="2"/>
  <c r="I1262" i="2"/>
  <c r="J1262" i="2"/>
  <c r="K1262" i="2"/>
  <c r="L1262" i="2"/>
  <c r="M1262" i="2"/>
  <c r="N1262" i="2"/>
  <c r="O1262" i="2"/>
  <c r="P1262" i="2"/>
  <c r="Q1262" i="2"/>
  <c r="R1262" i="2"/>
  <c r="S1262" i="2"/>
  <c r="T1262" i="2"/>
  <c r="U1262" i="2"/>
  <c r="V1262" i="2"/>
  <c r="C1264" i="2"/>
  <c r="C1263" i="2"/>
  <c r="I1295" i="1"/>
  <c r="J1295" i="1"/>
  <c r="K1295" i="1"/>
  <c r="L1295" i="1"/>
  <c r="M1295" i="1"/>
  <c r="N1295" i="1"/>
  <c r="O1295" i="1"/>
  <c r="P1295" i="1"/>
  <c r="H1295" i="1"/>
  <c r="Q1297" i="1"/>
  <c r="Q1296" i="1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V456" i="2" s="1"/>
  <c r="W466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AB464" i="2"/>
  <c r="AG463" i="2"/>
  <c r="AD462" i="2"/>
  <c r="Y462" i="2"/>
  <c r="AD461" i="2"/>
  <c r="AB461" i="2"/>
  <c r="W460" i="2"/>
  <c r="W459" i="2"/>
  <c r="W458" i="2"/>
  <c r="D459" i="2"/>
  <c r="D460" i="2"/>
  <c r="D461" i="2"/>
  <c r="D462" i="2"/>
  <c r="D463" i="2"/>
  <c r="D464" i="2"/>
  <c r="D458" i="2"/>
  <c r="C459" i="2"/>
  <c r="C460" i="2"/>
  <c r="C461" i="2"/>
  <c r="C462" i="2"/>
  <c r="C463" i="2"/>
  <c r="C464" i="2"/>
  <c r="C458" i="2"/>
  <c r="Q539" i="1"/>
  <c r="Q540" i="1"/>
  <c r="Q541" i="1"/>
  <c r="Q542" i="1"/>
  <c r="Q543" i="1"/>
  <c r="Q544" i="1"/>
  <c r="Q538" i="1"/>
  <c r="H767" i="1"/>
  <c r="R456" i="2" l="1"/>
  <c r="N456" i="2"/>
  <c r="J456" i="2"/>
  <c r="Q456" i="2"/>
  <c r="M456" i="2"/>
  <c r="I456" i="2"/>
  <c r="S456" i="2"/>
  <c r="O456" i="2"/>
  <c r="K456" i="2"/>
  <c r="U456" i="2"/>
  <c r="T456" i="2"/>
  <c r="P456" i="2"/>
  <c r="L456" i="2"/>
  <c r="H456" i="2"/>
  <c r="C9" i="6"/>
  <c r="M202" i="3"/>
  <c r="C262" i="3"/>
  <c r="C197" i="7"/>
  <c r="M262" i="3"/>
  <c r="C202" i="3"/>
  <c r="D202" i="3"/>
  <c r="D262" i="3"/>
  <c r="C1372" i="2"/>
  <c r="C1371" i="2" s="1"/>
  <c r="D457" i="2"/>
  <c r="D456" i="2" s="1"/>
  <c r="G456" i="2"/>
  <c r="E456" i="2"/>
  <c r="C1262" i="2"/>
  <c r="C343" i="2"/>
  <c r="C342" i="2" s="1"/>
  <c r="C884" i="2"/>
  <c r="F456" i="2"/>
  <c r="C457" i="2"/>
  <c r="Q1258" i="1"/>
  <c r="Q1259" i="1"/>
  <c r="Q1260" i="1"/>
  <c r="Q1261" i="1"/>
  <c r="Q1262" i="1"/>
  <c r="Q1263" i="1"/>
  <c r="Q1264" i="1"/>
  <c r="Q1265" i="1"/>
  <c r="Q1266" i="1"/>
  <c r="Q760" i="1" l="1"/>
  <c r="Q761" i="1"/>
  <c r="Q762" i="1"/>
  <c r="Q763" i="1"/>
  <c r="Q764" i="1"/>
  <c r="Q765" i="1"/>
  <c r="Q194" i="1"/>
  <c r="Q195" i="1"/>
  <c r="Q196" i="1"/>
  <c r="Q197" i="1"/>
  <c r="Q198" i="1"/>
  <c r="Q199" i="1"/>
  <c r="Q200" i="1"/>
  <c r="Q201" i="1"/>
  <c r="AD1304" i="2"/>
  <c r="AB1304" i="2"/>
  <c r="AA1304" i="2"/>
  <c r="D1304" i="2"/>
  <c r="E1300" i="2"/>
  <c r="F1300" i="2"/>
  <c r="G1300" i="2"/>
  <c r="H1300" i="2"/>
  <c r="I1300" i="2"/>
  <c r="J1300" i="2"/>
  <c r="K1300" i="2"/>
  <c r="L1300" i="2"/>
  <c r="M1300" i="2"/>
  <c r="N1300" i="2"/>
  <c r="O1300" i="2"/>
  <c r="P1300" i="2"/>
  <c r="Q1300" i="2"/>
  <c r="R1300" i="2"/>
  <c r="S1300" i="2"/>
  <c r="T1300" i="2"/>
  <c r="U1300" i="2"/>
  <c r="V1300" i="2"/>
  <c r="C1304" i="2"/>
  <c r="Y271" i="2"/>
  <c r="Y270" i="2"/>
  <c r="Y815" i="2"/>
  <c r="I1332" i="1"/>
  <c r="K1332" i="1"/>
  <c r="L1332" i="1"/>
  <c r="M1332" i="1"/>
  <c r="N1332" i="1"/>
  <c r="P1332" i="1"/>
  <c r="H1332" i="1"/>
  <c r="Q1336" i="1"/>
  <c r="O1336" i="1"/>
  <c r="O277" i="1"/>
  <c r="A275" i="1" l="1"/>
  <c r="A276" i="1" s="1"/>
  <c r="A278" i="1"/>
  <c r="A279" i="1" s="1"/>
  <c r="A271" i="1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AD240" i="2"/>
  <c r="AD239" i="2"/>
  <c r="D237" i="2"/>
  <c r="D238" i="2"/>
  <c r="D239" i="2"/>
  <c r="D240" i="2"/>
  <c r="D236" i="2"/>
  <c r="C239" i="2"/>
  <c r="C240" i="2"/>
  <c r="W1276" i="2"/>
  <c r="E1275" i="2"/>
  <c r="F1275" i="2"/>
  <c r="G1275" i="2"/>
  <c r="H1275" i="2"/>
  <c r="I1275" i="2"/>
  <c r="J1275" i="2"/>
  <c r="K1275" i="2"/>
  <c r="L1275" i="2"/>
  <c r="M1275" i="2"/>
  <c r="N1275" i="2"/>
  <c r="O1275" i="2"/>
  <c r="P1275" i="2"/>
  <c r="Q1275" i="2"/>
  <c r="R1275" i="2"/>
  <c r="S1275" i="2"/>
  <c r="T1275" i="2"/>
  <c r="U1275" i="2"/>
  <c r="I244" i="1"/>
  <c r="J244" i="1"/>
  <c r="K244" i="1"/>
  <c r="L244" i="1"/>
  <c r="N244" i="1"/>
  <c r="P244" i="1"/>
  <c r="H244" i="1"/>
  <c r="D1341" i="2"/>
  <c r="E1341" i="2"/>
  <c r="F1341" i="2"/>
  <c r="G1341" i="2"/>
  <c r="H1341" i="2"/>
  <c r="I1341" i="2"/>
  <c r="J1341" i="2"/>
  <c r="K1341" i="2"/>
  <c r="L1341" i="2"/>
  <c r="M1341" i="2"/>
  <c r="N1341" i="2"/>
  <c r="O1341" i="2"/>
  <c r="P1341" i="2"/>
  <c r="Q1341" i="2"/>
  <c r="R1341" i="2"/>
  <c r="S1341" i="2"/>
  <c r="T1341" i="2"/>
  <c r="U1341" i="2"/>
  <c r="W1342" i="2"/>
  <c r="C1342" i="2"/>
  <c r="C1341" i="2" s="1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U855" i="2"/>
  <c r="W856" i="2"/>
  <c r="C856" i="2"/>
  <c r="C855" i="2" s="1"/>
  <c r="I1373" i="1"/>
  <c r="J1373" i="1"/>
  <c r="K1373" i="1"/>
  <c r="L1373" i="1"/>
  <c r="M1373" i="1"/>
  <c r="N1373" i="1"/>
  <c r="P1373" i="1"/>
  <c r="H1373" i="1"/>
  <c r="C1346" i="2"/>
  <c r="D1345" i="2"/>
  <c r="E1345" i="2"/>
  <c r="F1345" i="2"/>
  <c r="G1345" i="2"/>
  <c r="H1345" i="2"/>
  <c r="I1345" i="2"/>
  <c r="J1345" i="2"/>
  <c r="K1345" i="2"/>
  <c r="L1345" i="2"/>
  <c r="M1345" i="2"/>
  <c r="N1345" i="2"/>
  <c r="O1345" i="2"/>
  <c r="P1345" i="2"/>
  <c r="Q1345" i="2"/>
  <c r="R1345" i="2"/>
  <c r="S1345" i="2"/>
  <c r="T1345" i="2"/>
  <c r="U1345" i="2"/>
  <c r="V1345" i="2"/>
  <c r="C1345" i="2"/>
  <c r="I545" i="1"/>
  <c r="J545" i="1"/>
  <c r="K545" i="1"/>
  <c r="M545" i="1"/>
  <c r="N545" i="1"/>
  <c r="O545" i="1"/>
  <c r="P545" i="1"/>
  <c r="H545" i="1"/>
  <c r="C466" i="2"/>
  <c r="I537" i="1"/>
  <c r="J537" i="1"/>
  <c r="K537" i="1"/>
  <c r="L537" i="1"/>
  <c r="M537" i="1"/>
  <c r="N537" i="1"/>
  <c r="N536" i="1" s="1"/>
  <c r="O537" i="1"/>
  <c r="P537" i="1"/>
  <c r="H537" i="1"/>
  <c r="C746" i="2"/>
  <c r="C745" i="2"/>
  <c r="C195" i="2"/>
  <c r="N240" i="3"/>
  <c r="N146" i="3"/>
  <c r="N50" i="3"/>
  <c r="W365" i="2"/>
  <c r="W364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C365" i="2"/>
  <c r="C364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U901" i="2"/>
  <c r="V901" i="2"/>
  <c r="Y903" i="2"/>
  <c r="X902" i="2"/>
  <c r="D903" i="2"/>
  <c r="D902" i="2"/>
  <c r="C903" i="2"/>
  <c r="C902" i="2"/>
  <c r="E1391" i="2"/>
  <c r="F1391" i="2"/>
  <c r="G1391" i="2"/>
  <c r="H1391" i="2"/>
  <c r="I1391" i="2"/>
  <c r="J1391" i="2"/>
  <c r="K1391" i="2"/>
  <c r="L1391" i="2"/>
  <c r="M1391" i="2"/>
  <c r="N1391" i="2"/>
  <c r="O1391" i="2"/>
  <c r="P1391" i="2"/>
  <c r="Q1391" i="2"/>
  <c r="R1391" i="2"/>
  <c r="S1391" i="2"/>
  <c r="T1391" i="2"/>
  <c r="U1391" i="2"/>
  <c r="Y1393" i="2"/>
  <c r="W1392" i="2"/>
  <c r="D1393" i="2"/>
  <c r="D1392" i="2"/>
  <c r="C1393" i="2"/>
  <c r="C1392" i="2"/>
  <c r="I1423" i="1"/>
  <c r="J1423" i="1"/>
  <c r="K1423" i="1"/>
  <c r="L1423" i="1"/>
  <c r="M1423" i="1"/>
  <c r="N1423" i="1"/>
  <c r="O1423" i="1"/>
  <c r="P1423" i="1"/>
  <c r="H1423" i="1"/>
  <c r="Q1424" i="1"/>
  <c r="Q1425" i="1"/>
  <c r="I926" i="1"/>
  <c r="J926" i="1"/>
  <c r="K926" i="1"/>
  <c r="D146" i="3" s="1"/>
  <c r="L926" i="1"/>
  <c r="M926" i="1"/>
  <c r="N926" i="1"/>
  <c r="O926" i="1"/>
  <c r="P926" i="1"/>
  <c r="H926" i="1"/>
  <c r="C146" i="3" s="1"/>
  <c r="Q927" i="1"/>
  <c r="Q928" i="1"/>
  <c r="I373" i="1"/>
  <c r="J373" i="1"/>
  <c r="K373" i="1"/>
  <c r="L373" i="1"/>
  <c r="M373" i="1"/>
  <c r="N373" i="1"/>
  <c r="O373" i="1"/>
  <c r="P373" i="1"/>
  <c r="H373" i="1"/>
  <c r="Q374" i="1"/>
  <c r="Q375" i="1"/>
  <c r="E132" i="3"/>
  <c r="F132" i="3"/>
  <c r="G132" i="3"/>
  <c r="H132" i="3"/>
  <c r="J132" i="3"/>
  <c r="K132" i="3"/>
  <c r="L132" i="3"/>
  <c r="E226" i="3"/>
  <c r="F226" i="3"/>
  <c r="G226" i="3"/>
  <c r="H226" i="3"/>
  <c r="J226" i="3"/>
  <c r="K226" i="3"/>
  <c r="L226" i="3"/>
  <c r="W318" i="2"/>
  <c r="W319" i="2"/>
  <c r="W320" i="2"/>
  <c r="W321" i="2"/>
  <c r="W317" i="2"/>
  <c r="D316" i="2"/>
  <c r="D315" i="2" s="1"/>
  <c r="E316" i="2"/>
  <c r="E315" i="2" s="1"/>
  <c r="F316" i="2"/>
  <c r="F315" i="2" s="1"/>
  <c r="G316" i="2"/>
  <c r="G315" i="2" s="1"/>
  <c r="H316" i="2"/>
  <c r="H315" i="2" s="1"/>
  <c r="I316" i="2"/>
  <c r="I315" i="2" s="1"/>
  <c r="J316" i="2"/>
  <c r="J315" i="2" s="1"/>
  <c r="K316" i="2"/>
  <c r="K315" i="2" s="1"/>
  <c r="L316" i="2"/>
  <c r="L315" i="2" s="1"/>
  <c r="M316" i="2"/>
  <c r="M315" i="2" s="1"/>
  <c r="N316" i="2"/>
  <c r="N315" i="2" s="1"/>
  <c r="O316" i="2"/>
  <c r="O315" i="2" s="1"/>
  <c r="P316" i="2"/>
  <c r="P315" i="2" s="1"/>
  <c r="Q316" i="2"/>
  <c r="Q315" i="2" s="1"/>
  <c r="R316" i="2"/>
  <c r="R315" i="2" s="1"/>
  <c r="S316" i="2"/>
  <c r="S315" i="2" s="1"/>
  <c r="T316" i="2"/>
  <c r="T315" i="2" s="1"/>
  <c r="U316" i="2"/>
  <c r="U315" i="2" s="1"/>
  <c r="C318" i="2"/>
  <c r="C319" i="2"/>
  <c r="C320" i="2"/>
  <c r="C321" i="2"/>
  <c r="C317" i="2"/>
  <c r="V862" i="2"/>
  <c r="D863" i="2"/>
  <c r="D862" i="2" s="1"/>
  <c r="E863" i="2"/>
  <c r="E862" i="2" s="1"/>
  <c r="F863" i="2"/>
  <c r="F862" i="2" s="1"/>
  <c r="G863" i="2"/>
  <c r="G862" i="2" s="1"/>
  <c r="H863" i="2"/>
  <c r="H862" i="2" s="1"/>
  <c r="I863" i="2"/>
  <c r="I862" i="2" s="1"/>
  <c r="J863" i="2"/>
  <c r="J862" i="2" s="1"/>
  <c r="K863" i="2"/>
  <c r="K862" i="2" s="1"/>
  <c r="L863" i="2"/>
  <c r="L862" i="2" s="1"/>
  <c r="M863" i="2"/>
  <c r="M862" i="2" s="1"/>
  <c r="N863" i="2"/>
  <c r="N862" i="2" s="1"/>
  <c r="O863" i="2"/>
  <c r="O862" i="2" s="1"/>
  <c r="P863" i="2"/>
  <c r="P862" i="2" s="1"/>
  <c r="Q863" i="2"/>
  <c r="Q862" i="2" s="1"/>
  <c r="R863" i="2"/>
  <c r="R862" i="2" s="1"/>
  <c r="S863" i="2"/>
  <c r="S862" i="2" s="1"/>
  <c r="T863" i="2"/>
  <c r="T862" i="2" s="1"/>
  <c r="U863" i="2"/>
  <c r="U862" i="2" s="1"/>
  <c r="W864" i="2"/>
  <c r="C864" i="2"/>
  <c r="C863" i="2" s="1"/>
  <c r="C862" i="2" s="1"/>
  <c r="D1352" i="2"/>
  <c r="D1351" i="2" s="1"/>
  <c r="E1352" i="2"/>
  <c r="E1351" i="2" s="1"/>
  <c r="F1352" i="2"/>
  <c r="F1351" i="2" s="1"/>
  <c r="G1352" i="2"/>
  <c r="G1351" i="2" s="1"/>
  <c r="H1352" i="2"/>
  <c r="H1351" i="2" s="1"/>
  <c r="I1352" i="2"/>
  <c r="I1351" i="2" s="1"/>
  <c r="J1352" i="2"/>
  <c r="J1351" i="2" s="1"/>
  <c r="K1352" i="2"/>
  <c r="K1351" i="2" s="1"/>
  <c r="L1352" i="2"/>
  <c r="L1351" i="2" s="1"/>
  <c r="M1352" i="2"/>
  <c r="M1351" i="2" s="1"/>
  <c r="N1352" i="2"/>
  <c r="N1351" i="2" s="1"/>
  <c r="O1352" i="2"/>
  <c r="O1351" i="2" s="1"/>
  <c r="P1352" i="2"/>
  <c r="P1351" i="2" s="1"/>
  <c r="Q1352" i="2"/>
  <c r="Q1351" i="2" s="1"/>
  <c r="R1352" i="2"/>
  <c r="R1351" i="2" s="1"/>
  <c r="S1352" i="2"/>
  <c r="S1351" i="2" s="1"/>
  <c r="T1352" i="2"/>
  <c r="T1351" i="2" s="1"/>
  <c r="U1352" i="2"/>
  <c r="U1351" i="2" s="1"/>
  <c r="V1352" i="2"/>
  <c r="V1351" i="2" s="1"/>
  <c r="W1353" i="2"/>
  <c r="C1353" i="2"/>
  <c r="C1352" i="2" s="1"/>
  <c r="C1351" i="2" s="1"/>
  <c r="O1384" i="1"/>
  <c r="I1384" i="1"/>
  <c r="J1384" i="1"/>
  <c r="K1384" i="1"/>
  <c r="L1384" i="1"/>
  <c r="M1384" i="1"/>
  <c r="N1384" i="1"/>
  <c r="H1384" i="1"/>
  <c r="I887" i="1"/>
  <c r="J887" i="1"/>
  <c r="K887" i="1"/>
  <c r="L887" i="1"/>
  <c r="M887" i="1"/>
  <c r="N887" i="1"/>
  <c r="O887" i="1"/>
  <c r="H887" i="1"/>
  <c r="Q329" i="1"/>
  <c r="I204" i="3"/>
  <c r="N111" i="3"/>
  <c r="I111" i="3"/>
  <c r="N13" i="3"/>
  <c r="I13" i="3"/>
  <c r="X250" i="2"/>
  <c r="D250" i="2"/>
  <c r="D249" i="2"/>
  <c r="Y249" i="2"/>
  <c r="X249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C250" i="2"/>
  <c r="C249" i="2"/>
  <c r="E799" i="2"/>
  <c r="F799" i="2"/>
  <c r="G799" i="2"/>
  <c r="H799" i="2"/>
  <c r="I799" i="2"/>
  <c r="J799" i="2"/>
  <c r="K799" i="2"/>
  <c r="L799" i="2"/>
  <c r="M799" i="2"/>
  <c r="N799" i="2"/>
  <c r="O799" i="2"/>
  <c r="P799" i="2"/>
  <c r="Q799" i="2"/>
  <c r="R799" i="2"/>
  <c r="S799" i="2"/>
  <c r="T799" i="2"/>
  <c r="U799" i="2"/>
  <c r="X801" i="2"/>
  <c r="D801" i="2"/>
  <c r="D800" i="2"/>
  <c r="Y800" i="2"/>
  <c r="X800" i="2"/>
  <c r="C801" i="2"/>
  <c r="C800" i="2"/>
  <c r="D1288" i="2"/>
  <c r="E1288" i="2"/>
  <c r="F1288" i="2"/>
  <c r="G1288" i="2"/>
  <c r="H1288" i="2"/>
  <c r="I1288" i="2"/>
  <c r="J1288" i="2"/>
  <c r="K1288" i="2"/>
  <c r="L1288" i="2"/>
  <c r="M1288" i="2"/>
  <c r="N1288" i="2"/>
  <c r="O1288" i="2"/>
  <c r="P1288" i="2"/>
  <c r="Q1288" i="2"/>
  <c r="R1288" i="2"/>
  <c r="S1288" i="2"/>
  <c r="T1288" i="2"/>
  <c r="U1288" i="2"/>
  <c r="V1288" i="2"/>
  <c r="X1289" i="2"/>
  <c r="C1289" i="2"/>
  <c r="C1288" i="2" s="1"/>
  <c r="I1320" i="1"/>
  <c r="J1320" i="1"/>
  <c r="K1320" i="1"/>
  <c r="L1320" i="1"/>
  <c r="M1320" i="1"/>
  <c r="N1320" i="1"/>
  <c r="O1320" i="1"/>
  <c r="P1320" i="1"/>
  <c r="H1320" i="1"/>
  <c r="Q1321" i="1"/>
  <c r="I822" i="1"/>
  <c r="J822" i="1"/>
  <c r="K822" i="1"/>
  <c r="L822" i="1"/>
  <c r="M822" i="1"/>
  <c r="N822" i="1"/>
  <c r="O822" i="1"/>
  <c r="P822" i="1"/>
  <c r="H822" i="1"/>
  <c r="Q823" i="1"/>
  <c r="Q824" i="1"/>
  <c r="I257" i="1"/>
  <c r="J257" i="1"/>
  <c r="K257" i="1"/>
  <c r="L257" i="1"/>
  <c r="M257" i="1"/>
  <c r="N257" i="1"/>
  <c r="O257" i="1"/>
  <c r="P257" i="1"/>
  <c r="H257" i="1"/>
  <c r="Q248" i="1"/>
  <c r="Q249" i="1"/>
  <c r="Q258" i="1"/>
  <c r="Q259" i="1"/>
  <c r="I536" i="1" l="1"/>
  <c r="M536" i="1"/>
  <c r="P536" i="1"/>
  <c r="O536" i="1"/>
  <c r="C13" i="3"/>
  <c r="D13" i="3"/>
  <c r="D133" i="3"/>
  <c r="D132" i="3" s="1"/>
  <c r="M227" i="3"/>
  <c r="M226" i="3" s="1"/>
  <c r="D78" i="3"/>
  <c r="C221" i="3"/>
  <c r="L221" i="3"/>
  <c r="N221" i="3" s="1"/>
  <c r="C111" i="3"/>
  <c r="D111" i="3"/>
  <c r="C204" i="3"/>
  <c r="D204" i="3"/>
  <c r="C133" i="3"/>
  <c r="C132" i="3" s="1"/>
  <c r="M133" i="3"/>
  <c r="M132" i="3" s="1"/>
  <c r="C227" i="3"/>
  <c r="C226" i="3" s="1"/>
  <c r="D227" i="3"/>
  <c r="D226" i="3" s="1"/>
  <c r="C50" i="3"/>
  <c r="D50" i="3"/>
  <c r="C240" i="3"/>
  <c r="D240" i="3"/>
  <c r="H536" i="1"/>
  <c r="K536" i="1"/>
  <c r="C78" i="3"/>
  <c r="D221" i="3"/>
  <c r="J536" i="1"/>
  <c r="D799" i="2"/>
  <c r="D235" i="2"/>
  <c r="Q580" i="1"/>
  <c r="C500" i="2"/>
  <c r="Q578" i="1"/>
  <c r="C498" i="2"/>
  <c r="Q576" i="1"/>
  <c r="C496" i="2"/>
  <c r="Q574" i="1"/>
  <c r="C494" i="2"/>
  <c r="Q572" i="1"/>
  <c r="C492" i="2"/>
  <c r="Q570" i="1"/>
  <c r="C490" i="2"/>
  <c r="Q568" i="1"/>
  <c r="C488" i="2"/>
  <c r="Q566" i="1"/>
  <c r="C486" i="2"/>
  <c r="Q564" i="1"/>
  <c r="C484" i="2"/>
  <c r="Q562" i="1"/>
  <c r="C482" i="2"/>
  <c r="Q558" i="1"/>
  <c r="C478" i="2"/>
  <c r="Q556" i="1"/>
  <c r="C476" i="2"/>
  <c r="Q554" i="1"/>
  <c r="C474" i="2"/>
  <c r="Q552" i="1"/>
  <c r="C472" i="2"/>
  <c r="Q550" i="1"/>
  <c r="C470" i="2"/>
  <c r="Q548" i="1"/>
  <c r="C468" i="2"/>
  <c r="Q559" i="1"/>
  <c r="C479" i="2"/>
  <c r="Q579" i="1"/>
  <c r="C499" i="2"/>
  <c r="Q577" i="1"/>
  <c r="C497" i="2"/>
  <c r="Q575" i="1"/>
  <c r="C495" i="2"/>
  <c r="Q573" i="1"/>
  <c r="C493" i="2"/>
  <c r="Q571" i="1"/>
  <c r="C491" i="2"/>
  <c r="Q569" i="1"/>
  <c r="C489" i="2"/>
  <c r="Q567" i="1"/>
  <c r="C487" i="2"/>
  <c r="Q565" i="1"/>
  <c r="C485" i="2"/>
  <c r="Q563" i="1"/>
  <c r="C483" i="2"/>
  <c r="Q560" i="1"/>
  <c r="C480" i="2"/>
  <c r="Q557" i="1"/>
  <c r="C477" i="2"/>
  <c r="Q555" i="1"/>
  <c r="C475" i="2"/>
  <c r="Q553" i="1"/>
  <c r="C473" i="2"/>
  <c r="Q551" i="1"/>
  <c r="C471" i="2"/>
  <c r="Q549" i="1"/>
  <c r="C469" i="2"/>
  <c r="Q547" i="1"/>
  <c r="C467" i="2"/>
  <c r="Q561" i="1"/>
  <c r="C481" i="2"/>
  <c r="D1391" i="2"/>
  <c r="D901" i="2"/>
  <c r="L545" i="1"/>
  <c r="Q546" i="1"/>
  <c r="C1391" i="2"/>
  <c r="C363" i="2"/>
  <c r="C901" i="2"/>
  <c r="C316" i="2"/>
  <c r="C315" i="2" s="1"/>
  <c r="C799" i="2"/>
  <c r="C248" i="2"/>
  <c r="D248" i="2"/>
  <c r="E248" i="2"/>
  <c r="L216" i="3" l="1"/>
  <c r="M78" i="3"/>
  <c r="L536" i="1"/>
  <c r="C465" i="2"/>
  <c r="C456" i="2" s="1"/>
  <c r="I223" i="3"/>
  <c r="M32" i="3"/>
  <c r="N32" i="3" s="1"/>
  <c r="D32" i="3"/>
  <c r="C32" i="3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C310" i="2"/>
  <c r="C309" i="2" s="1"/>
  <c r="W1346" i="2"/>
  <c r="I1377" i="1"/>
  <c r="J1377" i="1"/>
  <c r="K1377" i="1"/>
  <c r="L1377" i="1"/>
  <c r="M1377" i="1"/>
  <c r="N1377" i="1"/>
  <c r="O1377" i="1"/>
  <c r="P1377" i="1"/>
  <c r="H1377" i="1"/>
  <c r="Q1378" i="1"/>
  <c r="I318" i="1"/>
  <c r="J318" i="1"/>
  <c r="K318" i="1"/>
  <c r="L318" i="1"/>
  <c r="M318" i="1"/>
  <c r="N318" i="1"/>
  <c r="O318" i="1"/>
  <c r="P318" i="1"/>
  <c r="H318" i="1"/>
  <c r="Q319" i="1"/>
  <c r="N242" i="3"/>
  <c r="N280" i="3"/>
  <c r="E1515" i="2"/>
  <c r="F1515" i="2"/>
  <c r="G1515" i="2"/>
  <c r="H1515" i="2"/>
  <c r="I1515" i="2"/>
  <c r="J1515" i="2"/>
  <c r="K1515" i="2"/>
  <c r="L1515" i="2"/>
  <c r="M1515" i="2"/>
  <c r="N1515" i="2"/>
  <c r="O1515" i="2"/>
  <c r="P1515" i="2"/>
  <c r="Q1515" i="2"/>
  <c r="R1515" i="2"/>
  <c r="S1515" i="2"/>
  <c r="T1515" i="2"/>
  <c r="U1515" i="2"/>
  <c r="C1516" i="2"/>
  <c r="C1515" i="2" s="1"/>
  <c r="C416" i="2"/>
  <c r="C415" i="2"/>
  <c r="D224" i="3"/>
  <c r="E224" i="3"/>
  <c r="F224" i="3"/>
  <c r="G224" i="3"/>
  <c r="H224" i="3"/>
  <c r="J224" i="3"/>
  <c r="K224" i="3"/>
  <c r="L224" i="3"/>
  <c r="M224" i="3"/>
  <c r="C224" i="3"/>
  <c r="D130" i="3"/>
  <c r="E130" i="3"/>
  <c r="F130" i="3"/>
  <c r="G130" i="3"/>
  <c r="H130" i="3"/>
  <c r="J130" i="3"/>
  <c r="K130" i="3"/>
  <c r="L130" i="3"/>
  <c r="M130" i="3"/>
  <c r="C130" i="3"/>
  <c r="V858" i="2"/>
  <c r="C860" i="2"/>
  <c r="C1349" i="2"/>
  <c r="AA227" i="2"/>
  <c r="W309" i="2" l="1"/>
  <c r="C223" i="3"/>
  <c r="D223" i="3"/>
  <c r="M223" i="3"/>
  <c r="N223" i="3" s="1"/>
  <c r="AF385" i="2"/>
  <c r="AF384" i="2"/>
  <c r="AF379" i="2"/>
  <c r="AF377" i="2"/>
  <c r="AF378" i="2"/>
  <c r="AF376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83" i="2"/>
  <c r="W382" i="2"/>
  <c r="W381" i="2"/>
  <c r="W380" i="2"/>
  <c r="C377" i="2"/>
  <c r="C378" i="2"/>
  <c r="C379" i="2"/>
  <c r="C380" i="2"/>
  <c r="C381" i="2"/>
  <c r="C382" i="2"/>
  <c r="C383" i="2"/>
  <c r="C384" i="2"/>
  <c r="C385" i="2"/>
  <c r="C376" i="2"/>
  <c r="D913" i="2"/>
  <c r="E913" i="2"/>
  <c r="F913" i="2"/>
  <c r="G913" i="2"/>
  <c r="H913" i="2"/>
  <c r="I913" i="2"/>
  <c r="J913" i="2"/>
  <c r="K913" i="2"/>
  <c r="L913" i="2"/>
  <c r="N913" i="2"/>
  <c r="O913" i="2"/>
  <c r="P913" i="2"/>
  <c r="Q913" i="2"/>
  <c r="R913" i="2"/>
  <c r="S913" i="2"/>
  <c r="T913" i="2"/>
  <c r="U913" i="2"/>
  <c r="C915" i="2"/>
  <c r="M915" i="2" s="1"/>
  <c r="AF915" i="2" s="1"/>
  <c r="C916" i="2"/>
  <c r="M916" i="2" s="1"/>
  <c r="AF916" i="2" s="1"/>
  <c r="C917" i="2"/>
  <c r="M917" i="2" s="1"/>
  <c r="AF917" i="2" s="1"/>
  <c r="C918" i="2"/>
  <c r="M918" i="2" s="1"/>
  <c r="AF918" i="2" s="1"/>
  <c r="C919" i="2"/>
  <c r="M919" i="2" s="1"/>
  <c r="AF919" i="2" s="1"/>
  <c r="C914" i="2"/>
  <c r="C1405" i="2"/>
  <c r="O1405" i="2" s="1"/>
  <c r="C1406" i="2"/>
  <c r="O1406" i="2" s="1"/>
  <c r="C1407" i="2"/>
  <c r="O1407" i="2" s="1"/>
  <c r="C1408" i="2"/>
  <c r="O1408" i="2" s="1"/>
  <c r="C1409" i="2"/>
  <c r="O1409" i="2" s="1"/>
  <c r="C1410" i="2"/>
  <c r="O1410" i="2" s="1"/>
  <c r="C1411" i="2"/>
  <c r="O1411" i="2" s="1"/>
  <c r="C1412" i="2"/>
  <c r="O1412" i="2" s="1"/>
  <c r="C1413" i="2"/>
  <c r="O1413" i="2" s="1"/>
  <c r="C1414" i="2"/>
  <c r="O1414" i="2" s="1"/>
  <c r="C1404" i="2"/>
  <c r="O1404" i="2" s="1"/>
  <c r="D1403" i="2"/>
  <c r="E1403" i="2"/>
  <c r="F1403" i="2"/>
  <c r="G1403" i="2"/>
  <c r="H1403" i="2"/>
  <c r="I1403" i="2"/>
  <c r="J1403" i="2"/>
  <c r="K1403" i="2"/>
  <c r="L1403" i="2"/>
  <c r="M1403" i="2"/>
  <c r="N1403" i="2"/>
  <c r="P1403" i="2"/>
  <c r="Q1403" i="2"/>
  <c r="R1403" i="2"/>
  <c r="S1403" i="2"/>
  <c r="T1403" i="2"/>
  <c r="U1403" i="2"/>
  <c r="V1403" i="2"/>
  <c r="I1435" i="1"/>
  <c r="K1435" i="1"/>
  <c r="L1435" i="1"/>
  <c r="M1435" i="1"/>
  <c r="N1435" i="1"/>
  <c r="P1435" i="1"/>
  <c r="H1435" i="1"/>
  <c r="Q1445" i="1"/>
  <c r="Q1446" i="1"/>
  <c r="O1445" i="1"/>
  <c r="O1446" i="1"/>
  <c r="I938" i="1"/>
  <c r="K938" i="1"/>
  <c r="L938" i="1"/>
  <c r="M938" i="1"/>
  <c r="N938" i="1"/>
  <c r="P938" i="1"/>
  <c r="H938" i="1"/>
  <c r="O391" i="1"/>
  <c r="Q391" i="1"/>
  <c r="H385" i="1"/>
  <c r="J393" i="1"/>
  <c r="O1403" i="2" l="1"/>
  <c r="C375" i="2"/>
  <c r="C1403" i="2"/>
  <c r="C913" i="2"/>
  <c r="M914" i="2"/>
  <c r="V1290" i="2"/>
  <c r="C1293" i="2"/>
  <c r="C1294" i="2"/>
  <c r="C1295" i="2"/>
  <c r="C1292" i="2"/>
  <c r="C805" i="2"/>
  <c r="C804" i="2"/>
  <c r="C254" i="2"/>
  <c r="C255" i="2"/>
  <c r="C256" i="2"/>
  <c r="C257" i="2"/>
  <c r="C258" i="2"/>
  <c r="C259" i="2"/>
  <c r="C253" i="2"/>
  <c r="M913" i="2" l="1"/>
  <c r="AF914" i="2"/>
  <c r="W1425" i="2"/>
  <c r="W1426" i="2"/>
  <c r="W1424" i="2"/>
  <c r="H949" i="1"/>
  <c r="H909" i="1"/>
  <c r="C143" i="3" l="1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U524" i="2"/>
  <c r="V524" i="2"/>
  <c r="W525" i="2"/>
  <c r="C525" i="2"/>
  <c r="C524" i="2" s="1"/>
  <c r="E18" i="3" l="1"/>
  <c r="F18" i="3"/>
  <c r="G18" i="3"/>
  <c r="H18" i="3"/>
  <c r="J18" i="3"/>
  <c r="K18" i="3"/>
  <c r="L18" i="3"/>
  <c r="W1303" i="2"/>
  <c r="W1302" i="2"/>
  <c r="AA1301" i="2"/>
  <c r="D1302" i="2"/>
  <c r="D1303" i="2"/>
  <c r="D1301" i="2"/>
  <c r="E1299" i="2"/>
  <c r="F1299" i="2"/>
  <c r="G1299" i="2"/>
  <c r="H1299" i="2"/>
  <c r="I1299" i="2"/>
  <c r="J1299" i="2"/>
  <c r="K1299" i="2"/>
  <c r="L1299" i="2"/>
  <c r="M1299" i="2"/>
  <c r="N1299" i="2"/>
  <c r="O1299" i="2"/>
  <c r="P1299" i="2"/>
  <c r="Q1299" i="2"/>
  <c r="R1299" i="2"/>
  <c r="S1299" i="2"/>
  <c r="T1299" i="2"/>
  <c r="U1299" i="2"/>
  <c r="C1302" i="2"/>
  <c r="C1303" i="2"/>
  <c r="C1301" i="2"/>
  <c r="Y817" i="2"/>
  <c r="W817" i="2"/>
  <c r="AD816" i="2"/>
  <c r="AB816" i="2"/>
  <c r="AA816" i="2"/>
  <c r="Y816" i="2"/>
  <c r="W815" i="2"/>
  <c r="AD814" i="2"/>
  <c r="AB814" i="2"/>
  <c r="AA814" i="2"/>
  <c r="Y814" i="2"/>
  <c r="D814" i="2"/>
  <c r="D815" i="2"/>
  <c r="D816" i="2"/>
  <c r="D817" i="2"/>
  <c r="D813" i="2"/>
  <c r="E812" i="2"/>
  <c r="F812" i="2"/>
  <c r="G812" i="2"/>
  <c r="H812" i="2"/>
  <c r="I812" i="2"/>
  <c r="J812" i="2"/>
  <c r="K812" i="2"/>
  <c r="L812" i="2"/>
  <c r="M812" i="2"/>
  <c r="N812" i="2"/>
  <c r="O812" i="2"/>
  <c r="P812" i="2"/>
  <c r="Q812" i="2"/>
  <c r="R812" i="2"/>
  <c r="S812" i="2"/>
  <c r="T812" i="2"/>
  <c r="U812" i="2"/>
  <c r="C814" i="2"/>
  <c r="C815" i="2"/>
  <c r="C816" i="2"/>
  <c r="C817" i="2"/>
  <c r="C813" i="2"/>
  <c r="X271" i="2"/>
  <c r="W269" i="2"/>
  <c r="X268" i="2"/>
  <c r="X267" i="2"/>
  <c r="W266" i="2"/>
  <c r="W265" i="2"/>
  <c r="W264" i="2"/>
  <c r="W263" i="2"/>
  <c r="AD262" i="2"/>
  <c r="AB262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C263" i="2"/>
  <c r="C264" i="2"/>
  <c r="C265" i="2"/>
  <c r="C266" i="2"/>
  <c r="C267" i="2"/>
  <c r="C268" i="2"/>
  <c r="C269" i="2"/>
  <c r="C270" i="2"/>
  <c r="C271" i="2"/>
  <c r="C262" i="2"/>
  <c r="D263" i="2"/>
  <c r="D264" i="2"/>
  <c r="D265" i="2"/>
  <c r="D266" i="2"/>
  <c r="D267" i="2"/>
  <c r="D268" i="2"/>
  <c r="D269" i="2"/>
  <c r="D270" i="2"/>
  <c r="D271" i="2"/>
  <c r="D262" i="2"/>
  <c r="D208" i="3"/>
  <c r="D207" i="3" s="1"/>
  <c r="M208" i="3"/>
  <c r="M207" i="3" s="1"/>
  <c r="C208" i="3"/>
  <c r="O1334" i="1"/>
  <c r="O1335" i="1"/>
  <c r="J1335" i="1"/>
  <c r="J1334" i="1"/>
  <c r="J1333" i="1"/>
  <c r="O837" i="1"/>
  <c r="O838" i="1"/>
  <c r="O839" i="1"/>
  <c r="O840" i="1"/>
  <c r="J840" i="1"/>
  <c r="J839" i="1"/>
  <c r="J838" i="1"/>
  <c r="J837" i="1"/>
  <c r="J836" i="1"/>
  <c r="Q274" i="1"/>
  <c r="Q275" i="1"/>
  <c r="Q276" i="1"/>
  <c r="Q277" i="1"/>
  <c r="Q278" i="1"/>
  <c r="O280" i="1"/>
  <c r="O279" i="1"/>
  <c r="O272" i="1"/>
  <c r="O273" i="1"/>
  <c r="O274" i="1"/>
  <c r="O275" i="1"/>
  <c r="O276" i="1"/>
  <c r="O278" i="1"/>
  <c r="J280" i="1"/>
  <c r="J279" i="1"/>
  <c r="J278" i="1"/>
  <c r="J277" i="1"/>
  <c r="J276" i="1"/>
  <c r="J275" i="1"/>
  <c r="J274" i="1"/>
  <c r="J273" i="1"/>
  <c r="J272" i="1"/>
  <c r="J271" i="1"/>
  <c r="J1332" i="1" l="1"/>
  <c r="D1300" i="2"/>
  <c r="C1300" i="2"/>
  <c r="C1299" i="2" s="1"/>
  <c r="C261" i="2"/>
  <c r="C812" i="2"/>
  <c r="D1299" i="2"/>
  <c r="D812" i="2"/>
  <c r="D261" i="2"/>
  <c r="V857" i="2"/>
  <c r="W1344" i="2"/>
  <c r="D1343" i="2"/>
  <c r="E1343" i="2"/>
  <c r="F1343" i="2"/>
  <c r="G1343" i="2"/>
  <c r="H1343" i="2"/>
  <c r="I1343" i="2"/>
  <c r="J1343" i="2"/>
  <c r="K1343" i="2"/>
  <c r="L1343" i="2"/>
  <c r="M1343" i="2"/>
  <c r="N1343" i="2"/>
  <c r="O1343" i="2"/>
  <c r="P1343" i="2"/>
  <c r="Q1343" i="2"/>
  <c r="R1343" i="2"/>
  <c r="S1343" i="2"/>
  <c r="T1343" i="2"/>
  <c r="U1343" i="2"/>
  <c r="C1343" i="2"/>
  <c r="N260" i="3"/>
  <c r="N71" i="3"/>
  <c r="E1457" i="2"/>
  <c r="F1457" i="2"/>
  <c r="G1457" i="2"/>
  <c r="H1457" i="2"/>
  <c r="I1457" i="2"/>
  <c r="J1457" i="2"/>
  <c r="K1457" i="2"/>
  <c r="L1457" i="2"/>
  <c r="M1457" i="2"/>
  <c r="N1457" i="2"/>
  <c r="O1457" i="2"/>
  <c r="P1457" i="2"/>
  <c r="Q1457" i="2"/>
  <c r="R1457" i="2"/>
  <c r="S1457" i="2"/>
  <c r="T1457" i="2"/>
  <c r="U1457" i="2"/>
  <c r="AB1458" i="2"/>
  <c r="D1458" i="2"/>
  <c r="D1457" i="2" s="1"/>
  <c r="C1458" i="2"/>
  <c r="C1457" i="2" s="1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9" i="2"/>
  <c r="C439" i="2"/>
  <c r="C438" i="2" s="1"/>
  <c r="D1499" i="2"/>
  <c r="E1499" i="2"/>
  <c r="F1499" i="2"/>
  <c r="G1499" i="2"/>
  <c r="H1499" i="2"/>
  <c r="I1499" i="2"/>
  <c r="J1499" i="2"/>
  <c r="K1499" i="2"/>
  <c r="L1499" i="2"/>
  <c r="M1499" i="2"/>
  <c r="N1499" i="2"/>
  <c r="O1499" i="2"/>
  <c r="P1499" i="2"/>
  <c r="Q1499" i="2"/>
  <c r="R1499" i="2"/>
  <c r="S1499" i="2"/>
  <c r="T1499" i="2"/>
  <c r="U1499" i="2"/>
  <c r="H1523" i="1"/>
  <c r="I1523" i="1"/>
  <c r="J1523" i="1"/>
  <c r="K1523" i="1"/>
  <c r="L1523" i="1"/>
  <c r="M1523" i="1"/>
  <c r="N1523" i="1"/>
  <c r="O1523" i="1"/>
  <c r="P1523" i="1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C304" i="2"/>
  <c r="C303" i="2" s="1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U851" i="2"/>
  <c r="V851" i="2"/>
  <c r="W852" i="2"/>
  <c r="C852" i="2"/>
  <c r="C851" i="2" s="1"/>
  <c r="W1339" i="2"/>
  <c r="W1338" i="2"/>
  <c r="D1337" i="2"/>
  <c r="E1337" i="2"/>
  <c r="F1337" i="2"/>
  <c r="G1337" i="2"/>
  <c r="H1337" i="2"/>
  <c r="I1337" i="2"/>
  <c r="J1337" i="2"/>
  <c r="K1337" i="2"/>
  <c r="L1337" i="2"/>
  <c r="M1337" i="2"/>
  <c r="N1337" i="2"/>
  <c r="O1337" i="2"/>
  <c r="P1337" i="2"/>
  <c r="Q1337" i="2"/>
  <c r="R1337" i="2"/>
  <c r="S1337" i="2"/>
  <c r="T1337" i="2"/>
  <c r="U1337" i="2"/>
  <c r="V1337" i="2"/>
  <c r="C1339" i="2"/>
  <c r="C1338" i="2"/>
  <c r="I874" i="1"/>
  <c r="J874" i="1"/>
  <c r="K874" i="1"/>
  <c r="L874" i="1"/>
  <c r="M874" i="1"/>
  <c r="N874" i="1"/>
  <c r="P874" i="1"/>
  <c r="H874" i="1"/>
  <c r="I312" i="1"/>
  <c r="J312" i="1"/>
  <c r="K312" i="1"/>
  <c r="L312" i="1"/>
  <c r="M312" i="1"/>
  <c r="N312" i="1"/>
  <c r="P312" i="1"/>
  <c r="H312" i="1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C300" i="2"/>
  <c r="C299" i="2" s="1"/>
  <c r="W847" i="2"/>
  <c r="W848" i="2"/>
  <c r="W846" i="2"/>
  <c r="D845" i="2"/>
  <c r="E845" i="2"/>
  <c r="F845" i="2"/>
  <c r="G845" i="2"/>
  <c r="H845" i="2"/>
  <c r="I845" i="2"/>
  <c r="J845" i="2"/>
  <c r="K845" i="2"/>
  <c r="L845" i="2"/>
  <c r="M845" i="2"/>
  <c r="N845" i="2"/>
  <c r="O845" i="2"/>
  <c r="P845" i="2"/>
  <c r="Q845" i="2"/>
  <c r="R845" i="2"/>
  <c r="S845" i="2"/>
  <c r="T845" i="2"/>
  <c r="U845" i="2"/>
  <c r="C847" i="2"/>
  <c r="C848" i="2"/>
  <c r="C846" i="2"/>
  <c r="W1334" i="2"/>
  <c r="D1333" i="2"/>
  <c r="E1333" i="2"/>
  <c r="F1333" i="2"/>
  <c r="G1333" i="2"/>
  <c r="H1333" i="2"/>
  <c r="I1333" i="2"/>
  <c r="J1333" i="2"/>
  <c r="K1333" i="2"/>
  <c r="L1333" i="2"/>
  <c r="M1333" i="2"/>
  <c r="N1333" i="2"/>
  <c r="O1333" i="2"/>
  <c r="P1333" i="2"/>
  <c r="Q1333" i="2"/>
  <c r="R1333" i="2"/>
  <c r="S1333" i="2"/>
  <c r="T1333" i="2"/>
  <c r="U1333" i="2"/>
  <c r="V1333" i="2"/>
  <c r="C1334" i="2"/>
  <c r="C1333" i="2" s="1"/>
  <c r="I1365" i="1"/>
  <c r="J1365" i="1"/>
  <c r="K1365" i="1"/>
  <c r="L1365" i="1"/>
  <c r="M1365" i="1"/>
  <c r="N1365" i="1"/>
  <c r="O1365" i="1"/>
  <c r="H1365" i="1"/>
  <c r="I308" i="1"/>
  <c r="J308" i="1"/>
  <c r="K308" i="1"/>
  <c r="L308" i="1"/>
  <c r="M308" i="1"/>
  <c r="N308" i="1"/>
  <c r="O308" i="1"/>
  <c r="H308" i="1"/>
  <c r="Q1271" i="1"/>
  <c r="Q1272" i="1"/>
  <c r="Q1273" i="1"/>
  <c r="W1238" i="2"/>
  <c r="W1239" i="2"/>
  <c r="W1240" i="2"/>
  <c r="W1237" i="2"/>
  <c r="D1236" i="2"/>
  <c r="E1236" i="2"/>
  <c r="F1236" i="2"/>
  <c r="G1236" i="2"/>
  <c r="H1236" i="2"/>
  <c r="I1236" i="2"/>
  <c r="J1236" i="2"/>
  <c r="K1236" i="2"/>
  <c r="L1236" i="2"/>
  <c r="M1236" i="2"/>
  <c r="N1236" i="2"/>
  <c r="O1236" i="2"/>
  <c r="P1236" i="2"/>
  <c r="Q1236" i="2"/>
  <c r="R1236" i="2"/>
  <c r="S1236" i="2"/>
  <c r="T1236" i="2"/>
  <c r="U1236" i="2"/>
  <c r="V1236" i="2"/>
  <c r="C1238" i="2"/>
  <c r="C1239" i="2"/>
  <c r="C1240" i="2"/>
  <c r="C1237" i="2"/>
  <c r="W749" i="2"/>
  <c r="W748" i="2"/>
  <c r="C749" i="2"/>
  <c r="C748" i="2"/>
  <c r="D747" i="2"/>
  <c r="E747" i="2"/>
  <c r="F747" i="2"/>
  <c r="G747" i="2"/>
  <c r="H747" i="2"/>
  <c r="I747" i="2"/>
  <c r="J747" i="2"/>
  <c r="K747" i="2"/>
  <c r="L747" i="2"/>
  <c r="M747" i="2"/>
  <c r="N747" i="2"/>
  <c r="O747" i="2"/>
  <c r="P747" i="2"/>
  <c r="Q747" i="2"/>
  <c r="R747" i="2"/>
  <c r="S747" i="2"/>
  <c r="T747" i="2"/>
  <c r="U747" i="2"/>
  <c r="W198" i="2"/>
  <c r="W199" i="2"/>
  <c r="W200" i="2"/>
  <c r="W201" i="2"/>
  <c r="W202" i="2"/>
  <c r="W203" i="2"/>
  <c r="W204" i="2"/>
  <c r="W205" i="2"/>
  <c r="W206" i="2"/>
  <c r="W207" i="2"/>
  <c r="W208" i="2"/>
  <c r="W197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C198" i="2"/>
  <c r="C199" i="2"/>
  <c r="C200" i="2"/>
  <c r="C201" i="2"/>
  <c r="C202" i="2"/>
  <c r="C203" i="2"/>
  <c r="C204" i="2"/>
  <c r="C205" i="2"/>
  <c r="C206" i="2"/>
  <c r="C207" i="2"/>
  <c r="C208" i="2"/>
  <c r="C197" i="2"/>
  <c r="I1269" i="1"/>
  <c r="J1269" i="1"/>
  <c r="K1269" i="1"/>
  <c r="L1269" i="1"/>
  <c r="M1269" i="1"/>
  <c r="N1269" i="1"/>
  <c r="P1269" i="1"/>
  <c r="H1269" i="1"/>
  <c r="I770" i="1"/>
  <c r="J770" i="1"/>
  <c r="K770" i="1"/>
  <c r="D108" i="3" s="1"/>
  <c r="L770" i="1"/>
  <c r="M108" i="3" s="1"/>
  <c r="N108" i="3" s="1"/>
  <c r="M770" i="1"/>
  <c r="N770" i="1"/>
  <c r="P770" i="1"/>
  <c r="H770" i="1"/>
  <c r="C108" i="3" s="1"/>
  <c r="I207" i="1"/>
  <c r="J207" i="1"/>
  <c r="K207" i="1"/>
  <c r="L207" i="1"/>
  <c r="M207" i="1"/>
  <c r="N207" i="1"/>
  <c r="P207" i="1"/>
  <c r="H207" i="1"/>
  <c r="Q210" i="1"/>
  <c r="Q211" i="1"/>
  <c r="Q212" i="1"/>
  <c r="Q213" i="1"/>
  <c r="Q214" i="1"/>
  <c r="Q215" i="1"/>
  <c r="Q216" i="1"/>
  <c r="Q217" i="1"/>
  <c r="Q218" i="1"/>
  <c r="Q219" i="1"/>
  <c r="Q208" i="1"/>
  <c r="M10" i="3" l="1"/>
  <c r="N10" i="3" s="1"/>
  <c r="C201" i="3"/>
  <c r="M201" i="3"/>
  <c r="N201" i="3" s="1"/>
  <c r="C126" i="3"/>
  <c r="M126" i="3"/>
  <c r="D201" i="3"/>
  <c r="D126" i="3"/>
  <c r="W299" i="2"/>
  <c r="W303" i="2"/>
  <c r="D217" i="3"/>
  <c r="C217" i="3"/>
  <c r="M217" i="3"/>
  <c r="C1337" i="2"/>
  <c r="C845" i="2"/>
  <c r="C196" i="2"/>
  <c r="C1236" i="2"/>
  <c r="C747" i="2"/>
  <c r="W325" i="2"/>
  <c r="W324" i="2"/>
  <c r="C325" i="2"/>
  <c r="C324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AA868" i="2"/>
  <c r="W867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U866" i="2"/>
  <c r="V866" i="2"/>
  <c r="D868" i="2"/>
  <c r="D867" i="2"/>
  <c r="C868" i="2"/>
  <c r="C867" i="2"/>
  <c r="D1355" i="2"/>
  <c r="E1355" i="2"/>
  <c r="F1355" i="2"/>
  <c r="G1355" i="2"/>
  <c r="H1355" i="2"/>
  <c r="I1355" i="2"/>
  <c r="J1355" i="2"/>
  <c r="K1355" i="2"/>
  <c r="L1355" i="2"/>
  <c r="M1355" i="2"/>
  <c r="N1355" i="2"/>
  <c r="O1355" i="2"/>
  <c r="P1355" i="2"/>
  <c r="Q1355" i="2"/>
  <c r="R1355" i="2"/>
  <c r="S1355" i="2"/>
  <c r="T1355" i="2"/>
  <c r="U1355" i="2"/>
  <c r="W1356" i="2"/>
  <c r="C1356" i="2"/>
  <c r="C1355" i="2" s="1"/>
  <c r="I1387" i="1"/>
  <c r="J1387" i="1"/>
  <c r="K1387" i="1"/>
  <c r="L1387" i="1"/>
  <c r="M1387" i="1"/>
  <c r="N1387" i="1"/>
  <c r="P1387" i="1"/>
  <c r="H1387" i="1"/>
  <c r="I890" i="1"/>
  <c r="J890" i="1"/>
  <c r="K890" i="1"/>
  <c r="L890" i="1"/>
  <c r="M890" i="1"/>
  <c r="N890" i="1"/>
  <c r="P890" i="1"/>
  <c r="H890" i="1"/>
  <c r="I332" i="1"/>
  <c r="J332" i="1"/>
  <c r="K332" i="1"/>
  <c r="L332" i="1"/>
  <c r="M332" i="1"/>
  <c r="N332" i="1"/>
  <c r="P332" i="1"/>
  <c r="H332" i="1"/>
  <c r="D117" i="3"/>
  <c r="C117" i="3"/>
  <c r="D819" i="2"/>
  <c r="E819" i="2"/>
  <c r="F819" i="2"/>
  <c r="G819" i="2"/>
  <c r="H819" i="2"/>
  <c r="I819" i="2"/>
  <c r="J819" i="2"/>
  <c r="K819" i="2"/>
  <c r="L819" i="2"/>
  <c r="M819" i="2"/>
  <c r="N819" i="2"/>
  <c r="O819" i="2"/>
  <c r="P819" i="2"/>
  <c r="Q819" i="2"/>
  <c r="R819" i="2"/>
  <c r="S819" i="2"/>
  <c r="T819" i="2"/>
  <c r="U819" i="2"/>
  <c r="V819" i="2"/>
  <c r="W820" i="2"/>
  <c r="C820" i="2"/>
  <c r="C819" i="2" s="1"/>
  <c r="Q843" i="1"/>
  <c r="C215" i="3"/>
  <c r="M122" i="3"/>
  <c r="D1329" i="2"/>
  <c r="D1328" i="2" s="1"/>
  <c r="E1329" i="2"/>
  <c r="E1328" i="2" s="1"/>
  <c r="F1329" i="2"/>
  <c r="F1328" i="2" s="1"/>
  <c r="G1329" i="2"/>
  <c r="G1328" i="2" s="1"/>
  <c r="H1329" i="2"/>
  <c r="H1328" i="2" s="1"/>
  <c r="I1329" i="2"/>
  <c r="I1328" i="2" s="1"/>
  <c r="J1329" i="2"/>
  <c r="J1328" i="2" s="1"/>
  <c r="K1329" i="2"/>
  <c r="K1328" i="2" s="1"/>
  <c r="L1329" i="2"/>
  <c r="L1328" i="2" s="1"/>
  <c r="M1329" i="2"/>
  <c r="M1328" i="2" s="1"/>
  <c r="N1329" i="2"/>
  <c r="N1328" i="2" s="1"/>
  <c r="O1329" i="2"/>
  <c r="O1328" i="2" s="1"/>
  <c r="P1329" i="2"/>
  <c r="P1328" i="2" s="1"/>
  <c r="Q1329" i="2"/>
  <c r="Q1328" i="2" s="1"/>
  <c r="R1329" i="2"/>
  <c r="R1328" i="2" s="1"/>
  <c r="S1329" i="2"/>
  <c r="S1328" i="2" s="1"/>
  <c r="T1329" i="2"/>
  <c r="T1328" i="2" s="1"/>
  <c r="U1329" i="2"/>
  <c r="U1328" i="2" s="1"/>
  <c r="V1329" i="2"/>
  <c r="W1330" i="2"/>
  <c r="C1330" i="2"/>
  <c r="C1329" i="2" s="1"/>
  <c r="C1328" i="2" s="1"/>
  <c r="W842" i="2"/>
  <c r="D841" i="2"/>
  <c r="E841" i="2"/>
  <c r="F841" i="2"/>
  <c r="G841" i="2"/>
  <c r="H841" i="2"/>
  <c r="I841" i="2"/>
  <c r="J841" i="2"/>
  <c r="K841" i="2"/>
  <c r="L841" i="2"/>
  <c r="M841" i="2"/>
  <c r="N841" i="2"/>
  <c r="O841" i="2"/>
  <c r="P841" i="2"/>
  <c r="Q841" i="2"/>
  <c r="R841" i="2"/>
  <c r="S841" i="2"/>
  <c r="T841" i="2"/>
  <c r="U841" i="2"/>
  <c r="C842" i="2"/>
  <c r="C841" i="2" s="1"/>
  <c r="X297" i="2"/>
  <c r="W297" i="2"/>
  <c r="W296" i="2"/>
  <c r="I1361" i="1"/>
  <c r="J1361" i="1"/>
  <c r="K1361" i="1"/>
  <c r="L1361" i="1"/>
  <c r="M1361" i="1"/>
  <c r="N1361" i="1"/>
  <c r="O1361" i="1"/>
  <c r="P1361" i="1"/>
  <c r="H1361" i="1"/>
  <c r="Q1362" i="1"/>
  <c r="I864" i="1"/>
  <c r="J864" i="1"/>
  <c r="K864" i="1"/>
  <c r="L864" i="1"/>
  <c r="M864" i="1"/>
  <c r="N864" i="1"/>
  <c r="O864" i="1"/>
  <c r="P864" i="1"/>
  <c r="H864" i="1"/>
  <c r="Q865" i="1"/>
  <c r="W1405" i="2"/>
  <c r="W1406" i="2"/>
  <c r="W1407" i="2"/>
  <c r="W1408" i="2"/>
  <c r="W1409" i="2"/>
  <c r="W1410" i="2"/>
  <c r="W1411" i="2"/>
  <c r="W1412" i="2"/>
  <c r="W1413" i="2"/>
  <c r="W1414" i="2"/>
  <c r="W1404" i="2"/>
  <c r="J1446" i="1"/>
  <c r="J1445" i="1"/>
  <c r="J1444" i="1"/>
  <c r="J1443" i="1"/>
  <c r="J1442" i="1"/>
  <c r="J1441" i="1"/>
  <c r="J1440" i="1"/>
  <c r="J1439" i="1"/>
  <c r="J944" i="1"/>
  <c r="J943" i="1"/>
  <c r="J941" i="1"/>
  <c r="J940" i="1"/>
  <c r="J939" i="1"/>
  <c r="D152" i="3"/>
  <c r="M152" i="3"/>
  <c r="I385" i="1"/>
  <c r="K385" i="1"/>
  <c r="M385" i="1"/>
  <c r="N385" i="1"/>
  <c r="P385" i="1"/>
  <c r="Q395" i="1"/>
  <c r="O394" i="1"/>
  <c r="O395" i="1"/>
  <c r="J395" i="1"/>
  <c r="J394" i="1"/>
  <c r="J392" i="1"/>
  <c r="L385" i="1"/>
  <c r="J389" i="1"/>
  <c r="J388" i="1"/>
  <c r="J387" i="1"/>
  <c r="J386" i="1"/>
  <c r="C56" i="3"/>
  <c r="AC1278" i="2"/>
  <c r="W1277" i="2"/>
  <c r="AD1276" i="2"/>
  <c r="V1275" i="2"/>
  <c r="D1276" i="2"/>
  <c r="D1277" i="2"/>
  <c r="D1278" i="2"/>
  <c r="C1277" i="2"/>
  <c r="C1278" i="2"/>
  <c r="C1276" i="2"/>
  <c r="W788" i="2"/>
  <c r="W789" i="2"/>
  <c r="W790" i="2"/>
  <c r="W791" i="2"/>
  <c r="W787" i="2"/>
  <c r="D786" i="2"/>
  <c r="E786" i="2"/>
  <c r="F786" i="2"/>
  <c r="G786" i="2"/>
  <c r="H786" i="2"/>
  <c r="I786" i="2"/>
  <c r="J786" i="2"/>
  <c r="K786" i="2"/>
  <c r="L786" i="2"/>
  <c r="M786" i="2"/>
  <c r="N786" i="2"/>
  <c r="O786" i="2"/>
  <c r="P786" i="2"/>
  <c r="Q786" i="2"/>
  <c r="R786" i="2"/>
  <c r="S786" i="2"/>
  <c r="T786" i="2"/>
  <c r="U786" i="2"/>
  <c r="C788" i="2"/>
  <c r="C789" i="2"/>
  <c r="C790" i="2"/>
  <c r="C791" i="2"/>
  <c r="C787" i="2"/>
  <c r="W238" i="2"/>
  <c r="W237" i="2"/>
  <c r="W236" i="2"/>
  <c r="C237" i="2"/>
  <c r="C238" i="2"/>
  <c r="C236" i="2"/>
  <c r="I1308" i="1"/>
  <c r="J1308" i="1"/>
  <c r="K1308" i="1"/>
  <c r="L1308" i="1"/>
  <c r="N1308" i="1"/>
  <c r="P1308" i="1"/>
  <c r="H1308" i="1"/>
  <c r="I809" i="1"/>
  <c r="J809" i="1"/>
  <c r="K809" i="1"/>
  <c r="L809" i="1"/>
  <c r="N809" i="1"/>
  <c r="P809" i="1"/>
  <c r="H809" i="1"/>
  <c r="M203" i="3" l="1"/>
  <c r="M110" i="3"/>
  <c r="C203" i="3"/>
  <c r="D203" i="3"/>
  <c r="D56" i="3"/>
  <c r="M215" i="3"/>
  <c r="C135" i="3"/>
  <c r="M135" i="3"/>
  <c r="C229" i="3"/>
  <c r="M229" i="3"/>
  <c r="C110" i="3"/>
  <c r="D110" i="3"/>
  <c r="C122" i="3"/>
  <c r="D122" i="3"/>
  <c r="D215" i="3"/>
  <c r="D135" i="3"/>
  <c r="D229" i="3"/>
  <c r="D1275" i="2"/>
  <c r="C235" i="2"/>
  <c r="C1275" i="2"/>
  <c r="D866" i="2"/>
  <c r="J1435" i="1"/>
  <c r="J938" i="1"/>
  <c r="C866" i="2"/>
  <c r="C323" i="2"/>
  <c r="J385" i="1"/>
  <c r="C786" i="2"/>
  <c r="D12" i="3" l="1"/>
  <c r="C12" i="3"/>
  <c r="D1423" i="2"/>
  <c r="E1423" i="2"/>
  <c r="F1423" i="2"/>
  <c r="G1423" i="2"/>
  <c r="H1423" i="2"/>
  <c r="I1423" i="2"/>
  <c r="J1423" i="2"/>
  <c r="K1423" i="2"/>
  <c r="L1423" i="2"/>
  <c r="M1423" i="2"/>
  <c r="N1423" i="2"/>
  <c r="O1423" i="2"/>
  <c r="P1423" i="2"/>
  <c r="Q1423" i="2"/>
  <c r="R1423" i="2"/>
  <c r="S1423" i="2"/>
  <c r="T1423" i="2"/>
  <c r="U1423" i="2"/>
  <c r="C1425" i="2"/>
  <c r="C1426" i="2"/>
  <c r="C1424" i="2"/>
  <c r="W936" i="2"/>
  <c r="W937" i="2"/>
  <c r="W938" i="2"/>
  <c r="W935" i="2"/>
  <c r="D934" i="2"/>
  <c r="E934" i="2"/>
  <c r="F934" i="2"/>
  <c r="G934" i="2"/>
  <c r="H934" i="2"/>
  <c r="I934" i="2"/>
  <c r="J934" i="2"/>
  <c r="K934" i="2"/>
  <c r="L934" i="2"/>
  <c r="M934" i="2"/>
  <c r="N934" i="2"/>
  <c r="O934" i="2"/>
  <c r="P934" i="2"/>
  <c r="Q934" i="2"/>
  <c r="R934" i="2"/>
  <c r="S934" i="2"/>
  <c r="T934" i="2"/>
  <c r="U934" i="2"/>
  <c r="V934" i="2"/>
  <c r="C936" i="2"/>
  <c r="C937" i="2"/>
  <c r="C938" i="2"/>
  <c r="C935" i="2"/>
  <c r="I405" i="1"/>
  <c r="J405" i="1"/>
  <c r="K405" i="1"/>
  <c r="L405" i="1"/>
  <c r="M405" i="1"/>
  <c r="N405" i="1"/>
  <c r="P405" i="1"/>
  <c r="H405" i="1"/>
  <c r="W402" i="2"/>
  <c r="W403" i="2"/>
  <c r="W404" i="2"/>
  <c r="W401" i="2"/>
  <c r="D402" i="2"/>
  <c r="D403" i="2"/>
  <c r="D404" i="2"/>
  <c r="D401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C402" i="2"/>
  <c r="C403" i="2"/>
  <c r="C404" i="2"/>
  <c r="C401" i="2"/>
  <c r="C1423" i="2" l="1"/>
  <c r="C400" i="2"/>
  <c r="C934" i="2"/>
  <c r="D400" i="2"/>
  <c r="O1453" i="1" l="1"/>
  <c r="O1454" i="1"/>
  <c r="O1452" i="1"/>
  <c r="I1451" i="1"/>
  <c r="J1451" i="1"/>
  <c r="K1451" i="1"/>
  <c r="L1451" i="1"/>
  <c r="M1451" i="1"/>
  <c r="N1451" i="1"/>
  <c r="P1451" i="1"/>
  <c r="H1451" i="1"/>
  <c r="Q1454" i="1"/>
  <c r="Q1453" i="1"/>
  <c r="Q1452" i="1"/>
  <c r="O951" i="1"/>
  <c r="O952" i="1"/>
  <c r="O953" i="1"/>
  <c r="O950" i="1"/>
  <c r="I949" i="1"/>
  <c r="J949" i="1"/>
  <c r="K949" i="1"/>
  <c r="L949" i="1"/>
  <c r="M949" i="1"/>
  <c r="N949" i="1"/>
  <c r="P949" i="1"/>
  <c r="C155" i="3"/>
  <c r="Q953" i="1"/>
  <c r="Q952" i="1"/>
  <c r="Q951" i="1"/>
  <c r="Q950" i="1"/>
  <c r="O407" i="1"/>
  <c r="O408" i="1"/>
  <c r="O409" i="1"/>
  <c r="O406" i="1"/>
  <c r="Q409" i="1"/>
  <c r="Q408" i="1"/>
  <c r="Q407" i="1"/>
  <c r="Q406" i="1"/>
  <c r="D155" i="3" l="1"/>
  <c r="C249" i="3"/>
  <c r="M249" i="3"/>
  <c r="M155" i="3"/>
  <c r="D249" i="3"/>
  <c r="O1451" i="1"/>
  <c r="O405" i="1"/>
  <c r="O949" i="1"/>
  <c r="E1449" i="2" l="1"/>
  <c r="F1449" i="2"/>
  <c r="G1449" i="2"/>
  <c r="H1449" i="2"/>
  <c r="I1449" i="2"/>
  <c r="J1449" i="2"/>
  <c r="K1449" i="2"/>
  <c r="L1449" i="2"/>
  <c r="M1449" i="2"/>
  <c r="N1449" i="2"/>
  <c r="O1449" i="2"/>
  <c r="P1449" i="2"/>
  <c r="Q1449" i="2"/>
  <c r="R1449" i="2"/>
  <c r="S1449" i="2"/>
  <c r="T1449" i="2"/>
  <c r="U1449" i="2"/>
  <c r="V1449" i="2"/>
  <c r="W1454" i="2"/>
  <c r="W1453" i="2"/>
  <c r="AD1452" i="2"/>
  <c r="AB1452" i="2"/>
  <c r="Z1452" i="2"/>
  <c r="Y1452" i="2"/>
  <c r="W1451" i="2"/>
  <c r="Z1450" i="2"/>
  <c r="AA1450" i="2"/>
  <c r="Y1450" i="2"/>
  <c r="W1450" i="2"/>
  <c r="D1451" i="2"/>
  <c r="D1452" i="2"/>
  <c r="D1453" i="2"/>
  <c r="D1454" i="2"/>
  <c r="D1450" i="2"/>
  <c r="C1451" i="2"/>
  <c r="C1452" i="2"/>
  <c r="C1453" i="2"/>
  <c r="C1454" i="2"/>
  <c r="C1450" i="2"/>
  <c r="AD970" i="2"/>
  <c r="Y970" i="2"/>
  <c r="AD969" i="2"/>
  <c r="AC969" i="2"/>
  <c r="Z969" i="2"/>
  <c r="AD968" i="2"/>
  <c r="AA968" i="2"/>
  <c r="Z968" i="2"/>
  <c r="Y968" i="2"/>
  <c r="W967" i="2"/>
  <c r="AD966" i="2"/>
  <c r="AB966" i="2"/>
  <c r="Z966" i="2"/>
  <c r="W966" i="2"/>
  <c r="AD965" i="2"/>
  <c r="Z965" i="2"/>
  <c r="Y965" i="2"/>
  <c r="D966" i="2"/>
  <c r="D967" i="2"/>
  <c r="D968" i="2"/>
  <c r="D969" i="2"/>
  <c r="D970" i="2"/>
  <c r="D965" i="2"/>
  <c r="C966" i="2"/>
  <c r="C967" i="2"/>
  <c r="C968" i="2"/>
  <c r="C969" i="2"/>
  <c r="C970" i="2"/>
  <c r="C965" i="2"/>
  <c r="D964" i="2" l="1"/>
  <c r="D1449" i="2"/>
  <c r="C964" i="2"/>
  <c r="C1449" i="2"/>
  <c r="Z435" i="2"/>
  <c r="Y435" i="2"/>
  <c r="W435" i="2"/>
  <c r="Y433" i="2"/>
  <c r="Y434" i="2"/>
  <c r="W433" i="2"/>
  <c r="AD432" i="2"/>
  <c r="AC432" i="2"/>
  <c r="Z431" i="2"/>
  <c r="AE431" i="2"/>
  <c r="X431" i="2"/>
  <c r="D432" i="2"/>
  <c r="D433" i="2"/>
  <c r="D434" i="2"/>
  <c r="D435" i="2"/>
  <c r="D431" i="2"/>
  <c r="C432" i="2"/>
  <c r="C433" i="2"/>
  <c r="C434" i="2"/>
  <c r="C435" i="2"/>
  <c r="C431" i="2"/>
  <c r="I1477" i="1"/>
  <c r="J1477" i="1"/>
  <c r="K1477" i="1"/>
  <c r="D258" i="3" s="1"/>
  <c r="L1477" i="1"/>
  <c r="M258" i="3" s="1"/>
  <c r="M1477" i="1"/>
  <c r="N1477" i="1"/>
  <c r="O1477" i="1"/>
  <c r="P1477" i="1"/>
  <c r="H1477" i="1"/>
  <c r="C258" i="3" s="1"/>
  <c r="Q1482" i="1"/>
  <c r="Q1481" i="1"/>
  <c r="Q1480" i="1"/>
  <c r="Q1479" i="1"/>
  <c r="Q1478" i="1"/>
  <c r="I979" i="1"/>
  <c r="J979" i="1"/>
  <c r="K979" i="1"/>
  <c r="D165" i="3" s="1"/>
  <c r="L979" i="1"/>
  <c r="M165" i="3" s="1"/>
  <c r="M979" i="1"/>
  <c r="N979" i="1"/>
  <c r="O979" i="1"/>
  <c r="P979" i="1"/>
  <c r="C165" i="3"/>
  <c r="Q985" i="1"/>
  <c r="Q984" i="1"/>
  <c r="Q983" i="1"/>
  <c r="Q982" i="1"/>
  <c r="Q981" i="1"/>
  <c r="Q980" i="1"/>
  <c r="I435" i="1"/>
  <c r="J435" i="1"/>
  <c r="K435" i="1"/>
  <c r="L435" i="1"/>
  <c r="M435" i="1"/>
  <c r="N435" i="1"/>
  <c r="O435" i="1"/>
  <c r="P435" i="1"/>
  <c r="H435" i="1"/>
  <c r="Q437" i="1"/>
  <c r="Q438" i="1"/>
  <c r="Q439" i="1"/>
  <c r="Q440" i="1"/>
  <c r="Q436" i="1"/>
  <c r="D1418" i="2"/>
  <c r="E1418" i="2"/>
  <c r="F1418" i="2"/>
  <c r="G1418" i="2"/>
  <c r="H1418" i="2"/>
  <c r="I1418" i="2"/>
  <c r="J1418" i="2"/>
  <c r="K1418" i="2"/>
  <c r="L1418" i="2"/>
  <c r="M1418" i="2"/>
  <c r="N1418" i="2"/>
  <c r="O1418" i="2"/>
  <c r="P1418" i="2"/>
  <c r="Q1418" i="2"/>
  <c r="R1418" i="2"/>
  <c r="S1418" i="2"/>
  <c r="T1418" i="2"/>
  <c r="U1418" i="2"/>
  <c r="W1419" i="2"/>
  <c r="C1419" i="2"/>
  <c r="C1418" i="2" s="1"/>
  <c r="D929" i="2"/>
  <c r="E929" i="2"/>
  <c r="F929" i="2"/>
  <c r="G929" i="2"/>
  <c r="H929" i="2"/>
  <c r="I929" i="2"/>
  <c r="J929" i="2"/>
  <c r="K929" i="2"/>
  <c r="L929" i="2"/>
  <c r="M929" i="2"/>
  <c r="N929" i="2"/>
  <c r="O929" i="2"/>
  <c r="P929" i="2"/>
  <c r="Q929" i="2"/>
  <c r="R929" i="2"/>
  <c r="S929" i="2"/>
  <c r="T929" i="2"/>
  <c r="U929" i="2"/>
  <c r="X930" i="2"/>
  <c r="C930" i="2"/>
  <c r="C929" i="2" s="1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4" i="2"/>
  <c r="X393" i="2"/>
  <c r="W393" i="2"/>
  <c r="X392" i="2"/>
  <c r="C394" i="2"/>
  <c r="C392" i="2"/>
  <c r="I397" i="1"/>
  <c r="J397" i="1"/>
  <c r="K397" i="1"/>
  <c r="M397" i="1"/>
  <c r="N397" i="1"/>
  <c r="O397" i="1"/>
  <c r="P397" i="1"/>
  <c r="H397" i="1"/>
  <c r="C393" i="2"/>
  <c r="Q398" i="1"/>
  <c r="Q400" i="1"/>
  <c r="C57" i="3" l="1"/>
  <c r="D57" i="3"/>
  <c r="D430" i="2"/>
  <c r="C430" i="2"/>
  <c r="Q399" i="1"/>
  <c r="L397" i="1"/>
  <c r="C391" i="2"/>
  <c r="M127" i="3"/>
  <c r="D127" i="3"/>
  <c r="C127" i="3"/>
  <c r="V1340" i="2"/>
  <c r="V1332" i="2" s="1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U853" i="2"/>
  <c r="C853" i="2"/>
  <c r="W854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C305" i="2"/>
  <c r="N218" i="3"/>
  <c r="D218" i="3"/>
  <c r="C218" i="3"/>
  <c r="E123" i="3"/>
  <c r="F123" i="3"/>
  <c r="G123" i="3"/>
  <c r="J123" i="3"/>
  <c r="K123" i="3"/>
  <c r="N125" i="3"/>
  <c r="D125" i="3"/>
  <c r="C125" i="3"/>
  <c r="N27" i="3"/>
  <c r="D27" i="3"/>
  <c r="C27" i="3"/>
  <c r="X1336" i="2"/>
  <c r="C1336" i="2"/>
  <c r="C1335" i="2" s="1"/>
  <c r="C1332" i="2" s="1"/>
  <c r="F1335" i="2"/>
  <c r="F1332" i="2" s="1"/>
  <c r="G1335" i="2"/>
  <c r="G1332" i="2" s="1"/>
  <c r="H1335" i="2"/>
  <c r="H1332" i="2" s="1"/>
  <c r="I1335" i="2"/>
  <c r="I1332" i="2" s="1"/>
  <c r="J1335" i="2"/>
  <c r="J1332" i="2" s="1"/>
  <c r="K1335" i="2"/>
  <c r="K1332" i="2" s="1"/>
  <c r="L1335" i="2"/>
  <c r="L1332" i="2" s="1"/>
  <c r="M1335" i="2"/>
  <c r="M1332" i="2" s="1"/>
  <c r="N1335" i="2"/>
  <c r="N1332" i="2" s="1"/>
  <c r="O1335" i="2"/>
  <c r="O1332" i="2" s="1"/>
  <c r="P1335" i="2"/>
  <c r="P1332" i="2" s="1"/>
  <c r="Q1335" i="2"/>
  <c r="Q1332" i="2" s="1"/>
  <c r="R1335" i="2"/>
  <c r="R1332" i="2" s="1"/>
  <c r="S1335" i="2"/>
  <c r="S1332" i="2" s="1"/>
  <c r="T1335" i="2"/>
  <c r="T1332" i="2" s="1"/>
  <c r="U1335" i="2"/>
  <c r="U1332" i="2" s="1"/>
  <c r="D1335" i="2"/>
  <c r="D1332" i="2" s="1"/>
  <c r="E1335" i="2"/>
  <c r="E1332" i="2" s="1"/>
  <c r="X850" i="2"/>
  <c r="C850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P849" i="2"/>
  <c r="Q849" i="2"/>
  <c r="R849" i="2"/>
  <c r="S849" i="2"/>
  <c r="T849" i="2"/>
  <c r="U849" i="2"/>
  <c r="V849" i="2"/>
  <c r="V844" i="2" s="1"/>
  <c r="C849" i="2"/>
  <c r="D301" i="2"/>
  <c r="D298" i="2" s="1"/>
  <c r="E301" i="2"/>
  <c r="E298" i="2" s="1"/>
  <c r="F301" i="2"/>
  <c r="F298" i="2" s="1"/>
  <c r="G301" i="2"/>
  <c r="G298" i="2" s="1"/>
  <c r="H301" i="2"/>
  <c r="H298" i="2" s="1"/>
  <c r="I301" i="2"/>
  <c r="I298" i="2" s="1"/>
  <c r="J301" i="2"/>
  <c r="J298" i="2" s="1"/>
  <c r="K301" i="2"/>
  <c r="K298" i="2" s="1"/>
  <c r="L301" i="2"/>
  <c r="L298" i="2" s="1"/>
  <c r="M301" i="2"/>
  <c r="M298" i="2" s="1"/>
  <c r="N301" i="2"/>
  <c r="N298" i="2" s="1"/>
  <c r="O301" i="2"/>
  <c r="P301" i="2"/>
  <c r="P298" i="2" s="1"/>
  <c r="Q301" i="2"/>
  <c r="Q298" i="2" s="1"/>
  <c r="R301" i="2"/>
  <c r="R298" i="2" s="1"/>
  <c r="S301" i="2"/>
  <c r="S298" i="2" s="1"/>
  <c r="T301" i="2"/>
  <c r="T298" i="2" s="1"/>
  <c r="U301" i="2"/>
  <c r="U298" i="2" s="1"/>
  <c r="V301" i="2"/>
  <c r="V298" i="2" s="1"/>
  <c r="C302" i="2"/>
  <c r="C301" i="2" s="1"/>
  <c r="C298" i="2" s="1"/>
  <c r="I1367" i="1"/>
  <c r="J1367" i="1"/>
  <c r="K1367" i="1"/>
  <c r="L1367" i="1"/>
  <c r="M1367" i="1"/>
  <c r="N1367" i="1"/>
  <c r="O1367" i="1"/>
  <c r="P1367" i="1"/>
  <c r="H1367" i="1"/>
  <c r="Q1368" i="1"/>
  <c r="I872" i="1"/>
  <c r="J872" i="1"/>
  <c r="K872" i="1"/>
  <c r="L872" i="1"/>
  <c r="M872" i="1"/>
  <c r="N872" i="1"/>
  <c r="O872" i="1"/>
  <c r="P872" i="1"/>
  <c r="H872" i="1"/>
  <c r="Q873" i="1"/>
  <c r="I310" i="1"/>
  <c r="J310" i="1"/>
  <c r="K310" i="1"/>
  <c r="L310" i="1"/>
  <c r="M310" i="1"/>
  <c r="N310" i="1"/>
  <c r="O310" i="1"/>
  <c r="P310" i="1"/>
  <c r="H310" i="1"/>
  <c r="Q311" i="1"/>
  <c r="D559" i="2"/>
  <c r="E559" i="2"/>
  <c r="F559" i="2"/>
  <c r="G559" i="2"/>
  <c r="H559" i="2"/>
  <c r="I559" i="2"/>
  <c r="J559" i="2"/>
  <c r="K559" i="2"/>
  <c r="L559" i="2"/>
  <c r="M559" i="2"/>
  <c r="N559" i="2"/>
  <c r="O559" i="2"/>
  <c r="P559" i="2"/>
  <c r="Q559" i="2"/>
  <c r="R559" i="2"/>
  <c r="S559" i="2"/>
  <c r="T559" i="2"/>
  <c r="U559" i="2"/>
  <c r="V559" i="2"/>
  <c r="C560" i="2"/>
  <c r="C559" i="2" s="1"/>
  <c r="X416" i="2"/>
  <c r="X415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C414" i="2"/>
  <c r="W949" i="2"/>
  <c r="D948" i="2"/>
  <c r="E948" i="2"/>
  <c r="F948" i="2"/>
  <c r="G948" i="2"/>
  <c r="H948" i="2"/>
  <c r="I948" i="2"/>
  <c r="J948" i="2"/>
  <c r="K948" i="2"/>
  <c r="L948" i="2"/>
  <c r="M948" i="2"/>
  <c r="N948" i="2"/>
  <c r="O948" i="2"/>
  <c r="P948" i="2"/>
  <c r="Q948" i="2"/>
  <c r="R948" i="2"/>
  <c r="S948" i="2"/>
  <c r="T948" i="2"/>
  <c r="U948" i="2"/>
  <c r="V948" i="2"/>
  <c r="C948" i="2"/>
  <c r="D1433" i="2"/>
  <c r="E1433" i="2"/>
  <c r="F1433" i="2"/>
  <c r="G1433" i="2"/>
  <c r="H1433" i="2"/>
  <c r="I1433" i="2"/>
  <c r="J1433" i="2"/>
  <c r="K1433" i="2"/>
  <c r="L1433" i="2"/>
  <c r="M1433" i="2"/>
  <c r="N1433" i="2"/>
  <c r="O1433" i="2"/>
  <c r="P1433" i="2"/>
  <c r="Q1433" i="2"/>
  <c r="R1433" i="2"/>
  <c r="S1433" i="2"/>
  <c r="T1433" i="2"/>
  <c r="U1433" i="2"/>
  <c r="C1433" i="2"/>
  <c r="W1434" i="2"/>
  <c r="I1461" i="1"/>
  <c r="J1461" i="1"/>
  <c r="K1461" i="1"/>
  <c r="L1461" i="1"/>
  <c r="M1461" i="1"/>
  <c r="N1461" i="1"/>
  <c r="O1461" i="1"/>
  <c r="P1461" i="1"/>
  <c r="H1461" i="1"/>
  <c r="I963" i="1"/>
  <c r="J963" i="1"/>
  <c r="K963" i="1"/>
  <c r="L963" i="1"/>
  <c r="M963" i="1"/>
  <c r="N963" i="1"/>
  <c r="O963" i="1"/>
  <c r="P963" i="1"/>
  <c r="H963" i="1"/>
  <c r="I419" i="1"/>
  <c r="J419" i="1"/>
  <c r="K419" i="1"/>
  <c r="L419" i="1"/>
  <c r="M419" i="1"/>
  <c r="N419" i="1"/>
  <c r="O419" i="1"/>
  <c r="P419" i="1"/>
  <c r="H419" i="1"/>
  <c r="W1500" i="2"/>
  <c r="C1500" i="2"/>
  <c r="C1499" i="2" s="1"/>
  <c r="D1498" i="2"/>
  <c r="E1498" i="2"/>
  <c r="F1498" i="2"/>
  <c r="G1498" i="2"/>
  <c r="H1498" i="2"/>
  <c r="I1498" i="2"/>
  <c r="J1498" i="2"/>
  <c r="K1498" i="2"/>
  <c r="L1498" i="2"/>
  <c r="M1498" i="2"/>
  <c r="N1498" i="2"/>
  <c r="O1498" i="2"/>
  <c r="P1498" i="2"/>
  <c r="Q1498" i="2"/>
  <c r="R1498" i="2"/>
  <c r="S1498" i="2"/>
  <c r="T1498" i="2"/>
  <c r="U1498" i="2"/>
  <c r="W1020" i="2"/>
  <c r="W1019" i="2"/>
  <c r="D1018" i="2"/>
  <c r="D1017" i="2" s="1"/>
  <c r="E1018" i="2"/>
  <c r="E1017" i="2" s="1"/>
  <c r="F1018" i="2"/>
  <c r="F1017" i="2" s="1"/>
  <c r="G1018" i="2"/>
  <c r="G1017" i="2" s="1"/>
  <c r="H1018" i="2"/>
  <c r="H1017" i="2" s="1"/>
  <c r="I1018" i="2"/>
  <c r="I1017" i="2" s="1"/>
  <c r="J1018" i="2"/>
  <c r="J1017" i="2" s="1"/>
  <c r="K1018" i="2"/>
  <c r="K1017" i="2" s="1"/>
  <c r="L1018" i="2"/>
  <c r="L1017" i="2" s="1"/>
  <c r="M1018" i="2"/>
  <c r="M1017" i="2" s="1"/>
  <c r="N1018" i="2"/>
  <c r="N1017" i="2" s="1"/>
  <c r="O1018" i="2"/>
  <c r="O1017" i="2" s="1"/>
  <c r="P1018" i="2"/>
  <c r="P1017" i="2" s="1"/>
  <c r="Q1018" i="2"/>
  <c r="Q1017" i="2" s="1"/>
  <c r="R1018" i="2"/>
  <c r="R1017" i="2" s="1"/>
  <c r="S1018" i="2"/>
  <c r="S1017" i="2" s="1"/>
  <c r="T1018" i="2"/>
  <c r="T1017" i="2" s="1"/>
  <c r="U1018" i="2"/>
  <c r="U1017" i="2" s="1"/>
  <c r="V1018" i="2"/>
  <c r="C1020" i="2"/>
  <c r="C1019" i="2"/>
  <c r="V519" i="2"/>
  <c r="D520" i="2"/>
  <c r="D519" i="2" s="1"/>
  <c r="E520" i="2"/>
  <c r="E519" i="2" s="1"/>
  <c r="F520" i="2"/>
  <c r="F519" i="2" s="1"/>
  <c r="G520" i="2"/>
  <c r="G519" i="2" s="1"/>
  <c r="H520" i="2"/>
  <c r="H519" i="2" s="1"/>
  <c r="I520" i="2"/>
  <c r="I519" i="2" s="1"/>
  <c r="J520" i="2"/>
  <c r="J519" i="2" s="1"/>
  <c r="K520" i="2"/>
  <c r="K519" i="2" s="1"/>
  <c r="L520" i="2"/>
  <c r="L519" i="2" s="1"/>
  <c r="M520" i="2"/>
  <c r="M519" i="2" s="1"/>
  <c r="N520" i="2"/>
  <c r="N519" i="2" s="1"/>
  <c r="O520" i="2"/>
  <c r="O519" i="2" s="1"/>
  <c r="P520" i="2"/>
  <c r="P519" i="2" s="1"/>
  <c r="Q520" i="2"/>
  <c r="Q519" i="2" s="1"/>
  <c r="R520" i="2"/>
  <c r="R519" i="2" s="1"/>
  <c r="S520" i="2"/>
  <c r="S519" i="2" s="1"/>
  <c r="T520" i="2"/>
  <c r="T519" i="2" s="1"/>
  <c r="U520" i="2"/>
  <c r="U519" i="2" s="1"/>
  <c r="W522" i="2"/>
  <c r="W521" i="2"/>
  <c r="C522" i="2"/>
  <c r="C521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C367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U905" i="2"/>
  <c r="V905" i="2"/>
  <c r="C905" i="2"/>
  <c r="D1395" i="2"/>
  <c r="E1395" i="2"/>
  <c r="F1395" i="2"/>
  <c r="G1395" i="2"/>
  <c r="H1395" i="2"/>
  <c r="I1395" i="2"/>
  <c r="J1395" i="2"/>
  <c r="K1395" i="2"/>
  <c r="L1395" i="2"/>
  <c r="M1395" i="2"/>
  <c r="N1395" i="2"/>
  <c r="O1395" i="2"/>
  <c r="P1395" i="2"/>
  <c r="Q1395" i="2"/>
  <c r="R1395" i="2"/>
  <c r="S1395" i="2"/>
  <c r="T1395" i="2"/>
  <c r="U1395" i="2"/>
  <c r="V1395" i="2"/>
  <c r="C1395" i="2"/>
  <c r="W1396" i="2"/>
  <c r="W906" i="2"/>
  <c r="W368" i="2"/>
  <c r="I1427" i="1"/>
  <c r="J1427" i="1"/>
  <c r="K1427" i="1"/>
  <c r="L1427" i="1"/>
  <c r="M1427" i="1"/>
  <c r="N1427" i="1"/>
  <c r="P1427" i="1"/>
  <c r="H1427" i="1"/>
  <c r="I930" i="1"/>
  <c r="J930" i="1"/>
  <c r="K930" i="1"/>
  <c r="L930" i="1"/>
  <c r="M930" i="1"/>
  <c r="N930" i="1"/>
  <c r="P930" i="1"/>
  <c r="H930" i="1"/>
  <c r="I377" i="1"/>
  <c r="J377" i="1"/>
  <c r="K377" i="1"/>
  <c r="L377" i="1"/>
  <c r="M377" i="1"/>
  <c r="N377" i="1"/>
  <c r="P377" i="1"/>
  <c r="H377" i="1"/>
  <c r="I156" i="3"/>
  <c r="D941" i="2"/>
  <c r="E941" i="2"/>
  <c r="F941" i="2"/>
  <c r="G941" i="2"/>
  <c r="H941" i="2"/>
  <c r="I941" i="2"/>
  <c r="J941" i="2"/>
  <c r="K941" i="2"/>
  <c r="L941" i="2"/>
  <c r="M941" i="2"/>
  <c r="N941" i="2"/>
  <c r="O941" i="2"/>
  <c r="P941" i="2"/>
  <c r="Q941" i="2"/>
  <c r="R941" i="2"/>
  <c r="S941" i="2"/>
  <c r="T941" i="2"/>
  <c r="U941" i="2"/>
  <c r="V941" i="2"/>
  <c r="C941" i="2"/>
  <c r="W942" i="2"/>
  <c r="W409" i="2"/>
  <c r="W408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C407" i="2"/>
  <c r="I956" i="1"/>
  <c r="J956" i="1"/>
  <c r="K956" i="1"/>
  <c r="L956" i="1"/>
  <c r="M956" i="1"/>
  <c r="N956" i="1"/>
  <c r="O956" i="1"/>
  <c r="P956" i="1"/>
  <c r="H956" i="1"/>
  <c r="Q957" i="1"/>
  <c r="I412" i="1"/>
  <c r="J412" i="1"/>
  <c r="K412" i="1"/>
  <c r="L412" i="1"/>
  <c r="M412" i="1"/>
  <c r="N412" i="1"/>
  <c r="O412" i="1"/>
  <c r="P412" i="1"/>
  <c r="H412" i="1"/>
  <c r="Q413" i="1"/>
  <c r="Q414" i="1"/>
  <c r="E275" i="3"/>
  <c r="F275" i="3"/>
  <c r="G275" i="3"/>
  <c r="H275" i="3"/>
  <c r="I275" i="3"/>
  <c r="J275" i="3"/>
  <c r="K275" i="3"/>
  <c r="L275" i="3"/>
  <c r="M275" i="3"/>
  <c r="N275" i="3"/>
  <c r="D276" i="3"/>
  <c r="D275" i="3" s="1"/>
  <c r="C276" i="3"/>
  <c r="C275" i="3" s="1"/>
  <c r="E86" i="3"/>
  <c r="F86" i="3"/>
  <c r="G86" i="3"/>
  <c r="H86" i="3"/>
  <c r="I86" i="3"/>
  <c r="J86" i="3"/>
  <c r="K86" i="3"/>
  <c r="L86" i="3"/>
  <c r="M86" i="3"/>
  <c r="N86" i="3"/>
  <c r="D87" i="3"/>
  <c r="D86" i="3" s="1"/>
  <c r="C87" i="3"/>
  <c r="C86" i="3" s="1"/>
  <c r="D1501" i="2"/>
  <c r="E1501" i="2"/>
  <c r="F1501" i="2"/>
  <c r="G1501" i="2"/>
  <c r="H1501" i="2"/>
  <c r="I1501" i="2"/>
  <c r="J1501" i="2"/>
  <c r="K1501" i="2"/>
  <c r="L1501" i="2"/>
  <c r="M1501" i="2"/>
  <c r="N1501" i="2"/>
  <c r="O1501" i="2"/>
  <c r="P1501" i="2"/>
  <c r="Q1501" i="2"/>
  <c r="R1501" i="2"/>
  <c r="S1501" i="2"/>
  <c r="T1501" i="2"/>
  <c r="U1501" i="2"/>
  <c r="C1501" i="2"/>
  <c r="W1502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U523" i="2"/>
  <c r="V523" i="2"/>
  <c r="C523" i="2"/>
  <c r="I1525" i="1"/>
  <c r="J1525" i="1"/>
  <c r="K1525" i="1"/>
  <c r="L1525" i="1"/>
  <c r="M1525" i="1"/>
  <c r="N1525" i="1"/>
  <c r="O1525" i="1"/>
  <c r="P1525" i="1"/>
  <c r="H1525" i="1"/>
  <c r="Q1526" i="1"/>
  <c r="I483" i="1"/>
  <c r="J483" i="1"/>
  <c r="K483" i="1"/>
  <c r="L483" i="1"/>
  <c r="M483" i="1"/>
  <c r="N483" i="1"/>
  <c r="O483" i="1"/>
  <c r="P483" i="1"/>
  <c r="H483" i="1"/>
  <c r="Q484" i="1"/>
  <c r="D235" i="3"/>
  <c r="C235" i="3"/>
  <c r="D141" i="3"/>
  <c r="C141" i="3"/>
  <c r="D1368" i="2"/>
  <c r="E1368" i="2"/>
  <c r="F1368" i="2"/>
  <c r="G1368" i="2"/>
  <c r="H1368" i="2"/>
  <c r="I1368" i="2"/>
  <c r="J1368" i="2"/>
  <c r="K1368" i="2"/>
  <c r="L1368" i="2"/>
  <c r="M1368" i="2"/>
  <c r="N1368" i="2"/>
  <c r="O1368" i="2"/>
  <c r="P1368" i="2"/>
  <c r="Q1368" i="2"/>
  <c r="R1368" i="2"/>
  <c r="S1368" i="2"/>
  <c r="T1368" i="2"/>
  <c r="U1368" i="2"/>
  <c r="V1368" i="2"/>
  <c r="C1368" i="2"/>
  <c r="W1369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U880" i="2"/>
  <c r="C880" i="2"/>
  <c r="X881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C339" i="2"/>
  <c r="W340" i="2"/>
  <c r="I1400" i="1"/>
  <c r="J1400" i="1"/>
  <c r="K1400" i="1"/>
  <c r="L1400" i="1"/>
  <c r="M1400" i="1"/>
  <c r="N1400" i="1"/>
  <c r="O1400" i="1"/>
  <c r="P1400" i="1"/>
  <c r="H1400" i="1"/>
  <c r="I905" i="1"/>
  <c r="J905" i="1"/>
  <c r="K905" i="1"/>
  <c r="L905" i="1"/>
  <c r="M905" i="1"/>
  <c r="N905" i="1"/>
  <c r="O905" i="1"/>
  <c r="P905" i="1"/>
  <c r="H905" i="1"/>
  <c r="I349" i="1"/>
  <c r="J349" i="1"/>
  <c r="K349" i="1"/>
  <c r="L349" i="1"/>
  <c r="M349" i="1"/>
  <c r="N349" i="1"/>
  <c r="O349" i="1"/>
  <c r="P349" i="1"/>
  <c r="H349" i="1"/>
  <c r="Q350" i="1"/>
  <c r="N178" i="3"/>
  <c r="L178" i="3"/>
  <c r="D178" i="3"/>
  <c r="C178" i="3"/>
  <c r="D1493" i="2"/>
  <c r="D1492" i="2" s="1"/>
  <c r="E1493" i="2"/>
  <c r="E1492" i="2" s="1"/>
  <c r="F1493" i="2"/>
  <c r="F1492" i="2" s="1"/>
  <c r="G1493" i="2"/>
  <c r="G1492" i="2" s="1"/>
  <c r="H1493" i="2"/>
  <c r="H1492" i="2" s="1"/>
  <c r="I1493" i="2"/>
  <c r="I1492" i="2" s="1"/>
  <c r="J1493" i="2"/>
  <c r="J1492" i="2" s="1"/>
  <c r="K1493" i="2"/>
  <c r="K1492" i="2" s="1"/>
  <c r="L1493" i="2"/>
  <c r="L1492" i="2" s="1"/>
  <c r="M1493" i="2"/>
  <c r="M1492" i="2" s="1"/>
  <c r="N1493" i="2"/>
  <c r="N1492" i="2" s="1"/>
  <c r="O1493" i="2"/>
  <c r="O1492" i="2" s="1"/>
  <c r="P1493" i="2"/>
  <c r="P1492" i="2" s="1"/>
  <c r="Q1493" i="2"/>
  <c r="Q1492" i="2" s="1"/>
  <c r="R1493" i="2"/>
  <c r="R1492" i="2" s="1"/>
  <c r="S1493" i="2"/>
  <c r="S1492" i="2" s="1"/>
  <c r="T1493" i="2"/>
  <c r="T1492" i="2" s="1"/>
  <c r="U1493" i="2"/>
  <c r="U1492" i="2" s="1"/>
  <c r="V1493" i="2"/>
  <c r="V1492" i="2" s="1"/>
  <c r="C1493" i="2"/>
  <c r="C1492" i="2" s="1"/>
  <c r="W1494" i="2"/>
  <c r="V1010" i="2"/>
  <c r="D1011" i="2"/>
  <c r="D1010" i="2" s="1"/>
  <c r="E1011" i="2"/>
  <c r="E1010" i="2" s="1"/>
  <c r="F1011" i="2"/>
  <c r="F1010" i="2" s="1"/>
  <c r="G1011" i="2"/>
  <c r="G1010" i="2" s="1"/>
  <c r="H1011" i="2"/>
  <c r="H1010" i="2" s="1"/>
  <c r="I1011" i="2"/>
  <c r="I1010" i="2" s="1"/>
  <c r="J1011" i="2"/>
  <c r="J1010" i="2" s="1"/>
  <c r="K1011" i="2"/>
  <c r="K1010" i="2" s="1"/>
  <c r="L1011" i="2"/>
  <c r="L1010" i="2" s="1"/>
  <c r="M1011" i="2"/>
  <c r="M1010" i="2" s="1"/>
  <c r="N1011" i="2"/>
  <c r="N1010" i="2" s="1"/>
  <c r="O1011" i="2"/>
  <c r="O1010" i="2" s="1"/>
  <c r="P1011" i="2"/>
  <c r="P1010" i="2" s="1"/>
  <c r="Q1011" i="2"/>
  <c r="Q1010" i="2" s="1"/>
  <c r="R1011" i="2"/>
  <c r="R1010" i="2" s="1"/>
  <c r="S1011" i="2"/>
  <c r="S1010" i="2" s="1"/>
  <c r="T1011" i="2"/>
  <c r="T1010" i="2" s="1"/>
  <c r="U1011" i="2"/>
  <c r="U1010" i="2" s="1"/>
  <c r="C1011" i="2"/>
  <c r="C1010" i="2" s="1"/>
  <c r="X1013" i="2"/>
  <c r="X1012" i="2"/>
  <c r="Y515" i="2"/>
  <c r="E514" i="2"/>
  <c r="E513" i="2" s="1"/>
  <c r="F514" i="2"/>
  <c r="F513" i="2" s="1"/>
  <c r="G514" i="2"/>
  <c r="G513" i="2" s="1"/>
  <c r="H514" i="2"/>
  <c r="H513" i="2" s="1"/>
  <c r="I514" i="2"/>
  <c r="I513" i="2" s="1"/>
  <c r="J514" i="2"/>
  <c r="J513" i="2" s="1"/>
  <c r="K514" i="2"/>
  <c r="K513" i="2" s="1"/>
  <c r="L514" i="2"/>
  <c r="L513" i="2" s="1"/>
  <c r="M514" i="2"/>
  <c r="M513" i="2" s="1"/>
  <c r="N514" i="2"/>
  <c r="N513" i="2" s="1"/>
  <c r="O514" i="2"/>
  <c r="O513" i="2" s="1"/>
  <c r="P514" i="2"/>
  <c r="P513" i="2" s="1"/>
  <c r="Q514" i="2"/>
  <c r="Q513" i="2" s="1"/>
  <c r="R514" i="2"/>
  <c r="R513" i="2" s="1"/>
  <c r="S514" i="2"/>
  <c r="S513" i="2" s="1"/>
  <c r="T514" i="2"/>
  <c r="T513" i="2" s="1"/>
  <c r="U514" i="2"/>
  <c r="U513" i="2" s="1"/>
  <c r="V514" i="2"/>
  <c r="D515" i="2"/>
  <c r="D514" i="2" s="1"/>
  <c r="D513" i="2" s="1"/>
  <c r="I1517" i="1"/>
  <c r="I1516" i="1" s="1"/>
  <c r="J1517" i="1"/>
  <c r="J1516" i="1" s="1"/>
  <c r="K1517" i="1"/>
  <c r="K1516" i="1" s="1"/>
  <c r="L1517" i="1"/>
  <c r="L1516" i="1" s="1"/>
  <c r="M1517" i="1"/>
  <c r="M1516" i="1" s="1"/>
  <c r="N1517" i="1"/>
  <c r="N1516" i="1" s="1"/>
  <c r="O1517" i="1"/>
  <c r="O1516" i="1" s="1"/>
  <c r="P1517" i="1"/>
  <c r="P1516" i="1" s="1"/>
  <c r="H1517" i="1"/>
  <c r="H1516" i="1" s="1"/>
  <c r="Q1518" i="1"/>
  <c r="I1022" i="1"/>
  <c r="I1021" i="1" s="1"/>
  <c r="J1022" i="1"/>
  <c r="J1021" i="1" s="1"/>
  <c r="K1022" i="1"/>
  <c r="K1021" i="1" s="1"/>
  <c r="L1022" i="1"/>
  <c r="L1021" i="1" s="1"/>
  <c r="M1022" i="1"/>
  <c r="M1021" i="1" s="1"/>
  <c r="N1022" i="1"/>
  <c r="N1021" i="1" s="1"/>
  <c r="O1022" i="1"/>
  <c r="O1021" i="1" s="1"/>
  <c r="P1022" i="1"/>
  <c r="P1021" i="1" s="1"/>
  <c r="H1022" i="1"/>
  <c r="H1021" i="1" s="1"/>
  <c r="Q1023" i="1"/>
  <c r="Q1024" i="1"/>
  <c r="I474" i="1"/>
  <c r="I473" i="1" s="1"/>
  <c r="J474" i="1"/>
  <c r="J473" i="1" s="1"/>
  <c r="K474" i="1"/>
  <c r="K473" i="1" s="1"/>
  <c r="L474" i="1"/>
  <c r="L473" i="1" s="1"/>
  <c r="M474" i="1"/>
  <c r="M473" i="1" s="1"/>
  <c r="N474" i="1"/>
  <c r="N473" i="1" s="1"/>
  <c r="O474" i="1"/>
  <c r="O473" i="1" s="1"/>
  <c r="P474" i="1"/>
  <c r="P473" i="1" s="1"/>
  <c r="H474" i="1"/>
  <c r="H473" i="1" s="1"/>
  <c r="Q475" i="1"/>
  <c r="D1234" i="2"/>
  <c r="E1234" i="2"/>
  <c r="F1234" i="2"/>
  <c r="G1234" i="2"/>
  <c r="H1234" i="2"/>
  <c r="I1234" i="2"/>
  <c r="J1234" i="2"/>
  <c r="K1234" i="2"/>
  <c r="L1234" i="2"/>
  <c r="M1234" i="2"/>
  <c r="N1234" i="2"/>
  <c r="O1234" i="2"/>
  <c r="P1234" i="2"/>
  <c r="Q1234" i="2"/>
  <c r="R1234" i="2"/>
  <c r="S1234" i="2"/>
  <c r="T1234" i="2"/>
  <c r="U1234" i="2"/>
  <c r="C1234" i="2"/>
  <c r="E744" i="2"/>
  <c r="F744" i="2"/>
  <c r="G744" i="2"/>
  <c r="H744" i="2"/>
  <c r="I744" i="2"/>
  <c r="J744" i="2"/>
  <c r="K744" i="2"/>
  <c r="L744" i="2"/>
  <c r="M744" i="2"/>
  <c r="N744" i="2"/>
  <c r="O744" i="2"/>
  <c r="P744" i="2"/>
  <c r="Q744" i="2"/>
  <c r="R744" i="2"/>
  <c r="S744" i="2"/>
  <c r="T744" i="2"/>
  <c r="U744" i="2"/>
  <c r="V744" i="2"/>
  <c r="C744" i="2"/>
  <c r="W746" i="2"/>
  <c r="AA745" i="2"/>
  <c r="D746" i="2"/>
  <c r="D745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C194" i="2"/>
  <c r="AA195" i="2"/>
  <c r="D195" i="2"/>
  <c r="D194" i="2" s="1"/>
  <c r="I1267" i="1"/>
  <c r="J1267" i="1"/>
  <c r="K1267" i="1"/>
  <c r="L1267" i="1"/>
  <c r="M1267" i="1"/>
  <c r="N1267" i="1"/>
  <c r="O1267" i="1"/>
  <c r="P1267" i="1"/>
  <c r="H1267" i="1"/>
  <c r="I767" i="1"/>
  <c r="J767" i="1"/>
  <c r="K767" i="1"/>
  <c r="L767" i="1"/>
  <c r="M767" i="1"/>
  <c r="N767" i="1"/>
  <c r="O767" i="1"/>
  <c r="P767" i="1"/>
  <c r="Q768" i="1"/>
  <c r="E279" i="3"/>
  <c r="F279" i="3"/>
  <c r="G279" i="3"/>
  <c r="H279" i="3"/>
  <c r="J279" i="3"/>
  <c r="K279" i="3"/>
  <c r="L279" i="3"/>
  <c r="M279" i="3"/>
  <c r="E90" i="3"/>
  <c r="F90" i="3"/>
  <c r="G90" i="3"/>
  <c r="H90" i="3"/>
  <c r="J90" i="3"/>
  <c r="K90" i="3"/>
  <c r="L90" i="3"/>
  <c r="M90" i="3"/>
  <c r="I91" i="3"/>
  <c r="AD539" i="2"/>
  <c r="AD1516" i="2"/>
  <c r="D1516" i="2"/>
  <c r="D1515" i="2" s="1"/>
  <c r="E538" i="2"/>
  <c r="F538" i="2"/>
  <c r="G538" i="2"/>
  <c r="H538" i="2"/>
  <c r="I538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V537" i="2" s="1"/>
  <c r="C538" i="2"/>
  <c r="D539" i="2"/>
  <c r="D538" i="2" s="1"/>
  <c r="I1539" i="1"/>
  <c r="J1539" i="1"/>
  <c r="K1539" i="1"/>
  <c r="L1539" i="1"/>
  <c r="M1539" i="1"/>
  <c r="N1539" i="1"/>
  <c r="O1539" i="1"/>
  <c r="P1539" i="1"/>
  <c r="H1539" i="1"/>
  <c r="Q1540" i="1"/>
  <c r="I497" i="1"/>
  <c r="J497" i="1"/>
  <c r="K497" i="1"/>
  <c r="L497" i="1"/>
  <c r="M497" i="1"/>
  <c r="N497" i="1"/>
  <c r="O497" i="1"/>
  <c r="P497" i="1"/>
  <c r="H497" i="1"/>
  <c r="Q498" i="1"/>
  <c r="D184" i="3"/>
  <c r="E184" i="3"/>
  <c r="F184" i="3"/>
  <c r="G184" i="3"/>
  <c r="H184" i="3"/>
  <c r="J184" i="3"/>
  <c r="K184" i="3"/>
  <c r="L184" i="3"/>
  <c r="M184" i="3"/>
  <c r="C184" i="3"/>
  <c r="V1032" i="2"/>
  <c r="D1512" i="2"/>
  <c r="E1512" i="2"/>
  <c r="F1512" i="2"/>
  <c r="G1512" i="2"/>
  <c r="H1512" i="2"/>
  <c r="I1512" i="2"/>
  <c r="J1512" i="2"/>
  <c r="K1512" i="2"/>
  <c r="L1512" i="2"/>
  <c r="M1512" i="2"/>
  <c r="N1512" i="2"/>
  <c r="O1512" i="2"/>
  <c r="P1512" i="2"/>
  <c r="Q1512" i="2"/>
  <c r="R1512" i="2"/>
  <c r="S1512" i="2"/>
  <c r="T1512" i="2"/>
  <c r="U1512" i="2"/>
  <c r="V1512" i="2"/>
  <c r="C1512" i="2"/>
  <c r="D1510" i="2"/>
  <c r="D1509" i="2" s="1"/>
  <c r="E1510" i="2"/>
  <c r="E1509" i="2" s="1"/>
  <c r="F1510" i="2"/>
  <c r="F1509" i="2" s="1"/>
  <c r="G1510" i="2"/>
  <c r="G1509" i="2" s="1"/>
  <c r="H1510" i="2"/>
  <c r="H1509" i="2" s="1"/>
  <c r="I1510" i="2"/>
  <c r="I1509" i="2" s="1"/>
  <c r="J1510" i="2"/>
  <c r="J1509" i="2" s="1"/>
  <c r="K1510" i="2"/>
  <c r="K1509" i="2" s="1"/>
  <c r="L1510" i="2"/>
  <c r="L1509" i="2" s="1"/>
  <c r="M1510" i="2"/>
  <c r="M1509" i="2" s="1"/>
  <c r="N1510" i="2"/>
  <c r="N1509" i="2" s="1"/>
  <c r="O1510" i="2"/>
  <c r="O1509" i="2" s="1"/>
  <c r="P1510" i="2"/>
  <c r="P1509" i="2" s="1"/>
  <c r="Q1510" i="2"/>
  <c r="Q1509" i="2" s="1"/>
  <c r="R1510" i="2"/>
  <c r="R1509" i="2" s="1"/>
  <c r="S1510" i="2"/>
  <c r="S1509" i="2" s="1"/>
  <c r="T1510" i="2"/>
  <c r="T1509" i="2" s="1"/>
  <c r="U1510" i="2"/>
  <c r="U1509" i="2" s="1"/>
  <c r="V1510" i="2"/>
  <c r="C1510" i="2"/>
  <c r="C1509" i="2" s="1"/>
  <c r="W1513" i="2"/>
  <c r="W1511" i="2"/>
  <c r="V1027" i="2"/>
  <c r="D1030" i="2"/>
  <c r="E1030" i="2"/>
  <c r="F1030" i="2"/>
  <c r="G1030" i="2"/>
  <c r="H1030" i="2"/>
  <c r="I1030" i="2"/>
  <c r="J1030" i="2"/>
  <c r="K1030" i="2"/>
  <c r="L1030" i="2"/>
  <c r="M1030" i="2"/>
  <c r="N1030" i="2"/>
  <c r="O1030" i="2"/>
  <c r="P1030" i="2"/>
  <c r="Q1030" i="2"/>
  <c r="R1030" i="2"/>
  <c r="S1030" i="2"/>
  <c r="T1030" i="2"/>
  <c r="U1030" i="2"/>
  <c r="C1030" i="2"/>
  <c r="W1031" i="2"/>
  <c r="D1028" i="2"/>
  <c r="D1027" i="2" s="1"/>
  <c r="E1028" i="2"/>
  <c r="E1027" i="2" s="1"/>
  <c r="F1028" i="2"/>
  <c r="F1027" i="2" s="1"/>
  <c r="G1028" i="2"/>
  <c r="G1027" i="2" s="1"/>
  <c r="H1028" i="2"/>
  <c r="H1027" i="2" s="1"/>
  <c r="I1028" i="2"/>
  <c r="I1027" i="2" s="1"/>
  <c r="J1028" i="2"/>
  <c r="J1027" i="2" s="1"/>
  <c r="K1028" i="2"/>
  <c r="K1027" i="2" s="1"/>
  <c r="L1028" i="2"/>
  <c r="L1027" i="2" s="1"/>
  <c r="M1028" i="2"/>
  <c r="M1027" i="2" s="1"/>
  <c r="N1028" i="2"/>
  <c r="N1027" i="2" s="1"/>
  <c r="O1028" i="2"/>
  <c r="O1027" i="2" s="1"/>
  <c r="P1028" i="2"/>
  <c r="P1027" i="2" s="1"/>
  <c r="Q1028" i="2"/>
  <c r="Q1027" i="2" s="1"/>
  <c r="R1028" i="2"/>
  <c r="R1027" i="2" s="1"/>
  <c r="S1028" i="2"/>
  <c r="S1027" i="2" s="1"/>
  <c r="T1028" i="2"/>
  <c r="T1027" i="2" s="1"/>
  <c r="U1028" i="2"/>
  <c r="U1027" i="2" s="1"/>
  <c r="C1028" i="2"/>
  <c r="C1027" i="2" s="1"/>
  <c r="W1029" i="2"/>
  <c r="L540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V535" i="2"/>
  <c r="C535" i="2"/>
  <c r="W536" i="2"/>
  <c r="W534" i="2"/>
  <c r="D533" i="2"/>
  <c r="E533" i="2"/>
  <c r="F533" i="2"/>
  <c r="F532" i="2" s="1"/>
  <c r="G533" i="2"/>
  <c r="H533" i="2"/>
  <c r="I533" i="2"/>
  <c r="J533" i="2"/>
  <c r="J532" i="2" s="1"/>
  <c r="K533" i="2"/>
  <c r="L533" i="2"/>
  <c r="M533" i="2"/>
  <c r="N533" i="2"/>
  <c r="N532" i="2" s="1"/>
  <c r="O533" i="2"/>
  <c r="P533" i="2"/>
  <c r="Q533" i="2"/>
  <c r="R533" i="2"/>
  <c r="R532" i="2" s="1"/>
  <c r="S533" i="2"/>
  <c r="T533" i="2"/>
  <c r="U533" i="2"/>
  <c r="C533" i="2"/>
  <c r="X1293" i="2"/>
  <c r="X1294" i="2"/>
  <c r="X1295" i="2"/>
  <c r="X1292" i="2"/>
  <c r="W1292" i="2"/>
  <c r="X805" i="2"/>
  <c r="X804" i="2"/>
  <c r="W805" i="2"/>
  <c r="W804" i="2"/>
  <c r="X254" i="2"/>
  <c r="X255" i="2"/>
  <c r="X256" i="2"/>
  <c r="X257" i="2"/>
  <c r="X258" i="2"/>
  <c r="X259" i="2"/>
  <c r="X253" i="2"/>
  <c r="W256" i="2"/>
  <c r="D252" i="2"/>
  <c r="D251" i="2" s="1"/>
  <c r="E252" i="2"/>
  <c r="E251" i="2" s="1"/>
  <c r="F252" i="2"/>
  <c r="F251" i="2" s="1"/>
  <c r="G252" i="2"/>
  <c r="G251" i="2" s="1"/>
  <c r="H252" i="2"/>
  <c r="H251" i="2" s="1"/>
  <c r="I252" i="2"/>
  <c r="I251" i="2" s="1"/>
  <c r="J252" i="2"/>
  <c r="J251" i="2" s="1"/>
  <c r="K252" i="2"/>
  <c r="K251" i="2" s="1"/>
  <c r="L252" i="2"/>
  <c r="L251" i="2" s="1"/>
  <c r="M252" i="2"/>
  <c r="M251" i="2" s="1"/>
  <c r="N252" i="2"/>
  <c r="N251" i="2" s="1"/>
  <c r="O252" i="2"/>
  <c r="O251" i="2" s="1"/>
  <c r="P252" i="2"/>
  <c r="P251" i="2" s="1"/>
  <c r="Q252" i="2"/>
  <c r="Q251" i="2" s="1"/>
  <c r="R252" i="2"/>
  <c r="R251" i="2" s="1"/>
  <c r="S252" i="2"/>
  <c r="S251" i="2" s="1"/>
  <c r="T252" i="2"/>
  <c r="T251" i="2" s="1"/>
  <c r="U252" i="2"/>
  <c r="U251" i="2" s="1"/>
  <c r="V252" i="2"/>
  <c r="C252" i="2"/>
  <c r="C251" i="2" s="1"/>
  <c r="O268" i="1"/>
  <c r="Q268" i="1"/>
  <c r="I261" i="1"/>
  <c r="J261" i="1"/>
  <c r="K261" i="1"/>
  <c r="L261" i="1"/>
  <c r="M261" i="1"/>
  <c r="N261" i="1"/>
  <c r="P261" i="1"/>
  <c r="H261" i="1"/>
  <c r="E205" i="3"/>
  <c r="F205" i="3"/>
  <c r="G205" i="3"/>
  <c r="H205" i="3"/>
  <c r="J205" i="3"/>
  <c r="K205" i="3"/>
  <c r="L205" i="3"/>
  <c r="E112" i="3"/>
  <c r="F112" i="3"/>
  <c r="G112" i="3"/>
  <c r="H112" i="3"/>
  <c r="J112" i="3"/>
  <c r="K112" i="3"/>
  <c r="L112" i="3"/>
  <c r="E14" i="3"/>
  <c r="F14" i="3"/>
  <c r="G14" i="3"/>
  <c r="H14" i="3"/>
  <c r="J14" i="3"/>
  <c r="K14" i="3"/>
  <c r="L14" i="3"/>
  <c r="D1291" i="2"/>
  <c r="D1290" i="2" s="1"/>
  <c r="E1291" i="2"/>
  <c r="E1290" i="2" s="1"/>
  <c r="F1291" i="2"/>
  <c r="F1290" i="2" s="1"/>
  <c r="G1291" i="2"/>
  <c r="G1290" i="2" s="1"/>
  <c r="H1291" i="2"/>
  <c r="H1290" i="2" s="1"/>
  <c r="I1291" i="2"/>
  <c r="I1290" i="2" s="1"/>
  <c r="J1291" i="2"/>
  <c r="J1290" i="2" s="1"/>
  <c r="K1291" i="2"/>
  <c r="K1290" i="2" s="1"/>
  <c r="L1291" i="2"/>
  <c r="L1290" i="2" s="1"/>
  <c r="M1291" i="2"/>
  <c r="M1290" i="2" s="1"/>
  <c r="N1291" i="2"/>
  <c r="N1290" i="2" s="1"/>
  <c r="O1291" i="2"/>
  <c r="O1290" i="2" s="1"/>
  <c r="P1291" i="2"/>
  <c r="P1290" i="2" s="1"/>
  <c r="Q1291" i="2"/>
  <c r="Q1290" i="2" s="1"/>
  <c r="R1291" i="2"/>
  <c r="R1290" i="2" s="1"/>
  <c r="S1291" i="2"/>
  <c r="S1290" i="2" s="1"/>
  <c r="T1291" i="2"/>
  <c r="T1290" i="2" s="1"/>
  <c r="U1291" i="2"/>
  <c r="U1290" i="2" s="1"/>
  <c r="D803" i="2"/>
  <c r="D802" i="2" s="1"/>
  <c r="E803" i="2"/>
  <c r="E802" i="2" s="1"/>
  <c r="F803" i="2"/>
  <c r="F802" i="2" s="1"/>
  <c r="G803" i="2"/>
  <c r="G802" i="2" s="1"/>
  <c r="H803" i="2"/>
  <c r="H802" i="2" s="1"/>
  <c r="I803" i="2"/>
  <c r="I802" i="2" s="1"/>
  <c r="J803" i="2"/>
  <c r="J802" i="2" s="1"/>
  <c r="K803" i="2"/>
  <c r="K802" i="2" s="1"/>
  <c r="L803" i="2"/>
  <c r="L802" i="2" s="1"/>
  <c r="M803" i="2"/>
  <c r="M802" i="2" s="1"/>
  <c r="N803" i="2"/>
  <c r="N802" i="2" s="1"/>
  <c r="O803" i="2"/>
  <c r="O802" i="2" s="1"/>
  <c r="P803" i="2"/>
  <c r="P802" i="2" s="1"/>
  <c r="Q803" i="2"/>
  <c r="Q802" i="2" s="1"/>
  <c r="R803" i="2"/>
  <c r="R802" i="2" s="1"/>
  <c r="S803" i="2"/>
  <c r="S802" i="2" s="1"/>
  <c r="T803" i="2"/>
  <c r="T802" i="2" s="1"/>
  <c r="U803" i="2"/>
  <c r="U802" i="2" s="1"/>
  <c r="V803" i="2"/>
  <c r="C803" i="2"/>
  <c r="C802" i="2" s="1"/>
  <c r="O1325" i="1"/>
  <c r="O1326" i="1"/>
  <c r="O1327" i="1"/>
  <c r="I1323" i="1"/>
  <c r="J1323" i="1"/>
  <c r="K1323" i="1"/>
  <c r="L1323" i="1"/>
  <c r="M1323" i="1"/>
  <c r="N1323" i="1"/>
  <c r="P1323" i="1"/>
  <c r="H1323" i="1"/>
  <c r="I826" i="1"/>
  <c r="J826" i="1"/>
  <c r="K826" i="1"/>
  <c r="L826" i="1"/>
  <c r="M826" i="1"/>
  <c r="N826" i="1"/>
  <c r="P826" i="1"/>
  <c r="O827" i="1"/>
  <c r="H826" i="1"/>
  <c r="O265" i="1"/>
  <c r="O266" i="1"/>
  <c r="O267" i="1"/>
  <c r="O264" i="1"/>
  <c r="D277" i="3"/>
  <c r="E277" i="3"/>
  <c r="F277" i="3"/>
  <c r="G277" i="3"/>
  <c r="H277" i="3"/>
  <c r="J277" i="3"/>
  <c r="K277" i="3"/>
  <c r="L277" i="3"/>
  <c r="M277" i="3"/>
  <c r="C277" i="3"/>
  <c r="D182" i="3"/>
  <c r="E182" i="3"/>
  <c r="F182" i="3"/>
  <c r="G182" i="3"/>
  <c r="H182" i="3"/>
  <c r="J182" i="3"/>
  <c r="K182" i="3"/>
  <c r="L182" i="3"/>
  <c r="M182" i="3"/>
  <c r="C182" i="3"/>
  <c r="E88" i="3"/>
  <c r="F88" i="3"/>
  <c r="G88" i="3"/>
  <c r="H88" i="3"/>
  <c r="J88" i="3"/>
  <c r="K88" i="3"/>
  <c r="L88" i="3"/>
  <c r="W1506" i="2"/>
  <c r="W1505" i="2"/>
  <c r="D1504" i="2"/>
  <c r="E1504" i="2"/>
  <c r="F1504" i="2"/>
  <c r="G1504" i="2"/>
  <c r="H1504" i="2"/>
  <c r="I1504" i="2"/>
  <c r="J1504" i="2"/>
  <c r="K1504" i="2"/>
  <c r="L1504" i="2"/>
  <c r="M1504" i="2"/>
  <c r="N1504" i="2"/>
  <c r="O1504" i="2"/>
  <c r="P1504" i="2"/>
  <c r="Q1504" i="2"/>
  <c r="R1504" i="2"/>
  <c r="S1504" i="2"/>
  <c r="T1504" i="2"/>
  <c r="U1504" i="2"/>
  <c r="C1504" i="2"/>
  <c r="W1024" i="2"/>
  <c r="W1025" i="2"/>
  <c r="W1026" i="2"/>
  <c r="W1023" i="2"/>
  <c r="D1022" i="2"/>
  <c r="E1022" i="2"/>
  <c r="F1022" i="2"/>
  <c r="G1022" i="2"/>
  <c r="H1022" i="2"/>
  <c r="I1022" i="2"/>
  <c r="J1022" i="2"/>
  <c r="K1022" i="2"/>
  <c r="L1022" i="2"/>
  <c r="M1022" i="2"/>
  <c r="N1022" i="2"/>
  <c r="O1022" i="2"/>
  <c r="P1022" i="2"/>
  <c r="Q1022" i="2"/>
  <c r="R1022" i="2"/>
  <c r="S1022" i="2"/>
  <c r="T1022" i="2"/>
  <c r="U1022" i="2"/>
  <c r="C1022" i="2"/>
  <c r="C529" i="2"/>
  <c r="C530" i="2"/>
  <c r="C531" i="2"/>
  <c r="C528" i="2"/>
  <c r="Y529" i="2"/>
  <c r="Y528" i="2"/>
  <c r="X529" i="2"/>
  <c r="X528" i="2"/>
  <c r="W529" i="2"/>
  <c r="W530" i="2"/>
  <c r="W531" i="2"/>
  <c r="W528" i="2"/>
  <c r="D529" i="2"/>
  <c r="D530" i="2"/>
  <c r="D531" i="2"/>
  <c r="D528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U527" i="2"/>
  <c r="I1528" i="1"/>
  <c r="J1528" i="1"/>
  <c r="K1528" i="1"/>
  <c r="L1528" i="1"/>
  <c r="M1528" i="1"/>
  <c r="N1528" i="1"/>
  <c r="P1528" i="1"/>
  <c r="H1528" i="1"/>
  <c r="D255" i="3"/>
  <c r="E255" i="3"/>
  <c r="F255" i="3"/>
  <c r="G255" i="3"/>
  <c r="H255" i="3"/>
  <c r="J255" i="3"/>
  <c r="K255" i="3"/>
  <c r="L255" i="3"/>
  <c r="M255" i="3"/>
  <c r="C255" i="3"/>
  <c r="N256" i="3"/>
  <c r="N255" i="3" s="1"/>
  <c r="D162" i="3"/>
  <c r="E162" i="3"/>
  <c r="F162" i="3"/>
  <c r="G162" i="3"/>
  <c r="H162" i="3"/>
  <c r="J162" i="3"/>
  <c r="K162" i="3"/>
  <c r="L162" i="3"/>
  <c r="M162" i="3"/>
  <c r="C162" i="3"/>
  <c r="N163" i="3"/>
  <c r="N162" i="3" s="1"/>
  <c r="E66" i="3"/>
  <c r="F66" i="3"/>
  <c r="G66" i="3"/>
  <c r="H66" i="3"/>
  <c r="J66" i="3"/>
  <c r="K66" i="3"/>
  <c r="L66" i="3"/>
  <c r="M66" i="3"/>
  <c r="N67" i="3"/>
  <c r="N66" i="3" s="1"/>
  <c r="W1445" i="2"/>
  <c r="D1444" i="2"/>
  <c r="D1443" i="2" s="1"/>
  <c r="E1444" i="2"/>
  <c r="E1443" i="2" s="1"/>
  <c r="F1444" i="2"/>
  <c r="F1443" i="2" s="1"/>
  <c r="G1444" i="2"/>
  <c r="G1443" i="2" s="1"/>
  <c r="H1444" i="2"/>
  <c r="H1443" i="2" s="1"/>
  <c r="I1444" i="2"/>
  <c r="I1443" i="2" s="1"/>
  <c r="J1444" i="2"/>
  <c r="J1443" i="2" s="1"/>
  <c r="K1444" i="2"/>
  <c r="K1443" i="2" s="1"/>
  <c r="L1444" i="2"/>
  <c r="L1443" i="2" s="1"/>
  <c r="M1444" i="2"/>
  <c r="M1443" i="2" s="1"/>
  <c r="N1444" i="2"/>
  <c r="N1443" i="2" s="1"/>
  <c r="O1444" i="2"/>
  <c r="O1443" i="2" s="1"/>
  <c r="P1444" i="2"/>
  <c r="P1443" i="2" s="1"/>
  <c r="Q1444" i="2"/>
  <c r="Q1443" i="2" s="1"/>
  <c r="R1444" i="2"/>
  <c r="R1443" i="2" s="1"/>
  <c r="S1444" i="2"/>
  <c r="S1443" i="2" s="1"/>
  <c r="T1444" i="2"/>
  <c r="T1443" i="2" s="1"/>
  <c r="U1444" i="2"/>
  <c r="U1443" i="2" s="1"/>
  <c r="V1444" i="2"/>
  <c r="C1444" i="2"/>
  <c r="C1443" i="2" s="1"/>
  <c r="AD960" i="2"/>
  <c r="W960" i="2"/>
  <c r="E959" i="2"/>
  <c r="E958" i="2" s="1"/>
  <c r="F959" i="2"/>
  <c r="F958" i="2" s="1"/>
  <c r="G959" i="2"/>
  <c r="G958" i="2" s="1"/>
  <c r="H959" i="2"/>
  <c r="H958" i="2" s="1"/>
  <c r="I959" i="2"/>
  <c r="I958" i="2" s="1"/>
  <c r="J959" i="2"/>
  <c r="J958" i="2" s="1"/>
  <c r="K959" i="2"/>
  <c r="K958" i="2" s="1"/>
  <c r="L959" i="2"/>
  <c r="L958" i="2" s="1"/>
  <c r="M959" i="2"/>
  <c r="M958" i="2" s="1"/>
  <c r="N959" i="2"/>
  <c r="N958" i="2" s="1"/>
  <c r="O959" i="2"/>
  <c r="O958" i="2" s="1"/>
  <c r="P959" i="2"/>
  <c r="P958" i="2" s="1"/>
  <c r="Q959" i="2"/>
  <c r="Q958" i="2" s="1"/>
  <c r="R959" i="2"/>
  <c r="R958" i="2" s="1"/>
  <c r="S959" i="2"/>
  <c r="S958" i="2" s="1"/>
  <c r="T959" i="2"/>
  <c r="T958" i="2" s="1"/>
  <c r="U959" i="2"/>
  <c r="U958" i="2" s="1"/>
  <c r="C959" i="2"/>
  <c r="C958" i="2" s="1"/>
  <c r="D960" i="2"/>
  <c r="D959" i="2" s="1"/>
  <c r="D958" i="2" s="1"/>
  <c r="AD427" i="2"/>
  <c r="AD426" i="2"/>
  <c r="W427" i="2"/>
  <c r="W426" i="2"/>
  <c r="D425" i="2"/>
  <c r="D424" i="2" s="1"/>
  <c r="E425" i="2"/>
  <c r="E424" i="2" s="1"/>
  <c r="F425" i="2"/>
  <c r="F424" i="2" s="1"/>
  <c r="G425" i="2"/>
  <c r="G424" i="2" s="1"/>
  <c r="H425" i="2"/>
  <c r="H424" i="2" s="1"/>
  <c r="I425" i="2"/>
  <c r="I424" i="2" s="1"/>
  <c r="J425" i="2"/>
  <c r="J424" i="2" s="1"/>
  <c r="K425" i="2"/>
  <c r="K424" i="2" s="1"/>
  <c r="L425" i="2"/>
  <c r="L424" i="2" s="1"/>
  <c r="M425" i="2"/>
  <c r="M424" i="2" s="1"/>
  <c r="N425" i="2"/>
  <c r="N424" i="2" s="1"/>
  <c r="O425" i="2"/>
  <c r="O424" i="2" s="1"/>
  <c r="P425" i="2"/>
  <c r="P424" i="2" s="1"/>
  <c r="Q425" i="2"/>
  <c r="Q424" i="2" s="1"/>
  <c r="R425" i="2"/>
  <c r="R424" i="2" s="1"/>
  <c r="S425" i="2"/>
  <c r="S424" i="2" s="1"/>
  <c r="T425" i="2"/>
  <c r="T424" i="2" s="1"/>
  <c r="U425" i="2"/>
  <c r="U424" i="2" s="1"/>
  <c r="V425" i="2"/>
  <c r="V424" i="2" s="1"/>
  <c r="C425" i="2"/>
  <c r="C424" i="2" s="1"/>
  <c r="I1472" i="1"/>
  <c r="J1472" i="1"/>
  <c r="K1472" i="1"/>
  <c r="L1472" i="1"/>
  <c r="M1472" i="1"/>
  <c r="N1472" i="1"/>
  <c r="O1472" i="1"/>
  <c r="P1472" i="1"/>
  <c r="H1472" i="1"/>
  <c r="I974" i="1"/>
  <c r="J974" i="1"/>
  <c r="K974" i="1"/>
  <c r="L974" i="1"/>
  <c r="M974" i="1"/>
  <c r="N974" i="1"/>
  <c r="O974" i="1"/>
  <c r="P974" i="1"/>
  <c r="H974" i="1"/>
  <c r="I430" i="1"/>
  <c r="J430" i="1"/>
  <c r="K430" i="1"/>
  <c r="L430" i="1"/>
  <c r="M430" i="1"/>
  <c r="N430" i="1"/>
  <c r="P430" i="1"/>
  <c r="H430" i="1"/>
  <c r="N270" i="3"/>
  <c r="I270" i="3"/>
  <c r="N177" i="3"/>
  <c r="N81" i="3"/>
  <c r="I80" i="3"/>
  <c r="I81" i="3"/>
  <c r="I83" i="3"/>
  <c r="Y1491" i="2"/>
  <c r="W1489" i="2"/>
  <c r="W1490" i="2"/>
  <c r="W1488" i="2"/>
  <c r="D1489" i="2"/>
  <c r="D1490" i="2"/>
  <c r="D1491" i="2"/>
  <c r="D1488" i="2"/>
  <c r="E1487" i="2"/>
  <c r="F1487" i="2"/>
  <c r="G1487" i="2"/>
  <c r="H1487" i="2"/>
  <c r="I1487" i="2"/>
  <c r="J1487" i="2"/>
  <c r="K1487" i="2"/>
  <c r="L1487" i="2"/>
  <c r="M1487" i="2"/>
  <c r="N1487" i="2"/>
  <c r="O1487" i="2"/>
  <c r="P1487" i="2"/>
  <c r="Q1487" i="2"/>
  <c r="R1487" i="2"/>
  <c r="S1487" i="2"/>
  <c r="T1487" i="2"/>
  <c r="U1487" i="2"/>
  <c r="V1487" i="2"/>
  <c r="C1487" i="2"/>
  <c r="W1008" i="2"/>
  <c r="W1009" i="2"/>
  <c r="W1007" i="2"/>
  <c r="D1006" i="2"/>
  <c r="E1006" i="2"/>
  <c r="F1006" i="2"/>
  <c r="G1006" i="2"/>
  <c r="H1006" i="2"/>
  <c r="I1006" i="2"/>
  <c r="J1006" i="2"/>
  <c r="K1006" i="2"/>
  <c r="L1006" i="2"/>
  <c r="M1006" i="2"/>
  <c r="N1006" i="2"/>
  <c r="O1006" i="2"/>
  <c r="P1006" i="2"/>
  <c r="Q1006" i="2"/>
  <c r="R1006" i="2"/>
  <c r="S1006" i="2"/>
  <c r="T1006" i="2"/>
  <c r="U1006" i="2"/>
  <c r="C1006" i="2"/>
  <c r="W512" i="2"/>
  <c r="W511" i="2"/>
  <c r="N185" i="3"/>
  <c r="N184" i="3" s="1"/>
  <c r="I185" i="3"/>
  <c r="I184" i="3" s="1"/>
  <c r="N281" i="3"/>
  <c r="N279" i="3" s="1"/>
  <c r="I281" i="3"/>
  <c r="I279" i="3" s="1"/>
  <c r="N92" i="3"/>
  <c r="N90" i="3" s="1"/>
  <c r="I92" i="3"/>
  <c r="W1519" i="2"/>
  <c r="W1518" i="2"/>
  <c r="D1517" i="2"/>
  <c r="D1514" i="2" s="1"/>
  <c r="E1517" i="2"/>
  <c r="E1514" i="2" s="1"/>
  <c r="F1517" i="2"/>
  <c r="F1514" i="2" s="1"/>
  <c r="G1517" i="2"/>
  <c r="G1514" i="2" s="1"/>
  <c r="H1517" i="2"/>
  <c r="H1514" i="2" s="1"/>
  <c r="I1517" i="2"/>
  <c r="I1514" i="2" s="1"/>
  <c r="J1517" i="2"/>
  <c r="J1514" i="2" s="1"/>
  <c r="K1517" i="2"/>
  <c r="K1514" i="2" s="1"/>
  <c r="L1517" i="2"/>
  <c r="L1514" i="2" s="1"/>
  <c r="M1517" i="2"/>
  <c r="M1514" i="2" s="1"/>
  <c r="N1517" i="2"/>
  <c r="N1514" i="2" s="1"/>
  <c r="O1517" i="2"/>
  <c r="O1514" i="2" s="1"/>
  <c r="P1517" i="2"/>
  <c r="P1514" i="2" s="1"/>
  <c r="Q1517" i="2"/>
  <c r="Q1514" i="2" s="1"/>
  <c r="R1517" i="2"/>
  <c r="R1514" i="2" s="1"/>
  <c r="S1517" i="2"/>
  <c r="S1514" i="2" s="1"/>
  <c r="T1517" i="2"/>
  <c r="T1514" i="2" s="1"/>
  <c r="U1517" i="2"/>
  <c r="U1514" i="2" s="1"/>
  <c r="V1517" i="2"/>
  <c r="C1517" i="2"/>
  <c r="C1514" i="2" s="1"/>
  <c r="D1033" i="2"/>
  <c r="D1032" i="2" s="1"/>
  <c r="E1033" i="2"/>
  <c r="E1032" i="2" s="1"/>
  <c r="F1033" i="2"/>
  <c r="F1032" i="2" s="1"/>
  <c r="G1033" i="2"/>
  <c r="G1032" i="2" s="1"/>
  <c r="H1033" i="2"/>
  <c r="H1032" i="2" s="1"/>
  <c r="I1033" i="2"/>
  <c r="I1032" i="2" s="1"/>
  <c r="J1033" i="2"/>
  <c r="J1032" i="2" s="1"/>
  <c r="K1033" i="2"/>
  <c r="K1032" i="2" s="1"/>
  <c r="L1033" i="2"/>
  <c r="L1032" i="2" s="1"/>
  <c r="M1033" i="2"/>
  <c r="M1032" i="2" s="1"/>
  <c r="N1033" i="2"/>
  <c r="N1032" i="2" s="1"/>
  <c r="O1033" i="2"/>
  <c r="O1032" i="2" s="1"/>
  <c r="P1033" i="2"/>
  <c r="P1032" i="2" s="1"/>
  <c r="Q1033" i="2"/>
  <c r="Q1032" i="2" s="1"/>
  <c r="R1033" i="2"/>
  <c r="R1032" i="2" s="1"/>
  <c r="S1033" i="2"/>
  <c r="S1032" i="2" s="1"/>
  <c r="T1033" i="2"/>
  <c r="T1032" i="2" s="1"/>
  <c r="U1033" i="2"/>
  <c r="U1032" i="2" s="1"/>
  <c r="C1033" i="2"/>
  <c r="C1032" i="2" s="1"/>
  <c r="W1034" i="2"/>
  <c r="I90" i="3" l="1"/>
  <c r="U532" i="2"/>
  <c r="Q532" i="2"/>
  <c r="M532" i="2"/>
  <c r="I532" i="2"/>
  <c r="E532" i="2"/>
  <c r="T532" i="2"/>
  <c r="P532" i="2"/>
  <c r="L532" i="2"/>
  <c r="H532" i="2"/>
  <c r="D532" i="2"/>
  <c r="S532" i="2"/>
  <c r="O532" i="2"/>
  <c r="K532" i="2"/>
  <c r="G532" i="2"/>
  <c r="M113" i="3"/>
  <c r="M112" i="3" s="1"/>
  <c r="C206" i="3"/>
  <c r="C205" i="3" s="1"/>
  <c r="M206" i="3"/>
  <c r="M205" i="3" s="1"/>
  <c r="C15" i="3"/>
  <c r="C91" i="3"/>
  <c r="C90" i="3" s="1"/>
  <c r="D91" i="3"/>
  <c r="D90" i="3" s="1"/>
  <c r="C280" i="3"/>
  <c r="C279" i="3" s="1"/>
  <c r="D280" i="3"/>
  <c r="D279" i="3" s="1"/>
  <c r="C60" i="3"/>
  <c r="D60" i="3"/>
  <c r="M63" i="3"/>
  <c r="C159" i="3"/>
  <c r="D159" i="3"/>
  <c r="M252" i="3"/>
  <c r="N252" i="3" s="1"/>
  <c r="M57" i="3"/>
  <c r="C113" i="3"/>
  <c r="C112" i="3" s="1"/>
  <c r="D113" i="3"/>
  <c r="D112" i="3" s="1"/>
  <c r="D206" i="3"/>
  <c r="D205" i="3" s="1"/>
  <c r="D159" i="7"/>
  <c r="D15" i="3"/>
  <c r="D14" i="3" s="1"/>
  <c r="C63" i="3"/>
  <c r="D63" i="3"/>
  <c r="M159" i="3"/>
  <c r="N159" i="3" s="1"/>
  <c r="C252" i="3"/>
  <c r="D252" i="3"/>
  <c r="W301" i="2"/>
  <c r="O298" i="2"/>
  <c r="W305" i="2"/>
  <c r="T844" i="2"/>
  <c r="R844" i="2"/>
  <c r="P844" i="2"/>
  <c r="L844" i="2"/>
  <c r="J844" i="2"/>
  <c r="H844" i="2"/>
  <c r="F844" i="2"/>
  <c r="D844" i="2"/>
  <c r="C527" i="2"/>
  <c r="L537" i="2"/>
  <c r="C844" i="2"/>
  <c r="C532" i="2"/>
  <c r="V912" i="2"/>
  <c r="U844" i="2"/>
  <c r="S844" i="2"/>
  <c r="Q844" i="2"/>
  <c r="O844" i="2"/>
  <c r="M844" i="2"/>
  <c r="K844" i="2"/>
  <c r="I844" i="2"/>
  <c r="G844" i="2"/>
  <c r="E844" i="2"/>
  <c r="D744" i="2"/>
  <c r="C1018" i="2"/>
  <c r="C1017" i="2" s="1"/>
  <c r="C520" i="2"/>
  <c r="C519" i="2" s="1"/>
  <c r="C1498" i="2"/>
  <c r="D527" i="2"/>
  <c r="C1291" i="2"/>
  <c r="C1290" i="2" s="1"/>
  <c r="D1487" i="2"/>
  <c r="W313" i="2"/>
  <c r="W508" i="2"/>
  <c r="W542" i="2"/>
  <c r="W543" i="2"/>
  <c r="W545" i="2"/>
  <c r="W546" i="2"/>
  <c r="W547" i="2"/>
  <c r="W548" i="2"/>
  <c r="W549" i="2"/>
  <c r="W550" i="2"/>
  <c r="W551" i="2"/>
  <c r="W541" i="2"/>
  <c r="W1039" i="2"/>
  <c r="W1040" i="2"/>
  <c r="W1041" i="2"/>
  <c r="W1042" i="2"/>
  <c r="W1043" i="2"/>
  <c r="W1044" i="2"/>
  <c r="W1045" i="2"/>
  <c r="W1046" i="2"/>
  <c r="W1047" i="2"/>
  <c r="W1038" i="2"/>
  <c r="W1523" i="2"/>
  <c r="W1524" i="2"/>
  <c r="W1525" i="2"/>
  <c r="W1526" i="2"/>
  <c r="W1527" i="2"/>
  <c r="W1528" i="2"/>
  <c r="W1522" i="2"/>
  <c r="D1037" i="2"/>
  <c r="E1037" i="2"/>
  <c r="F1037" i="2"/>
  <c r="G1037" i="2"/>
  <c r="H1037" i="2"/>
  <c r="I1037" i="2"/>
  <c r="J1037" i="2"/>
  <c r="K1037" i="2"/>
  <c r="L1037" i="2"/>
  <c r="M1037" i="2"/>
  <c r="N1037" i="2"/>
  <c r="O1037" i="2"/>
  <c r="P1037" i="2"/>
  <c r="Q1037" i="2"/>
  <c r="R1037" i="2"/>
  <c r="S1037" i="2"/>
  <c r="T1037" i="2"/>
  <c r="U1037" i="2"/>
  <c r="V1037" i="2"/>
  <c r="C1037" i="2"/>
  <c r="Y274" i="2"/>
  <c r="D248" i="3"/>
  <c r="C248" i="3"/>
  <c r="D154" i="3"/>
  <c r="C154" i="3"/>
  <c r="W1421" i="2"/>
  <c r="W932" i="2"/>
  <c r="W398" i="2"/>
  <c r="X1349" i="2"/>
  <c r="X860" i="2"/>
  <c r="N269" i="3"/>
  <c r="I269" i="3"/>
  <c r="X1485" i="2"/>
  <c r="N176" i="3"/>
  <c r="I176" i="3"/>
  <c r="D176" i="3"/>
  <c r="X1004" i="2"/>
  <c r="N80" i="3"/>
  <c r="D232" i="3"/>
  <c r="C232" i="3"/>
  <c r="D138" i="3"/>
  <c r="C138" i="3"/>
  <c r="W330" i="2"/>
  <c r="W873" i="2"/>
  <c r="W1361" i="2"/>
  <c r="N272" i="3"/>
  <c r="N179" i="3"/>
  <c r="N83" i="3"/>
  <c r="W1497" i="2"/>
  <c r="I293" i="3"/>
  <c r="L292" i="3"/>
  <c r="N292" i="3" s="1"/>
  <c r="I292" i="3"/>
  <c r="D292" i="3"/>
  <c r="C292" i="3"/>
  <c r="H291" i="3"/>
  <c r="G291" i="3"/>
  <c r="D291" i="3"/>
  <c r="C291" i="3"/>
  <c r="N290" i="3"/>
  <c r="I290" i="3"/>
  <c r="M287" i="3"/>
  <c r="N287" i="3" s="1"/>
  <c r="I287" i="3"/>
  <c r="D287" i="3"/>
  <c r="C287" i="3"/>
  <c r="M286" i="3"/>
  <c r="N286" i="3" s="1"/>
  <c r="I286" i="3"/>
  <c r="D286" i="3"/>
  <c r="C286" i="3"/>
  <c r="A286" i="3"/>
  <c r="N278" i="3"/>
  <c r="N277" i="3" s="1"/>
  <c r="I278" i="3"/>
  <c r="I277" i="3" s="1"/>
  <c r="L273" i="3"/>
  <c r="K273" i="3"/>
  <c r="J273" i="3"/>
  <c r="G273" i="3"/>
  <c r="I273" i="3" s="1"/>
  <c r="F273" i="3"/>
  <c r="E273" i="3"/>
  <c r="I272" i="3"/>
  <c r="N268" i="3"/>
  <c r="M268" i="3"/>
  <c r="L268" i="3"/>
  <c r="K268" i="3"/>
  <c r="J268" i="3"/>
  <c r="H268" i="3"/>
  <c r="G268" i="3"/>
  <c r="F268" i="3"/>
  <c r="E268" i="3"/>
  <c r="D268" i="3"/>
  <c r="C268" i="3"/>
  <c r="N267" i="3"/>
  <c r="N266" i="3"/>
  <c r="M264" i="3"/>
  <c r="N264" i="3" s="1"/>
  <c r="N263" i="3" s="1"/>
  <c r="H264" i="3"/>
  <c r="I264" i="3" s="1"/>
  <c r="D264" i="3"/>
  <c r="C264" i="3"/>
  <c r="C263" i="3" s="1"/>
  <c r="L263" i="3"/>
  <c r="K263" i="3"/>
  <c r="J263" i="3"/>
  <c r="G263" i="3"/>
  <c r="F263" i="3"/>
  <c r="E263" i="3"/>
  <c r="D263" i="3"/>
  <c r="N262" i="3"/>
  <c r="N261" i="3" s="1"/>
  <c r="I262" i="3"/>
  <c r="M261" i="3"/>
  <c r="L261" i="3"/>
  <c r="K261" i="3"/>
  <c r="J261" i="3"/>
  <c r="H261" i="3"/>
  <c r="G261" i="3"/>
  <c r="F261" i="3"/>
  <c r="E261" i="3"/>
  <c r="D261" i="3"/>
  <c r="C261" i="3"/>
  <c r="I259" i="3"/>
  <c r="N258" i="3"/>
  <c r="I258" i="3"/>
  <c r="L257" i="3"/>
  <c r="K257" i="3"/>
  <c r="J257" i="3"/>
  <c r="G257" i="3"/>
  <c r="F257" i="3"/>
  <c r="E257" i="3"/>
  <c r="D257" i="3"/>
  <c r="C257" i="3"/>
  <c r="I256" i="3"/>
  <c r="I255" i="3" s="1"/>
  <c r="M254" i="3"/>
  <c r="N254" i="3" s="1"/>
  <c r="N253" i="3" s="1"/>
  <c r="H254" i="3"/>
  <c r="I254" i="3" s="1"/>
  <c r="L253" i="3"/>
  <c r="K253" i="3"/>
  <c r="J253" i="3"/>
  <c r="G253" i="3"/>
  <c r="F253" i="3"/>
  <c r="E253" i="3"/>
  <c r="I252" i="3"/>
  <c r="M251" i="3"/>
  <c r="N251" i="3" s="1"/>
  <c r="I251" i="3"/>
  <c r="D251" i="3"/>
  <c r="C251" i="3"/>
  <c r="N250" i="3"/>
  <c r="I250" i="3"/>
  <c r="N249" i="3"/>
  <c r="I249" i="3"/>
  <c r="N248" i="3"/>
  <c r="I248" i="3"/>
  <c r="I247" i="3"/>
  <c r="I246" i="3"/>
  <c r="L245" i="3"/>
  <c r="K245" i="3"/>
  <c r="J245" i="3"/>
  <c r="H245" i="3"/>
  <c r="G245" i="3"/>
  <c r="F245" i="3"/>
  <c r="E245" i="3"/>
  <c r="D245" i="3"/>
  <c r="C245" i="3"/>
  <c r="M244" i="3"/>
  <c r="N244" i="3" s="1"/>
  <c r="I244" i="3"/>
  <c r="D244" i="3"/>
  <c r="C244" i="3"/>
  <c r="N243" i="3"/>
  <c r="I243" i="3"/>
  <c r="D243" i="3"/>
  <c r="C243" i="3"/>
  <c r="I242" i="3"/>
  <c r="L241" i="3"/>
  <c r="K241" i="3"/>
  <c r="J241" i="3"/>
  <c r="H241" i="3"/>
  <c r="G241" i="3"/>
  <c r="F241" i="3"/>
  <c r="E241" i="3"/>
  <c r="I239" i="3"/>
  <c r="L238" i="3"/>
  <c r="K238" i="3"/>
  <c r="J238" i="3"/>
  <c r="H238" i="3"/>
  <c r="G238" i="3"/>
  <c r="F238" i="3"/>
  <c r="E238" i="3"/>
  <c r="I237" i="3"/>
  <c r="L236" i="3"/>
  <c r="K236" i="3"/>
  <c r="J236" i="3"/>
  <c r="H236" i="3"/>
  <c r="G236" i="3"/>
  <c r="F236" i="3"/>
  <c r="E236" i="3"/>
  <c r="M234" i="3"/>
  <c r="N234" i="3" s="1"/>
  <c r="I234" i="3"/>
  <c r="D234" i="3"/>
  <c r="I233" i="3"/>
  <c r="N232" i="3"/>
  <c r="I232" i="3"/>
  <c r="K231" i="3"/>
  <c r="J231" i="3"/>
  <c r="H231" i="3"/>
  <c r="G231" i="3"/>
  <c r="F231" i="3"/>
  <c r="E231" i="3"/>
  <c r="D231" i="3"/>
  <c r="C231" i="3"/>
  <c r="H230" i="3"/>
  <c r="I230" i="3" s="1"/>
  <c r="N229" i="3"/>
  <c r="I229" i="3"/>
  <c r="L228" i="3"/>
  <c r="K228" i="3"/>
  <c r="J228" i="3"/>
  <c r="G228" i="3"/>
  <c r="F228" i="3"/>
  <c r="E228" i="3"/>
  <c r="D228" i="3"/>
  <c r="C228" i="3"/>
  <c r="N227" i="3"/>
  <c r="N226" i="3" s="1"/>
  <c r="I227" i="3"/>
  <c r="I226" i="3" s="1"/>
  <c r="N225" i="3"/>
  <c r="N224" i="3" s="1"/>
  <c r="I225" i="3"/>
  <c r="I224" i="3" s="1"/>
  <c r="I222" i="3"/>
  <c r="I221" i="3"/>
  <c r="I220" i="3"/>
  <c r="I219" i="3"/>
  <c r="N215" i="3"/>
  <c r="N214" i="3" s="1"/>
  <c r="C214" i="3"/>
  <c r="A215" i="3"/>
  <c r="A217" i="3" s="1"/>
  <c r="A219" i="3" s="1"/>
  <c r="A220" i="3" s="1"/>
  <c r="A221" i="3" s="1"/>
  <c r="A222" i="3" s="1"/>
  <c r="A225" i="3" s="1"/>
  <c r="A227" i="3" s="1"/>
  <c r="A229" i="3" s="1"/>
  <c r="A230" i="3" s="1"/>
  <c r="A232" i="3" s="1"/>
  <c r="A233" i="3" s="1"/>
  <c r="A234" i="3" s="1"/>
  <c r="A235" i="3" s="1"/>
  <c r="A237" i="3" s="1"/>
  <c r="A239" i="3" s="1"/>
  <c r="A242" i="3" s="1"/>
  <c r="A243" i="3" s="1"/>
  <c r="A244" i="3" s="1"/>
  <c r="A246" i="3" s="1"/>
  <c r="A247" i="3" s="1"/>
  <c r="A248" i="3" s="1"/>
  <c r="A249" i="3" s="1"/>
  <c r="A250" i="3" s="1"/>
  <c r="A251" i="3" s="1"/>
  <c r="A252" i="3" s="1"/>
  <c r="A254" i="3" s="1"/>
  <c r="L214" i="3"/>
  <c r="K214" i="3"/>
  <c r="J214" i="3"/>
  <c r="H214" i="3"/>
  <c r="G214" i="3"/>
  <c r="F214" i="3"/>
  <c r="E214" i="3"/>
  <c r="D214" i="3"/>
  <c r="I213" i="3"/>
  <c r="H212" i="3"/>
  <c r="I212" i="3" s="1"/>
  <c r="D212" i="3"/>
  <c r="C212" i="3"/>
  <c r="L211" i="3"/>
  <c r="K211" i="3"/>
  <c r="J211" i="3"/>
  <c r="G211" i="3"/>
  <c r="F211" i="3"/>
  <c r="E211" i="3"/>
  <c r="N210" i="3"/>
  <c r="N209" i="3" s="1"/>
  <c r="I210" i="3"/>
  <c r="L209" i="3"/>
  <c r="K209" i="3"/>
  <c r="J209" i="3"/>
  <c r="H209" i="3"/>
  <c r="G209" i="3"/>
  <c r="F209" i="3"/>
  <c r="E209" i="3"/>
  <c r="D209" i="3"/>
  <c r="C209" i="3"/>
  <c r="N208" i="3"/>
  <c r="N207" i="3" s="1"/>
  <c r="I208" i="3"/>
  <c r="I207" i="3" s="1"/>
  <c r="C207" i="3"/>
  <c r="I206" i="3"/>
  <c r="I205" i="3" s="1"/>
  <c r="N203" i="3"/>
  <c r="I203" i="3"/>
  <c r="N202" i="3"/>
  <c r="I202" i="3"/>
  <c r="I201" i="3"/>
  <c r="N200" i="3"/>
  <c r="I200" i="3"/>
  <c r="I199" i="3"/>
  <c r="M198" i="3"/>
  <c r="N198" i="3" s="1"/>
  <c r="I198" i="3"/>
  <c r="D198" i="3"/>
  <c r="C198" i="3"/>
  <c r="L196" i="3"/>
  <c r="N196" i="3" s="1"/>
  <c r="I196" i="3"/>
  <c r="D196" i="3"/>
  <c r="C196" i="3"/>
  <c r="M195" i="3"/>
  <c r="H195" i="3"/>
  <c r="G195" i="3"/>
  <c r="D195" i="3"/>
  <c r="C195" i="3"/>
  <c r="N194" i="3"/>
  <c r="I194" i="3"/>
  <c r="M191" i="3"/>
  <c r="N191" i="3" s="1"/>
  <c r="I191" i="3"/>
  <c r="D191" i="3"/>
  <c r="C191" i="3"/>
  <c r="M190" i="3"/>
  <c r="N190" i="3" s="1"/>
  <c r="I190" i="3"/>
  <c r="D190" i="3"/>
  <c r="C190" i="3"/>
  <c r="A190" i="3"/>
  <c r="N183" i="3"/>
  <c r="I183" i="3"/>
  <c r="I182" i="3" s="1"/>
  <c r="L180" i="3"/>
  <c r="K180" i="3"/>
  <c r="J180" i="3"/>
  <c r="G180" i="3"/>
  <c r="I180" i="3" s="1"/>
  <c r="F180" i="3"/>
  <c r="E180" i="3"/>
  <c r="I179" i="3"/>
  <c r="I177" i="3"/>
  <c r="N175" i="3"/>
  <c r="M175" i="3"/>
  <c r="L175" i="3"/>
  <c r="K175" i="3"/>
  <c r="J175" i="3"/>
  <c r="H175" i="3"/>
  <c r="G175" i="3"/>
  <c r="F175" i="3"/>
  <c r="E175" i="3"/>
  <c r="D175" i="3"/>
  <c r="C175" i="3"/>
  <c r="N174" i="3"/>
  <c r="I174" i="3"/>
  <c r="I172" i="3" s="1"/>
  <c r="D174" i="3"/>
  <c r="C174" i="3"/>
  <c r="N173" i="3"/>
  <c r="N172" i="3" s="1"/>
  <c r="D173" i="3"/>
  <c r="C173" i="3"/>
  <c r="M171" i="3"/>
  <c r="N171" i="3" s="1"/>
  <c r="N170" i="3" s="1"/>
  <c r="H171" i="3"/>
  <c r="I171" i="3" s="1"/>
  <c r="D171" i="3"/>
  <c r="C171" i="3"/>
  <c r="C170" i="3" s="1"/>
  <c r="L170" i="3"/>
  <c r="K170" i="3"/>
  <c r="J170" i="3"/>
  <c r="G170" i="3"/>
  <c r="F170" i="3"/>
  <c r="E170" i="3"/>
  <c r="D170" i="3"/>
  <c r="I169" i="3"/>
  <c r="L168" i="3"/>
  <c r="K168" i="3"/>
  <c r="J168" i="3"/>
  <c r="H168" i="3"/>
  <c r="G168" i="3"/>
  <c r="F168" i="3"/>
  <c r="E168" i="3"/>
  <c r="H167" i="3"/>
  <c r="I167" i="3" s="1"/>
  <c r="N166" i="3"/>
  <c r="I166" i="3"/>
  <c r="I165" i="3"/>
  <c r="L164" i="3"/>
  <c r="K164" i="3"/>
  <c r="J164" i="3"/>
  <c r="G164" i="3"/>
  <c r="F164" i="3"/>
  <c r="E164" i="3"/>
  <c r="I163" i="3"/>
  <c r="I162" i="3" s="1"/>
  <c r="M161" i="3"/>
  <c r="N161" i="3" s="1"/>
  <c r="N160" i="3" s="1"/>
  <c r="H161" i="3"/>
  <c r="I161" i="3" s="1"/>
  <c r="D161" i="3"/>
  <c r="D160" i="3" s="1"/>
  <c r="C161" i="3"/>
  <c r="C160" i="3" s="1"/>
  <c r="L160" i="3"/>
  <c r="K160" i="3"/>
  <c r="J160" i="3"/>
  <c r="G160" i="3"/>
  <c r="F160" i="3"/>
  <c r="E160" i="3"/>
  <c r="I159" i="3"/>
  <c r="M158" i="3"/>
  <c r="N158" i="3" s="1"/>
  <c r="I158" i="3"/>
  <c r="D158" i="3"/>
  <c r="C158" i="3"/>
  <c r="N157" i="3"/>
  <c r="I157" i="3"/>
  <c r="N155" i="3"/>
  <c r="I155" i="3"/>
  <c r="N154" i="3"/>
  <c r="I154" i="3"/>
  <c r="I153" i="3"/>
  <c r="N152" i="3"/>
  <c r="I152" i="3"/>
  <c r="L151" i="3"/>
  <c r="K151" i="3"/>
  <c r="J151" i="3"/>
  <c r="G151" i="3"/>
  <c r="F151" i="3"/>
  <c r="E151" i="3"/>
  <c r="M150" i="3"/>
  <c r="N150" i="3" s="1"/>
  <c r="I150" i="3"/>
  <c r="D150" i="3"/>
  <c r="C150" i="3"/>
  <c r="N149" i="3"/>
  <c r="I149" i="3"/>
  <c r="L147" i="3"/>
  <c r="K147" i="3"/>
  <c r="J147" i="3"/>
  <c r="H147" i="3"/>
  <c r="G147" i="3"/>
  <c r="F147" i="3"/>
  <c r="E147" i="3"/>
  <c r="I145" i="3"/>
  <c r="L144" i="3"/>
  <c r="K144" i="3"/>
  <c r="J144" i="3"/>
  <c r="H144" i="3"/>
  <c r="G144" i="3"/>
  <c r="F144" i="3"/>
  <c r="E144" i="3"/>
  <c r="I143" i="3"/>
  <c r="C142" i="3"/>
  <c r="L142" i="3"/>
  <c r="K142" i="3"/>
  <c r="J142" i="3"/>
  <c r="H142" i="3"/>
  <c r="G142" i="3"/>
  <c r="F142" i="3"/>
  <c r="E142" i="3"/>
  <c r="I141" i="3"/>
  <c r="M140" i="3"/>
  <c r="N140" i="3" s="1"/>
  <c r="I140" i="3"/>
  <c r="D140" i="3"/>
  <c r="C140" i="3"/>
  <c r="I139" i="3"/>
  <c r="N138" i="3"/>
  <c r="I138" i="3"/>
  <c r="K137" i="3"/>
  <c r="J137" i="3"/>
  <c r="H137" i="3"/>
  <c r="G137" i="3"/>
  <c r="F137" i="3"/>
  <c r="E137" i="3"/>
  <c r="D137" i="3"/>
  <c r="C137" i="3"/>
  <c r="H136" i="3"/>
  <c r="I136" i="3" s="1"/>
  <c r="I135" i="3"/>
  <c r="L134" i="3"/>
  <c r="K134" i="3"/>
  <c r="J134" i="3"/>
  <c r="G134" i="3"/>
  <c r="F134" i="3"/>
  <c r="E134" i="3"/>
  <c r="I133" i="3"/>
  <c r="I132" i="3" s="1"/>
  <c r="N131" i="3"/>
  <c r="N130" i="3" s="1"/>
  <c r="I131" i="3"/>
  <c r="I130" i="3" s="1"/>
  <c r="N129" i="3"/>
  <c r="I129" i="3"/>
  <c r="I128" i="3"/>
  <c r="N127" i="3"/>
  <c r="I127" i="3"/>
  <c r="I126" i="3"/>
  <c r="N122" i="3"/>
  <c r="N121" i="3" s="1"/>
  <c r="I122" i="3"/>
  <c r="D121" i="3"/>
  <c r="A122" i="3"/>
  <c r="A124" i="3" s="1"/>
  <c r="A127" i="3" s="1"/>
  <c r="A128" i="3" s="1"/>
  <c r="A129" i="3" s="1"/>
  <c r="A131" i="3" s="1"/>
  <c r="A133" i="3" s="1"/>
  <c r="A135" i="3" s="1"/>
  <c r="A136" i="3" s="1"/>
  <c r="A138" i="3" s="1"/>
  <c r="A139" i="3" s="1"/>
  <c r="A140" i="3" s="1"/>
  <c r="A141" i="3" s="1"/>
  <c r="A143" i="3" s="1"/>
  <c r="A145" i="3" s="1"/>
  <c r="A148" i="3" s="1"/>
  <c r="A149" i="3" s="1"/>
  <c r="A150" i="3" s="1"/>
  <c r="A152" i="3" s="1"/>
  <c r="A153" i="3" s="1"/>
  <c r="A154" i="3" s="1"/>
  <c r="A155" i="3" s="1"/>
  <c r="A157" i="3" s="1"/>
  <c r="A158" i="3" s="1"/>
  <c r="A159" i="3" s="1"/>
  <c r="A161" i="3" s="1"/>
  <c r="M121" i="3"/>
  <c r="L121" i="3"/>
  <c r="K121" i="3"/>
  <c r="J121" i="3"/>
  <c r="H121" i="3"/>
  <c r="G121" i="3"/>
  <c r="F121" i="3"/>
  <c r="E121" i="3"/>
  <c r="C121" i="3"/>
  <c r="I120" i="3"/>
  <c r="M119" i="3"/>
  <c r="N119" i="3" s="1"/>
  <c r="H119" i="3"/>
  <c r="I119" i="3" s="1"/>
  <c r="D119" i="3"/>
  <c r="C119" i="3"/>
  <c r="L118" i="3"/>
  <c r="K118" i="3"/>
  <c r="J118" i="3"/>
  <c r="G118" i="3"/>
  <c r="F118" i="3"/>
  <c r="E118" i="3"/>
  <c r="I117" i="3"/>
  <c r="M116" i="3"/>
  <c r="L116" i="3"/>
  <c r="K116" i="3"/>
  <c r="J116" i="3"/>
  <c r="H116" i="3"/>
  <c r="G116" i="3"/>
  <c r="F116" i="3"/>
  <c r="E116" i="3"/>
  <c r="D116" i="3"/>
  <c r="C116" i="3"/>
  <c r="I115" i="3"/>
  <c r="I114" i="3" s="1"/>
  <c r="I113" i="3"/>
  <c r="I112" i="3" s="1"/>
  <c r="N110" i="3"/>
  <c r="I110" i="3"/>
  <c r="I109" i="3"/>
  <c r="I108" i="3"/>
  <c r="N107" i="3"/>
  <c r="I107" i="3"/>
  <c r="I106" i="3"/>
  <c r="M105" i="3"/>
  <c r="N105" i="3" s="1"/>
  <c r="I105" i="3"/>
  <c r="D105" i="3"/>
  <c r="C105" i="3"/>
  <c r="I89" i="3"/>
  <c r="I88" i="3" s="1"/>
  <c r="L84" i="3"/>
  <c r="K84" i="3"/>
  <c r="J84" i="3"/>
  <c r="G84" i="3"/>
  <c r="F84" i="3"/>
  <c r="E84" i="3"/>
  <c r="W1016" i="2"/>
  <c r="W518" i="2"/>
  <c r="Y777" i="2"/>
  <c r="AA226" i="2"/>
  <c r="AA225" i="2"/>
  <c r="W778" i="2"/>
  <c r="W779" i="2"/>
  <c r="W780" i="2"/>
  <c r="W782" i="2"/>
  <c r="W776" i="2"/>
  <c r="D776" i="2"/>
  <c r="D777" i="2"/>
  <c r="D778" i="2"/>
  <c r="D779" i="2"/>
  <c r="D780" i="2"/>
  <c r="D781" i="2"/>
  <c r="D782" i="2"/>
  <c r="W224" i="2"/>
  <c r="W228" i="2"/>
  <c r="W229" i="2"/>
  <c r="W230" i="2"/>
  <c r="W231" i="2"/>
  <c r="W223" i="2"/>
  <c r="W775" i="2"/>
  <c r="W774" i="2"/>
  <c r="V1521" i="2"/>
  <c r="U1521" i="2"/>
  <c r="T1521" i="2"/>
  <c r="S1521" i="2"/>
  <c r="R1521" i="2"/>
  <c r="Q1521" i="2"/>
  <c r="P1521" i="2"/>
  <c r="O1521" i="2"/>
  <c r="N1521" i="2"/>
  <c r="M1521" i="2"/>
  <c r="L1521" i="2"/>
  <c r="K1521" i="2"/>
  <c r="J1521" i="2"/>
  <c r="I1521" i="2"/>
  <c r="H1521" i="2"/>
  <c r="G1521" i="2"/>
  <c r="F1521" i="2"/>
  <c r="E1521" i="2"/>
  <c r="D1521" i="2"/>
  <c r="C1521" i="2"/>
  <c r="V1496" i="2"/>
  <c r="U1496" i="2"/>
  <c r="T1496" i="2"/>
  <c r="S1496" i="2"/>
  <c r="R1496" i="2"/>
  <c r="Q1496" i="2"/>
  <c r="P1496" i="2"/>
  <c r="O1496" i="2"/>
  <c r="N1496" i="2"/>
  <c r="M1496" i="2"/>
  <c r="L1496" i="2"/>
  <c r="K1496" i="2"/>
  <c r="J1496" i="2"/>
  <c r="I1496" i="2"/>
  <c r="H1496" i="2"/>
  <c r="G1496" i="2"/>
  <c r="F1496" i="2"/>
  <c r="E1496" i="2"/>
  <c r="D1496" i="2"/>
  <c r="C1496" i="2"/>
  <c r="U1484" i="2"/>
  <c r="T1484" i="2"/>
  <c r="S1484" i="2"/>
  <c r="R1484" i="2"/>
  <c r="Q1484" i="2"/>
  <c r="P1484" i="2"/>
  <c r="O1484" i="2"/>
  <c r="N1484" i="2"/>
  <c r="M1484" i="2"/>
  <c r="L1484" i="2"/>
  <c r="K1484" i="2"/>
  <c r="J1484" i="2"/>
  <c r="I1484" i="2"/>
  <c r="H1484" i="2"/>
  <c r="G1484" i="2"/>
  <c r="F1484" i="2"/>
  <c r="E1484" i="2"/>
  <c r="D1484" i="2"/>
  <c r="C1484" i="2"/>
  <c r="N1431" i="2"/>
  <c r="U1420" i="2"/>
  <c r="T1420" i="2"/>
  <c r="S1420" i="2"/>
  <c r="R1420" i="2"/>
  <c r="Q1420" i="2"/>
  <c r="P1420" i="2"/>
  <c r="O1420" i="2"/>
  <c r="O1402" i="2" s="1"/>
  <c r="N1420" i="2"/>
  <c r="N1402" i="2" s="1"/>
  <c r="M1420" i="2"/>
  <c r="M1402" i="2" s="1"/>
  <c r="L1420" i="2"/>
  <c r="K1420" i="2"/>
  <c r="J1420" i="2"/>
  <c r="I1420" i="2"/>
  <c r="H1420" i="2"/>
  <c r="G1420" i="2"/>
  <c r="F1420" i="2"/>
  <c r="E1420" i="2"/>
  <c r="D1420" i="2"/>
  <c r="C1420" i="2"/>
  <c r="U1360" i="2"/>
  <c r="T1360" i="2"/>
  <c r="S1360" i="2"/>
  <c r="R1360" i="2"/>
  <c r="Q1360" i="2"/>
  <c r="P1360" i="2"/>
  <c r="O1360" i="2"/>
  <c r="N1360" i="2"/>
  <c r="M1360" i="2"/>
  <c r="L1360" i="2"/>
  <c r="K1360" i="2"/>
  <c r="J1360" i="2"/>
  <c r="I1360" i="2"/>
  <c r="H1360" i="2"/>
  <c r="G1360" i="2"/>
  <c r="F1360" i="2"/>
  <c r="E1360" i="2"/>
  <c r="D1360" i="2"/>
  <c r="C1360" i="2"/>
  <c r="U1348" i="2"/>
  <c r="U1347" i="2" s="1"/>
  <c r="T1348" i="2"/>
  <c r="T1347" i="2" s="1"/>
  <c r="S1348" i="2"/>
  <c r="S1347" i="2" s="1"/>
  <c r="R1348" i="2"/>
  <c r="R1347" i="2" s="1"/>
  <c r="Q1348" i="2"/>
  <c r="Q1347" i="2" s="1"/>
  <c r="P1348" i="2"/>
  <c r="P1347" i="2" s="1"/>
  <c r="O1348" i="2"/>
  <c r="O1347" i="2" s="1"/>
  <c r="N1348" i="2"/>
  <c r="N1347" i="2" s="1"/>
  <c r="M1348" i="2"/>
  <c r="M1347" i="2" s="1"/>
  <c r="L1348" i="2"/>
  <c r="L1347" i="2" s="1"/>
  <c r="K1348" i="2"/>
  <c r="K1347" i="2" s="1"/>
  <c r="J1348" i="2"/>
  <c r="J1347" i="2" s="1"/>
  <c r="I1348" i="2"/>
  <c r="I1347" i="2" s="1"/>
  <c r="H1348" i="2"/>
  <c r="H1347" i="2" s="1"/>
  <c r="G1348" i="2"/>
  <c r="G1347" i="2" s="1"/>
  <c r="F1348" i="2"/>
  <c r="F1347" i="2" s="1"/>
  <c r="E1348" i="2"/>
  <c r="E1347" i="2" s="1"/>
  <c r="D1348" i="2"/>
  <c r="D1347" i="2" s="1"/>
  <c r="C1348" i="2"/>
  <c r="C1347" i="2" s="1"/>
  <c r="U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V1221" i="2"/>
  <c r="V1220" i="2"/>
  <c r="V1219" i="2"/>
  <c r="V1218" i="2"/>
  <c r="V1217" i="2"/>
  <c r="V1216" i="2"/>
  <c r="K1216" i="2"/>
  <c r="V1215" i="2"/>
  <c r="V1214" i="2"/>
  <c r="V1213" i="2"/>
  <c r="V1212" i="2"/>
  <c r="V1211" i="2"/>
  <c r="V1210" i="2"/>
  <c r="V1209" i="2"/>
  <c r="V1208" i="2"/>
  <c r="V1207" i="2"/>
  <c r="V1206" i="2"/>
  <c r="V1205" i="2"/>
  <c r="V1204" i="2"/>
  <c r="K1204" i="2"/>
  <c r="V1203" i="2"/>
  <c r="V1202" i="2"/>
  <c r="V1201" i="2"/>
  <c r="V1200" i="2"/>
  <c r="K1200" i="2"/>
  <c r="V1199" i="2"/>
  <c r="V1198" i="2"/>
  <c r="V1197" i="2"/>
  <c r="V1196" i="2"/>
  <c r="V1195" i="2"/>
  <c r="V1194" i="2"/>
  <c r="V1193" i="2"/>
  <c r="V1192" i="2"/>
  <c r="V1191" i="2"/>
  <c r="V1190" i="2"/>
  <c r="V1189" i="2"/>
  <c r="V1188" i="2"/>
  <c r="K1188" i="2"/>
  <c r="V1187" i="2"/>
  <c r="V1186" i="2"/>
  <c r="V1185" i="2"/>
  <c r="V1184" i="2"/>
  <c r="V1183" i="2"/>
  <c r="V1182" i="2"/>
  <c r="V1181" i="2"/>
  <c r="V1180" i="2"/>
  <c r="V1179" i="2"/>
  <c r="V1178" i="2"/>
  <c r="V1177" i="2"/>
  <c r="V1176" i="2"/>
  <c r="V1175" i="2"/>
  <c r="V1174" i="2"/>
  <c r="V1173" i="2"/>
  <c r="V1172" i="2"/>
  <c r="V1171" i="2"/>
  <c r="V1170" i="2"/>
  <c r="V1169" i="2"/>
  <c r="V1168" i="2"/>
  <c r="V1167" i="2"/>
  <c r="V1166" i="2"/>
  <c r="K1165" i="2"/>
  <c r="V1165" i="2"/>
  <c r="V1164" i="2"/>
  <c r="V1163" i="2"/>
  <c r="V1162" i="2"/>
  <c r="V1161" i="2"/>
  <c r="V1160" i="2"/>
  <c r="K1159" i="2"/>
  <c r="V1159" i="2"/>
  <c r="V1158" i="2"/>
  <c r="V1157" i="2"/>
  <c r="V1156" i="2"/>
  <c r="V1155" i="2"/>
  <c r="V1154" i="2"/>
  <c r="V1153" i="2"/>
  <c r="K1153" i="2"/>
  <c r="V1152" i="2"/>
  <c r="V1151" i="2"/>
  <c r="V1150" i="2"/>
  <c r="V1149" i="2"/>
  <c r="V1148" i="2"/>
  <c r="V1147" i="2"/>
  <c r="V1146" i="2"/>
  <c r="V1145" i="2"/>
  <c r="V1144" i="2"/>
  <c r="V1143" i="2"/>
  <c r="V1142" i="2"/>
  <c r="V1141" i="2"/>
  <c r="V1140" i="2"/>
  <c r="V1139" i="2"/>
  <c r="V1138" i="2"/>
  <c r="V1137" i="2"/>
  <c r="V1136" i="2"/>
  <c r="V1135" i="2"/>
  <c r="V1134" i="2"/>
  <c r="V1133" i="2"/>
  <c r="V1132" i="2"/>
  <c r="V1131" i="2"/>
  <c r="V1130" i="2"/>
  <c r="V1129" i="2"/>
  <c r="V1128" i="2"/>
  <c r="V1127" i="2"/>
  <c r="V1126" i="2"/>
  <c r="K1126" i="2"/>
  <c r="V1125" i="2"/>
  <c r="V1124" i="2"/>
  <c r="V1123" i="2"/>
  <c r="V1122" i="2"/>
  <c r="V1121" i="2"/>
  <c r="V1120" i="2"/>
  <c r="V1119" i="2"/>
  <c r="V1118" i="2"/>
  <c r="V1117" i="2"/>
  <c r="V1116" i="2"/>
  <c r="V1115" i="2"/>
  <c r="V1114" i="2"/>
  <c r="V1113" i="2"/>
  <c r="V1112" i="2"/>
  <c r="V1111" i="2"/>
  <c r="V1110" i="2"/>
  <c r="V1109" i="2"/>
  <c r="V1108" i="2"/>
  <c r="V1107" i="2"/>
  <c r="V1106" i="2"/>
  <c r="V1105" i="2"/>
  <c r="V1104" i="2"/>
  <c r="V1103" i="2"/>
  <c r="K1102" i="2"/>
  <c r="V1102" i="2"/>
  <c r="V1101" i="2"/>
  <c r="V1100" i="2"/>
  <c r="O1100" i="2"/>
  <c r="V1099" i="2"/>
  <c r="O1099" i="2"/>
  <c r="V1098" i="2"/>
  <c r="V1097" i="2"/>
  <c r="V1096" i="2"/>
  <c r="V1095" i="2"/>
  <c r="V1094" i="2"/>
  <c r="V1093" i="2"/>
  <c r="V1092" i="2"/>
  <c r="V1091" i="2"/>
  <c r="V1090" i="2"/>
  <c r="V1089" i="2"/>
  <c r="V1088" i="2"/>
  <c r="V1087" i="2"/>
  <c r="V1086" i="2"/>
  <c r="V1085" i="2"/>
  <c r="V1084" i="2"/>
  <c r="V1083" i="2"/>
  <c r="V1082" i="2"/>
  <c r="V1081" i="2"/>
  <c r="V1080" i="2"/>
  <c r="V1079" i="2"/>
  <c r="V1078" i="2"/>
  <c r="K1078" i="2"/>
  <c r="V1076" i="2"/>
  <c r="V1075" i="2"/>
  <c r="V1074" i="2"/>
  <c r="V1073" i="2"/>
  <c r="V1072" i="2"/>
  <c r="V1071" i="2"/>
  <c r="V1070" i="2"/>
  <c r="Q1069" i="2"/>
  <c r="Q1053" i="2" s="1"/>
  <c r="V1068" i="2"/>
  <c r="V1067" i="2"/>
  <c r="V1066" i="2"/>
  <c r="V1065" i="2"/>
  <c r="V1064" i="2"/>
  <c r="V1063" i="2"/>
  <c r="V1062" i="2"/>
  <c r="K1062" i="2"/>
  <c r="V1061" i="2"/>
  <c r="O1061" i="2"/>
  <c r="V1060" i="2"/>
  <c r="M1060" i="2"/>
  <c r="M1053" i="2" s="1"/>
  <c r="V1059" i="2"/>
  <c r="V1058" i="2"/>
  <c r="V1057" i="2"/>
  <c r="V1056" i="2"/>
  <c r="V1055" i="2"/>
  <c r="V1054" i="2"/>
  <c r="S1053" i="2"/>
  <c r="R1053" i="2"/>
  <c r="P1053" i="2"/>
  <c r="N1053" i="2"/>
  <c r="C1053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C1015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C1003" i="2"/>
  <c r="N946" i="2"/>
  <c r="U931" i="2"/>
  <c r="U912" i="2" s="1"/>
  <c r="T931" i="2"/>
  <c r="T912" i="2" s="1"/>
  <c r="S931" i="2"/>
  <c r="S912" i="2" s="1"/>
  <c r="R931" i="2"/>
  <c r="R912" i="2" s="1"/>
  <c r="Q931" i="2"/>
  <c r="Q912" i="2" s="1"/>
  <c r="P931" i="2"/>
  <c r="P912" i="2" s="1"/>
  <c r="O931" i="2"/>
  <c r="O912" i="2" s="1"/>
  <c r="N931" i="2"/>
  <c r="N912" i="2" s="1"/>
  <c r="M931" i="2"/>
  <c r="M912" i="2" s="1"/>
  <c r="L931" i="2"/>
  <c r="L912" i="2" s="1"/>
  <c r="K931" i="2"/>
  <c r="K912" i="2" s="1"/>
  <c r="J931" i="2"/>
  <c r="J912" i="2" s="1"/>
  <c r="I931" i="2"/>
  <c r="I912" i="2" s="1"/>
  <c r="H931" i="2"/>
  <c r="H912" i="2" s="1"/>
  <c r="G931" i="2"/>
  <c r="G912" i="2" s="1"/>
  <c r="F931" i="2"/>
  <c r="F912" i="2" s="1"/>
  <c r="E931" i="2"/>
  <c r="E912" i="2" s="1"/>
  <c r="D931" i="2"/>
  <c r="D912" i="2" s="1"/>
  <c r="C931" i="2"/>
  <c r="C912" i="2" s="1"/>
  <c r="U872" i="2"/>
  <c r="T872" i="2"/>
  <c r="S872" i="2"/>
  <c r="R872" i="2"/>
  <c r="Q872" i="2"/>
  <c r="P872" i="2"/>
  <c r="O872" i="2"/>
  <c r="N872" i="2"/>
  <c r="M872" i="2"/>
  <c r="L872" i="2"/>
  <c r="K872" i="2"/>
  <c r="J872" i="2"/>
  <c r="I872" i="2"/>
  <c r="H872" i="2"/>
  <c r="G872" i="2"/>
  <c r="F872" i="2"/>
  <c r="E872" i="2"/>
  <c r="D872" i="2"/>
  <c r="C872" i="2"/>
  <c r="U859" i="2"/>
  <c r="U858" i="2" s="1"/>
  <c r="T859" i="2"/>
  <c r="T858" i="2" s="1"/>
  <c r="S859" i="2"/>
  <c r="S858" i="2" s="1"/>
  <c r="R859" i="2"/>
  <c r="R858" i="2" s="1"/>
  <c r="Q859" i="2"/>
  <c r="Q858" i="2" s="1"/>
  <c r="P859" i="2"/>
  <c r="P858" i="2" s="1"/>
  <c r="O859" i="2"/>
  <c r="O858" i="2" s="1"/>
  <c r="N859" i="2"/>
  <c r="N858" i="2" s="1"/>
  <c r="M859" i="2"/>
  <c r="M858" i="2" s="1"/>
  <c r="L859" i="2"/>
  <c r="L858" i="2" s="1"/>
  <c r="K859" i="2"/>
  <c r="K858" i="2" s="1"/>
  <c r="J859" i="2"/>
  <c r="J858" i="2" s="1"/>
  <c r="I859" i="2"/>
  <c r="I858" i="2" s="1"/>
  <c r="H859" i="2"/>
  <c r="H858" i="2" s="1"/>
  <c r="G859" i="2"/>
  <c r="G858" i="2" s="1"/>
  <c r="F859" i="2"/>
  <c r="F858" i="2" s="1"/>
  <c r="E859" i="2"/>
  <c r="E858" i="2" s="1"/>
  <c r="D859" i="2"/>
  <c r="D858" i="2" s="1"/>
  <c r="C859" i="2"/>
  <c r="C858" i="2" s="1"/>
  <c r="V841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N811" i="2"/>
  <c r="D775" i="2"/>
  <c r="D774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C773" i="2"/>
  <c r="V729" i="2"/>
  <c r="V728" i="2"/>
  <c r="V727" i="2"/>
  <c r="V726" i="2"/>
  <c r="V725" i="2"/>
  <c r="V724" i="2"/>
  <c r="K724" i="2"/>
  <c r="V723" i="2"/>
  <c r="V722" i="2"/>
  <c r="V721" i="2"/>
  <c r="V720" i="2"/>
  <c r="V719" i="2"/>
  <c r="V718" i="2"/>
  <c r="V717" i="2"/>
  <c r="V716" i="2"/>
  <c r="V715" i="2"/>
  <c r="V714" i="2"/>
  <c r="V713" i="2"/>
  <c r="K712" i="2"/>
  <c r="V712" i="2"/>
  <c r="V711" i="2"/>
  <c r="V710" i="2"/>
  <c r="V709" i="2"/>
  <c r="V708" i="2"/>
  <c r="K708" i="2"/>
  <c r="V707" i="2"/>
  <c r="V706" i="2"/>
  <c r="V705" i="2"/>
  <c r="V704" i="2"/>
  <c r="V703" i="2"/>
  <c r="V702" i="2"/>
  <c r="V701" i="2"/>
  <c r="V700" i="2"/>
  <c r="V699" i="2"/>
  <c r="V698" i="2"/>
  <c r="V697" i="2"/>
  <c r="V696" i="2"/>
  <c r="K696" i="2"/>
  <c r="V695" i="2"/>
  <c r="V694" i="2"/>
  <c r="V693" i="2"/>
  <c r="V692" i="2"/>
  <c r="V691" i="2"/>
  <c r="V690" i="2"/>
  <c r="V689" i="2"/>
  <c r="V688" i="2"/>
  <c r="V687" i="2"/>
  <c r="V686" i="2"/>
  <c r="V685" i="2"/>
  <c r="V684" i="2"/>
  <c r="V683" i="2"/>
  <c r="V682" i="2"/>
  <c r="V681" i="2"/>
  <c r="V680" i="2"/>
  <c r="V679" i="2"/>
  <c r="V678" i="2"/>
  <c r="V677" i="2"/>
  <c r="V676" i="2"/>
  <c r="V675" i="2"/>
  <c r="V674" i="2"/>
  <c r="K673" i="2"/>
  <c r="V673" i="2"/>
  <c r="V672" i="2"/>
  <c r="V671" i="2"/>
  <c r="V670" i="2"/>
  <c r="V669" i="2"/>
  <c r="V668" i="2"/>
  <c r="V667" i="2"/>
  <c r="K667" i="2"/>
  <c r="V666" i="2"/>
  <c r="V665" i="2"/>
  <c r="V664" i="2"/>
  <c r="V663" i="2"/>
  <c r="V662" i="2"/>
  <c r="K661" i="2"/>
  <c r="V661" i="2"/>
  <c r="V660" i="2"/>
  <c r="V659" i="2"/>
  <c r="V658" i="2"/>
  <c r="V657" i="2"/>
  <c r="V656" i="2"/>
  <c r="V655" i="2"/>
  <c r="V654" i="2"/>
  <c r="V653" i="2"/>
  <c r="V652" i="2"/>
  <c r="V651" i="2"/>
  <c r="V650" i="2"/>
  <c r="V649" i="2"/>
  <c r="V648" i="2"/>
  <c r="V647" i="2"/>
  <c r="V646" i="2"/>
  <c r="V645" i="2"/>
  <c r="V644" i="2"/>
  <c r="V643" i="2"/>
  <c r="V642" i="2"/>
  <c r="V641" i="2"/>
  <c r="V640" i="2"/>
  <c r="V639" i="2"/>
  <c r="V638" i="2"/>
  <c r="V637" i="2"/>
  <c r="V636" i="2"/>
  <c r="V635" i="2"/>
  <c r="V634" i="2"/>
  <c r="K634" i="2"/>
  <c r="V633" i="2"/>
  <c r="V632" i="2"/>
  <c r="V631" i="2"/>
  <c r="V630" i="2"/>
  <c r="V629" i="2"/>
  <c r="V628" i="2"/>
  <c r="V627" i="2"/>
  <c r="V626" i="2"/>
  <c r="V625" i="2"/>
  <c r="V624" i="2"/>
  <c r="V623" i="2"/>
  <c r="V622" i="2"/>
  <c r="V621" i="2"/>
  <c r="V620" i="2"/>
  <c r="V619" i="2"/>
  <c r="V618" i="2"/>
  <c r="V617" i="2"/>
  <c r="V616" i="2"/>
  <c r="V615" i="2"/>
  <c r="V614" i="2"/>
  <c r="V613" i="2"/>
  <c r="V612" i="2"/>
  <c r="V611" i="2"/>
  <c r="K610" i="2"/>
  <c r="V610" i="2"/>
  <c r="V609" i="2"/>
  <c r="V608" i="2"/>
  <c r="O608" i="2"/>
  <c r="V607" i="2"/>
  <c r="O607" i="2"/>
  <c r="V606" i="2"/>
  <c r="V605" i="2"/>
  <c r="V604" i="2"/>
  <c r="V603" i="2"/>
  <c r="V602" i="2"/>
  <c r="V601" i="2"/>
  <c r="V600" i="2"/>
  <c r="V599" i="2"/>
  <c r="V598" i="2"/>
  <c r="V597" i="2"/>
  <c r="V596" i="2"/>
  <c r="V595" i="2"/>
  <c r="V594" i="2"/>
  <c r="V593" i="2"/>
  <c r="V592" i="2"/>
  <c r="V591" i="2"/>
  <c r="V590" i="2"/>
  <c r="V589" i="2"/>
  <c r="V588" i="2"/>
  <c r="V587" i="2"/>
  <c r="V586" i="2"/>
  <c r="K586" i="2"/>
  <c r="V585" i="2"/>
  <c r="V584" i="2"/>
  <c r="V583" i="2"/>
  <c r="V582" i="2"/>
  <c r="V581" i="2"/>
  <c r="V580" i="2"/>
  <c r="V579" i="2"/>
  <c r="V578" i="2"/>
  <c r="V577" i="2"/>
  <c r="Q577" i="2"/>
  <c r="Q561" i="2" s="1"/>
  <c r="V576" i="2"/>
  <c r="V575" i="2"/>
  <c r="V574" i="2"/>
  <c r="V573" i="2"/>
  <c r="V571" i="2"/>
  <c r="V570" i="2"/>
  <c r="K570" i="2"/>
  <c r="V569" i="2"/>
  <c r="O569" i="2"/>
  <c r="V568" i="2"/>
  <c r="M568" i="2"/>
  <c r="M561" i="2" s="1"/>
  <c r="V567" i="2"/>
  <c r="V566" i="2"/>
  <c r="V565" i="2"/>
  <c r="V563" i="2"/>
  <c r="V562" i="2"/>
  <c r="S561" i="2"/>
  <c r="R561" i="2"/>
  <c r="P561" i="2"/>
  <c r="N561" i="2"/>
  <c r="C561" i="2"/>
  <c r="D540" i="2"/>
  <c r="D537" i="2" s="1"/>
  <c r="E540" i="2"/>
  <c r="E537" i="2" s="1"/>
  <c r="F540" i="2"/>
  <c r="F537" i="2" s="1"/>
  <c r="G540" i="2"/>
  <c r="G537" i="2" s="1"/>
  <c r="H540" i="2"/>
  <c r="H537" i="2" s="1"/>
  <c r="I540" i="2"/>
  <c r="I537" i="2" s="1"/>
  <c r="J540" i="2"/>
  <c r="J537" i="2" s="1"/>
  <c r="K540" i="2"/>
  <c r="K537" i="2" s="1"/>
  <c r="M540" i="2"/>
  <c r="M537" i="2" s="1"/>
  <c r="N540" i="2"/>
  <c r="N537" i="2" s="1"/>
  <c r="O540" i="2"/>
  <c r="O537" i="2" s="1"/>
  <c r="P540" i="2"/>
  <c r="P537" i="2" s="1"/>
  <c r="Q540" i="2"/>
  <c r="Q537" i="2" s="1"/>
  <c r="R540" i="2"/>
  <c r="R537" i="2" s="1"/>
  <c r="S540" i="2"/>
  <c r="S537" i="2" s="1"/>
  <c r="T540" i="2"/>
  <c r="T537" i="2" s="1"/>
  <c r="U540" i="2"/>
  <c r="U537" i="2" s="1"/>
  <c r="C540" i="2"/>
  <c r="C537" i="2" s="1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C510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D223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C517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C329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C507" i="2"/>
  <c r="D312" i="2"/>
  <c r="D311" i="2" s="1"/>
  <c r="E312" i="2"/>
  <c r="E311" i="2" s="1"/>
  <c r="F312" i="2"/>
  <c r="F311" i="2" s="1"/>
  <c r="G312" i="2"/>
  <c r="G311" i="2" s="1"/>
  <c r="H312" i="2"/>
  <c r="H311" i="2" s="1"/>
  <c r="I312" i="2"/>
  <c r="I311" i="2" s="1"/>
  <c r="J312" i="2"/>
  <c r="J311" i="2" s="1"/>
  <c r="K312" i="2"/>
  <c r="K311" i="2" s="1"/>
  <c r="L312" i="2"/>
  <c r="L311" i="2" s="1"/>
  <c r="M312" i="2"/>
  <c r="M311" i="2" s="1"/>
  <c r="N312" i="2"/>
  <c r="N311" i="2" s="1"/>
  <c r="O312" i="2"/>
  <c r="O311" i="2" s="1"/>
  <c r="P312" i="2"/>
  <c r="P311" i="2" s="1"/>
  <c r="Q312" i="2"/>
  <c r="Q311" i="2" s="1"/>
  <c r="R312" i="2"/>
  <c r="R311" i="2" s="1"/>
  <c r="S312" i="2"/>
  <c r="S311" i="2" s="1"/>
  <c r="T312" i="2"/>
  <c r="T311" i="2" s="1"/>
  <c r="U312" i="2"/>
  <c r="U311" i="2" s="1"/>
  <c r="C312" i="2"/>
  <c r="C311" i="2" s="1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C397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C272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U544" i="2"/>
  <c r="V544" i="2"/>
  <c r="C544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C295" i="2"/>
  <c r="C222" i="2"/>
  <c r="J796" i="1"/>
  <c r="K796" i="1"/>
  <c r="L796" i="1"/>
  <c r="M796" i="1"/>
  <c r="N796" i="1"/>
  <c r="P796" i="1"/>
  <c r="H796" i="1"/>
  <c r="I804" i="1"/>
  <c r="I231" i="1"/>
  <c r="J231" i="1"/>
  <c r="K231" i="1"/>
  <c r="L231" i="1"/>
  <c r="M231" i="1"/>
  <c r="N231" i="1"/>
  <c r="P231" i="1"/>
  <c r="H231" i="1"/>
  <c r="M263" i="3" l="1"/>
  <c r="M170" i="3"/>
  <c r="O1053" i="2"/>
  <c r="I168" i="3"/>
  <c r="H228" i="3"/>
  <c r="I228" i="3" s="1"/>
  <c r="N113" i="3"/>
  <c r="N112" i="3" s="1"/>
  <c r="N206" i="3"/>
  <c r="N205" i="3" s="1"/>
  <c r="C109" i="3"/>
  <c r="I236" i="3"/>
  <c r="I261" i="3"/>
  <c r="N265" i="3"/>
  <c r="I291" i="3"/>
  <c r="M109" i="3"/>
  <c r="AA781" i="2"/>
  <c r="D109" i="3"/>
  <c r="M89" i="3"/>
  <c r="M88" i="3" s="1"/>
  <c r="M253" i="3"/>
  <c r="C172" i="3"/>
  <c r="D172" i="3"/>
  <c r="N195" i="3"/>
  <c r="D773" i="2"/>
  <c r="I116" i="3"/>
  <c r="I195" i="3"/>
  <c r="M241" i="3"/>
  <c r="N241" i="3" s="1"/>
  <c r="N844" i="2"/>
  <c r="I124" i="3"/>
  <c r="I123" i="3" s="1"/>
  <c r="H123" i="3"/>
  <c r="I217" i="3"/>
  <c r="I216" i="3" s="1"/>
  <c r="N217" i="3"/>
  <c r="I142" i="3"/>
  <c r="I144" i="3"/>
  <c r="I245" i="3"/>
  <c r="H263" i="3"/>
  <c r="I263" i="3" s="1"/>
  <c r="I231" i="3"/>
  <c r="I241" i="3"/>
  <c r="H151" i="3"/>
  <c r="I151" i="3" s="1"/>
  <c r="H170" i="3"/>
  <c r="I170" i="3" s="1"/>
  <c r="W544" i="2"/>
  <c r="H253" i="3"/>
  <c r="I253" i="3" s="1"/>
  <c r="H257" i="3"/>
  <c r="I257" i="3" s="1"/>
  <c r="M231" i="3"/>
  <c r="M137" i="3"/>
  <c r="L291" i="3"/>
  <c r="I796" i="1"/>
  <c r="N182" i="3"/>
  <c r="I84" i="3"/>
  <c r="I175" i="3"/>
  <c r="H118" i="3"/>
  <c r="I118" i="3" s="1"/>
  <c r="O561" i="2"/>
  <c r="K561" i="2"/>
  <c r="K1053" i="2"/>
  <c r="I214" i="3"/>
  <c r="H134" i="3"/>
  <c r="I134" i="3" s="1"/>
  <c r="C241" i="3"/>
  <c r="I137" i="3"/>
  <c r="I147" i="3"/>
  <c r="H164" i="3"/>
  <c r="I164" i="3" s="1"/>
  <c r="H211" i="3"/>
  <c r="I211" i="3" s="1"/>
  <c r="I238" i="3"/>
  <c r="I268" i="3"/>
  <c r="D241" i="3"/>
  <c r="H160" i="3"/>
  <c r="I160" i="3" s="1"/>
  <c r="M160" i="3"/>
  <c r="I209" i="3"/>
  <c r="I121" i="3"/>
  <c r="L195" i="3"/>
  <c r="D222" i="2"/>
  <c r="I1048" i="1"/>
  <c r="J1048" i="1"/>
  <c r="K1048" i="1"/>
  <c r="L1048" i="1"/>
  <c r="M1048" i="1"/>
  <c r="N1048" i="1"/>
  <c r="P1048" i="1"/>
  <c r="H1048" i="1"/>
  <c r="K503" i="1"/>
  <c r="L503" i="1"/>
  <c r="M503" i="1"/>
  <c r="N503" i="1"/>
  <c r="P503" i="1"/>
  <c r="I503" i="1"/>
  <c r="J503" i="1"/>
  <c r="H503" i="1"/>
  <c r="I1545" i="1"/>
  <c r="J1545" i="1"/>
  <c r="K1545" i="1"/>
  <c r="L1545" i="1"/>
  <c r="M1545" i="1"/>
  <c r="N1545" i="1"/>
  <c r="P1545" i="1"/>
  <c r="H1545" i="1"/>
  <c r="N89" i="3" l="1"/>
  <c r="N88" i="3" s="1"/>
  <c r="O1546" i="1"/>
  <c r="Q1546" i="1"/>
  <c r="O1547" i="1"/>
  <c r="Q1547" i="1"/>
  <c r="O1548" i="1"/>
  <c r="Q1548" i="1"/>
  <c r="O1549" i="1"/>
  <c r="Q1549" i="1"/>
  <c r="O1550" i="1"/>
  <c r="Q1550" i="1"/>
  <c r="O1551" i="1"/>
  <c r="Q1551" i="1"/>
  <c r="O1552" i="1"/>
  <c r="Q1552" i="1"/>
  <c r="O1545" i="1" l="1"/>
  <c r="I1541" i="1"/>
  <c r="I1538" i="1" s="1"/>
  <c r="J1541" i="1"/>
  <c r="J1538" i="1" s="1"/>
  <c r="K1541" i="1"/>
  <c r="K1538" i="1" s="1"/>
  <c r="L1541" i="1"/>
  <c r="L1538" i="1" s="1"/>
  <c r="M1541" i="1"/>
  <c r="M1538" i="1" s="1"/>
  <c r="N1541" i="1"/>
  <c r="N1538" i="1" s="1"/>
  <c r="O1541" i="1"/>
  <c r="O1538" i="1" s="1"/>
  <c r="P1541" i="1"/>
  <c r="P1538" i="1" s="1"/>
  <c r="H1541" i="1"/>
  <c r="H1538" i="1" s="1"/>
  <c r="I1044" i="1"/>
  <c r="I1043" i="1" s="1"/>
  <c r="J1044" i="1"/>
  <c r="J1043" i="1" s="1"/>
  <c r="K1044" i="1"/>
  <c r="K1043" i="1" s="1"/>
  <c r="L1044" i="1"/>
  <c r="L1043" i="1" s="1"/>
  <c r="M1044" i="1"/>
  <c r="M1043" i="1" s="1"/>
  <c r="N1044" i="1"/>
  <c r="N1043" i="1" s="1"/>
  <c r="O1044" i="1"/>
  <c r="P1044" i="1"/>
  <c r="P1043" i="1" s="1"/>
  <c r="H1044" i="1"/>
  <c r="H1043" i="1" s="1"/>
  <c r="I470" i="1"/>
  <c r="J470" i="1"/>
  <c r="K470" i="1"/>
  <c r="D149" i="3" s="1"/>
  <c r="L470" i="1"/>
  <c r="M470" i="1"/>
  <c r="N470" i="1"/>
  <c r="O470" i="1"/>
  <c r="H470" i="1"/>
  <c r="C149" i="3" s="1"/>
  <c r="Q471" i="1"/>
  <c r="I1017" i="1"/>
  <c r="J1017" i="1"/>
  <c r="J1016" i="1" s="1"/>
  <c r="K1017" i="1"/>
  <c r="K1016" i="1" s="1"/>
  <c r="L1017" i="1"/>
  <c r="L1016" i="1" s="1"/>
  <c r="M1017" i="1"/>
  <c r="M1016" i="1" s="1"/>
  <c r="N1017" i="1"/>
  <c r="N1016" i="1" s="1"/>
  <c r="O1017" i="1"/>
  <c r="O1016" i="1" s="1"/>
  <c r="P1017" i="1"/>
  <c r="P1016" i="1" s="1"/>
  <c r="H1017" i="1"/>
  <c r="H1016" i="1" s="1"/>
  <c r="Q1018" i="1"/>
  <c r="Q1019" i="1"/>
  <c r="I1511" i="1"/>
  <c r="I1510" i="1" s="1"/>
  <c r="J1511" i="1"/>
  <c r="K1511" i="1"/>
  <c r="K1510" i="1" s="1"/>
  <c r="L1511" i="1"/>
  <c r="L1510" i="1" s="1"/>
  <c r="M1511" i="1"/>
  <c r="M1510" i="1" s="1"/>
  <c r="N1511" i="1"/>
  <c r="N1510" i="1" s="1"/>
  <c r="O1511" i="1"/>
  <c r="O1510" i="1" s="1"/>
  <c r="H1511" i="1"/>
  <c r="H1510" i="1" s="1"/>
  <c r="Q1512" i="1"/>
  <c r="Q1513" i="1"/>
  <c r="Q1514" i="1"/>
  <c r="P1514" i="1"/>
  <c r="O1578" i="1"/>
  <c r="M1578" i="1"/>
  <c r="K1578" i="1"/>
  <c r="I1578" i="1"/>
  <c r="R1578" i="1"/>
  <c r="Q1578" i="1"/>
  <c r="P1578" i="1"/>
  <c r="Q1577" i="1"/>
  <c r="O1577" i="1"/>
  <c r="J1577" i="1"/>
  <c r="J1576" i="1" s="1"/>
  <c r="J1575" i="1" s="1"/>
  <c r="N1576" i="1"/>
  <c r="N1575" i="1" s="1"/>
  <c r="M1576" i="1"/>
  <c r="M1575" i="1" s="1"/>
  <c r="L1576" i="1"/>
  <c r="O1576" i="1" s="1"/>
  <c r="O1575" i="1" s="1"/>
  <c r="K1576" i="1"/>
  <c r="K1575" i="1" s="1"/>
  <c r="I1576" i="1"/>
  <c r="I1575" i="1" s="1"/>
  <c r="H1576" i="1"/>
  <c r="H1575" i="1" s="1"/>
  <c r="R1575" i="1"/>
  <c r="Q1575" i="1"/>
  <c r="P1575" i="1"/>
  <c r="Q1572" i="1"/>
  <c r="O1572" i="1"/>
  <c r="Q1571" i="1"/>
  <c r="O1571" i="1"/>
  <c r="H1571" i="1"/>
  <c r="Q1570" i="1"/>
  <c r="O1570" i="1"/>
  <c r="Q1569" i="1"/>
  <c r="O1569" i="1"/>
  <c r="H1569" i="1"/>
  <c r="Q1568" i="1"/>
  <c r="O1568" i="1"/>
  <c r="H1568" i="1"/>
  <c r="P1567" i="1"/>
  <c r="P1566" i="1" s="1"/>
  <c r="P1565" i="1" s="1"/>
  <c r="N1567" i="1"/>
  <c r="N1566" i="1" s="1"/>
  <c r="N1565" i="1" s="1"/>
  <c r="M1567" i="1"/>
  <c r="M1566" i="1" s="1"/>
  <c r="M1565" i="1" s="1"/>
  <c r="L1567" i="1"/>
  <c r="L1566" i="1" s="1"/>
  <c r="L1565" i="1" s="1"/>
  <c r="K1567" i="1"/>
  <c r="K1566" i="1" s="1"/>
  <c r="K1565" i="1" s="1"/>
  <c r="J1567" i="1"/>
  <c r="J1566" i="1" s="1"/>
  <c r="J1565" i="1" s="1"/>
  <c r="I1567" i="1"/>
  <c r="I1566" i="1" s="1"/>
  <c r="I1565" i="1" s="1"/>
  <c r="Q1561" i="1"/>
  <c r="O1561" i="1"/>
  <c r="O1560" i="1" s="1"/>
  <c r="P1560" i="1"/>
  <c r="N1560" i="1"/>
  <c r="M1560" i="1"/>
  <c r="L1560" i="1"/>
  <c r="K1560" i="1"/>
  <c r="J1560" i="1"/>
  <c r="I1560" i="1"/>
  <c r="H1560" i="1"/>
  <c r="Q1559" i="1"/>
  <c r="P1558" i="1"/>
  <c r="O1558" i="1"/>
  <c r="N1558" i="1"/>
  <c r="M1558" i="1"/>
  <c r="L1558" i="1"/>
  <c r="K1558" i="1"/>
  <c r="J1558" i="1"/>
  <c r="I1558" i="1"/>
  <c r="H1558" i="1"/>
  <c r="Q1543" i="1"/>
  <c r="Q1542" i="1"/>
  <c r="Q1537" i="1"/>
  <c r="P1536" i="1"/>
  <c r="O1536" i="1"/>
  <c r="N1536" i="1"/>
  <c r="M1536" i="1"/>
  <c r="L1536" i="1"/>
  <c r="K1536" i="1"/>
  <c r="J1536" i="1"/>
  <c r="I1536" i="1"/>
  <c r="H1536" i="1"/>
  <c r="Q1535" i="1"/>
  <c r="P1534" i="1"/>
  <c r="O1534" i="1"/>
  <c r="N1534" i="1"/>
  <c r="M1534" i="1"/>
  <c r="L1534" i="1"/>
  <c r="K1534" i="1"/>
  <c r="J1534" i="1"/>
  <c r="I1534" i="1"/>
  <c r="H1534" i="1"/>
  <c r="Q1530" i="1"/>
  <c r="O1530" i="1"/>
  <c r="Q1529" i="1"/>
  <c r="O1529" i="1"/>
  <c r="P1527" i="1"/>
  <c r="M1527" i="1"/>
  <c r="L1527" i="1"/>
  <c r="K1527" i="1"/>
  <c r="I1527" i="1"/>
  <c r="H1527" i="1"/>
  <c r="N1527" i="1"/>
  <c r="J1527" i="1"/>
  <c r="O1522" i="1"/>
  <c r="N1522" i="1"/>
  <c r="M1522" i="1"/>
  <c r="K1522" i="1"/>
  <c r="J1522" i="1"/>
  <c r="I1522" i="1"/>
  <c r="H1522" i="1"/>
  <c r="P1522" i="1"/>
  <c r="Q1521" i="1"/>
  <c r="O1521" i="1"/>
  <c r="O1520" i="1" s="1"/>
  <c r="O1519" i="1" s="1"/>
  <c r="P1520" i="1"/>
  <c r="P1519" i="1" s="1"/>
  <c r="P1512" i="1" s="1"/>
  <c r="N1520" i="1"/>
  <c r="N1519" i="1" s="1"/>
  <c r="M1520" i="1"/>
  <c r="M1519" i="1" s="1"/>
  <c r="L1520" i="1"/>
  <c r="L1519" i="1" s="1"/>
  <c r="K1520" i="1"/>
  <c r="K1519" i="1" s="1"/>
  <c r="J1520" i="1"/>
  <c r="J1519" i="1" s="1"/>
  <c r="I1520" i="1"/>
  <c r="I1519" i="1" s="1"/>
  <c r="H1520" i="1"/>
  <c r="Q1515" i="1"/>
  <c r="J1510" i="1"/>
  <c r="Q1509" i="1"/>
  <c r="P1508" i="1"/>
  <c r="P1507" i="1" s="1"/>
  <c r="O1508" i="1"/>
  <c r="N1508" i="1"/>
  <c r="N1507" i="1" s="1"/>
  <c r="M1508" i="1"/>
  <c r="M1507" i="1" s="1"/>
  <c r="L1508" i="1"/>
  <c r="L1507" i="1" s="1"/>
  <c r="K1508" i="1"/>
  <c r="K1507" i="1" s="1"/>
  <c r="J1508" i="1"/>
  <c r="J1507" i="1" s="1"/>
  <c r="I1508" i="1"/>
  <c r="I1507" i="1" s="1"/>
  <c r="H1508" i="1"/>
  <c r="H1507" i="1" s="1"/>
  <c r="O1507" i="1"/>
  <c r="Q1506" i="1"/>
  <c r="O1506" i="1"/>
  <c r="Q1505" i="1"/>
  <c r="O1505" i="1"/>
  <c r="Q1504" i="1"/>
  <c r="O1504" i="1"/>
  <c r="Q1503" i="1"/>
  <c r="O1503" i="1"/>
  <c r="P1502" i="1"/>
  <c r="P1501" i="1" s="1"/>
  <c r="N1502" i="1"/>
  <c r="N1501" i="1" s="1"/>
  <c r="M1502" i="1"/>
  <c r="M1501" i="1" s="1"/>
  <c r="L1502" i="1"/>
  <c r="L1501" i="1" s="1"/>
  <c r="K1502" i="1"/>
  <c r="K1501" i="1" s="1"/>
  <c r="J1502" i="1"/>
  <c r="J1501" i="1" s="1"/>
  <c r="I1502" i="1"/>
  <c r="I1501" i="1" s="1"/>
  <c r="H1502" i="1"/>
  <c r="H1501" i="1" s="1"/>
  <c r="L1500" i="1"/>
  <c r="Q1500" i="1" s="1"/>
  <c r="L1499" i="1"/>
  <c r="Q1499" i="1" s="1"/>
  <c r="J1499" i="1"/>
  <c r="L1498" i="1"/>
  <c r="Q1498" i="1" s="1"/>
  <c r="L1497" i="1"/>
  <c r="Q1497" i="1" s="1"/>
  <c r="J1497" i="1"/>
  <c r="L1496" i="1"/>
  <c r="Q1496" i="1" s="1"/>
  <c r="L1495" i="1"/>
  <c r="Q1495" i="1" s="1"/>
  <c r="L1494" i="1"/>
  <c r="Q1494" i="1" s="1"/>
  <c r="J1494" i="1"/>
  <c r="L1493" i="1"/>
  <c r="Q1493" i="1" s="1"/>
  <c r="L1492" i="1"/>
  <c r="O1491" i="1"/>
  <c r="O1490" i="1" s="1"/>
  <c r="N1491" i="1"/>
  <c r="N1490" i="1" s="1"/>
  <c r="M1491" i="1"/>
  <c r="M1490" i="1" s="1"/>
  <c r="K1491" i="1"/>
  <c r="K1490" i="1" s="1"/>
  <c r="I1491" i="1"/>
  <c r="I1490" i="1" s="1"/>
  <c r="H1491" i="1"/>
  <c r="H1490" i="1" s="1"/>
  <c r="P1490" i="1"/>
  <c r="Q1489" i="1"/>
  <c r="O1489" i="1"/>
  <c r="O1488" i="1" s="1"/>
  <c r="O1487" i="1" s="1"/>
  <c r="P1487" i="1"/>
  <c r="N1487" i="1"/>
  <c r="M1487" i="1"/>
  <c r="L1487" i="1"/>
  <c r="K1487" i="1"/>
  <c r="J1487" i="1"/>
  <c r="I1487" i="1"/>
  <c r="H1487" i="1"/>
  <c r="O1486" i="1"/>
  <c r="O1485" i="1" s="1"/>
  <c r="Q1486" i="1"/>
  <c r="P1485" i="1"/>
  <c r="N1485" i="1"/>
  <c r="M1485" i="1"/>
  <c r="L1485" i="1"/>
  <c r="K1485" i="1"/>
  <c r="D260" i="3" s="1"/>
  <c r="J1485" i="1"/>
  <c r="H1485" i="1"/>
  <c r="C260" i="3" s="1"/>
  <c r="Q1484" i="1"/>
  <c r="O1484" i="1"/>
  <c r="O1483" i="1" s="1"/>
  <c r="P1483" i="1"/>
  <c r="N1483" i="1"/>
  <c r="M1483" i="1"/>
  <c r="L1483" i="1"/>
  <c r="K1483" i="1"/>
  <c r="J1483" i="1"/>
  <c r="I1483" i="1"/>
  <c r="H1483" i="1"/>
  <c r="R1476" i="1"/>
  <c r="Q1476" i="1"/>
  <c r="O1471" i="1"/>
  <c r="Q1473" i="1"/>
  <c r="P1471" i="1"/>
  <c r="N1471" i="1"/>
  <c r="L1471" i="1"/>
  <c r="K1471" i="1"/>
  <c r="J1471" i="1"/>
  <c r="I1471" i="1"/>
  <c r="H1471" i="1"/>
  <c r="R1471" i="1"/>
  <c r="Q1471" i="1"/>
  <c r="M1471" i="1"/>
  <c r="Q1470" i="1"/>
  <c r="O1470" i="1"/>
  <c r="Q1469" i="1"/>
  <c r="O1469" i="1"/>
  <c r="Q1468" i="1"/>
  <c r="O1468" i="1"/>
  <c r="P1467" i="1"/>
  <c r="P1466" i="1" s="1"/>
  <c r="N1467" i="1"/>
  <c r="N1466" i="1" s="1"/>
  <c r="M1467" i="1"/>
  <c r="M1466" i="1" s="1"/>
  <c r="L1467" i="1"/>
  <c r="L1466" i="1" s="1"/>
  <c r="K1467" i="1"/>
  <c r="K1466" i="1" s="1"/>
  <c r="J1467" i="1"/>
  <c r="J1466" i="1" s="1"/>
  <c r="I1467" i="1"/>
  <c r="I1466" i="1" s="1"/>
  <c r="H1467" i="1"/>
  <c r="H1466" i="1" s="1"/>
  <c r="Q1462" i="1"/>
  <c r="P1459" i="1"/>
  <c r="O1459" i="1"/>
  <c r="N1459" i="1"/>
  <c r="M1459" i="1"/>
  <c r="L1459" i="1"/>
  <c r="Q1460" i="1" s="1"/>
  <c r="K1459" i="1"/>
  <c r="J1459" i="1"/>
  <c r="I1459" i="1"/>
  <c r="H1459" i="1"/>
  <c r="A1460" i="1"/>
  <c r="A1462" i="1" s="1"/>
  <c r="A1468" i="1" s="1"/>
  <c r="A1469" i="1" s="1"/>
  <c r="A1470" i="1" s="1"/>
  <c r="A1478" i="1" s="1"/>
  <c r="A1479" i="1" s="1"/>
  <c r="A1480" i="1" s="1"/>
  <c r="A1481" i="1" s="1"/>
  <c r="A1482" i="1" s="1"/>
  <c r="A1484" i="1" s="1"/>
  <c r="A1486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3" i="1" s="1"/>
  <c r="A1504" i="1" s="1"/>
  <c r="A1505" i="1" s="1"/>
  <c r="A1506" i="1" s="1"/>
  <c r="A1509" i="1" s="1"/>
  <c r="A1515" i="1" s="1"/>
  <c r="A1521" i="1" s="1"/>
  <c r="A1529" i="1" s="1"/>
  <c r="A1530" i="1" s="1"/>
  <c r="A1535" i="1" s="1"/>
  <c r="A1537" i="1" s="1"/>
  <c r="A1542" i="1" s="1"/>
  <c r="A1543" i="1" s="1"/>
  <c r="A1546" i="1" s="1"/>
  <c r="A1547" i="1" s="1"/>
  <c r="A1548" i="1" s="1"/>
  <c r="A1549" i="1" s="1"/>
  <c r="A1550" i="1" s="1"/>
  <c r="A1551" i="1" s="1"/>
  <c r="A1552" i="1" s="1"/>
  <c r="A1559" i="1" s="1"/>
  <c r="A1561" i="1" s="1"/>
  <c r="A1568" i="1" s="1"/>
  <c r="A1569" i="1" s="1"/>
  <c r="A1570" i="1" s="1"/>
  <c r="A1571" i="1" s="1"/>
  <c r="A1572" i="1" s="1"/>
  <c r="A1577" i="1" s="1"/>
  <c r="Q1450" i="1"/>
  <c r="O1449" i="1"/>
  <c r="N1449" i="1"/>
  <c r="M1449" i="1"/>
  <c r="L1449" i="1"/>
  <c r="K1449" i="1"/>
  <c r="J1449" i="1"/>
  <c r="I1449" i="1"/>
  <c r="H1449" i="1"/>
  <c r="Q1448" i="1"/>
  <c r="O1448" i="1"/>
  <c r="O1447" i="1" s="1"/>
  <c r="P1447" i="1"/>
  <c r="N1447" i="1"/>
  <c r="M1447" i="1"/>
  <c r="L1447" i="1"/>
  <c r="K1447" i="1"/>
  <c r="J1447" i="1"/>
  <c r="I1447" i="1"/>
  <c r="H1447" i="1"/>
  <c r="Q1444" i="1"/>
  <c r="O1444" i="1"/>
  <c r="Q1443" i="1"/>
  <c r="O1443" i="1"/>
  <c r="Q1442" i="1"/>
  <c r="O1442" i="1"/>
  <c r="Q1441" i="1"/>
  <c r="O1441" i="1"/>
  <c r="Q1440" i="1"/>
  <c r="O1440" i="1"/>
  <c r="Q1439" i="1"/>
  <c r="O1439" i="1"/>
  <c r="Q1438" i="1"/>
  <c r="O1438" i="1"/>
  <c r="Q1437" i="1"/>
  <c r="O1437" i="1"/>
  <c r="Q1436" i="1"/>
  <c r="O1436" i="1"/>
  <c r="M246" i="3"/>
  <c r="N246" i="3" s="1"/>
  <c r="D246" i="3"/>
  <c r="C246" i="3"/>
  <c r="Q1433" i="1"/>
  <c r="O1433" i="1"/>
  <c r="O1432" i="1" s="1"/>
  <c r="P1432" i="1"/>
  <c r="N1432" i="1"/>
  <c r="M1432" i="1"/>
  <c r="L1432" i="1"/>
  <c r="K1432" i="1"/>
  <c r="J1432" i="1"/>
  <c r="I1432" i="1"/>
  <c r="H1432" i="1"/>
  <c r="Q1431" i="1"/>
  <c r="P1430" i="1"/>
  <c r="O1430" i="1"/>
  <c r="N1430" i="1"/>
  <c r="M1430" i="1"/>
  <c r="K1430" i="1"/>
  <c r="J1430" i="1"/>
  <c r="I1430" i="1"/>
  <c r="H1430" i="1"/>
  <c r="Q1428" i="1"/>
  <c r="O1428" i="1"/>
  <c r="Q1422" i="1"/>
  <c r="Q1421" i="1"/>
  <c r="Q1420" i="1"/>
  <c r="Q1419" i="1"/>
  <c r="Q1418" i="1"/>
  <c r="Q1417" i="1"/>
  <c r="Q1416" i="1"/>
  <c r="P1415" i="1"/>
  <c r="P1414" i="1" s="1"/>
  <c r="P1413" i="1" s="1"/>
  <c r="P1412" i="1" s="1"/>
  <c r="P1410" i="1" s="1"/>
  <c r="N1415" i="1"/>
  <c r="N1414" i="1" s="1"/>
  <c r="N1413" i="1" s="1"/>
  <c r="N1412" i="1" s="1"/>
  <c r="N1410" i="1" s="1"/>
  <c r="M1415" i="1"/>
  <c r="M1414" i="1" s="1"/>
  <c r="M1413" i="1" s="1"/>
  <c r="M1412" i="1" s="1"/>
  <c r="L1415" i="1"/>
  <c r="K1415" i="1"/>
  <c r="J1415" i="1"/>
  <c r="J1414" i="1" s="1"/>
  <c r="I1415" i="1"/>
  <c r="I1414" i="1" s="1"/>
  <c r="H1415" i="1"/>
  <c r="Q1413" i="1"/>
  <c r="O1413" i="1"/>
  <c r="Q1412" i="1"/>
  <c r="O1412" i="1"/>
  <c r="Q1411" i="1"/>
  <c r="O1411" i="1"/>
  <c r="Q1410" i="1"/>
  <c r="O1410" i="1"/>
  <c r="Q1409" i="1"/>
  <c r="O1409" i="1"/>
  <c r="Q1408" i="1"/>
  <c r="O1408" i="1"/>
  <c r="Q1407" i="1"/>
  <c r="O1407" i="1"/>
  <c r="Q1406" i="1"/>
  <c r="O1406" i="1"/>
  <c r="Q1405" i="1"/>
  <c r="O1405" i="1"/>
  <c r="L1404" i="1"/>
  <c r="K1404" i="1"/>
  <c r="J1404" i="1"/>
  <c r="J1403" i="1" s="1"/>
  <c r="I1404" i="1"/>
  <c r="I1403" i="1" s="1"/>
  <c r="H1404" i="1"/>
  <c r="C178" i="7" s="1"/>
  <c r="C159" i="7" s="1"/>
  <c r="Q1401" i="1"/>
  <c r="Q1399" i="1"/>
  <c r="O1399" i="1"/>
  <c r="O1398" i="1" s="1"/>
  <c r="P1398" i="1"/>
  <c r="N1398" i="1"/>
  <c r="M1398" i="1"/>
  <c r="L1398" i="1"/>
  <c r="K1398" i="1"/>
  <c r="J1398" i="1"/>
  <c r="I1398" i="1"/>
  <c r="H1398" i="1"/>
  <c r="Q1397" i="1"/>
  <c r="Q1396" i="1"/>
  <c r="P1395" i="1"/>
  <c r="O1395" i="1"/>
  <c r="N1395" i="1"/>
  <c r="M1395" i="1"/>
  <c r="L1395" i="1"/>
  <c r="K1395" i="1"/>
  <c r="J1395" i="1"/>
  <c r="I1395" i="1"/>
  <c r="H1395" i="1"/>
  <c r="Q1393" i="1"/>
  <c r="O1393" i="1"/>
  <c r="O1392" i="1" s="1"/>
  <c r="P1392" i="1"/>
  <c r="N1392" i="1"/>
  <c r="M1392" i="1"/>
  <c r="L1392" i="1"/>
  <c r="K1392" i="1"/>
  <c r="J1392" i="1"/>
  <c r="I1392" i="1"/>
  <c r="H1392" i="1"/>
  <c r="L1390" i="1"/>
  <c r="Q1390" i="1" s="1"/>
  <c r="P1389" i="1"/>
  <c r="P1386" i="1" s="1"/>
  <c r="O1389" i="1"/>
  <c r="N1389" i="1"/>
  <c r="N1386" i="1" s="1"/>
  <c r="M1389" i="1"/>
  <c r="K1389" i="1"/>
  <c r="J1389" i="1"/>
  <c r="I1389" i="1"/>
  <c r="H1389" i="1"/>
  <c r="Q1388" i="1"/>
  <c r="O1388" i="1"/>
  <c r="O1387" i="1" s="1"/>
  <c r="Q1385" i="1"/>
  <c r="O1383" i="1"/>
  <c r="N1383" i="1"/>
  <c r="M1383" i="1"/>
  <c r="L1383" i="1"/>
  <c r="K1383" i="1"/>
  <c r="J1383" i="1"/>
  <c r="I1383" i="1"/>
  <c r="H1383" i="1"/>
  <c r="O1380" i="1"/>
  <c r="O1379" i="1" s="1"/>
  <c r="Q1381" i="1"/>
  <c r="P1380" i="1"/>
  <c r="P1379" i="1" s="1"/>
  <c r="N1380" i="1"/>
  <c r="N1379" i="1" s="1"/>
  <c r="M1380" i="1"/>
  <c r="M1379" i="1" s="1"/>
  <c r="L1380" i="1"/>
  <c r="L1379" i="1" s="1"/>
  <c r="K1380" i="1"/>
  <c r="K1379" i="1" s="1"/>
  <c r="J1380" i="1"/>
  <c r="J1379" i="1" s="1"/>
  <c r="I1380" i="1"/>
  <c r="I1379" i="1" s="1"/>
  <c r="H1380" i="1"/>
  <c r="H1379" i="1" s="1"/>
  <c r="Q1376" i="1"/>
  <c r="N1375" i="1"/>
  <c r="P1375" i="1"/>
  <c r="O1375" i="1"/>
  <c r="M1375" i="1"/>
  <c r="L1375" i="1"/>
  <c r="M222" i="3" s="1"/>
  <c r="N222" i="3" s="1"/>
  <c r="K1375" i="1"/>
  <c r="D222" i="3" s="1"/>
  <c r="J1375" i="1"/>
  <c r="I1375" i="1"/>
  <c r="H1375" i="1"/>
  <c r="C222" i="3" s="1"/>
  <c r="Q1374" i="1"/>
  <c r="O1374" i="1"/>
  <c r="O1373" i="1" s="1"/>
  <c r="P1366" i="1"/>
  <c r="P1365" i="1" s="1"/>
  <c r="Q1371" i="1"/>
  <c r="O1371" i="1"/>
  <c r="Q1370" i="1"/>
  <c r="O1370" i="1"/>
  <c r="P1369" i="1"/>
  <c r="N1369" i="1"/>
  <c r="M1369" i="1"/>
  <c r="L1369" i="1"/>
  <c r="K1369" i="1"/>
  <c r="J1369" i="1"/>
  <c r="I1369" i="1"/>
  <c r="H1369" i="1"/>
  <c r="Q1366" i="1"/>
  <c r="P1360" i="1"/>
  <c r="O1360" i="1"/>
  <c r="N1360" i="1"/>
  <c r="M1360" i="1"/>
  <c r="K1360" i="1"/>
  <c r="J1360" i="1"/>
  <c r="I1360" i="1"/>
  <c r="H1360" i="1"/>
  <c r="L1359" i="1"/>
  <c r="Q1359" i="1" s="1"/>
  <c r="L1358" i="1"/>
  <c r="Q1358" i="1" s="1"/>
  <c r="P1357" i="1"/>
  <c r="P1342" i="1" s="1"/>
  <c r="P1341" i="1" s="1"/>
  <c r="O1357" i="1"/>
  <c r="N1357" i="1"/>
  <c r="M1357" i="1"/>
  <c r="K1357" i="1"/>
  <c r="J1357" i="1"/>
  <c r="I1357" i="1"/>
  <c r="H1357" i="1"/>
  <c r="Q1356" i="1"/>
  <c r="O1356" i="1"/>
  <c r="Q1355" i="1"/>
  <c r="O1355" i="1"/>
  <c r="Q1354" i="1"/>
  <c r="O1354" i="1"/>
  <c r="Q1353" i="1"/>
  <c r="O1353" i="1"/>
  <c r="J1353" i="1"/>
  <c r="J1342" i="1" s="1"/>
  <c r="Q1352" i="1"/>
  <c r="O1352" i="1"/>
  <c r="Q1351" i="1"/>
  <c r="O1351" i="1"/>
  <c r="Q1350" i="1"/>
  <c r="O1350" i="1"/>
  <c r="Q1349" i="1"/>
  <c r="O1349" i="1"/>
  <c r="Q1348" i="1"/>
  <c r="O1348" i="1"/>
  <c r="Q1347" i="1"/>
  <c r="O1347" i="1"/>
  <c r="Q1346" i="1"/>
  <c r="O1346" i="1"/>
  <c r="Q1345" i="1"/>
  <c r="O1345" i="1"/>
  <c r="Q1344" i="1"/>
  <c r="O1344" i="1"/>
  <c r="Q1343" i="1"/>
  <c r="O1343" i="1"/>
  <c r="N1342" i="1"/>
  <c r="M1342" i="1"/>
  <c r="L1342" i="1"/>
  <c r="K1342" i="1"/>
  <c r="I1342" i="1"/>
  <c r="H1342" i="1"/>
  <c r="P1339" i="1"/>
  <c r="P1338" i="1" s="1"/>
  <c r="O1339" i="1"/>
  <c r="O1338" i="1" s="1"/>
  <c r="N1339" i="1"/>
  <c r="N1338" i="1" s="1"/>
  <c r="M1339" i="1"/>
  <c r="M1338" i="1" s="1"/>
  <c r="L1339" i="1"/>
  <c r="L1338" i="1" s="1"/>
  <c r="K1339" i="1"/>
  <c r="K1338" i="1" s="1"/>
  <c r="J1339" i="1"/>
  <c r="J1338" i="1" s="1"/>
  <c r="I1339" i="1"/>
  <c r="I1338" i="1" s="1"/>
  <c r="H1339" i="1"/>
  <c r="H1338" i="1" s="1"/>
  <c r="Q1335" i="1"/>
  <c r="Q1334" i="1"/>
  <c r="Q1333" i="1"/>
  <c r="O1333" i="1"/>
  <c r="O1332" i="1" s="1"/>
  <c r="P1331" i="1"/>
  <c r="N1331" i="1"/>
  <c r="M1331" i="1"/>
  <c r="L1331" i="1"/>
  <c r="K1331" i="1"/>
  <c r="J1331" i="1"/>
  <c r="I1331" i="1"/>
  <c r="H1331" i="1"/>
  <c r="Q1327" i="1"/>
  <c r="Q1326" i="1"/>
  <c r="Q1325" i="1"/>
  <c r="Q1324" i="1"/>
  <c r="O1324" i="1"/>
  <c r="O1323" i="1" s="1"/>
  <c r="O1322" i="1" s="1"/>
  <c r="P1322" i="1"/>
  <c r="N1322" i="1"/>
  <c r="M1322" i="1"/>
  <c r="L1322" i="1"/>
  <c r="J1322" i="1"/>
  <c r="I1322" i="1"/>
  <c r="H1322" i="1"/>
  <c r="R1322" i="1"/>
  <c r="Q1322" i="1"/>
  <c r="K1322" i="1"/>
  <c r="Q1311" i="1"/>
  <c r="O1311" i="1"/>
  <c r="Q1310" i="1"/>
  <c r="O1310" i="1"/>
  <c r="Q1309" i="1"/>
  <c r="O1309" i="1"/>
  <c r="O1273" i="1"/>
  <c r="O1272" i="1"/>
  <c r="O1271" i="1"/>
  <c r="Q1270" i="1"/>
  <c r="O1270" i="1"/>
  <c r="Q1257" i="1"/>
  <c r="Q1256" i="1"/>
  <c r="P1255" i="1"/>
  <c r="O1255" i="1"/>
  <c r="N1255" i="1"/>
  <c r="M1255" i="1"/>
  <c r="L1255" i="1"/>
  <c r="M199" i="3" s="1"/>
  <c r="N199" i="3" s="1"/>
  <c r="K1255" i="1"/>
  <c r="D199" i="3" s="1"/>
  <c r="J1255" i="1"/>
  <c r="I1255" i="1"/>
  <c r="Q1254" i="1"/>
  <c r="O1254" i="1"/>
  <c r="Q1253" i="1"/>
  <c r="O1253" i="1"/>
  <c r="Q1252" i="1"/>
  <c r="O1252" i="1"/>
  <c r="Q1251" i="1"/>
  <c r="O1251" i="1"/>
  <c r="Q1250" i="1"/>
  <c r="O1250" i="1"/>
  <c r="Q1249" i="1"/>
  <c r="O1249" i="1"/>
  <c r="Q1248" i="1"/>
  <c r="O1248" i="1"/>
  <c r="Q1247" i="1"/>
  <c r="O1247" i="1"/>
  <c r="Q1246" i="1"/>
  <c r="O1246" i="1"/>
  <c r="Q1245" i="1"/>
  <c r="O1245" i="1"/>
  <c r="Q1244" i="1"/>
  <c r="O1244" i="1"/>
  <c r="Q1243" i="1"/>
  <c r="O1243" i="1"/>
  <c r="Q1242" i="1"/>
  <c r="O1242" i="1"/>
  <c r="Q1241" i="1"/>
  <c r="O1241" i="1"/>
  <c r="Q1240" i="1"/>
  <c r="O1240" i="1"/>
  <c r="Q1239" i="1"/>
  <c r="O1239" i="1"/>
  <c r="Q1238" i="1"/>
  <c r="O1238" i="1"/>
  <c r="Q1237" i="1"/>
  <c r="O1237" i="1"/>
  <c r="Q1236" i="1"/>
  <c r="O1236" i="1"/>
  <c r="Q1235" i="1"/>
  <c r="O1235" i="1"/>
  <c r="Q1234" i="1"/>
  <c r="O1234" i="1"/>
  <c r="Q1233" i="1"/>
  <c r="O1233" i="1"/>
  <c r="Q1232" i="1"/>
  <c r="O1232" i="1"/>
  <c r="Q1231" i="1"/>
  <c r="O1231" i="1"/>
  <c r="Q1230" i="1"/>
  <c r="O1230" i="1"/>
  <c r="Q1229" i="1"/>
  <c r="O1229" i="1"/>
  <c r="Q1228" i="1"/>
  <c r="O1228" i="1"/>
  <c r="Q1227" i="1"/>
  <c r="O1227" i="1"/>
  <c r="Q1226" i="1"/>
  <c r="O1226" i="1"/>
  <c r="Q1225" i="1"/>
  <c r="O1225" i="1"/>
  <c r="Q1224" i="1"/>
  <c r="O1224" i="1"/>
  <c r="Q1223" i="1"/>
  <c r="O1223" i="1"/>
  <c r="Q1222" i="1"/>
  <c r="O1222" i="1"/>
  <c r="Q1221" i="1"/>
  <c r="O1221" i="1"/>
  <c r="Q1220" i="1"/>
  <c r="O1220" i="1"/>
  <c r="Q1219" i="1"/>
  <c r="O1219" i="1"/>
  <c r="Q1218" i="1"/>
  <c r="O1218" i="1"/>
  <c r="Q1217" i="1"/>
  <c r="O1217" i="1"/>
  <c r="Q1216" i="1"/>
  <c r="O1216" i="1"/>
  <c r="Q1215" i="1"/>
  <c r="O1215" i="1"/>
  <c r="Q1214" i="1"/>
  <c r="O1214" i="1"/>
  <c r="Q1213" i="1"/>
  <c r="O1213" i="1"/>
  <c r="Q1212" i="1"/>
  <c r="O1212" i="1"/>
  <c r="Q1211" i="1"/>
  <c r="O1211" i="1"/>
  <c r="Q1210" i="1"/>
  <c r="O1210" i="1"/>
  <c r="Q1209" i="1"/>
  <c r="O1209" i="1"/>
  <c r="Q1208" i="1"/>
  <c r="O1208" i="1"/>
  <c r="Q1207" i="1"/>
  <c r="O1207" i="1"/>
  <c r="Q1206" i="1"/>
  <c r="O1206" i="1"/>
  <c r="Q1205" i="1"/>
  <c r="O1205" i="1"/>
  <c r="Q1204" i="1"/>
  <c r="O1204" i="1"/>
  <c r="Q1203" i="1"/>
  <c r="O1203" i="1"/>
  <c r="Q1202" i="1"/>
  <c r="O1202" i="1"/>
  <c r="Q1201" i="1"/>
  <c r="O1201" i="1"/>
  <c r="Q1200" i="1"/>
  <c r="O1200" i="1"/>
  <c r="Q1199" i="1"/>
  <c r="O1199" i="1"/>
  <c r="Q1198" i="1"/>
  <c r="O1198" i="1"/>
  <c r="Q1197" i="1"/>
  <c r="O1197" i="1"/>
  <c r="Q1196" i="1"/>
  <c r="O1196" i="1"/>
  <c r="Q1195" i="1"/>
  <c r="O1195" i="1"/>
  <c r="Q1194" i="1"/>
  <c r="O1194" i="1"/>
  <c r="Q1193" i="1"/>
  <c r="O1193" i="1"/>
  <c r="Q1192" i="1"/>
  <c r="O1192" i="1"/>
  <c r="Q1191" i="1"/>
  <c r="O1191" i="1"/>
  <c r="Q1190" i="1"/>
  <c r="O1190" i="1"/>
  <c r="Q1189" i="1"/>
  <c r="O1189" i="1"/>
  <c r="Q1188" i="1"/>
  <c r="O1188" i="1"/>
  <c r="Q1187" i="1"/>
  <c r="O1187" i="1"/>
  <c r="Q1186" i="1"/>
  <c r="O1186" i="1"/>
  <c r="Q1185" i="1"/>
  <c r="O1185" i="1"/>
  <c r="Q1184" i="1"/>
  <c r="O1184" i="1"/>
  <c r="Q1183" i="1"/>
  <c r="O1183" i="1"/>
  <c r="Q1182" i="1"/>
  <c r="O1182" i="1"/>
  <c r="Q1181" i="1"/>
  <c r="O1181" i="1"/>
  <c r="Q1180" i="1"/>
  <c r="O1180" i="1"/>
  <c r="Q1179" i="1"/>
  <c r="O1179" i="1"/>
  <c r="Q1178" i="1"/>
  <c r="O1178" i="1"/>
  <c r="Q1177" i="1"/>
  <c r="O1177" i="1"/>
  <c r="Q1176" i="1"/>
  <c r="O1176" i="1"/>
  <c r="Q1175" i="1"/>
  <c r="O1175" i="1"/>
  <c r="Q1174" i="1"/>
  <c r="O1174" i="1"/>
  <c r="Q1173" i="1"/>
  <c r="O1173" i="1"/>
  <c r="Q1172" i="1"/>
  <c r="O1172" i="1"/>
  <c r="Q1171" i="1"/>
  <c r="O1171" i="1"/>
  <c r="Q1170" i="1"/>
  <c r="O1170" i="1"/>
  <c r="Q1169" i="1"/>
  <c r="O1169" i="1"/>
  <c r="Q1168" i="1"/>
  <c r="O1168" i="1"/>
  <c r="Q1167" i="1"/>
  <c r="O1167" i="1"/>
  <c r="Q1166" i="1"/>
  <c r="O1166" i="1"/>
  <c r="Q1165" i="1"/>
  <c r="O1165" i="1"/>
  <c r="Q1164" i="1"/>
  <c r="O1164" i="1"/>
  <c r="Q1163" i="1"/>
  <c r="O1163" i="1"/>
  <c r="Q1162" i="1"/>
  <c r="O1162" i="1"/>
  <c r="Q1161" i="1"/>
  <c r="O1161" i="1"/>
  <c r="Q1160" i="1"/>
  <c r="O1160" i="1"/>
  <c r="Q1159" i="1"/>
  <c r="O1159" i="1"/>
  <c r="Q1158" i="1"/>
  <c r="O1158" i="1"/>
  <c r="Q1157" i="1"/>
  <c r="O1157" i="1"/>
  <c r="Q1156" i="1"/>
  <c r="O1156" i="1"/>
  <c r="Q1155" i="1"/>
  <c r="O1155" i="1"/>
  <c r="Q1154" i="1"/>
  <c r="O1154" i="1"/>
  <c r="Q1153" i="1"/>
  <c r="O1153" i="1"/>
  <c r="Q1152" i="1"/>
  <c r="O1152" i="1"/>
  <c r="Q1151" i="1"/>
  <c r="O1151" i="1"/>
  <c r="Q1150" i="1"/>
  <c r="O1150" i="1"/>
  <c r="Q1149" i="1"/>
  <c r="O1149" i="1"/>
  <c r="Q1148" i="1"/>
  <c r="O1148" i="1"/>
  <c r="Q1147" i="1"/>
  <c r="O1147" i="1"/>
  <c r="Q1146" i="1"/>
  <c r="O1146" i="1"/>
  <c r="Q1145" i="1"/>
  <c r="O1145" i="1"/>
  <c r="Q1144" i="1"/>
  <c r="O1144" i="1"/>
  <c r="Q1143" i="1"/>
  <c r="O1143" i="1"/>
  <c r="Q1142" i="1"/>
  <c r="O1142" i="1"/>
  <c r="Q1141" i="1"/>
  <c r="O1141" i="1"/>
  <c r="Q1140" i="1"/>
  <c r="O1140" i="1"/>
  <c r="Q1139" i="1"/>
  <c r="O1139" i="1"/>
  <c r="Q1138" i="1"/>
  <c r="O1138" i="1"/>
  <c r="Q1137" i="1"/>
  <c r="O1137" i="1"/>
  <c r="Q1136" i="1"/>
  <c r="O1136" i="1"/>
  <c r="Q1135" i="1"/>
  <c r="O1135" i="1"/>
  <c r="Q1134" i="1"/>
  <c r="O1134" i="1"/>
  <c r="Q1133" i="1"/>
  <c r="O1133" i="1"/>
  <c r="Q1132" i="1"/>
  <c r="O1132" i="1"/>
  <c r="Q1131" i="1"/>
  <c r="O1131" i="1"/>
  <c r="Q1130" i="1"/>
  <c r="O1130" i="1"/>
  <c r="Q1129" i="1"/>
  <c r="O1129" i="1"/>
  <c r="Q1128" i="1"/>
  <c r="O1128" i="1"/>
  <c r="Q1127" i="1"/>
  <c r="O1127" i="1"/>
  <c r="Q1126" i="1"/>
  <c r="O1126" i="1"/>
  <c r="Q1125" i="1"/>
  <c r="O1125" i="1"/>
  <c r="Q1124" i="1"/>
  <c r="O1124" i="1"/>
  <c r="Q1123" i="1"/>
  <c r="O1123" i="1"/>
  <c r="Q1122" i="1"/>
  <c r="O1122" i="1"/>
  <c r="Q1121" i="1"/>
  <c r="O1121" i="1"/>
  <c r="Q1120" i="1"/>
  <c r="O1120" i="1"/>
  <c r="Q1119" i="1"/>
  <c r="O1119" i="1"/>
  <c r="Q1118" i="1"/>
  <c r="O1118" i="1"/>
  <c r="Q1117" i="1"/>
  <c r="O1117" i="1"/>
  <c r="Q1116" i="1"/>
  <c r="O1116" i="1"/>
  <c r="Q1115" i="1"/>
  <c r="O1115" i="1"/>
  <c r="Q1114" i="1"/>
  <c r="O1114" i="1"/>
  <c r="Q1113" i="1"/>
  <c r="O1113" i="1"/>
  <c r="Q1112" i="1"/>
  <c r="O1112" i="1"/>
  <c r="Q1111" i="1"/>
  <c r="O1111" i="1"/>
  <c r="Q1110" i="1"/>
  <c r="O1110" i="1"/>
  <c r="Q1109" i="1"/>
  <c r="O1109" i="1"/>
  <c r="Q1108" i="1"/>
  <c r="O1108" i="1"/>
  <c r="Q1107" i="1"/>
  <c r="O1107" i="1"/>
  <c r="Q1106" i="1"/>
  <c r="O1106" i="1"/>
  <c r="Q1105" i="1"/>
  <c r="O1105" i="1"/>
  <c r="Q1104" i="1"/>
  <c r="O1104" i="1"/>
  <c r="Q1103" i="1"/>
  <c r="O1103" i="1"/>
  <c r="Q1102" i="1"/>
  <c r="O1102" i="1"/>
  <c r="Q1101" i="1"/>
  <c r="O1101" i="1"/>
  <c r="Q1100" i="1"/>
  <c r="O1100" i="1"/>
  <c r="Q1099" i="1"/>
  <c r="O1099" i="1"/>
  <c r="Q1098" i="1"/>
  <c r="O1098" i="1"/>
  <c r="Q1097" i="1"/>
  <c r="O1097" i="1"/>
  <c r="Q1096" i="1"/>
  <c r="O1096" i="1"/>
  <c r="Q1095" i="1"/>
  <c r="O1095" i="1"/>
  <c r="Q1094" i="1"/>
  <c r="O1094" i="1"/>
  <c r="Q1093" i="1"/>
  <c r="O1093" i="1"/>
  <c r="Q1092" i="1"/>
  <c r="O1092" i="1"/>
  <c r="Q1091" i="1"/>
  <c r="O1091" i="1"/>
  <c r="Q1090" i="1"/>
  <c r="O1090" i="1"/>
  <c r="Q1089" i="1"/>
  <c r="O1089" i="1"/>
  <c r="Q1088" i="1"/>
  <c r="O1088" i="1"/>
  <c r="A1088" i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70" i="1" s="1"/>
  <c r="A1271" i="1" s="1"/>
  <c r="A1272" i="1" s="1"/>
  <c r="A1273" i="1" s="1"/>
  <c r="A1309" i="1" s="1"/>
  <c r="A1310" i="1" s="1"/>
  <c r="A1324" i="1" s="1"/>
  <c r="A1325" i="1" s="1"/>
  <c r="A1326" i="1" s="1"/>
  <c r="A1327" i="1" s="1"/>
  <c r="A1333" i="1" s="1"/>
  <c r="A1334" i="1" s="1"/>
  <c r="A1335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8" i="1" s="1"/>
  <c r="A1359" i="1" s="1"/>
  <c r="A1366" i="1" s="1"/>
  <c r="A1370" i="1" s="1"/>
  <c r="A1371" i="1" s="1"/>
  <c r="A1374" i="1" s="1"/>
  <c r="A1376" i="1" s="1"/>
  <c r="A1381" i="1" s="1"/>
  <c r="A1385" i="1" s="1"/>
  <c r="A1388" i="1" s="1"/>
  <c r="A1390" i="1" s="1"/>
  <c r="A1393" i="1" s="1"/>
  <c r="A1396" i="1" s="1"/>
  <c r="A1397" i="1" s="1"/>
  <c r="A1399" i="1" s="1"/>
  <c r="A1401" i="1" s="1"/>
  <c r="A1405" i="1" s="1"/>
  <c r="A1406" i="1" s="1"/>
  <c r="A1407" i="1" s="1"/>
  <c r="A1408" i="1" s="1"/>
  <c r="A1409" i="1" s="1"/>
  <c r="A1410" i="1" s="1"/>
  <c r="A1411" i="1" s="1"/>
  <c r="A1412" i="1" s="1"/>
  <c r="A1416" i="1" s="1"/>
  <c r="A1417" i="1" s="1"/>
  <c r="A1418" i="1" s="1"/>
  <c r="A1419" i="1" s="1"/>
  <c r="A1420" i="1" s="1"/>
  <c r="A1421" i="1" s="1"/>
  <c r="A1422" i="1" s="1"/>
  <c r="A1428" i="1" s="1"/>
  <c r="A1431" i="1" s="1"/>
  <c r="A1433" i="1" s="1"/>
  <c r="A1437" i="1" s="1"/>
  <c r="A1438" i="1" s="1"/>
  <c r="A1439" i="1" s="1"/>
  <c r="A1440" i="1" s="1"/>
  <c r="A1441" i="1" s="1"/>
  <c r="A1442" i="1" s="1"/>
  <c r="A1443" i="1" s="1"/>
  <c r="A1444" i="1" s="1"/>
  <c r="A1448" i="1" s="1"/>
  <c r="A1450" i="1" s="1"/>
  <c r="Q1087" i="1"/>
  <c r="O1087" i="1"/>
  <c r="P1086" i="1"/>
  <c r="N1086" i="1"/>
  <c r="M1086" i="1"/>
  <c r="K1086" i="1"/>
  <c r="J1086" i="1"/>
  <c r="I1086" i="1"/>
  <c r="H1086" i="1"/>
  <c r="P1080" i="1"/>
  <c r="V1069" i="2"/>
  <c r="R1080" i="1"/>
  <c r="Q1080" i="1"/>
  <c r="Q1079" i="1"/>
  <c r="O1079" i="1"/>
  <c r="J1079" i="1"/>
  <c r="J1078" i="1" s="1"/>
  <c r="J1077" i="1" s="1"/>
  <c r="N1078" i="1"/>
  <c r="N1077" i="1" s="1"/>
  <c r="M1078" i="1"/>
  <c r="M1077" i="1" s="1"/>
  <c r="L1078" i="1"/>
  <c r="O1078" i="1" s="1"/>
  <c r="O1077" i="1" s="1"/>
  <c r="K1078" i="1"/>
  <c r="K1077" i="1" s="1"/>
  <c r="I1078" i="1"/>
  <c r="I1077" i="1" s="1"/>
  <c r="H1078" i="1"/>
  <c r="R1077" i="1"/>
  <c r="Q1077" i="1"/>
  <c r="P1077" i="1"/>
  <c r="H1077" i="1"/>
  <c r="Q1074" i="1"/>
  <c r="O1074" i="1"/>
  <c r="Q1073" i="1"/>
  <c r="O1073" i="1"/>
  <c r="H1073" i="1"/>
  <c r="Q1072" i="1"/>
  <c r="O1072" i="1"/>
  <c r="Q1071" i="1"/>
  <c r="O1071" i="1"/>
  <c r="H1071" i="1"/>
  <c r="Q1070" i="1"/>
  <c r="O1070" i="1"/>
  <c r="H1070" i="1"/>
  <c r="P1069" i="1"/>
  <c r="P1068" i="1" s="1"/>
  <c r="P1067" i="1" s="1"/>
  <c r="N1069" i="1"/>
  <c r="N1068" i="1" s="1"/>
  <c r="N1067" i="1" s="1"/>
  <c r="M1069" i="1"/>
  <c r="M1068" i="1" s="1"/>
  <c r="M1067" i="1" s="1"/>
  <c r="L1069" i="1"/>
  <c r="L1068" i="1" s="1"/>
  <c r="L1067" i="1" s="1"/>
  <c r="K1069" i="1"/>
  <c r="K1068" i="1" s="1"/>
  <c r="K1067" i="1" s="1"/>
  <c r="J1069" i="1"/>
  <c r="J1068" i="1" s="1"/>
  <c r="J1067" i="1" s="1"/>
  <c r="I1069" i="1"/>
  <c r="I1068" i="1" s="1"/>
  <c r="I1067" i="1" s="1"/>
  <c r="Q1062" i="1"/>
  <c r="P1061" i="1"/>
  <c r="P1060" i="1" s="1"/>
  <c r="O1061" i="1"/>
  <c r="O1060" i="1" s="1"/>
  <c r="N1061" i="1"/>
  <c r="N1060" i="1" s="1"/>
  <c r="M1061" i="1"/>
  <c r="M1060" i="1" s="1"/>
  <c r="L1061" i="1"/>
  <c r="L1060" i="1" s="1"/>
  <c r="K1061" i="1"/>
  <c r="K1060" i="1" s="1"/>
  <c r="J1061" i="1"/>
  <c r="I1061" i="1"/>
  <c r="I1060" i="1" s="1"/>
  <c r="H1061" i="1"/>
  <c r="H1060" i="1" s="1"/>
  <c r="Q1058" i="1"/>
  <c r="O1058" i="1"/>
  <c r="Q1057" i="1"/>
  <c r="O1057" i="1"/>
  <c r="Q1056" i="1"/>
  <c r="O1056" i="1"/>
  <c r="Q1055" i="1"/>
  <c r="O1055" i="1"/>
  <c r="Q1054" i="1"/>
  <c r="O1054" i="1"/>
  <c r="Q1053" i="1"/>
  <c r="O1053" i="1"/>
  <c r="Q1052" i="1"/>
  <c r="O1052" i="1"/>
  <c r="Q1051" i="1"/>
  <c r="O1051" i="1"/>
  <c r="Q1050" i="1"/>
  <c r="O1050" i="1"/>
  <c r="Q1049" i="1"/>
  <c r="O1049" i="1"/>
  <c r="Q1045" i="1"/>
  <c r="O1043" i="1"/>
  <c r="Q1042" i="1"/>
  <c r="P1041" i="1"/>
  <c r="O1041" i="1"/>
  <c r="N1041" i="1"/>
  <c r="M1041" i="1"/>
  <c r="L1041" i="1"/>
  <c r="K1041" i="1"/>
  <c r="J1041" i="1"/>
  <c r="I1041" i="1"/>
  <c r="H1041" i="1"/>
  <c r="Q1040" i="1"/>
  <c r="P1039" i="1"/>
  <c r="O1039" i="1"/>
  <c r="N1039" i="1"/>
  <c r="M1039" i="1"/>
  <c r="M1038" i="1" s="1"/>
  <c r="L1039" i="1"/>
  <c r="K1039" i="1"/>
  <c r="J1039" i="1"/>
  <c r="I1039" i="1"/>
  <c r="I1038" i="1" s="1"/>
  <c r="H1039" i="1"/>
  <c r="Q1037" i="1"/>
  <c r="O1037" i="1"/>
  <c r="Q1036" i="1"/>
  <c r="O1036" i="1"/>
  <c r="Q1035" i="1"/>
  <c r="O1035" i="1"/>
  <c r="Q1034" i="1"/>
  <c r="O1034" i="1"/>
  <c r="P1033" i="1"/>
  <c r="P1032" i="1" s="1"/>
  <c r="N1033" i="1"/>
  <c r="N1032" i="1" s="1"/>
  <c r="M1033" i="1"/>
  <c r="M1032" i="1" s="1"/>
  <c r="L1033" i="1"/>
  <c r="L1032" i="1" s="1"/>
  <c r="K1033" i="1"/>
  <c r="K1032" i="1" s="1"/>
  <c r="J1033" i="1"/>
  <c r="J1032" i="1" s="1"/>
  <c r="I1033" i="1"/>
  <c r="I1032" i="1" s="1"/>
  <c r="H1033" i="1"/>
  <c r="H1032" i="1" s="1"/>
  <c r="Q1031" i="1"/>
  <c r="Q1030" i="1"/>
  <c r="P1029" i="1"/>
  <c r="P1028" i="1" s="1"/>
  <c r="O1029" i="1"/>
  <c r="O1028" i="1" s="1"/>
  <c r="N1029" i="1"/>
  <c r="N1028" i="1" s="1"/>
  <c r="M1029" i="1"/>
  <c r="M1028" i="1" s="1"/>
  <c r="K1029" i="1"/>
  <c r="K1028" i="1" s="1"/>
  <c r="J1029" i="1"/>
  <c r="J1028" i="1" s="1"/>
  <c r="I1029" i="1"/>
  <c r="I1028" i="1" s="1"/>
  <c r="H1029" i="1"/>
  <c r="H1028" i="1" s="1"/>
  <c r="Q1027" i="1"/>
  <c r="O1027" i="1"/>
  <c r="O1026" i="1" s="1"/>
  <c r="O1025" i="1" s="1"/>
  <c r="P1026" i="1"/>
  <c r="P1025" i="1" s="1"/>
  <c r="N1026" i="1"/>
  <c r="N1025" i="1" s="1"/>
  <c r="M1026" i="1"/>
  <c r="M1025" i="1" s="1"/>
  <c r="L1026" i="1"/>
  <c r="L1025" i="1" s="1"/>
  <c r="K1026" i="1"/>
  <c r="K1025" i="1" s="1"/>
  <c r="J1026" i="1"/>
  <c r="J1025" i="1" s="1"/>
  <c r="I1026" i="1"/>
  <c r="I1025" i="1" s="1"/>
  <c r="H1026" i="1"/>
  <c r="Q1020" i="1"/>
  <c r="I1016" i="1"/>
  <c r="Q1015" i="1"/>
  <c r="P1014" i="1"/>
  <c r="P1013" i="1" s="1"/>
  <c r="O1014" i="1"/>
  <c r="O1013" i="1" s="1"/>
  <c r="N1014" i="1"/>
  <c r="N1013" i="1" s="1"/>
  <c r="M1014" i="1"/>
  <c r="M1013" i="1" s="1"/>
  <c r="L1014" i="1"/>
  <c r="L1013" i="1" s="1"/>
  <c r="K1014" i="1"/>
  <c r="K1013" i="1" s="1"/>
  <c r="J1014" i="1"/>
  <c r="J1013" i="1" s="1"/>
  <c r="I1014" i="1"/>
  <c r="I1013" i="1" s="1"/>
  <c r="H1014" i="1"/>
  <c r="H1013" i="1" s="1"/>
  <c r="Q1012" i="1"/>
  <c r="O1012" i="1"/>
  <c r="Q1011" i="1"/>
  <c r="O1011" i="1"/>
  <c r="Q1010" i="1"/>
  <c r="O1010" i="1"/>
  <c r="Q1009" i="1"/>
  <c r="O1009" i="1"/>
  <c r="P1008" i="1"/>
  <c r="P1007" i="1" s="1"/>
  <c r="N1008" i="1"/>
  <c r="N1007" i="1" s="1"/>
  <c r="M1008" i="1"/>
  <c r="M1007" i="1" s="1"/>
  <c r="L1008" i="1"/>
  <c r="L1007" i="1" s="1"/>
  <c r="K1008" i="1"/>
  <c r="K1007" i="1" s="1"/>
  <c r="J1008" i="1"/>
  <c r="J1007" i="1" s="1"/>
  <c r="I1008" i="1"/>
  <c r="I1007" i="1" s="1"/>
  <c r="H1008" i="1"/>
  <c r="H1007" i="1" s="1"/>
  <c r="L1006" i="1"/>
  <c r="Q1006" i="1" s="1"/>
  <c r="L1005" i="1"/>
  <c r="Q1005" i="1" s="1"/>
  <c r="J1005" i="1"/>
  <c r="L1004" i="1"/>
  <c r="Q1004" i="1" s="1"/>
  <c r="L1003" i="1"/>
  <c r="Q1003" i="1" s="1"/>
  <c r="J1003" i="1"/>
  <c r="L1002" i="1"/>
  <c r="Q1002" i="1" s="1"/>
  <c r="L1001" i="1"/>
  <c r="Q1001" i="1" s="1"/>
  <c r="L1000" i="1"/>
  <c r="Q1000" i="1" s="1"/>
  <c r="J1000" i="1"/>
  <c r="L999" i="1"/>
  <c r="Q999" i="1" s="1"/>
  <c r="L998" i="1"/>
  <c r="Q998" i="1" s="1"/>
  <c r="O997" i="1"/>
  <c r="O996" i="1" s="1"/>
  <c r="N997" i="1"/>
  <c r="N996" i="1" s="1"/>
  <c r="M997" i="1"/>
  <c r="M996" i="1" s="1"/>
  <c r="K997" i="1"/>
  <c r="K996" i="1" s="1"/>
  <c r="I997" i="1"/>
  <c r="I996" i="1" s="1"/>
  <c r="H997" i="1"/>
  <c r="H996" i="1" s="1"/>
  <c r="P996" i="1"/>
  <c r="Q995" i="1"/>
  <c r="O995" i="1"/>
  <c r="Q994" i="1"/>
  <c r="O994" i="1"/>
  <c r="P993" i="1"/>
  <c r="P992" i="1" s="1"/>
  <c r="N993" i="1"/>
  <c r="N992" i="1" s="1"/>
  <c r="M993" i="1"/>
  <c r="M992" i="1" s="1"/>
  <c r="L993" i="1"/>
  <c r="K993" i="1"/>
  <c r="J993" i="1"/>
  <c r="J992" i="1" s="1"/>
  <c r="I993" i="1"/>
  <c r="I992" i="1" s="1"/>
  <c r="H993" i="1"/>
  <c r="O991" i="1"/>
  <c r="O990" i="1" s="1"/>
  <c r="I991" i="1"/>
  <c r="Q991" i="1" s="1"/>
  <c r="P990" i="1"/>
  <c r="N990" i="1"/>
  <c r="M990" i="1"/>
  <c r="L990" i="1"/>
  <c r="K990" i="1"/>
  <c r="J990" i="1"/>
  <c r="H990" i="1"/>
  <c r="Q989" i="1"/>
  <c r="O989" i="1"/>
  <c r="O986" i="1" s="1"/>
  <c r="R978" i="1"/>
  <c r="Q978" i="1"/>
  <c r="O973" i="1"/>
  <c r="Q975" i="1"/>
  <c r="R973" i="1"/>
  <c r="Q973" i="1"/>
  <c r="P973" i="1"/>
  <c r="N973" i="1"/>
  <c r="M973" i="1"/>
  <c r="L973" i="1"/>
  <c r="K973" i="1"/>
  <c r="J973" i="1"/>
  <c r="I973" i="1"/>
  <c r="H973" i="1"/>
  <c r="Q972" i="1"/>
  <c r="O972" i="1"/>
  <c r="Q971" i="1"/>
  <c r="O971" i="1"/>
  <c r="Q970" i="1"/>
  <c r="O970" i="1"/>
  <c r="P969" i="1"/>
  <c r="P968" i="1" s="1"/>
  <c r="N969" i="1"/>
  <c r="N968" i="1" s="1"/>
  <c r="M969" i="1"/>
  <c r="M968" i="1" s="1"/>
  <c r="L969" i="1"/>
  <c r="L968" i="1" s="1"/>
  <c r="K969" i="1"/>
  <c r="K968" i="1" s="1"/>
  <c r="J969" i="1"/>
  <c r="J968" i="1" s="1"/>
  <c r="I969" i="1"/>
  <c r="I968" i="1" s="1"/>
  <c r="H969" i="1"/>
  <c r="H968" i="1" s="1"/>
  <c r="Q964" i="1"/>
  <c r="P961" i="1"/>
  <c r="O961" i="1"/>
  <c r="N961" i="1"/>
  <c r="M961" i="1"/>
  <c r="L961" i="1"/>
  <c r="Q962" i="1" s="1"/>
  <c r="K961" i="1"/>
  <c r="J961" i="1"/>
  <c r="I961" i="1"/>
  <c r="H961" i="1"/>
  <c r="A1049" i="1"/>
  <c r="A1050" i="1" s="1"/>
  <c r="A1051" i="1" s="1"/>
  <c r="A1052" i="1" s="1"/>
  <c r="A1053" i="1" s="1"/>
  <c r="A1054" i="1" s="1"/>
  <c r="A1055" i="1" s="1"/>
  <c r="A1056" i="1" s="1"/>
  <c r="A1057" i="1" s="1"/>
  <c r="A1058" i="1" s="1"/>
  <c r="A1062" i="1" s="1"/>
  <c r="A1070" i="1" s="1"/>
  <c r="A1071" i="1" s="1"/>
  <c r="A1072" i="1" s="1"/>
  <c r="A1073" i="1" s="1"/>
  <c r="A1074" i="1" s="1"/>
  <c r="A1079" i="1" s="1"/>
  <c r="Q948" i="1"/>
  <c r="O947" i="1"/>
  <c r="N947" i="1"/>
  <c r="M947" i="1"/>
  <c r="L947" i="1"/>
  <c r="K947" i="1"/>
  <c r="J947" i="1"/>
  <c r="I947" i="1"/>
  <c r="H947" i="1"/>
  <c r="Q946" i="1"/>
  <c r="O946" i="1"/>
  <c r="O945" i="1" s="1"/>
  <c r="P945" i="1"/>
  <c r="N945" i="1"/>
  <c r="M945" i="1"/>
  <c r="L945" i="1"/>
  <c r="K945" i="1"/>
  <c r="J945" i="1"/>
  <c r="I945" i="1"/>
  <c r="H945" i="1"/>
  <c r="Q944" i="1"/>
  <c r="O944" i="1"/>
  <c r="Q943" i="1"/>
  <c r="O943" i="1"/>
  <c r="Q942" i="1"/>
  <c r="O942" i="1"/>
  <c r="Q941" i="1"/>
  <c r="O941" i="1"/>
  <c r="Q940" i="1"/>
  <c r="O940" i="1"/>
  <c r="Q939" i="1"/>
  <c r="C152" i="3"/>
  <c r="Q936" i="1"/>
  <c r="O936" i="1"/>
  <c r="O935" i="1" s="1"/>
  <c r="P935" i="1"/>
  <c r="N935" i="1"/>
  <c r="M935" i="1"/>
  <c r="L935" i="1"/>
  <c r="K935" i="1"/>
  <c r="J935" i="1"/>
  <c r="I935" i="1"/>
  <c r="H935" i="1"/>
  <c r="Q934" i="1"/>
  <c r="P933" i="1"/>
  <c r="O933" i="1"/>
  <c r="N933" i="1"/>
  <c r="M933" i="1"/>
  <c r="K933" i="1"/>
  <c r="J933" i="1"/>
  <c r="I933" i="1"/>
  <c r="H933" i="1"/>
  <c r="Q931" i="1"/>
  <c r="O931" i="1"/>
  <c r="O930" i="1" s="1"/>
  <c r="L929" i="1"/>
  <c r="Q925" i="1"/>
  <c r="Q924" i="1"/>
  <c r="Q923" i="1"/>
  <c r="Q922" i="1"/>
  <c r="Q921" i="1"/>
  <c r="Q920" i="1"/>
  <c r="Q919" i="1"/>
  <c r="Q918" i="1"/>
  <c r="P917" i="1"/>
  <c r="P916" i="1" s="1"/>
  <c r="P915" i="1" s="1"/>
  <c r="N917" i="1"/>
  <c r="N916" i="1" s="1"/>
  <c r="N915" i="1" s="1"/>
  <c r="M917" i="1"/>
  <c r="M916" i="1" s="1"/>
  <c r="M915" i="1" s="1"/>
  <c r="L917" i="1"/>
  <c r="K917" i="1"/>
  <c r="J917" i="1"/>
  <c r="J916" i="1" s="1"/>
  <c r="I917" i="1"/>
  <c r="I916" i="1" s="1"/>
  <c r="H917" i="1"/>
  <c r="Q915" i="1"/>
  <c r="O915" i="1"/>
  <c r="Q914" i="1"/>
  <c r="O914" i="1"/>
  <c r="Q913" i="1"/>
  <c r="O913" i="1"/>
  <c r="Q912" i="1"/>
  <c r="O912" i="1"/>
  <c r="Q911" i="1"/>
  <c r="O911" i="1"/>
  <c r="Q910" i="1"/>
  <c r="O910" i="1"/>
  <c r="L909" i="1"/>
  <c r="K909" i="1"/>
  <c r="J909" i="1"/>
  <c r="J908" i="1" s="1"/>
  <c r="I909" i="1"/>
  <c r="I908" i="1" s="1"/>
  <c r="H908" i="1"/>
  <c r="Q906" i="1"/>
  <c r="Q904" i="1"/>
  <c r="O904" i="1"/>
  <c r="O903" i="1" s="1"/>
  <c r="P903" i="1"/>
  <c r="N903" i="1"/>
  <c r="M903" i="1"/>
  <c r="L903" i="1"/>
  <c r="K903" i="1"/>
  <c r="J903" i="1"/>
  <c r="I903" i="1"/>
  <c r="H903" i="1"/>
  <c r="Q902" i="1"/>
  <c r="Q901" i="1"/>
  <c r="P900" i="1"/>
  <c r="O900" i="1"/>
  <c r="N900" i="1"/>
  <c r="M900" i="1"/>
  <c r="L900" i="1"/>
  <c r="K900" i="1"/>
  <c r="J900" i="1"/>
  <c r="I900" i="1"/>
  <c r="H900" i="1"/>
  <c r="Q898" i="1"/>
  <c r="O898" i="1"/>
  <c r="O897" i="1" s="1"/>
  <c r="P897" i="1"/>
  <c r="N897" i="1"/>
  <c r="M897" i="1"/>
  <c r="L897" i="1"/>
  <c r="K897" i="1"/>
  <c r="J897" i="1"/>
  <c r="I897" i="1"/>
  <c r="H897" i="1"/>
  <c r="L895" i="1"/>
  <c r="Q895" i="1" s="1"/>
  <c r="P894" i="1"/>
  <c r="O894" i="1"/>
  <c r="N894" i="1"/>
  <c r="N889" i="1" s="1"/>
  <c r="M894" i="1"/>
  <c r="K894" i="1"/>
  <c r="J894" i="1"/>
  <c r="I894" i="1"/>
  <c r="H894" i="1"/>
  <c r="Q892" i="1"/>
  <c r="O892" i="1"/>
  <c r="Q891" i="1"/>
  <c r="O891" i="1"/>
  <c r="P889" i="1"/>
  <c r="Q888" i="1"/>
  <c r="O886" i="1"/>
  <c r="N886" i="1"/>
  <c r="M886" i="1"/>
  <c r="L886" i="1"/>
  <c r="K886" i="1"/>
  <c r="J886" i="1"/>
  <c r="I886" i="1"/>
  <c r="H886" i="1"/>
  <c r="O883" i="1"/>
  <c r="O882" i="1" s="1"/>
  <c r="Q884" i="1"/>
  <c r="P883" i="1"/>
  <c r="P882" i="1" s="1"/>
  <c r="N883" i="1"/>
  <c r="N882" i="1" s="1"/>
  <c r="M883" i="1"/>
  <c r="M882" i="1" s="1"/>
  <c r="L883" i="1"/>
  <c r="L882" i="1" s="1"/>
  <c r="K883" i="1"/>
  <c r="K882" i="1" s="1"/>
  <c r="J883" i="1"/>
  <c r="J882" i="1" s="1"/>
  <c r="I883" i="1"/>
  <c r="I882" i="1" s="1"/>
  <c r="H883" i="1"/>
  <c r="H882" i="1" s="1"/>
  <c r="N880" i="1"/>
  <c r="P880" i="1"/>
  <c r="O880" i="1"/>
  <c r="M880" i="1"/>
  <c r="L880" i="1"/>
  <c r="K880" i="1"/>
  <c r="J880" i="1"/>
  <c r="I880" i="1"/>
  <c r="H880" i="1"/>
  <c r="Q879" i="1"/>
  <c r="O879" i="1"/>
  <c r="O878" i="1" s="1"/>
  <c r="L128" i="3"/>
  <c r="D128" i="3"/>
  <c r="C128" i="3"/>
  <c r="Q877" i="1"/>
  <c r="N876" i="1"/>
  <c r="P876" i="1"/>
  <c r="P869" i="1" s="1"/>
  <c r="O876" i="1"/>
  <c r="M876" i="1"/>
  <c r="L876" i="1"/>
  <c r="K876" i="1"/>
  <c r="J876" i="1"/>
  <c r="I876" i="1"/>
  <c r="H876" i="1"/>
  <c r="Q875" i="1"/>
  <c r="O875" i="1"/>
  <c r="O874" i="1" s="1"/>
  <c r="Q871" i="1"/>
  <c r="O871" i="1"/>
  <c r="Q870" i="1"/>
  <c r="O870" i="1"/>
  <c r="Q869" i="1"/>
  <c r="N868" i="1"/>
  <c r="M868" i="1"/>
  <c r="L868" i="1"/>
  <c r="K868" i="1"/>
  <c r="J868" i="1"/>
  <c r="I868" i="1"/>
  <c r="H868" i="1"/>
  <c r="O863" i="1"/>
  <c r="N863" i="1"/>
  <c r="K863" i="1"/>
  <c r="J863" i="1"/>
  <c r="H863" i="1"/>
  <c r="P863" i="1"/>
  <c r="M863" i="1"/>
  <c r="I863" i="1"/>
  <c r="L862" i="1"/>
  <c r="Q862" i="1" s="1"/>
  <c r="L861" i="1"/>
  <c r="Q861" i="1" s="1"/>
  <c r="P860" i="1"/>
  <c r="P845" i="1" s="1"/>
  <c r="P844" i="1" s="1"/>
  <c r="O860" i="1"/>
  <c r="N860" i="1"/>
  <c r="M860" i="1"/>
  <c r="K860" i="1"/>
  <c r="J860" i="1"/>
  <c r="I860" i="1"/>
  <c r="H860" i="1"/>
  <c r="Q859" i="1"/>
  <c r="O859" i="1"/>
  <c r="Q858" i="1"/>
  <c r="O858" i="1"/>
  <c r="Q857" i="1"/>
  <c r="O857" i="1"/>
  <c r="Q856" i="1"/>
  <c r="O856" i="1"/>
  <c r="J856" i="1"/>
  <c r="J845" i="1" s="1"/>
  <c r="Q855" i="1"/>
  <c r="O855" i="1"/>
  <c r="Q854" i="1"/>
  <c r="O854" i="1"/>
  <c r="Q853" i="1"/>
  <c r="O853" i="1"/>
  <c r="Q852" i="1"/>
  <c r="O852" i="1"/>
  <c r="Q851" i="1"/>
  <c r="O851" i="1"/>
  <c r="Q850" i="1"/>
  <c r="O850" i="1"/>
  <c r="Q849" i="1"/>
  <c r="O849" i="1"/>
  <c r="Q848" i="1"/>
  <c r="O848" i="1"/>
  <c r="Q847" i="1"/>
  <c r="O847" i="1"/>
  <c r="Q846" i="1"/>
  <c r="O846" i="1"/>
  <c r="N845" i="1"/>
  <c r="M845" i="1"/>
  <c r="L845" i="1"/>
  <c r="K845" i="1"/>
  <c r="I845" i="1"/>
  <c r="H845" i="1"/>
  <c r="P842" i="1"/>
  <c r="P841" i="1" s="1"/>
  <c r="O842" i="1"/>
  <c r="O841" i="1" s="1"/>
  <c r="N842" i="1"/>
  <c r="N841" i="1" s="1"/>
  <c r="M842" i="1"/>
  <c r="M841" i="1" s="1"/>
  <c r="L842" i="1"/>
  <c r="K842" i="1"/>
  <c r="K841" i="1" s="1"/>
  <c r="J842" i="1"/>
  <c r="J841" i="1" s="1"/>
  <c r="I842" i="1"/>
  <c r="I841" i="1" s="1"/>
  <c r="H842" i="1"/>
  <c r="H841" i="1" s="1"/>
  <c r="Q840" i="1"/>
  <c r="Q839" i="1"/>
  <c r="Q838" i="1"/>
  <c r="Q837" i="1"/>
  <c r="Q836" i="1"/>
  <c r="O836" i="1"/>
  <c r="P835" i="1"/>
  <c r="P834" i="1" s="1"/>
  <c r="N835" i="1"/>
  <c r="N834" i="1" s="1"/>
  <c r="M835" i="1"/>
  <c r="M834" i="1" s="1"/>
  <c r="L835" i="1"/>
  <c r="L834" i="1" s="1"/>
  <c r="K835" i="1"/>
  <c r="K834" i="1" s="1"/>
  <c r="J835" i="1"/>
  <c r="J834" i="1" s="1"/>
  <c r="I835" i="1"/>
  <c r="I834" i="1" s="1"/>
  <c r="H835" i="1"/>
  <c r="Q828" i="1"/>
  <c r="O828" i="1"/>
  <c r="O826" i="1" s="1"/>
  <c r="O825" i="1" s="1"/>
  <c r="Q827" i="1"/>
  <c r="M825" i="1"/>
  <c r="K825" i="1"/>
  <c r="I825" i="1"/>
  <c r="H825" i="1"/>
  <c r="R825" i="1"/>
  <c r="Q825" i="1"/>
  <c r="P825" i="1"/>
  <c r="N825" i="1"/>
  <c r="L825" i="1"/>
  <c r="J825" i="1"/>
  <c r="Q814" i="1"/>
  <c r="O814" i="1"/>
  <c r="Q813" i="1"/>
  <c r="O813" i="1"/>
  <c r="Q812" i="1"/>
  <c r="O812" i="1"/>
  <c r="Q811" i="1"/>
  <c r="O811" i="1"/>
  <c r="Q810" i="1"/>
  <c r="O810" i="1"/>
  <c r="Q805" i="1"/>
  <c r="O805" i="1"/>
  <c r="Q804" i="1"/>
  <c r="O804" i="1"/>
  <c r="Q803" i="1"/>
  <c r="O803" i="1"/>
  <c r="Q802" i="1"/>
  <c r="O802" i="1"/>
  <c r="Q801" i="1"/>
  <c r="O801" i="1"/>
  <c r="Q800" i="1"/>
  <c r="O800" i="1"/>
  <c r="Q799" i="1"/>
  <c r="O799" i="1"/>
  <c r="Q798" i="1"/>
  <c r="O798" i="1"/>
  <c r="Q797" i="1"/>
  <c r="O797" i="1"/>
  <c r="Q772" i="1"/>
  <c r="O772" i="1"/>
  <c r="Q771" i="1"/>
  <c r="O771" i="1"/>
  <c r="Q769" i="1"/>
  <c r="Q766" i="1"/>
  <c r="Q759" i="1"/>
  <c r="Q758" i="1"/>
  <c r="Q757" i="1"/>
  <c r="Q756" i="1"/>
  <c r="Q755" i="1"/>
  <c r="Q754" i="1"/>
  <c r="P753" i="1"/>
  <c r="O753" i="1"/>
  <c r="N753" i="1"/>
  <c r="M753" i="1"/>
  <c r="L753" i="1"/>
  <c r="M106" i="3" s="1"/>
  <c r="K753" i="1"/>
  <c r="D106" i="3" s="1"/>
  <c r="J753" i="1"/>
  <c r="I753" i="1"/>
  <c r="H753" i="1"/>
  <c r="C106" i="3" s="1"/>
  <c r="Q752" i="1"/>
  <c r="O752" i="1"/>
  <c r="Q751" i="1"/>
  <c r="O751" i="1"/>
  <c r="Q750" i="1"/>
  <c r="O750" i="1"/>
  <c r="Q749" i="1"/>
  <c r="O749" i="1"/>
  <c r="Q748" i="1"/>
  <c r="O748" i="1"/>
  <c r="Q747" i="1"/>
  <c r="O747" i="1"/>
  <c r="Q746" i="1"/>
  <c r="O746" i="1"/>
  <c r="Q745" i="1"/>
  <c r="O745" i="1"/>
  <c r="Q744" i="1"/>
  <c r="O744" i="1"/>
  <c r="Q743" i="1"/>
  <c r="O743" i="1"/>
  <c r="Q742" i="1"/>
  <c r="O742" i="1"/>
  <c r="Q741" i="1"/>
  <c r="O741" i="1"/>
  <c r="Q740" i="1"/>
  <c r="O740" i="1"/>
  <c r="Q739" i="1"/>
  <c r="O739" i="1"/>
  <c r="Q738" i="1"/>
  <c r="O738" i="1"/>
  <c r="Q737" i="1"/>
  <c r="O737" i="1"/>
  <c r="Q736" i="1"/>
  <c r="O736" i="1"/>
  <c r="Q735" i="1"/>
  <c r="O735" i="1"/>
  <c r="Q734" i="1"/>
  <c r="O734" i="1"/>
  <c r="Q733" i="1"/>
  <c r="O733" i="1"/>
  <c r="Q732" i="1"/>
  <c r="O732" i="1"/>
  <c r="Q731" i="1"/>
  <c r="O731" i="1"/>
  <c r="Q730" i="1"/>
  <c r="O730" i="1"/>
  <c r="Q729" i="1"/>
  <c r="O729" i="1"/>
  <c r="Q728" i="1"/>
  <c r="O728" i="1"/>
  <c r="Q727" i="1"/>
  <c r="O727" i="1"/>
  <c r="Q726" i="1"/>
  <c r="O726" i="1"/>
  <c r="Q725" i="1"/>
  <c r="O725" i="1"/>
  <c r="Q724" i="1"/>
  <c r="O724" i="1"/>
  <c r="Q723" i="1"/>
  <c r="O723" i="1"/>
  <c r="Q722" i="1"/>
  <c r="O722" i="1"/>
  <c r="Q721" i="1"/>
  <c r="O721" i="1"/>
  <c r="Q720" i="1"/>
  <c r="O720" i="1"/>
  <c r="Q719" i="1"/>
  <c r="O719" i="1"/>
  <c r="Q718" i="1"/>
  <c r="O718" i="1"/>
  <c r="Q717" i="1"/>
  <c r="O717" i="1"/>
  <c r="Q716" i="1"/>
  <c r="O716" i="1"/>
  <c r="Q715" i="1"/>
  <c r="O715" i="1"/>
  <c r="Q714" i="1"/>
  <c r="O714" i="1"/>
  <c r="Q713" i="1"/>
  <c r="O713" i="1"/>
  <c r="Q712" i="1"/>
  <c r="O712" i="1"/>
  <c r="Q711" i="1"/>
  <c r="O711" i="1"/>
  <c r="Q710" i="1"/>
  <c r="O710" i="1"/>
  <c r="Q709" i="1"/>
  <c r="O709" i="1"/>
  <c r="Q708" i="1"/>
  <c r="O708" i="1"/>
  <c r="Q707" i="1"/>
  <c r="O707" i="1"/>
  <c r="Q706" i="1"/>
  <c r="O706" i="1"/>
  <c r="Q705" i="1"/>
  <c r="O705" i="1"/>
  <c r="Q704" i="1"/>
  <c r="O704" i="1"/>
  <c r="Q703" i="1"/>
  <c r="O703" i="1"/>
  <c r="Q702" i="1"/>
  <c r="O702" i="1"/>
  <c r="Q701" i="1"/>
  <c r="O701" i="1"/>
  <c r="Q700" i="1"/>
  <c r="O700" i="1"/>
  <c r="Q699" i="1"/>
  <c r="O699" i="1"/>
  <c r="Q698" i="1"/>
  <c r="O698" i="1"/>
  <c r="Q697" i="1"/>
  <c r="O697" i="1"/>
  <c r="Q696" i="1"/>
  <c r="O696" i="1"/>
  <c r="Q695" i="1"/>
  <c r="O695" i="1"/>
  <c r="Q694" i="1"/>
  <c r="O694" i="1"/>
  <c r="Q693" i="1"/>
  <c r="O693" i="1"/>
  <c r="Q692" i="1"/>
  <c r="O692" i="1"/>
  <c r="Q691" i="1"/>
  <c r="O691" i="1"/>
  <c r="Q690" i="1"/>
  <c r="O690" i="1"/>
  <c r="Q689" i="1"/>
  <c r="O689" i="1"/>
  <c r="Q688" i="1"/>
  <c r="O688" i="1"/>
  <c r="Q687" i="1"/>
  <c r="O687" i="1"/>
  <c r="Q686" i="1"/>
  <c r="O686" i="1"/>
  <c r="Q685" i="1"/>
  <c r="O685" i="1"/>
  <c r="Q684" i="1"/>
  <c r="O684" i="1"/>
  <c r="Q683" i="1"/>
  <c r="O683" i="1"/>
  <c r="Q682" i="1"/>
  <c r="O682" i="1"/>
  <c r="Q681" i="1"/>
  <c r="O681" i="1"/>
  <c r="Q680" i="1"/>
  <c r="O680" i="1"/>
  <c r="Q679" i="1"/>
  <c r="O679" i="1"/>
  <c r="Q678" i="1"/>
  <c r="O678" i="1"/>
  <c r="Q677" i="1"/>
  <c r="O677" i="1"/>
  <c r="Q676" i="1"/>
  <c r="O676" i="1"/>
  <c r="Q675" i="1"/>
  <c r="O675" i="1"/>
  <c r="Q674" i="1"/>
  <c r="O674" i="1"/>
  <c r="Q673" i="1"/>
  <c r="O673" i="1"/>
  <c r="Q672" i="1"/>
  <c r="O672" i="1"/>
  <c r="Q671" i="1"/>
  <c r="O671" i="1"/>
  <c r="Q670" i="1"/>
  <c r="O670" i="1"/>
  <c r="Q669" i="1"/>
  <c r="O669" i="1"/>
  <c r="Q668" i="1"/>
  <c r="O668" i="1"/>
  <c r="Q667" i="1"/>
  <c r="O667" i="1"/>
  <c r="Q666" i="1"/>
  <c r="O666" i="1"/>
  <c r="Q665" i="1"/>
  <c r="O665" i="1"/>
  <c r="Q664" i="1"/>
  <c r="O664" i="1"/>
  <c r="Q663" i="1"/>
  <c r="O663" i="1"/>
  <c r="Q662" i="1"/>
  <c r="O662" i="1"/>
  <c r="Q661" i="1"/>
  <c r="O661" i="1"/>
  <c r="Q660" i="1"/>
  <c r="O660" i="1"/>
  <c r="Q659" i="1"/>
  <c r="O659" i="1"/>
  <c r="Q658" i="1"/>
  <c r="O658" i="1"/>
  <c r="Q657" i="1"/>
  <c r="O657" i="1"/>
  <c r="Q656" i="1"/>
  <c r="O656" i="1"/>
  <c r="Q655" i="1"/>
  <c r="O655" i="1"/>
  <c r="Q654" i="1"/>
  <c r="O654" i="1"/>
  <c r="Q653" i="1"/>
  <c r="O653" i="1"/>
  <c r="Q652" i="1"/>
  <c r="O652" i="1"/>
  <c r="Q651" i="1"/>
  <c r="O651" i="1"/>
  <c r="Q650" i="1"/>
  <c r="O650" i="1"/>
  <c r="Q649" i="1"/>
  <c r="O649" i="1"/>
  <c r="Q648" i="1"/>
  <c r="O648" i="1"/>
  <c r="Q647" i="1"/>
  <c r="O647" i="1"/>
  <c r="Q646" i="1"/>
  <c r="O646" i="1"/>
  <c r="Q645" i="1"/>
  <c r="O645" i="1"/>
  <c r="Q644" i="1"/>
  <c r="O644" i="1"/>
  <c r="Q643" i="1"/>
  <c r="O643" i="1"/>
  <c r="Q642" i="1"/>
  <c r="O642" i="1"/>
  <c r="Q641" i="1"/>
  <c r="O641" i="1"/>
  <c r="Q640" i="1"/>
  <c r="O640" i="1"/>
  <c r="Q639" i="1"/>
  <c r="O639" i="1"/>
  <c r="Q638" i="1"/>
  <c r="O638" i="1"/>
  <c r="Q637" i="1"/>
  <c r="O637" i="1"/>
  <c r="Q636" i="1"/>
  <c r="O636" i="1"/>
  <c r="Q635" i="1"/>
  <c r="O635" i="1"/>
  <c r="Q634" i="1"/>
  <c r="O634" i="1"/>
  <c r="Q633" i="1"/>
  <c r="O633" i="1"/>
  <c r="Q632" i="1"/>
  <c r="O632" i="1"/>
  <c r="Q631" i="1"/>
  <c r="O631" i="1"/>
  <c r="Q630" i="1"/>
  <c r="O630" i="1"/>
  <c r="Q629" i="1"/>
  <c r="O629" i="1"/>
  <c r="Q628" i="1"/>
  <c r="O628" i="1"/>
  <c r="Q627" i="1"/>
  <c r="O627" i="1"/>
  <c r="Q626" i="1"/>
  <c r="O626" i="1"/>
  <c r="Q625" i="1"/>
  <c r="O625" i="1"/>
  <c r="Q624" i="1"/>
  <c r="O624" i="1"/>
  <c r="Q623" i="1"/>
  <c r="O623" i="1"/>
  <c r="Q622" i="1"/>
  <c r="O622" i="1"/>
  <c r="Q621" i="1"/>
  <c r="O621" i="1"/>
  <c r="Q620" i="1"/>
  <c r="O620" i="1"/>
  <c r="Q619" i="1"/>
  <c r="O619" i="1"/>
  <c r="Q618" i="1"/>
  <c r="O618" i="1"/>
  <c r="Q617" i="1"/>
  <c r="O617" i="1"/>
  <c r="Q616" i="1"/>
  <c r="O616" i="1"/>
  <c r="Q615" i="1"/>
  <c r="O615" i="1"/>
  <c r="Q614" i="1"/>
  <c r="O614" i="1"/>
  <c r="Q613" i="1"/>
  <c r="O613" i="1"/>
  <c r="Q612" i="1"/>
  <c r="O612" i="1"/>
  <c r="Q611" i="1"/>
  <c r="O611" i="1"/>
  <c r="Q610" i="1"/>
  <c r="O610" i="1"/>
  <c r="Q609" i="1"/>
  <c r="O609" i="1"/>
  <c r="Q608" i="1"/>
  <c r="O608" i="1"/>
  <c r="Q607" i="1"/>
  <c r="O607" i="1"/>
  <c r="Q606" i="1"/>
  <c r="O606" i="1"/>
  <c r="Q605" i="1"/>
  <c r="O605" i="1"/>
  <c r="Q604" i="1"/>
  <c r="O604" i="1"/>
  <c r="Q603" i="1"/>
  <c r="O603" i="1"/>
  <c r="Q602" i="1"/>
  <c r="O602" i="1"/>
  <c r="Q601" i="1"/>
  <c r="O601" i="1"/>
  <c r="Q600" i="1"/>
  <c r="O600" i="1"/>
  <c r="Q599" i="1"/>
  <c r="O599" i="1"/>
  <c r="Q598" i="1"/>
  <c r="O598" i="1"/>
  <c r="Q597" i="1"/>
  <c r="O597" i="1"/>
  <c r="Q596" i="1"/>
  <c r="O596" i="1"/>
  <c r="Q595" i="1"/>
  <c r="O595" i="1"/>
  <c r="Q594" i="1"/>
  <c r="O594" i="1"/>
  <c r="Q593" i="1"/>
  <c r="O593" i="1"/>
  <c r="Q592" i="1"/>
  <c r="O592" i="1"/>
  <c r="Q591" i="1"/>
  <c r="O591" i="1"/>
  <c r="Q590" i="1"/>
  <c r="O590" i="1"/>
  <c r="Q589" i="1"/>
  <c r="O589" i="1"/>
  <c r="Q588" i="1"/>
  <c r="O588" i="1"/>
  <c r="Q587" i="1"/>
  <c r="O587" i="1"/>
  <c r="Q586" i="1"/>
  <c r="O586" i="1"/>
  <c r="A586" i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5" i="1" s="1"/>
  <c r="A756" i="1" s="1"/>
  <c r="A758" i="1" s="1"/>
  <c r="A759" i="1" s="1"/>
  <c r="A769" i="1" s="1"/>
  <c r="A771" i="1" s="1"/>
  <c r="A772" i="1" s="1"/>
  <c r="A797" i="1" s="1"/>
  <c r="A798" i="1" s="1"/>
  <c r="A799" i="1" s="1"/>
  <c r="A800" i="1" s="1"/>
  <c r="A801" i="1" s="1"/>
  <c r="A802" i="1" s="1"/>
  <c r="A803" i="1" s="1"/>
  <c r="A804" i="1" s="1"/>
  <c r="A805" i="1" s="1"/>
  <c r="A810" i="1" s="1"/>
  <c r="A811" i="1" s="1"/>
  <c r="A812" i="1" s="1"/>
  <c r="A813" i="1" s="1"/>
  <c r="A814" i="1" s="1"/>
  <c r="A827" i="1" s="1"/>
  <c r="A828" i="1" s="1"/>
  <c r="A836" i="1" s="1"/>
  <c r="A837" i="1" s="1"/>
  <c r="A838" i="1" s="1"/>
  <c r="A839" i="1" s="1"/>
  <c r="A840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1" i="1" s="1"/>
  <c r="A862" i="1" s="1"/>
  <c r="A869" i="1" s="1"/>
  <c r="A870" i="1" s="1"/>
  <c r="A871" i="1" s="1"/>
  <c r="A875" i="1" s="1"/>
  <c r="A877" i="1" s="1"/>
  <c r="A879" i="1" s="1"/>
  <c r="A884" i="1" s="1"/>
  <c r="A888" i="1" s="1"/>
  <c r="A891" i="1" s="1"/>
  <c r="A892" i="1" s="1"/>
  <c r="A895" i="1" s="1"/>
  <c r="A898" i="1" s="1"/>
  <c r="A901" i="1" s="1"/>
  <c r="A902" i="1" s="1"/>
  <c r="A904" i="1" s="1"/>
  <c r="A906" i="1" s="1"/>
  <c r="A910" i="1" s="1"/>
  <c r="A911" i="1" s="1"/>
  <c r="A912" i="1" s="1"/>
  <c r="A913" i="1" s="1"/>
  <c r="A919" i="1" s="1"/>
  <c r="A920" i="1" s="1"/>
  <c r="A921" i="1" s="1"/>
  <c r="A922" i="1" s="1"/>
  <c r="A923" i="1" s="1"/>
  <c r="A924" i="1" s="1"/>
  <c r="A925" i="1" s="1"/>
  <c r="A931" i="1" s="1"/>
  <c r="A934" i="1" s="1"/>
  <c r="A936" i="1" s="1"/>
  <c r="A940" i="1" s="1"/>
  <c r="A941" i="1" s="1"/>
  <c r="A942" i="1" s="1"/>
  <c r="A943" i="1" s="1"/>
  <c r="A944" i="1" s="1"/>
  <c r="A946" i="1" s="1"/>
  <c r="A948" i="1" s="1"/>
  <c r="Q585" i="1"/>
  <c r="O585" i="1"/>
  <c r="P584" i="1"/>
  <c r="N584" i="1"/>
  <c r="M584" i="1"/>
  <c r="K584" i="1"/>
  <c r="D254" i="3" s="1"/>
  <c r="D253" i="3" s="1"/>
  <c r="J584" i="1"/>
  <c r="I584" i="1"/>
  <c r="H584" i="1"/>
  <c r="C254" i="3" s="1"/>
  <c r="C253" i="3" s="1"/>
  <c r="O1048" i="1" l="1"/>
  <c r="P1557" i="1"/>
  <c r="O1528" i="1"/>
  <c r="O1527" i="1" s="1"/>
  <c r="H1533" i="1"/>
  <c r="O993" i="1"/>
  <c r="O992" i="1" s="1"/>
  <c r="O938" i="1"/>
  <c r="O937" i="1" s="1"/>
  <c r="O969" i="1"/>
  <c r="O968" i="1" s="1"/>
  <c r="O1033" i="1"/>
  <c r="O1032" i="1" s="1"/>
  <c r="K1533" i="1"/>
  <c r="O1533" i="1"/>
  <c r="L1533" i="1"/>
  <c r="M273" i="3" s="1"/>
  <c r="N273" i="3" s="1"/>
  <c r="J1364" i="1"/>
  <c r="H1557" i="1"/>
  <c r="L1557" i="1"/>
  <c r="O1369" i="1"/>
  <c r="O1364" i="1" s="1"/>
  <c r="P1533" i="1"/>
  <c r="O1038" i="1"/>
  <c r="O809" i="1"/>
  <c r="O929" i="1"/>
  <c r="O1008" i="1"/>
  <c r="O1007" i="1" s="1"/>
  <c r="J1038" i="1"/>
  <c r="N1038" i="1"/>
  <c r="O1557" i="1"/>
  <c r="I1364" i="1"/>
  <c r="M1364" i="1"/>
  <c r="O890" i="1"/>
  <c r="O889" i="1" s="1"/>
  <c r="O1308" i="1"/>
  <c r="O770" i="1"/>
  <c r="O796" i="1"/>
  <c r="I867" i="1"/>
  <c r="M867" i="1"/>
  <c r="O909" i="1"/>
  <c r="O908" i="1" s="1"/>
  <c r="K1038" i="1"/>
  <c r="D180" i="3" s="1"/>
  <c r="K1557" i="1"/>
  <c r="I1533" i="1"/>
  <c r="M1533" i="1"/>
  <c r="J1557" i="1"/>
  <c r="N1557" i="1"/>
  <c r="N1364" i="1"/>
  <c r="O1435" i="1"/>
  <c r="O1434" i="1" s="1"/>
  <c r="L1575" i="1"/>
  <c r="H1038" i="1"/>
  <c r="C180" i="3" s="1"/>
  <c r="L1038" i="1"/>
  <c r="M180" i="3" s="1"/>
  <c r="N180" i="3" s="1"/>
  <c r="P1038" i="1"/>
  <c r="O868" i="1"/>
  <c r="O867" i="1" s="1"/>
  <c r="D115" i="3"/>
  <c r="D114" i="3" s="1"/>
  <c r="D153" i="3"/>
  <c r="C176" i="3"/>
  <c r="C181" i="3"/>
  <c r="H1364" i="1"/>
  <c r="L1364" i="1"/>
  <c r="C247" i="3"/>
  <c r="M247" i="3"/>
  <c r="N247" i="3" s="1"/>
  <c r="C259" i="3"/>
  <c r="M259" i="3"/>
  <c r="M257" i="3" s="1"/>
  <c r="D269" i="3"/>
  <c r="C274" i="3"/>
  <c r="D293" i="3"/>
  <c r="M115" i="3"/>
  <c r="N115" i="3" s="1"/>
  <c r="N114" i="3" s="1"/>
  <c r="C153" i="3"/>
  <c r="M153" i="3"/>
  <c r="D181" i="3"/>
  <c r="K1364" i="1"/>
  <c r="D247" i="3"/>
  <c r="D259" i="3"/>
  <c r="C269" i="3"/>
  <c r="D274" i="3"/>
  <c r="D273" i="3"/>
  <c r="C293" i="3"/>
  <c r="M293" i="3"/>
  <c r="M291" i="3" s="1"/>
  <c r="H916" i="1"/>
  <c r="C145" i="3"/>
  <c r="L916" i="1"/>
  <c r="C891" i="2" s="1"/>
  <c r="M145" i="3"/>
  <c r="H1414" i="1"/>
  <c r="C239" i="3"/>
  <c r="C238" i="3" s="1"/>
  <c r="L1414" i="1"/>
  <c r="M239" i="3"/>
  <c r="K916" i="1"/>
  <c r="D145" i="3"/>
  <c r="K1414" i="1"/>
  <c r="D239" i="3"/>
  <c r="D238" i="3" s="1"/>
  <c r="P1364" i="1"/>
  <c r="D124" i="3"/>
  <c r="K867" i="1"/>
  <c r="C124" i="3"/>
  <c r="H867" i="1"/>
  <c r="M124" i="3"/>
  <c r="N124" i="3" s="1"/>
  <c r="L867" i="1"/>
  <c r="J867" i="1"/>
  <c r="N867" i="1"/>
  <c r="O917" i="1"/>
  <c r="O916" i="1" s="1"/>
  <c r="D219" i="3"/>
  <c r="D216" i="3" s="1"/>
  <c r="C219" i="3"/>
  <c r="C216" i="3" s="1"/>
  <c r="M219" i="3"/>
  <c r="M216" i="3" s="1"/>
  <c r="K992" i="1"/>
  <c r="D169" i="3"/>
  <c r="D168" i="3" s="1"/>
  <c r="H992" i="1"/>
  <c r="C169" i="3"/>
  <c r="C168" i="3" s="1"/>
  <c r="L992" i="1"/>
  <c r="M169" i="3"/>
  <c r="L908" i="1"/>
  <c r="M143" i="3"/>
  <c r="H1403" i="1"/>
  <c r="C237" i="3"/>
  <c r="L1403" i="1"/>
  <c r="M237" i="3"/>
  <c r="K908" i="1"/>
  <c r="D143" i="3"/>
  <c r="D142" i="3" s="1"/>
  <c r="K1403" i="1"/>
  <c r="D237" i="3"/>
  <c r="I937" i="1"/>
  <c r="P887" i="1"/>
  <c r="P886" i="1" s="1"/>
  <c r="P1384" i="1"/>
  <c r="P1383" i="1" s="1"/>
  <c r="N128" i="3"/>
  <c r="L123" i="3"/>
  <c r="H834" i="1"/>
  <c r="C115" i="3"/>
  <c r="C114" i="3" s="1"/>
  <c r="O1269" i="1"/>
  <c r="H1578" i="1"/>
  <c r="H1574" i="1" s="1"/>
  <c r="L841" i="1"/>
  <c r="M117" i="3"/>
  <c r="N117" i="3" s="1"/>
  <c r="N116" i="3" s="1"/>
  <c r="H937" i="1"/>
  <c r="K937" i="1"/>
  <c r="M937" i="1"/>
  <c r="P937" i="1"/>
  <c r="L937" i="1"/>
  <c r="N937" i="1"/>
  <c r="O584" i="1"/>
  <c r="L1578" i="1"/>
  <c r="O1427" i="1"/>
  <c r="O1426" i="1" s="1"/>
  <c r="J1060" i="1"/>
  <c r="J1434" i="1"/>
  <c r="H1476" i="1"/>
  <c r="J1476" i="1"/>
  <c r="L1476" i="1"/>
  <c r="N1476" i="1"/>
  <c r="I1485" i="1"/>
  <c r="I1476" i="1" s="1"/>
  <c r="J1491" i="1"/>
  <c r="J1490" i="1" s="1"/>
  <c r="J937" i="1"/>
  <c r="I990" i="1"/>
  <c r="H1567" i="1"/>
  <c r="H1566" i="1" s="1"/>
  <c r="H1565" i="1" s="1"/>
  <c r="O1086" i="1"/>
  <c r="J1578" i="1"/>
  <c r="J1574" i="1" s="1"/>
  <c r="J1563" i="1" s="1"/>
  <c r="N1578" i="1"/>
  <c r="N1574" i="1" s="1"/>
  <c r="N1563" i="1" s="1"/>
  <c r="O978" i="1"/>
  <c r="H844" i="1"/>
  <c r="M844" i="1"/>
  <c r="O845" i="1"/>
  <c r="O844" i="1" s="1"/>
  <c r="I844" i="1"/>
  <c r="N844" i="1"/>
  <c r="I929" i="1"/>
  <c r="I978" i="1"/>
  <c r="K978" i="1"/>
  <c r="M978" i="1"/>
  <c r="H978" i="1"/>
  <c r="J978" i="1"/>
  <c r="L978" i="1"/>
  <c r="N978" i="1"/>
  <c r="P978" i="1"/>
  <c r="J997" i="1"/>
  <c r="J996" i="1" s="1"/>
  <c r="I1080" i="1"/>
  <c r="I1076" i="1" s="1"/>
  <c r="I1065" i="1" s="1"/>
  <c r="K1080" i="1"/>
  <c r="K1076" i="1" s="1"/>
  <c r="K1065" i="1" s="1"/>
  <c r="M1080" i="1"/>
  <c r="M1076" i="1" s="1"/>
  <c r="M1065" i="1" s="1"/>
  <c r="O1080" i="1"/>
  <c r="O1076" i="1" s="1"/>
  <c r="K844" i="1"/>
  <c r="M929" i="1"/>
  <c r="O1331" i="1"/>
  <c r="H1341" i="1"/>
  <c r="J1341" i="1"/>
  <c r="N1409" i="1"/>
  <c r="N1408" i="1" s="1"/>
  <c r="N1407" i="1" s="1"/>
  <c r="N1406" i="1" s="1"/>
  <c r="N1405" i="1" s="1"/>
  <c r="N1404" i="1" s="1"/>
  <c r="N1403" i="1" s="1"/>
  <c r="N896" i="1"/>
  <c r="H1025" i="1"/>
  <c r="C179" i="3"/>
  <c r="H1519" i="1"/>
  <c r="C272" i="3"/>
  <c r="P1476" i="1"/>
  <c r="J844" i="1"/>
  <c r="P871" i="1"/>
  <c r="P870" i="1" s="1"/>
  <c r="P868" i="1" s="1"/>
  <c r="P867" i="1" s="1"/>
  <c r="J889" i="1"/>
  <c r="H929" i="1"/>
  <c r="J929" i="1"/>
  <c r="K929" i="1"/>
  <c r="H1069" i="1"/>
  <c r="H1068" i="1" s="1"/>
  <c r="H1067" i="1" s="1"/>
  <c r="N1341" i="1"/>
  <c r="P1574" i="1"/>
  <c r="P1563" i="1" s="1"/>
  <c r="I1574" i="1"/>
  <c r="I1563" i="1" s="1"/>
  <c r="K1574" i="1"/>
  <c r="K1563" i="1" s="1"/>
  <c r="J896" i="1"/>
  <c r="I1341" i="1"/>
  <c r="K1341" i="1"/>
  <c r="I1391" i="1"/>
  <c r="I1426" i="1"/>
  <c r="M1574" i="1"/>
  <c r="M1563" i="1" s="1"/>
  <c r="O1574" i="1"/>
  <c r="L860" i="1"/>
  <c r="L844" i="1" s="1"/>
  <c r="L863" i="1"/>
  <c r="H889" i="1"/>
  <c r="H896" i="1"/>
  <c r="P896" i="1"/>
  <c r="M1341" i="1"/>
  <c r="L1360" i="1"/>
  <c r="H1386" i="1"/>
  <c r="J1386" i="1"/>
  <c r="O1404" i="1"/>
  <c r="O1403" i="1" s="1"/>
  <c r="P1409" i="1"/>
  <c r="P1408" i="1" s="1"/>
  <c r="P1407" i="1" s="1"/>
  <c r="P1406" i="1" s="1"/>
  <c r="P1405" i="1" s="1"/>
  <c r="P1404" i="1" s="1"/>
  <c r="P1403" i="1" s="1"/>
  <c r="O835" i="1"/>
  <c r="O834" i="1" s="1"/>
  <c r="M1434" i="1"/>
  <c r="P1513" i="1"/>
  <c r="P1511" i="1" s="1"/>
  <c r="P1510" i="1" s="1"/>
  <c r="L1357" i="1"/>
  <c r="L1341" i="1" s="1"/>
  <c r="I1434" i="1"/>
  <c r="M814" i="1"/>
  <c r="M813" i="1" s="1"/>
  <c r="M812" i="1" s="1"/>
  <c r="M811" i="1" s="1"/>
  <c r="M810" i="1" s="1"/>
  <c r="M809" i="1" s="1"/>
  <c r="I889" i="1"/>
  <c r="K889" i="1"/>
  <c r="M889" i="1"/>
  <c r="L894" i="1"/>
  <c r="L889" i="1" s="1"/>
  <c r="I896" i="1"/>
  <c r="K896" i="1"/>
  <c r="M896" i="1"/>
  <c r="O896" i="1"/>
  <c r="L896" i="1"/>
  <c r="N929" i="1"/>
  <c r="P929" i="1"/>
  <c r="L1077" i="1"/>
  <c r="L1029" i="1"/>
  <c r="L1028" i="1" s="1"/>
  <c r="N181" i="3" s="1"/>
  <c r="O1069" i="1"/>
  <c r="O1068" i="1" s="1"/>
  <c r="O1067" i="1" s="1"/>
  <c r="H1076" i="1"/>
  <c r="J1080" i="1"/>
  <c r="J1076" i="1" s="1"/>
  <c r="J1065" i="1" s="1"/>
  <c r="L1080" i="1"/>
  <c r="N1080" i="1"/>
  <c r="N1076" i="1" s="1"/>
  <c r="N1065" i="1" s="1"/>
  <c r="P1076" i="1"/>
  <c r="P1065" i="1" s="1"/>
  <c r="M1311" i="1"/>
  <c r="M1310" i="1" s="1"/>
  <c r="M1309" i="1" s="1"/>
  <c r="M1308" i="1" s="1"/>
  <c r="K1434" i="1"/>
  <c r="O1342" i="1"/>
  <c r="O1341" i="1" s="1"/>
  <c r="H1391" i="1"/>
  <c r="J1391" i="1"/>
  <c r="N1391" i="1"/>
  <c r="O1391" i="1"/>
  <c r="M1391" i="1"/>
  <c r="H1426" i="1"/>
  <c r="J1426" i="1"/>
  <c r="L1426" i="1"/>
  <c r="M1426" i="1"/>
  <c r="H1434" i="1"/>
  <c r="N914" i="1"/>
  <c r="P914" i="1"/>
  <c r="M914" i="1"/>
  <c r="L997" i="1"/>
  <c r="L996" i="1" s="1"/>
  <c r="J1533" i="1"/>
  <c r="N1533" i="1"/>
  <c r="O1567" i="1"/>
  <c r="O1566" i="1" s="1"/>
  <c r="O1565" i="1" s="1"/>
  <c r="I1386" i="1"/>
  <c r="K1386" i="1"/>
  <c r="M1386" i="1"/>
  <c r="O1386" i="1"/>
  <c r="L1389" i="1"/>
  <c r="L1386" i="1" s="1"/>
  <c r="P1391" i="1"/>
  <c r="K1391" i="1"/>
  <c r="K1426" i="1"/>
  <c r="P1426" i="1"/>
  <c r="K1476" i="1"/>
  <c r="M1476" i="1"/>
  <c r="I1557" i="1"/>
  <c r="M1557" i="1"/>
  <c r="M1410" i="1"/>
  <c r="M1409" i="1"/>
  <c r="Q1492" i="1"/>
  <c r="L1491" i="1"/>
  <c r="L1490" i="1" s="1"/>
  <c r="N1426" i="1"/>
  <c r="P1434" i="1"/>
  <c r="Q1524" i="1"/>
  <c r="L1522" i="1"/>
  <c r="N274" i="3" s="1"/>
  <c r="L1391" i="1"/>
  <c r="O1415" i="1"/>
  <c r="O1414" i="1" s="1"/>
  <c r="L1434" i="1"/>
  <c r="N1434" i="1"/>
  <c r="O1467" i="1"/>
  <c r="O1466" i="1" s="1"/>
  <c r="O1476" i="1"/>
  <c r="O1502" i="1"/>
  <c r="O1501" i="1" s="1"/>
  <c r="G40" i="3"/>
  <c r="I8" i="3"/>
  <c r="I10" i="3"/>
  <c r="I11" i="3"/>
  <c r="I17" i="3"/>
  <c r="I22" i="3"/>
  <c r="I30" i="3"/>
  <c r="I41" i="3"/>
  <c r="I43" i="3"/>
  <c r="I44" i="3"/>
  <c r="I45" i="3"/>
  <c r="I49" i="3"/>
  <c r="I52" i="3"/>
  <c r="I53" i="3"/>
  <c r="I54" i="3"/>
  <c r="I57" i="3"/>
  <c r="I59" i="3"/>
  <c r="I62" i="3"/>
  <c r="I63" i="3"/>
  <c r="I73" i="3"/>
  <c r="I97" i="3"/>
  <c r="I98" i="3"/>
  <c r="I101" i="3"/>
  <c r="I103" i="3"/>
  <c r="I104" i="3"/>
  <c r="I7" i="3"/>
  <c r="M374" i="2"/>
  <c r="O374" i="2"/>
  <c r="N412" i="2"/>
  <c r="N374" i="2" s="1"/>
  <c r="N260" i="2"/>
  <c r="C273" i="3" l="1"/>
  <c r="L1574" i="1"/>
  <c r="L1563" i="1" s="1"/>
  <c r="O1065" i="1"/>
  <c r="N293" i="3"/>
  <c r="N291" i="3" s="1"/>
  <c r="M245" i="3"/>
  <c r="N245" i="3" s="1"/>
  <c r="N259" i="3"/>
  <c r="N257" i="3" s="1"/>
  <c r="M114" i="3"/>
  <c r="N239" i="3"/>
  <c r="N238" i="3" s="1"/>
  <c r="M238" i="3"/>
  <c r="O1563" i="1"/>
  <c r="N169" i="3"/>
  <c r="N168" i="3" s="1"/>
  <c r="M168" i="3"/>
  <c r="N143" i="3"/>
  <c r="N142" i="3" s="1"/>
  <c r="M142" i="3"/>
  <c r="H1065" i="1"/>
  <c r="J583" i="1"/>
  <c r="H583" i="1"/>
  <c r="H1563" i="1"/>
  <c r="I583" i="1"/>
  <c r="K583" i="1"/>
  <c r="J1085" i="1"/>
  <c r="O583" i="1"/>
  <c r="H1085" i="1"/>
  <c r="L583" i="1"/>
  <c r="V572" i="2" s="1"/>
  <c r="L1076" i="1"/>
  <c r="L1065" i="1" s="1"/>
  <c r="N1085" i="1"/>
  <c r="P913" i="1"/>
  <c r="P912" i="1" s="1"/>
  <c r="P911" i="1" s="1"/>
  <c r="P910" i="1" s="1"/>
  <c r="P909" i="1" s="1"/>
  <c r="P908" i="1" s="1"/>
  <c r="P583" i="1" s="1"/>
  <c r="N913" i="1"/>
  <c r="N912" i="1" s="1"/>
  <c r="N911" i="1" s="1"/>
  <c r="N910" i="1" s="1"/>
  <c r="N909" i="1" s="1"/>
  <c r="N908" i="1" s="1"/>
  <c r="N583" i="1" s="1"/>
  <c r="I1085" i="1"/>
  <c r="K1085" i="1"/>
  <c r="O1085" i="1"/>
  <c r="P1085" i="1"/>
  <c r="M913" i="1"/>
  <c r="M912" i="1" s="1"/>
  <c r="M911" i="1" s="1"/>
  <c r="M910" i="1" s="1"/>
  <c r="M909" i="1" s="1"/>
  <c r="M908" i="1" s="1"/>
  <c r="M583" i="1" s="1"/>
  <c r="L1085" i="1"/>
  <c r="V1077" i="2" s="1"/>
  <c r="M1408" i="1"/>
  <c r="M1407" i="1" s="1"/>
  <c r="M1406" i="1" s="1"/>
  <c r="M1405" i="1" s="1"/>
  <c r="M1404" i="1" s="1"/>
  <c r="M1403" i="1" s="1"/>
  <c r="M1085" i="1" s="1"/>
  <c r="S8" i="2"/>
  <c r="K143" i="2" l="1"/>
  <c r="V10" i="2" l="1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4" i="2"/>
  <c r="V145" i="2"/>
  <c r="V146" i="2"/>
  <c r="V147" i="2"/>
  <c r="V148" i="2"/>
  <c r="V149" i="2"/>
  <c r="V150" i="2"/>
  <c r="V151" i="2"/>
  <c r="V152" i="2"/>
  <c r="V153" i="2"/>
  <c r="V154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9" i="2"/>
  <c r="K57" i="2"/>
  <c r="K159" i="2" l="1"/>
  <c r="K114" i="2"/>
  <c r="K33" i="2"/>
  <c r="K171" i="2"/>
  <c r="K81" i="2"/>
  <c r="K108" i="2"/>
  <c r="K120" i="2"/>
  <c r="V120" i="2" s="1"/>
  <c r="V143" i="2"/>
  <c r="K17" i="2"/>
  <c r="U7" i="2" l="1"/>
  <c r="N8" i="2"/>
  <c r="N7" i="2" s="1"/>
  <c r="P8" i="2"/>
  <c r="R8" i="2"/>
  <c r="S7" i="2"/>
  <c r="M15" i="2"/>
  <c r="Q24" i="2"/>
  <c r="K155" i="2"/>
  <c r="K8" i="2" s="1"/>
  <c r="O55" i="2"/>
  <c r="O54" i="2"/>
  <c r="O16" i="2"/>
  <c r="O8" i="2" l="1"/>
  <c r="O7" i="2" s="1"/>
  <c r="M8" i="2"/>
  <c r="M7" i="2" s="1"/>
  <c r="Q8" i="2"/>
  <c r="Q7" i="2" s="1"/>
  <c r="K7" i="2"/>
  <c r="C8" i="2"/>
  <c r="C7" i="2" s="1"/>
  <c r="V155" i="2"/>
  <c r="C139" i="3" l="1"/>
  <c r="H16" i="3" l="1"/>
  <c r="H270" i="1"/>
  <c r="I270" i="1"/>
  <c r="J270" i="1"/>
  <c r="K270" i="1"/>
  <c r="M270" i="1"/>
  <c r="N270" i="1"/>
  <c r="P270" i="1"/>
  <c r="L270" i="1"/>
  <c r="Q272" i="1"/>
  <c r="Q280" i="1"/>
  <c r="I494" i="1"/>
  <c r="J494" i="1"/>
  <c r="K494" i="1"/>
  <c r="L494" i="1"/>
  <c r="M494" i="1"/>
  <c r="N494" i="1"/>
  <c r="O494" i="1"/>
  <c r="P494" i="1"/>
  <c r="H494" i="1"/>
  <c r="I492" i="1"/>
  <c r="J492" i="1"/>
  <c r="K492" i="1"/>
  <c r="D97" i="3" s="1"/>
  <c r="L492" i="1"/>
  <c r="M97" i="3" s="1"/>
  <c r="M492" i="1"/>
  <c r="N492" i="1"/>
  <c r="O492" i="1"/>
  <c r="P492" i="1"/>
  <c r="H492" i="1"/>
  <c r="C97" i="3" s="1"/>
  <c r="Q495" i="1"/>
  <c r="Q493" i="1"/>
  <c r="A24" i="3"/>
  <c r="A26" i="3" s="1"/>
  <c r="A28" i="3" s="1"/>
  <c r="A29" i="3" s="1"/>
  <c r="A30" i="3" s="1"/>
  <c r="A31" i="3" s="1"/>
  <c r="A34" i="3" s="1"/>
  <c r="A36" i="3" s="1"/>
  <c r="A38" i="3" s="1"/>
  <c r="A39" i="3" s="1"/>
  <c r="A41" i="3" s="1"/>
  <c r="A43" i="3" s="1"/>
  <c r="A44" i="3" s="1"/>
  <c r="A45" i="3" s="1"/>
  <c r="A47" i="3" s="1"/>
  <c r="A49" i="3" s="1"/>
  <c r="A52" i="3" s="1"/>
  <c r="A53" i="3" s="1"/>
  <c r="A54" i="3" s="1"/>
  <c r="A56" i="3" s="1"/>
  <c r="A57" i="3" s="1"/>
  <c r="A58" i="3" s="1"/>
  <c r="A59" i="3" s="1"/>
  <c r="A61" i="3" s="1"/>
  <c r="A62" i="3" s="1"/>
  <c r="A63" i="3" s="1"/>
  <c r="A65" i="3" s="1"/>
  <c r="K20" i="3"/>
  <c r="L20" i="3"/>
  <c r="J20" i="3"/>
  <c r="F20" i="3"/>
  <c r="G20" i="3"/>
  <c r="E20" i="3"/>
  <c r="N285" i="1"/>
  <c r="M285" i="1"/>
  <c r="L285" i="1"/>
  <c r="N106" i="3" s="1"/>
  <c r="K285" i="1"/>
  <c r="I285" i="1"/>
  <c r="L302" i="1"/>
  <c r="L301" i="1"/>
  <c r="M300" i="1"/>
  <c r="N300" i="1"/>
  <c r="O300" i="1"/>
  <c r="P300" i="1"/>
  <c r="P285" i="1" s="1"/>
  <c r="P284" i="1" s="1"/>
  <c r="I300" i="1"/>
  <c r="J300" i="1"/>
  <c r="K300" i="1"/>
  <c r="D22" i="3" s="1"/>
  <c r="H300" i="1"/>
  <c r="C22" i="3" s="1"/>
  <c r="H285" i="1"/>
  <c r="A97" i="3"/>
  <c r="H467" i="1"/>
  <c r="I467" i="1"/>
  <c r="I466" i="1" s="1"/>
  <c r="J467" i="1"/>
  <c r="J466" i="1" s="1"/>
  <c r="K467" i="1"/>
  <c r="L467" i="1"/>
  <c r="M467" i="1"/>
  <c r="M466" i="1" s="1"/>
  <c r="N467" i="1"/>
  <c r="N466" i="1" s="1"/>
  <c r="O467" i="1"/>
  <c r="O466" i="1" s="1"/>
  <c r="P467" i="1"/>
  <c r="P466" i="1" s="1"/>
  <c r="Q468" i="1"/>
  <c r="H188" i="1"/>
  <c r="I188" i="1"/>
  <c r="J188" i="1"/>
  <c r="K188" i="1"/>
  <c r="L188" i="1"/>
  <c r="M188" i="1"/>
  <c r="N188" i="1"/>
  <c r="Q192" i="1"/>
  <c r="M101" i="3"/>
  <c r="N101" i="3" s="1"/>
  <c r="P449" i="1"/>
  <c r="K19" i="1"/>
  <c r="M19" i="1"/>
  <c r="N19" i="1"/>
  <c r="P19" i="1"/>
  <c r="H401" i="1"/>
  <c r="C123" i="3" s="1"/>
  <c r="I401" i="1"/>
  <c r="J401" i="1"/>
  <c r="K401" i="1"/>
  <c r="D123" i="3" s="1"/>
  <c r="L401" i="1"/>
  <c r="M123" i="3" s="1"/>
  <c r="M401" i="1"/>
  <c r="N401" i="1"/>
  <c r="P401" i="1"/>
  <c r="O417" i="1"/>
  <c r="P417" i="1"/>
  <c r="M417" i="1"/>
  <c r="N417" i="1"/>
  <c r="L417" i="1"/>
  <c r="Q418" i="1" s="1"/>
  <c r="K417" i="1"/>
  <c r="I417" i="1"/>
  <c r="J417" i="1"/>
  <c r="H417" i="1"/>
  <c r="A21" i="1"/>
  <c r="O297" i="1"/>
  <c r="O298" i="1"/>
  <c r="O299" i="1"/>
  <c r="O290" i="1"/>
  <c r="O291" i="1"/>
  <c r="O292" i="1"/>
  <c r="O295" i="1"/>
  <c r="O296" i="1"/>
  <c r="O289" i="1"/>
  <c r="O293" i="1"/>
  <c r="O294" i="1"/>
  <c r="O286" i="1"/>
  <c r="O288" i="1"/>
  <c r="O287" i="1"/>
  <c r="O360" i="1"/>
  <c r="Q360" i="1"/>
  <c r="H364" i="1"/>
  <c r="L466" i="1" l="1"/>
  <c r="H466" i="1"/>
  <c r="C80" i="3" s="1"/>
  <c r="C147" i="3"/>
  <c r="C98" i="3"/>
  <c r="D98" i="3"/>
  <c r="K466" i="1"/>
  <c r="D80" i="3" s="1"/>
  <c r="D147" i="3"/>
  <c r="M98" i="3"/>
  <c r="N98" i="3" s="1"/>
  <c r="N220" i="3"/>
  <c r="N126" i="3"/>
  <c r="N123" i="3" s="1"/>
  <c r="P491" i="1"/>
  <c r="L491" i="1"/>
  <c r="M7" i="3"/>
  <c r="N97" i="3"/>
  <c r="M491" i="1"/>
  <c r="I491" i="1"/>
  <c r="N491" i="1"/>
  <c r="J491" i="1"/>
  <c r="O491" i="1"/>
  <c r="K491" i="1"/>
  <c r="H491" i="1"/>
  <c r="Q302" i="1"/>
  <c r="O285" i="1"/>
  <c r="O284" i="1" s="1"/>
  <c r="M284" i="1"/>
  <c r="N284" i="1"/>
  <c r="Q301" i="1"/>
  <c r="I284" i="1"/>
  <c r="K284" i="1"/>
  <c r="L300" i="1"/>
  <c r="H284" i="1"/>
  <c r="Q442" i="1"/>
  <c r="O442" i="1"/>
  <c r="C84" i="3" l="1"/>
  <c r="D84" i="3"/>
  <c r="M84" i="3"/>
  <c r="N84" i="3" s="1"/>
  <c r="M147" i="3"/>
  <c r="N147" i="3" s="1"/>
  <c r="M22" i="3"/>
  <c r="N22" i="3" s="1"/>
  <c r="L284" i="1"/>
  <c r="H51" i="3"/>
  <c r="I382" i="1"/>
  <c r="J382" i="1"/>
  <c r="K382" i="1"/>
  <c r="D54" i="3" s="1"/>
  <c r="L382" i="1"/>
  <c r="M382" i="1"/>
  <c r="N382" i="1"/>
  <c r="P382" i="1"/>
  <c r="H382" i="1"/>
  <c r="C54" i="3" s="1"/>
  <c r="Q383" i="1"/>
  <c r="O383" i="1"/>
  <c r="O382" i="1" s="1"/>
  <c r="A22" i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H446" i="1"/>
  <c r="Q186" i="1"/>
  <c r="Q28" i="1"/>
  <c r="Q69" i="1"/>
  <c r="Q43" i="1"/>
  <c r="Q89" i="1"/>
  <c r="Q83" i="1"/>
  <c r="Q154" i="1"/>
  <c r="Q166" i="1"/>
  <c r="Q123" i="1"/>
  <c r="Q160" i="1"/>
  <c r="Q156" i="1"/>
  <c r="Q168" i="1"/>
  <c r="Q109" i="1"/>
  <c r="Q94" i="1"/>
  <c r="Q35" i="1"/>
  <c r="Q56" i="1"/>
  <c r="Q38" i="1"/>
  <c r="Q153" i="1"/>
  <c r="Q131" i="1"/>
  <c r="Q133" i="1"/>
  <c r="Q149" i="1"/>
  <c r="Q91" i="1"/>
  <c r="Q42" i="1"/>
  <c r="Q70" i="1"/>
  <c r="Q184" i="1"/>
  <c r="Q127" i="1"/>
  <c r="Q108" i="1"/>
  <c r="Q47" i="1"/>
  <c r="Q178" i="1"/>
  <c r="Q128" i="1"/>
  <c r="Q117" i="1"/>
  <c r="Q143" i="1"/>
  <c r="Q79" i="1"/>
  <c r="Q71" i="1"/>
  <c r="Q115" i="1"/>
  <c r="Q187" i="1"/>
  <c r="Q48" i="1"/>
  <c r="Q34" i="1"/>
  <c r="Q119" i="1"/>
  <c r="Q136" i="1"/>
  <c r="Q82" i="1"/>
  <c r="Q141" i="1"/>
  <c r="Q37" i="1"/>
  <c r="Q164" i="1"/>
  <c r="Q173" i="1"/>
  <c r="Q100" i="1"/>
  <c r="Q142" i="1"/>
  <c r="Q52" i="1"/>
  <c r="Q140" i="1"/>
  <c r="Q76" i="1"/>
  <c r="Q146" i="1"/>
  <c r="Q92" i="1"/>
  <c r="Q135" i="1"/>
  <c r="Q87" i="1"/>
  <c r="Q39" i="1"/>
  <c r="Q174" i="1"/>
  <c r="Q90" i="1"/>
  <c r="Q148" i="1"/>
  <c r="Q75" i="1"/>
  <c r="Q180" i="1"/>
  <c r="Q152" i="1"/>
  <c r="Q134" i="1"/>
  <c r="Q65" i="1"/>
  <c r="Q120" i="1"/>
  <c r="Q112" i="1"/>
  <c r="Q138" i="1"/>
  <c r="Q78" i="1"/>
  <c r="Q73" i="1"/>
  <c r="Q32" i="1"/>
  <c r="Q129" i="1"/>
  <c r="Q62" i="1"/>
  <c r="Q147" i="1"/>
  <c r="Q163" i="1"/>
  <c r="Q84" i="1"/>
  <c r="Q155" i="1"/>
  <c r="Q74" i="1"/>
  <c r="Q49" i="1"/>
  <c r="Q99" i="1"/>
  <c r="Q150" i="1"/>
  <c r="Q72" i="1"/>
  <c r="Q169" i="1"/>
  <c r="Q122" i="1"/>
  <c r="Q95" i="1"/>
  <c r="Q183" i="1"/>
  <c r="Q177" i="1"/>
  <c r="Q171" i="1"/>
  <c r="Q159" i="1"/>
  <c r="Q110" i="1"/>
  <c r="Q101" i="1"/>
  <c r="Q179" i="1"/>
  <c r="Q145" i="1"/>
  <c r="Q137" i="1"/>
  <c r="Q98" i="1"/>
  <c r="Q158" i="1"/>
  <c r="Q63" i="1"/>
  <c r="Q25" i="1"/>
  <c r="Q185" i="1"/>
  <c r="Q59" i="1"/>
  <c r="Q67" i="1"/>
  <c r="Q139" i="1"/>
  <c r="Q41" i="1"/>
  <c r="Q170" i="1"/>
  <c r="Q103" i="1"/>
  <c r="Q57" i="1"/>
  <c r="Q85" i="1"/>
  <c r="Q60" i="1"/>
  <c r="Q80" i="1"/>
  <c r="Q118" i="1"/>
  <c r="Q53" i="1"/>
  <c r="Q86" i="1"/>
  <c r="Q181" i="1"/>
  <c r="Q33" i="1"/>
  <c r="Q104" i="1"/>
  <c r="Q23" i="1"/>
  <c r="Q88" i="1"/>
  <c r="Q121" i="1"/>
  <c r="Q66" i="1"/>
  <c r="Q46" i="1"/>
  <c r="Q24" i="1"/>
  <c r="Q97" i="1"/>
  <c r="Q27" i="1"/>
  <c r="Q182" i="1"/>
  <c r="Q162" i="1"/>
  <c r="Q54" i="1"/>
  <c r="Q61" i="1"/>
  <c r="Q58" i="1"/>
  <c r="Q161" i="1"/>
  <c r="Q20" i="1"/>
  <c r="Q111" i="1"/>
  <c r="Q126" i="1"/>
  <c r="Q106" i="1"/>
  <c r="Q151" i="1"/>
  <c r="Q172" i="1"/>
  <c r="Q130" i="1"/>
  <c r="Q157" i="1"/>
  <c r="Q116" i="1"/>
  <c r="Q50" i="1"/>
  <c r="Q176" i="1"/>
  <c r="Q30" i="1"/>
  <c r="Q165" i="1"/>
  <c r="Q64" i="1"/>
  <c r="Q21" i="1"/>
  <c r="Q44" i="1"/>
  <c r="Q175" i="1"/>
  <c r="Q68" i="1"/>
  <c r="Q51" i="1"/>
  <c r="Q29" i="1"/>
  <c r="Q102" i="1"/>
  <c r="Q40" i="1"/>
  <c r="Q45" i="1"/>
  <c r="Q77" i="1"/>
  <c r="Q125" i="1"/>
  <c r="Q124" i="1"/>
  <c r="Q26" i="1"/>
  <c r="Q36" i="1"/>
  <c r="Q107" i="1"/>
  <c r="Q81" i="1"/>
  <c r="Q144" i="1"/>
  <c r="Q55" i="1"/>
  <c r="Q113" i="1"/>
  <c r="Q105" i="1"/>
  <c r="O186" i="1"/>
  <c r="O28" i="1"/>
  <c r="O69" i="1"/>
  <c r="O43" i="1"/>
  <c r="O89" i="1"/>
  <c r="O167" i="1"/>
  <c r="O83" i="1"/>
  <c r="O154" i="1"/>
  <c r="O166" i="1"/>
  <c r="O123" i="1"/>
  <c r="O160" i="1"/>
  <c r="O156" i="1"/>
  <c r="O168" i="1"/>
  <c r="O109" i="1"/>
  <c r="O94" i="1"/>
  <c r="O35" i="1"/>
  <c r="O56" i="1"/>
  <c r="O38" i="1"/>
  <c r="O153" i="1"/>
  <c r="O131" i="1"/>
  <c r="O133" i="1"/>
  <c r="O149" i="1"/>
  <c r="O91" i="1"/>
  <c r="O42" i="1"/>
  <c r="O70" i="1"/>
  <c r="O184" i="1"/>
  <c r="O127" i="1"/>
  <c r="O108" i="1"/>
  <c r="O47" i="1"/>
  <c r="O178" i="1"/>
  <c r="O128" i="1"/>
  <c r="O117" i="1"/>
  <c r="O143" i="1"/>
  <c r="O79" i="1"/>
  <c r="O71" i="1"/>
  <c r="O115" i="1"/>
  <c r="O187" i="1"/>
  <c r="O48" i="1"/>
  <c r="O34" i="1"/>
  <c r="O119" i="1"/>
  <c r="O136" i="1"/>
  <c r="O82" i="1"/>
  <c r="O141" i="1"/>
  <c r="O37" i="1"/>
  <c r="O164" i="1"/>
  <c r="O173" i="1"/>
  <c r="O100" i="1"/>
  <c r="O142" i="1"/>
  <c r="O52" i="1"/>
  <c r="O140" i="1"/>
  <c r="O76" i="1"/>
  <c r="O146" i="1"/>
  <c r="O92" i="1"/>
  <c r="O135" i="1"/>
  <c r="O87" i="1"/>
  <c r="O39" i="1"/>
  <c r="O174" i="1"/>
  <c r="O90" i="1"/>
  <c r="O148" i="1"/>
  <c r="O75" i="1"/>
  <c r="O180" i="1"/>
  <c r="O152" i="1"/>
  <c r="O134" i="1"/>
  <c r="O65" i="1"/>
  <c r="O120" i="1"/>
  <c r="O112" i="1"/>
  <c r="O138" i="1"/>
  <c r="O78" i="1"/>
  <c r="O73" i="1"/>
  <c r="O32" i="1"/>
  <c r="O129" i="1"/>
  <c r="O62" i="1"/>
  <c r="O147" i="1"/>
  <c r="O163" i="1"/>
  <c r="O84" i="1"/>
  <c r="O155" i="1"/>
  <c r="O74" i="1"/>
  <c r="O49" i="1"/>
  <c r="O99" i="1"/>
  <c r="O150" i="1"/>
  <c r="O72" i="1"/>
  <c r="O169" i="1"/>
  <c r="O122" i="1"/>
  <c r="O95" i="1"/>
  <c r="O183" i="1"/>
  <c r="O177" i="1"/>
  <c r="O171" i="1"/>
  <c r="O159" i="1"/>
  <c r="O110" i="1"/>
  <c r="O101" i="1"/>
  <c r="O179" i="1"/>
  <c r="O145" i="1"/>
  <c r="O114" i="1"/>
  <c r="O137" i="1"/>
  <c r="O98" i="1"/>
  <c r="O158" i="1"/>
  <c r="O63" i="1"/>
  <c r="O25" i="1"/>
  <c r="O185" i="1"/>
  <c r="O59" i="1"/>
  <c r="O67" i="1"/>
  <c r="O31" i="1"/>
  <c r="O139" i="1"/>
  <c r="O41" i="1"/>
  <c r="O132" i="1"/>
  <c r="O170" i="1"/>
  <c r="O103" i="1"/>
  <c r="O57" i="1"/>
  <c r="O85" i="1"/>
  <c r="O60" i="1"/>
  <c r="O80" i="1"/>
  <c r="O118" i="1"/>
  <c r="O53" i="1"/>
  <c r="O86" i="1"/>
  <c r="O181" i="1"/>
  <c r="O33" i="1"/>
  <c r="O104" i="1"/>
  <c r="O23" i="1"/>
  <c r="O88" i="1"/>
  <c r="O22" i="1"/>
  <c r="O121" i="1"/>
  <c r="O66" i="1"/>
  <c r="O46" i="1"/>
  <c r="O24" i="1"/>
  <c r="O97" i="1"/>
  <c r="O27" i="1"/>
  <c r="O182" i="1"/>
  <c r="O162" i="1"/>
  <c r="O54" i="1"/>
  <c r="O61" i="1"/>
  <c r="O58" i="1"/>
  <c r="O161" i="1"/>
  <c r="O20" i="1"/>
  <c r="O111" i="1"/>
  <c r="O126" i="1"/>
  <c r="O106" i="1"/>
  <c r="O151" i="1"/>
  <c r="O172" i="1"/>
  <c r="O130" i="1"/>
  <c r="O157" i="1"/>
  <c r="O116" i="1"/>
  <c r="O50" i="1"/>
  <c r="O176" i="1"/>
  <c r="O96" i="1"/>
  <c r="O30" i="1"/>
  <c r="O165" i="1"/>
  <c r="O64" i="1"/>
  <c r="O21" i="1"/>
  <c r="O44" i="1"/>
  <c r="O175" i="1"/>
  <c r="O68" i="1"/>
  <c r="O51" i="1"/>
  <c r="O29" i="1"/>
  <c r="O102" i="1"/>
  <c r="O40" i="1"/>
  <c r="O93" i="1"/>
  <c r="O45" i="1"/>
  <c r="O77" i="1"/>
  <c r="O125" i="1"/>
  <c r="O124" i="1"/>
  <c r="O26" i="1"/>
  <c r="O36" i="1"/>
  <c r="O107" i="1"/>
  <c r="O81" i="1"/>
  <c r="O144" i="1"/>
  <c r="O55" i="1"/>
  <c r="O113" i="1"/>
  <c r="O105" i="1"/>
  <c r="D52" i="3"/>
  <c r="Q93" i="1"/>
  <c r="Q96" i="1"/>
  <c r="Q22" i="1"/>
  <c r="Q132" i="1"/>
  <c r="Q31" i="1"/>
  <c r="Q114" i="1"/>
  <c r="N219" i="3" l="1"/>
  <c r="N216" i="3" s="1"/>
  <c r="N153" i="3"/>
  <c r="M151" i="3"/>
  <c r="N151" i="3" s="1"/>
  <c r="M54" i="3"/>
  <c r="N54" i="3" s="1"/>
  <c r="H19" i="1"/>
  <c r="O19" i="1"/>
  <c r="J19" i="1"/>
  <c r="I19" i="1"/>
  <c r="Q167" i="1"/>
  <c r="A190" i="1" l="1"/>
  <c r="A191" i="1" s="1"/>
  <c r="A192" i="1" s="1"/>
  <c r="A193" i="1" s="1"/>
  <c r="A203" i="1" s="1"/>
  <c r="A204" i="1" s="1"/>
  <c r="H40" i="3"/>
  <c r="I40" i="3" s="1"/>
  <c r="I347" i="1"/>
  <c r="J347" i="1"/>
  <c r="K347" i="1"/>
  <c r="D44" i="3" s="1"/>
  <c r="L347" i="1"/>
  <c r="M347" i="1"/>
  <c r="N347" i="1"/>
  <c r="P347" i="1"/>
  <c r="H347" i="1"/>
  <c r="C44" i="3" s="1"/>
  <c r="Q348" i="1"/>
  <c r="O348" i="1"/>
  <c r="O347" i="1" s="1"/>
  <c r="K344" i="1"/>
  <c r="D43" i="3" s="1"/>
  <c r="I344" i="1"/>
  <c r="J344" i="1"/>
  <c r="L344" i="1"/>
  <c r="M344" i="1"/>
  <c r="N344" i="1"/>
  <c r="O344" i="1"/>
  <c r="P344" i="1"/>
  <c r="H344" i="1"/>
  <c r="C43" i="3" s="1"/>
  <c r="Q346" i="1"/>
  <c r="Q345" i="1"/>
  <c r="L43" i="3" l="1"/>
  <c r="M44" i="3"/>
  <c r="N44" i="3" s="1"/>
  <c r="A210" i="1"/>
  <c r="A211" i="1" s="1"/>
  <c r="A212" i="1" s="1"/>
  <c r="A214" i="1" s="1"/>
  <c r="A215" i="1" s="1"/>
  <c r="A216" i="1" s="1"/>
  <c r="A217" i="1" s="1"/>
  <c r="A218" i="1" s="1"/>
  <c r="A219" i="1" s="1"/>
  <c r="N43" i="3" l="1"/>
  <c r="L40" i="3"/>
  <c r="A233" i="1"/>
  <c r="A234" i="1" s="1"/>
  <c r="A235" i="1" s="1"/>
  <c r="A236" i="1" s="1"/>
  <c r="A237" i="1" s="1"/>
  <c r="A238" i="1" s="1"/>
  <c r="A239" i="1" s="1"/>
  <c r="A240" i="1" s="1"/>
  <c r="N57" i="3"/>
  <c r="Q402" i="1"/>
  <c r="O402" i="1"/>
  <c r="O401" i="1" s="1"/>
  <c r="A246" i="1" l="1"/>
  <c r="A247" i="1" s="1"/>
  <c r="D139" i="3"/>
  <c r="L139" i="3"/>
  <c r="N139" i="3" l="1"/>
  <c r="N137" i="3" s="1"/>
  <c r="L137" i="3"/>
  <c r="A263" i="1"/>
  <c r="A264" i="1" s="1"/>
  <c r="A265" i="1" s="1"/>
  <c r="A266" i="1" s="1"/>
  <c r="A267" i="1" s="1"/>
  <c r="D45" i="3"/>
  <c r="C45" i="3"/>
  <c r="F51" i="3"/>
  <c r="G51" i="3"/>
  <c r="I51" i="3" s="1"/>
  <c r="E51" i="3"/>
  <c r="C52" i="3"/>
  <c r="Q378" i="1"/>
  <c r="O378" i="1"/>
  <c r="O377" i="1" s="1"/>
  <c r="L376" i="1" l="1"/>
  <c r="A272" i="1"/>
  <c r="A273" i="1" s="1"/>
  <c r="A283" i="1" s="1"/>
  <c r="M51" i="3"/>
  <c r="N51" i="3" s="1"/>
  <c r="Q421" i="1"/>
  <c r="Q420" i="1"/>
  <c r="D59" i="3"/>
  <c r="C59" i="3"/>
  <c r="M446" i="1"/>
  <c r="N446" i="1"/>
  <c r="P446" i="1"/>
  <c r="L446" i="1"/>
  <c r="K446" i="1"/>
  <c r="J446" i="1"/>
  <c r="I446" i="1"/>
  <c r="Q448" i="1"/>
  <c r="O448" i="1"/>
  <c r="K339" i="1"/>
  <c r="K338" i="1" s="1"/>
  <c r="I339" i="1"/>
  <c r="I338" i="1" s="1"/>
  <c r="J339" i="1"/>
  <c r="J338" i="1" s="1"/>
  <c r="L339" i="1"/>
  <c r="M339" i="1"/>
  <c r="M338" i="1" s="1"/>
  <c r="N339" i="1"/>
  <c r="N338" i="1" s="1"/>
  <c r="P339" i="1"/>
  <c r="P338" i="1" s="1"/>
  <c r="H339" i="1"/>
  <c r="H338" i="1" s="1"/>
  <c r="N63" i="3" l="1"/>
  <c r="L338" i="1"/>
  <c r="D41" i="3"/>
  <c r="D40" i="3"/>
  <c r="C41" i="3"/>
  <c r="M41" i="3"/>
  <c r="M59" i="3"/>
  <c r="N59" i="3" s="1"/>
  <c r="L516" i="1"/>
  <c r="L103" i="3" s="1"/>
  <c r="N518" i="1"/>
  <c r="P518" i="1"/>
  <c r="M518" i="1"/>
  <c r="L518" i="1"/>
  <c r="K518" i="1"/>
  <c r="J518" i="1"/>
  <c r="I518" i="1"/>
  <c r="H518" i="1"/>
  <c r="Q519" i="1"/>
  <c r="O519" i="1"/>
  <c r="O518" i="1" s="1"/>
  <c r="M230" i="3" l="1"/>
  <c r="M228" i="3" s="1"/>
  <c r="D104" i="3"/>
  <c r="D230" i="3"/>
  <c r="C104" i="3"/>
  <c r="C230" i="3"/>
  <c r="N133" i="3"/>
  <c r="N132" i="3" s="1"/>
  <c r="M40" i="3"/>
  <c r="N103" i="3"/>
  <c r="L102" i="3"/>
  <c r="L515" i="1"/>
  <c r="M104" i="3"/>
  <c r="H102" i="3"/>
  <c r="H75" i="3"/>
  <c r="I75" i="3" s="1"/>
  <c r="I71" i="3"/>
  <c r="I61" i="3"/>
  <c r="I58" i="3"/>
  <c r="I56" i="3"/>
  <c r="I38" i="3"/>
  <c r="I24" i="3"/>
  <c r="H21" i="3"/>
  <c r="I12" i="3"/>
  <c r="I9" i="3"/>
  <c r="N230" i="3" l="1"/>
  <c r="N228" i="3" s="1"/>
  <c r="H20" i="3"/>
  <c r="I20" i="3" s="1"/>
  <c r="I21" i="3"/>
  <c r="N104" i="3"/>
  <c r="N102" i="3" s="1"/>
  <c r="M102" i="3"/>
  <c r="A306" i="1"/>
  <c r="A309" i="1" s="1"/>
  <c r="H55" i="3"/>
  <c r="J296" i="1"/>
  <c r="J285" i="1" s="1"/>
  <c r="J284" i="1" s="1"/>
  <c r="A327" i="1" l="1"/>
  <c r="I364" i="1"/>
  <c r="J364" i="1"/>
  <c r="K364" i="1"/>
  <c r="L364" i="1"/>
  <c r="M364" i="1"/>
  <c r="N364" i="1"/>
  <c r="P364" i="1"/>
  <c r="H363" i="1"/>
  <c r="Q366" i="1"/>
  <c r="Q367" i="1"/>
  <c r="Q370" i="1"/>
  <c r="Q371" i="1"/>
  <c r="Q372" i="1"/>
  <c r="Q365" i="1"/>
  <c r="Q369" i="1"/>
  <c r="A328" i="1" l="1"/>
  <c r="A330" i="1" s="1"/>
  <c r="A333" i="1" s="1"/>
  <c r="A334" i="1" s="1"/>
  <c r="A329" i="1"/>
  <c r="C49" i="3"/>
  <c r="Q193" i="1"/>
  <c r="Q204" i="1"/>
  <c r="Q189" i="1"/>
  <c r="Q202" i="1"/>
  <c r="Q191" i="1"/>
  <c r="Q190" i="1"/>
  <c r="Q203" i="1"/>
  <c r="Q237" i="1" l="1"/>
  <c r="Q234" i="1"/>
  <c r="Q235" i="1"/>
  <c r="Q232" i="1"/>
  <c r="Q238" i="1"/>
  <c r="Q239" i="1"/>
  <c r="Q236" i="1"/>
  <c r="Q233" i="1"/>
  <c r="Q240" i="1"/>
  <c r="O237" i="1"/>
  <c r="O234" i="1"/>
  <c r="O235" i="1"/>
  <c r="O232" i="1"/>
  <c r="O238" i="1"/>
  <c r="O239" i="1"/>
  <c r="O236" i="1"/>
  <c r="O233" i="1"/>
  <c r="O240" i="1"/>
  <c r="D11" i="3"/>
  <c r="O231" i="1" l="1"/>
  <c r="C11" i="3"/>
  <c r="O271" i="1"/>
  <c r="D17" i="3"/>
  <c r="Q273" i="1"/>
  <c r="Q271" i="1"/>
  <c r="Q279" i="1"/>
  <c r="M38" i="3" l="1"/>
  <c r="Q206" i="1"/>
  <c r="R434" i="1"/>
  <c r="Q434" i="1"/>
  <c r="Q472" i="1" l="1"/>
  <c r="G102" i="3" l="1"/>
  <c r="I102" i="3" s="1"/>
  <c r="I516" i="1"/>
  <c r="I515" i="1" s="1"/>
  <c r="J516" i="1"/>
  <c r="J515" i="1" s="1"/>
  <c r="K516" i="1"/>
  <c r="M516" i="1"/>
  <c r="M515" i="1" s="1"/>
  <c r="N516" i="1"/>
  <c r="N515" i="1" s="1"/>
  <c r="O516" i="1"/>
  <c r="O515" i="1" s="1"/>
  <c r="P516" i="1"/>
  <c r="P515" i="1" s="1"/>
  <c r="H516" i="1"/>
  <c r="Q517" i="1"/>
  <c r="M325" i="1"/>
  <c r="M324" i="1" s="1"/>
  <c r="R536" i="1"/>
  <c r="Q536" i="1"/>
  <c r="I78" i="3"/>
  <c r="I77" i="3"/>
  <c r="I70" i="3"/>
  <c r="I69" i="3"/>
  <c r="I67" i="3"/>
  <c r="I66" i="3" s="1"/>
  <c r="H65" i="3"/>
  <c r="I65" i="3" s="1"/>
  <c r="I47" i="3"/>
  <c r="H39" i="3"/>
  <c r="I34" i="3"/>
  <c r="I31" i="3"/>
  <c r="I29" i="3"/>
  <c r="I28" i="3"/>
  <c r="I19" i="3"/>
  <c r="I18" i="3" s="1"/>
  <c r="I15" i="3"/>
  <c r="I14" i="3" s="1"/>
  <c r="Q262" i="1"/>
  <c r="O263" i="1"/>
  <c r="Q263" i="1"/>
  <c r="O262" i="1"/>
  <c r="O261" i="1" l="1"/>
  <c r="I76" i="3"/>
  <c r="I26" i="3"/>
  <c r="I25" i="3" s="1"/>
  <c r="H37" i="3"/>
  <c r="I39" i="3"/>
  <c r="H35" i="3"/>
  <c r="I36" i="3"/>
  <c r="H260" i="1"/>
  <c r="C103" i="3"/>
  <c r="H515" i="1"/>
  <c r="K515" i="1"/>
  <c r="D102" i="3" s="1"/>
  <c r="D103" i="3"/>
  <c r="C102" i="3" l="1"/>
  <c r="A404" i="1"/>
  <c r="D7" i="3"/>
  <c r="Q264" i="1" l="1"/>
  <c r="E64" i="3"/>
  <c r="F64" i="3"/>
  <c r="G64" i="3"/>
  <c r="H64" i="3"/>
  <c r="J64" i="3"/>
  <c r="K64" i="3"/>
  <c r="L64" i="3"/>
  <c r="I425" i="1"/>
  <c r="I424" i="1" s="1"/>
  <c r="J425" i="1"/>
  <c r="J424" i="1" s="1"/>
  <c r="K425" i="1"/>
  <c r="L425" i="1"/>
  <c r="M425" i="1"/>
  <c r="M424" i="1" s="1"/>
  <c r="N425" i="1"/>
  <c r="N424" i="1" s="1"/>
  <c r="P425" i="1"/>
  <c r="P424" i="1" s="1"/>
  <c r="H425" i="1"/>
  <c r="Q426" i="1"/>
  <c r="Q428" i="1"/>
  <c r="Q427" i="1"/>
  <c r="O426" i="1"/>
  <c r="O428" i="1"/>
  <c r="O427" i="1"/>
  <c r="D65" i="3" l="1"/>
  <c r="D64" i="3" s="1"/>
  <c r="C65" i="3"/>
  <c r="C64" i="3" s="1"/>
  <c r="M65" i="3"/>
  <c r="M64" i="3" s="1"/>
  <c r="N135" i="3"/>
  <c r="I64" i="3"/>
  <c r="O425" i="1"/>
  <c r="O424" i="1" s="1"/>
  <c r="H424" i="1"/>
  <c r="C134" i="3" s="1"/>
  <c r="K424" i="1"/>
  <c r="D134" i="3" s="1"/>
  <c r="L424" i="1"/>
  <c r="E23" i="3" l="1"/>
  <c r="F23" i="3"/>
  <c r="G23" i="3"/>
  <c r="H23" i="3"/>
  <c r="J23" i="3"/>
  <c r="K23" i="3"/>
  <c r="L23" i="3"/>
  <c r="I304" i="1"/>
  <c r="I303" i="1" s="1"/>
  <c r="J304" i="1"/>
  <c r="J303" i="1" s="1"/>
  <c r="K304" i="1"/>
  <c r="M304" i="1"/>
  <c r="M303" i="1" s="1"/>
  <c r="N304" i="1"/>
  <c r="N303" i="1" s="1"/>
  <c r="P304" i="1"/>
  <c r="P303" i="1" s="1"/>
  <c r="H304" i="1"/>
  <c r="Q306" i="1"/>
  <c r="C24" i="3" l="1"/>
  <c r="C23" i="3" s="1"/>
  <c r="D24" i="3"/>
  <c r="D23" i="3" s="1"/>
  <c r="I23" i="3"/>
  <c r="H303" i="1"/>
  <c r="K303" i="1"/>
  <c r="H450" i="1"/>
  <c r="Q387" i="1"/>
  <c r="Q388" i="1"/>
  <c r="Q394" i="1"/>
  <c r="Q386" i="1"/>
  <c r="O387" i="1"/>
  <c r="O388" i="1"/>
  <c r="O386" i="1"/>
  <c r="H449" i="1" l="1"/>
  <c r="C144" i="3"/>
  <c r="I269" i="1"/>
  <c r="J269" i="1"/>
  <c r="K269" i="1"/>
  <c r="M269" i="1"/>
  <c r="N269" i="1"/>
  <c r="P269" i="1"/>
  <c r="O270" i="1"/>
  <c r="E79" i="3"/>
  <c r="F79" i="3"/>
  <c r="G79" i="3"/>
  <c r="H79" i="3"/>
  <c r="J79" i="3"/>
  <c r="K79" i="3"/>
  <c r="Q462" i="1"/>
  <c r="Q464" i="1"/>
  <c r="Q463" i="1"/>
  <c r="I461" i="1"/>
  <c r="I460" i="1" s="1"/>
  <c r="J461" i="1"/>
  <c r="J460" i="1" s="1"/>
  <c r="K461" i="1"/>
  <c r="L461" i="1"/>
  <c r="M461" i="1"/>
  <c r="M460" i="1" s="1"/>
  <c r="N461" i="1"/>
  <c r="N460" i="1" s="1"/>
  <c r="P461" i="1"/>
  <c r="P460" i="1" s="1"/>
  <c r="H461" i="1"/>
  <c r="H460" i="1" s="1"/>
  <c r="O462" i="1"/>
  <c r="O464" i="1"/>
  <c r="O463" i="1"/>
  <c r="I79" i="3" l="1"/>
  <c r="C79" i="3"/>
  <c r="L460" i="1"/>
  <c r="L79" i="3" s="1"/>
  <c r="O269" i="1"/>
  <c r="K460" i="1"/>
  <c r="D79" i="3" s="1"/>
  <c r="O461" i="1"/>
  <c r="O460" i="1" s="1"/>
  <c r="L269" i="1"/>
  <c r="H269" i="1"/>
  <c r="A517" i="1" l="1"/>
  <c r="A519" i="1" s="1"/>
  <c r="A526" i="1" s="1"/>
  <c r="A527" i="1" s="1"/>
  <c r="A528" i="1" s="1"/>
  <c r="A529" i="1" s="1"/>
  <c r="A530" i="1" s="1"/>
  <c r="A535" i="1" s="1"/>
  <c r="A539" i="1" s="1"/>
  <c r="A540" i="1" s="1"/>
  <c r="A541" i="1" s="1"/>
  <c r="A542" i="1" s="1"/>
  <c r="A543" i="1" s="1"/>
  <c r="A544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C17" i="3"/>
  <c r="M17" i="3"/>
  <c r="M16" i="3"/>
  <c r="M79" i="3"/>
  <c r="N79" i="3"/>
  <c r="E55" i="3"/>
  <c r="F55" i="3"/>
  <c r="G55" i="3"/>
  <c r="I55" i="3" s="1"/>
  <c r="J55" i="3"/>
  <c r="K55" i="3"/>
  <c r="L55" i="3"/>
  <c r="O450" i="1"/>
  <c r="O449" i="1" s="1"/>
  <c r="L452" i="1"/>
  <c r="L451" i="1"/>
  <c r="L454" i="1"/>
  <c r="L455" i="1"/>
  <c r="M209" i="3" s="1"/>
  <c r="L456" i="1"/>
  <c r="L457" i="1"/>
  <c r="L458" i="1"/>
  <c r="L459" i="1"/>
  <c r="M212" i="3" s="1"/>
  <c r="L453" i="1"/>
  <c r="Q535" i="1"/>
  <c r="O535" i="1"/>
  <c r="Q530" i="1"/>
  <c r="Q528" i="1"/>
  <c r="Q526" i="1"/>
  <c r="Q527" i="1"/>
  <c r="Q529" i="1"/>
  <c r="O530" i="1"/>
  <c r="O528" i="1"/>
  <c r="O526" i="1"/>
  <c r="O527" i="1"/>
  <c r="O529" i="1"/>
  <c r="N212" i="3" l="1"/>
  <c r="N145" i="3"/>
  <c r="N144" i="3" s="1"/>
  <c r="M144" i="3"/>
  <c r="I525" i="1"/>
  <c r="I524" i="1" s="1"/>
  <c r="I523" i="1" s="1"/>
  <c r="J525" i="1"/>
  <c r="J524" i="1" s="1"/>
  <c r="J523" i="1" s="1"/>
  <c r="K525" i="1"/>
  <c r="K524" i="1" s="1"/>
  <c r="L525" i="1"/>
  <c r="M525" i="1"/>
  <c r="M524" i="1" s="1"/>
  <c r="M523" i="1" s="1"/>
  <c r="N525" i="1"/>
  <c r="N524" i="1" s="1"/>
  <c r="N523" i="1" s="1"/>
  <c r="O525" i="1"/>
  <c r="O524" i="1" s="1"/>
  <c r="O523" i="1" s="1"/>
  <c r="P525" i="1"/>
  <c r="P524" i="1" s="1"/>
  <c r="P523" i="1" s="1"/>
  <c r="H527" i="1"/>
  <c r="C234" i="3" s="1"/>
  <c r="H526" i="1"/>
  <c r="H529" i="1"/>
  <c r="K523" i="1" l="1"/>
  <c r="D164" i="3" s="1"/>
  <c r="D233" i="3"/>
  <c r="L524" i="1"/>
  <c r="N65" i="3"/>
  <c r="N64" i="3" s="1"/>
  <c r="H525" i="1"/>
  <c r="H403" i="1"/>
  <c r="I403" i="1"/>
  <c r="J403" i="1"/>
  <c r="K403" i="1"/>
  <c r="L403" i="1"/>
  <c r="M403" i="1"/>
  <c r="N403" i="1"/>
  <c r="O403" i="1"/>
  <c r="Q404" i="1"/>
  <c r="H415" i="1"/>
  <c r="I415" i="1"/>
  <c r="J415" i="1"/>
  <c r="K415" i="1"/>
  <c r="L415" i="1"/>
  <c r="M415" i="1"/>
  <c r="N415" i="1"/>
  <c r="O415" i="1"/>
  <c r="M62" i="3"/>
  <c r="M61" i="3" l="1"/>
  <c r="L384" i="1"/>
  <c r="M120" i="3" s="1"/>
  <c r="H384" i="1"/>
  <c r="C120" i="3" s="1"/>
  <c r="C118" i="3" s="1"/>
  <c r="M384" i="1"/>
  <c r="I384" i="1"/>
  <c r="N384" i="1"/>
  <c r="K384" i="1"/>
  <c r="L523" i="1"/>
  <c r="L233" i="3"/>
  <c r="H524" i="1"/>
  <c r="M58" i="3"/>
  <c r="N62" i="3"/>
  <c r="J384" i="1"/>
  <c r="Q393" i="1"/>
  <c r="O393" i="1"/>
  <c r="Q390" i="1"/>
  <c r="O390" i="1"/>
  <c r="Q392" i="1"/>
  <c r="O392" i="1"/>
  <c r="Q389" i="1"/>
  <c r="O389" i="1"/>
  <c r="P384" i="1"/>
  <c r="O385" i="1" l="1"/>
  <c r="O384" i="1" s="1"/>
  <c r="N233" i="3"/>
  <c r="N231" i="3" s="1"/>
  <c r="L231" i="3"/>
  <c r="H523" i="1"/>
  <c r="C164" i="3" s="1"/>
  <c r="C233" i="3"/>
  <c r="N165" i="3"/>
  <c r="N120" i="3"/>
  <c r="N118" i="3" s="1"/>
  <c r="M118" i="3"/>
  <c r="D55" i="3"/>
  <c r="D120" i="3"/>
  <c r="D118" i="3" s="1"/>
  <c r="C55" i="3"/>
  <c r="M56" i="3"/>
  <c r="M55" i="3" s="1"/>
  <c r="N61" i="3"/>
  <c r="C67" i="3"/>
  <c r="C66" i="3" s="1"/>
  <c r="Q432" i="1"/>
  <c r="O432" i="1"/>
  <c r="O430" i="1" s="1"/>
  <c r="E74" i="3"/>
  <c r="F74" i="3"/>
  <c r="G74" i="3"/>
  <c r="H74" i="3"/>
  <c r="J74" i="3"/>
  <c r="K74" i="3"/>
  <c r="L74" i="3"/>
  <c r="Q533" i="1"/>
  <c r="R533" i="1"/>
  <c r="S533" i="1"/>
  <c r="I534" i="1"/>
  <c r="I533" i="1" s="1"/>
  <c r="K534" i="1"/>
  <c r="M534" i="1"/>
  <c r="M533" i="1" s="1"/>
  <c r="N534" i="1"/>
  <c r="N533" i="1" s="1"/>
  <c r="P533" i="1"/>
  <c r="H534" i="1"/>
  <c r="J535" i="1"/>
  <c r="J534" i="1" s="1"/>
  <c r="J533" i="1" s="1"/>
  <c r="I450" i="1"/>
  <c r="I449" i="1" s="1"/>
  <c r="K450" i="1"/>
  <c r="M450" i="1"/>
  <c r="M449" i="1" s="1"/>
  <c r="N450" i="1"/>
  <c r="N449" i="1" s="1"/>
  <c r="Q459" i="1"/>
  <c r="Q458" i="1"/>
  <c r="J458" i="1"/>
  <c r="Q457" i="1"/>
  <c r="Q456" i="1"/>
  <c r="J456" i="1"/>
  <c r="Q455" i="1"/>
  <c r="Q454" i="1"/>
  <c r="Q451" i="1"/>
  <c r="Q452" i="1"/>
  <c r="L450" i="1"/>
  <c r="L449" i="1" s="1"/>
  <c r="J453" i="1"/>
  <c r="K449" i="1" l="1"/>
  <c r="D144" i="3"/>
  <c r="I74" i="3"/>
  <c r="H533" i="1"/>
  <c r="C236" i="3" s="1"/>
  <c r="C75" i="3"/>
  <c r="N55" i="3"/>
  <c r="N58" i="3"/>
  <c r="D75" i="3"/>
  <c r="J450" i="1"/>
  <c r="J449" i="1" s="1"/>
  <c r="K533" i="1"/>
  <c r="Q453" i="1"/>
  <c r="D74" i="3" l="1"/>
  <c r="D236" i="3"/>
  <c r="C74" i="3"/>
  <c r="M75" i="3"/>
  <c r="N75" i="3" s="1"/>
  <c r="N74" i="3" s="1"/>
  <c r="N56" i="3"/>
  <c r="I205" i="1"/>
  <c r="J205" i="1"/>
  <c r="K205" i="1"/>
  <c r="L205" i="1"/>
  <c r="M205" i="1"/>
  <c r="N205" i="1"/>
  <c r="O205" i="1"/>
  <c r="P205" i="1"/>
  <c r="H205" i="1"/>
  <c r="Q488" i="1"/>
  <c r="O488" i="1"/>
  <c r="I486" i="1"/>
  <c r="I485" i="1" s="1"/>
  <c r="J486" i="1"/>
  <c r="J485" i="1" s="1"/>
  <c r="K486" i="1"/>
  <c r="L486" i="1"/>
  <c r="M486" i="1"/>
  <c r="M485" i="1" s="1"/>
  <c r="N486" i="1"/>
  <c r="N485" i="1" s="1"/>
  <c r="H486" i="1"/>
  <c r="P486" i="1"/>
  <c r="P485" i="1" s="1"/>
  <c r="Q489" i="1"/>
  <c r="Q490" i="1"/>
  <c r="Q487" i="1"/>
  <c r="O490" i="1"/>
  <c r="O487" i="1"/>
  <c r="O489" i="1"/>
  <c r="D89" i="3" l="1"/>
  <c r="H485" i="1"/>
  <c r="C89" i="3"/>
  <c r="D9" i="3"/>
  <c r="M74" i="3"/>
  <c r="M9" i="3"/>
  <c r="K485" i="1"/>
  <c r="L485" i="1"/>
  <c r="N53" i="3"/>
  <c r="C9" i="3"/>
  <c r="O486" i="1"/>
  <c r="O485" i="1" s="1"/>
  <c r="C88" i="3" l="1"/>
  <c r="D88" i="3"/>
  <c r="Q355" i="1"/>
  <c r="Q354" i="1"/>
  <c r="Q359" i="1"/>
  <c r="Q356" i="1"/>
  <c r="Q358" i="1"/>
  <c r="Q361" i="1"/>
  <c r="Q357" i="1"/>
  <c r="Q362" i="1"/>
  <c r="O355" i="1"/>
  <c r="O354" i="1"/>
  <c r="O359" i="1"/>
  <c r="O356" i="1"/>
  <c r="O358" i="1"/>
  <c r="O361" i="1"/>
  <c r="O357" i="1"/>
  <c r="O362" i="1"/>
  <c r="L353" i="1"/>
  <c r="N41" i="3" l="1"/>
  <c r="N40" i="3" s="1"/>
  <c r="Q431" i="1"/>
  <c r="Q429" i="1"/>
  <c r="R429" i="1"/>
  <c r="I429" i="1"/>
  <c r="J429" i="1"/>
  <c r="D67" i="3"/>
  <c r="D66" i="3" s="1"/>
  <c r="M429" i="1"/>
  <c r="N429" i="1"/>
  <c r="O429" i="1"/>
  <c r="P429" i="1"/>
  <c r="Q265" i="1"/>
  <c r="Q266" i="1"/>
  <c r="Q267" i="1"/>
  <c r="Q260" i="1"/>
  <c r="R260" i="1"/>
  <c r="I260" i="1"/>
  <c r="J260" i="1"/>
  <c r="K260" i="1"/>
  <c r="M260" i="1"/>
  <c r="N260" i="1"/>
  <c r="O260" i="1"/>
  <c r="P260" i="1"/>
  <c r="C14" i="3"/>
  <c r="L260" i="1" l="1"/>
  <c r="H429" i="1"/>
  <c r="C136" i="3" s="1"/>
  <c r="L429" i="1"/>
  <c r="M136" i="3" s="1"/>
  <c r="K429" i="1"/>
  <c r="D136" i="3" s="1"/>
  <c r="D167" i="3"/>
  <c r="C167" i="3"/>
  <c r="N136" i="3" l="1"/>
  <c r="N134" i="3" s="1"/>
  <c r="M134" i="3"/>
  <c r="M15" i="3"/>
  <c r="M14" i="3" s="1"/>
  <c r="N38" i="3"/>
  <c r="D77" i="3"/>
  <c r="D76" i="3" s="1"/>
  <c r="C77" i="3"/>
  <c r="C76" i="3" s="1"/>
  <c r="I532" i="1"/>
  <c r="I521" i="1" s="1"/>
  <c r="J532" i="1"/>
  <c r="J521" i="1" s="1"/>
  <c r="N532" i="1"/>
  <c r="N521" i="1" s="1"/>
  <c r="P532" i="1"/>
  <c r="P521" i="1" s="1"/>
  <c r="M8" i="3"/>
  <c r="P188" i="1"/>
  <c r="C8" i="3"/>
  <c r="N78" i="3" l="1"/>
  <c r="V564" i="2"/>
  <c r="M532" i="1"/>
  <c r="M521" i="1" s="1"/>
  <c r="D8" i="3"/>
  <c r="Q334" i="1"/>
  <c r="Q333" i="1"/>
  <c r="D38" i="3"/>
  <c r="C38" i="3"/>
  <c r="O333" i="1"/>
  <c r="O216" i="1"/>
  <c r="Q481" i="1"/>
  <c r="I480" i="1"/>
  <c r="I479" i="1" s="1"/>
  <c r="J480" i="1"/>
  <c r="J479" i="1" s="1"/>
  <c r="K480" i="1"/>
  <c r="M480" i="1"/>
  <c r="M479" i="1" s="1"/>
  <c r="N480" i="1"/>
  <c r="N479" i="1" s="1"/>
  <c r="O480" i="1"/>
  <c r="O479" i="1" s="1"/>
  <c r="P480" i="1"/>
  <c r="P479" i="1" s="1"/>
  <c r="H480" i="1"/>
  <c r="H479" i="1" s="1"/>
  <c r="Q381" i="1"/>
  <c r="Q327" i="1"/>
  <c r="Q328" i="1"/>
  <c r="Q330" i="1"/>
  <c r="Q326" i="1"/>
  <c r="Q322" i="1"/>
  <c r="C85" i="3" l="1"/>
  <c r="M77" i="3"/>
  <c r="M76" i="3" s="1"/>
  <c r="M167" i="3"/>
  <c r="H532" i="1"/>
  <c r="H521" i="1" s="1"/>
  <c r="K532" i="1"/>
  <c r="K521" i="1" s="1"/>
  <c r="D10" i="3"/>
  <c r="K479" i="1"/>
  <c r="L480" i="1"/>
  <c r="M214" i="3" s="1"/>
  <c r="Q482" i="1"/>
  <c r="C10" i="3"/>
  <c r="Q315" i="1"/>
  <c r="Q313" i="1"/>
  <c r="Q309" i="1"/>
  <c r="Q283" i="1"/>
  <c r="Q245" i="1"/>
  <c r="Q246" i="1"/>
  <c r="Q247" i="1"/>
  <c r="Q507" i="1"/>
  <c r="Q508" i="1"/>
  <c r="Q509" i="1"/>
  <c r="Q510" i="1"/>
  <c r="Q505" i="1"/>
  <c r="Q504" i="1"/>
  <c r="Q506" i="1"/>
  <c r="Q500" i="1"/>
  <c r="Q502" i="1"/>
  <c r="Q501" i="1"/>
  <c r="Q478" i="1"/>
  <c r="Q447" i="1"/>
  <c r="Q368" i="1"/>
  <c r="Q340" i="1"/>
  <c r="D85" i="3" l="1"/>
  <c r="N77" i="3"/>
  <c r="N76" i="3" s="1"/>
  <c r="N167" i="3"/>
  <c r="N164" i="3" s="1"/>
  <c r="M164" i="3"/>
  <c r="L479" i="1"/>
  <c r="N85" i="3" s="1"/>
  <c r="D31" i="3" l="1"/>
  <c r="C31" i="3"/>
  <c r="E37" i="3"/>
  <c r="F37" i="3"/>
  <c r="G37" i="3"/>
  <c r="I37" i="3" s="1"/>
  <c r="J37" i="3"/>
  <c r="K37" i="3"/>
  <c r="L37" i="3"/>
  <c r="I336" i="1"/>
  <c r="J336" i="1"/>
  <c r="K336" i="1"/>
  <c r="D39" i="3" s="1"/>
  <c r="M336" i="1"/>
  <c r="N336" i="1"/>
  <c r="O336" i="1"/>
  <c r="P336" i="1"/>
  <c r="H336" i="1"/>
  <c r="L337" i="1"/>
  <c r="H321" i="1"/>
  <c r="M31" i="3" l="1"/>
  <c r="N31" i="3" s="1"/>
  <c r="L336" i="1"/>
  <c r="Q337" i="1"/>
  <c r="C39" i="3"/>
  <c r="H331" i="1"/>
  <c r="I321" i="1"/>
  <c r="J321" i="1"/>
  <c r="K321" i="1"/>
  <c r="L321" i="1"/>
  <c r="M321" i="1"/>
  <c r="N321" i="1"/>
  <c r="P321" i="1"/>
  <c r="C34" i="3"/>
  <c r="O321" i="1"/>
  <c r="M34" i="3" l="1"/>
  <c r="N34" i="3" s="1"/>
  <c r="N33" i="3" s="1"/>
  <c r="M39" i="3"/>
  <c r="M37" i="3" s="1"/>
  <c r="C37" i="3"/>
  <c r="D30" i="3"/>
  <c r="C30" i="3"/>
  <c r="I314" i="1"/>
  <c r="I307" i="1" s="1"/>
  <c r="J314" i="1"/>
  <c r="J307" i="1" s="1"/>
  <c r="K314" i="1"/>
  <c r="L314" i="1"/>
  <c r="M314" i="1"/>
  <c r="M307" i="1" s="1"/>
  <c r="O314" i="1"/>
  <c r="P314" i="1"/>
  <c r="H314" i="1"/>
  <c r="N314" i="1"/>
  <c r="N307" i="1" s="1"/>
  <c r="D26" i="3"/>
  <c r="C26" i="3"/>
  <c r="O313" i="1"/>
  <c r="O312" i="1" s="1"/>
  <c r="O307" i="1" l="1"/>
  <c r="L307" i="1"/>
  <c r="C29" i="3"/>
  <c r="H307" i="1"/>
  <c r="D29" i="3"/>
  <c r="K307" i="1"/>
  <c r="N39" i="3"/>
  <c r="N37" i="3" s="1"/>
  <c r="M33" i="3"/>
  <c r="M29" i="3"/>
  <c r="N29" i="3" s="1"/>
  <c r="M28" i="3"/>
  <c r="N28" i="3" s="1"/>
  <c r="M26" i="3"/>
  <c r="M30" i="3"/>
  <c r="N30" i="3" s="1"/>
  <c r="P309" i="1"/>
  <c r="P308" i="1" s="1"/>
  <c r="P307" i="1" s="1"/>
  <c r="M11" i="3"/>
  <c r="D28" i="3"/>
  <c r="C28" i="3"/>
  <c r="D25" i="3" l="1"/>
  <c r="C25" i="3"/>
  <c r="M25" i="3"/>
  <c r="N26" i="3"/>
  <c r="N25" i="3" s="1"/>
  <c r="D21" i="3"/>
  <c r="D20" i="3" s="1"/>
  <c r="N17" i="3" l="1"/>
  <c r="N16" i="3" s="1"/>
  <c r="E46" i="3"/>
  <c r="F46" i="3"/>
  <c r="G46" i="3"/>
  <c r="H46" i="3"/>
  <c r="J46" i="3"/>
  <c r="K46" i="3"/>
  <c r="E48" i="3"/>
  <c r="F48" i="3"/>
  <c r="G48" i="3"/>
  <c r="H48" i="3"/>
  <c r="J48" i="3"/>
  <c r="K48" i="3"/>
  <c r="L48" i="3"/>
  <c r="I363" i="1"/>
  <c r="K363" i="1"/>
  <c r="M49" i="3"/>
  <c r="M363" i="1"/>
  <c r="M362" i="1" s="1"/>
  <c r="N363" i="1"/>
  <c r="N362" i="1" s="1"/>
  <c r="P363" i="1"/>
  <c r="P362" i="1" s="1"/>
  <c r="J363" i="1"/>
  <c r="I46" i="3" l="1"/>
  <c r="I48" i="3"/>
  <c r="D49" i="3"/>
  <c r="D48" i="3" s="1"/>
  <c r="O364" i="1"/>
  <c r="O363" i="1" s="1"/>
  <c r="M48" i="3"/>
  <c r="N49" i="3"/>
  <c r="N48" i="3" s="1"/>
  <c r="N15" i="3"/>
  <c r="N14" i="3" s="1"/>
  <c r="L363" i="1"/>
  <c r="C48" i="3"/>
  <c r="E33" i="3"/>
  <c r="F33" i="3"/>
  <c r="G33" i="3"/>
  <c r="H33" i="3"/>
  <c r="J33" i="3"/>
  <c r="K33" i="3"/>
  <c r="L33" i="3"/>
  <c r="I320" i="1"/>
  <c r="J320" i="1"/>
  <c r="K320" i="1"/>
  <c r="M320" i="1"/>
  <c r="N320" i="1"/>
  <c r="O320" i="1"/>
  <c r="P320" i="1"/>
  <c r="H320" i="1"/>
  <c r="D33" i="3" l="1"/>
  <c r="I33" i="3"/>
  <c r="C33" i="3"/>
  <c r="D34" i="3"/>
  <c r="L320" i="1"/>
  <c r="N109" i="3" s="1"/>
  <c r="O507" i="1"/>
  <c r="O508" i="1"/>
  <c r="O509" i="1"/>
  <c r="O510" i="1"/>
  <c r="O505" i="1"/>
  <c r="O504" i="1"/>
  <c r="O506" i="1"/>
  <c r="O503" i="1" l="1"/>
  <c r="N11" i="3"/>
  <c r="C101" i="3"/>
  <c r="D101" i="3"/>
  <c r="I353" i="1"/>
  <c r="I352" i="1" s="1"/>
  <c r="J353" i="1"/>
  <c r="J352" i="1" s="1"/>
  <c r="K353" i="1"/>
  <c r="L352" i="1"/>
  <c r="H353" i="1"/>
  <c r="C40" i="7" s="1"/>
  <c r="C9" i="7" s="1"/>
  <c r="C7" i="7" s="1"/>
  <c r="K352" i="1" l="1"/>
  <c r="D40" i="7"/>
  <c r="D9" i="7" s="1"/>
  <c r="D7" i="7" s="1"/>
  <c r="M47" i="3"/>
  <c r="N47" i="3" s="1"/>
  <c r="N46" i="3" s="1"/>
  <c r="H352" i="1"/>
  <c r="C47" i="3"/>
  <c r="O353" i="1"/>
  <c r="O352" i="1" s="1"/>
  <c r="D47" i="3"/>
  <c r="M46" i="3" l="1"/>
  <c r="N9" i="3"/>
  <c r="L46" i="3"/>
  <c r="D46" i="3"/>
  <c r="C46" i="3"/>
  <c r="E35" i="3"/>
  <c r="F35" i="3"/>
  <c r="G35" i="3"/>
  <c r="I35" i="3" s="1"/>
  <c r="J35" i="3"/>
  <c r="K35" i="3"/>
  <c r="L35" i="3"/>
  <c r="N8" i="3" l="1"/>
  <c r="N7" i="3"/>
  <c r="I325" i="1"/>
  <c r="I324" i="1" s="1"/>
  <c r="J325" i="1"/>
  <c r="J324" i="1" s="1"/>
  <c r="K325" i="1"/>
  <c r="L325" i="1"/>
  <c r="N325" i="1"/>
  <c r="N324" i="1" s="1"/>
  <c r="O325" i="1"/>
  <c r="O324" i="1" s="1"/>
  <c r="H325" i="1"/>
  <c r="M36" i="3" l="1"/>
  <c r="N36" i="3" s="1"/>
  <c r="N35" i="3" s="1"/>
  <c r="L324" i="1"/>
  <c r="C36" i="3"/>
  <c r="H324" i="1"/>
  <c r="D36" i="3"/>
  <c r="K324" i="1"/>
  <c r="E68" i="3"/>
  <c r="F68" i="3"/>
  <c r="G68" i="3"/>
  <c r="H68" i="3"/>
  <c r="J68" i="3"/>
  <c r="K68" i="3"/>
  <c r="D69" i="3"/>
  <c r="M69" i="3"/>
  <c r="C69" i="3"/>
  <c r="J443" i="1"/>
  <c r="K443" i="1"/>
  <c r="D71" i="3" s="1"/>
  <c r="L443" i="1"/>
  <c r="M443" i="1"/>
  <c r="N443" i="1"/>
  <c r="P443" i="1"/>
  <c r="H443" i="1"/>
  <c r="C71" i="3" s="1"/>
  <c r="O443" i="1"/>
  <c r="D35" i="3" l="1"/>
  <c r="I68" i="3"/>
  <c r="M35" i="3"/>
  <c r="C35" i="3"/>
  <c r="N69" i="3"/>
  <c r="I443" i="1"/>
  <c r="Q444" i="1"/>
  <c r="L68" i="3"/>
  <c r="I441" i="1"/>
  <c r="J441" i="1"/>
  <c r="J434" i="1" s="1"/>
  <c r="K441" i="1"/>
  <c r="L441" i="1"/>
  <c r="M441" i="1"/>
  <c r="M434" i="1" s="1"/>
  <c r="N441" i="1"/>
  <c r="O441" i="1"/>
  <c r="P441" i="1"/>
  <c r="P434" i="1" s="1"/>
  <c r="H434" i="1"/>
  <c r="M70" i="3" l="1"/>
  <c r="N70" i="3" s="1"/>
  <c r="N68" i="3" s="1"/>
  <c r="I434" i="1"/>
  <c r="C68" i="3"/>
  <c r="O434" i="1"/>
  <c r="L434" i="1"/>
  <c r="C70" i="3"/>
  <c r="D70" i="3"/>
  <c r="K434" i="1"/>
  <c r="D68" i="3" s="1"/>
  <c r="M68" i="3" l="1"/>
  <c r="J51" i="3"/>
  <c r="K51" i="3"/>
  <c r="I380" i="1"/>
  <c r="I376" i="1" s="1"/>
  <c r="J380" i="1"/>
  <c r="J376" i="1" s="1"/>
  <c r="K380" i="1"/>
  <c r="M380" i="1"/>
  <c r="M376" i="1" s="1"/>
  <c r="N380" i="1"/>
  <c r="N376" i="1" s="1"/>
  <c r="O380" i="1"/>
  <c r="O376" i="1" s="1"/>
  <c r="P380" i="1"/>
  <c r="P376" i="1" s="1"/>
  <c r="H380" i="1"/>
  <c r="K376" i="1" l="1"/>
  <c r="H376" i="1"/>
  <c r="C53" i="3"/>
  <c r="D53" i="3"/>
  <c r="D51" i="3" s="1"/>
  <c r="L51" i="3"/>
  <c r="C51" i="3" l="1"/>
  <c r="O245" i="1"/>
  <c r="O246" i="1"/>
  <c r="O247" i="1"/>
  <c r="N499" i="1"/>
  <c r="N496" i="1" s="1"/>
  <c r="J499" i="1"/>
  <c r="J496" i="1" s="1"/>
  <c r="I499" i="1"/>
  <c r="I496" i="1" s="1"/>
  <c r="K499" i="1"/>
  <c r="K496" i="1" s="1"/>
  <c r="L499" i="1"/>
  <c r="L496" i="1" s="1"/>
  <c r="M499" i="1"/>
  <c r="M496" i="1" s="1"/>
  <c r="O499" i="1"/>
  <c r="O496" i="1" s="1"/>
  <c r="P499" i="1"/>
  <c r="P496" i="1" s="1"/>
  <c r="H499" i="1"/>
  <c r="H496" i="1" s="1"/>
  <c r="E72" i="3"/>
  <c r="F72" i="3"/>
  <c r="G72" i="3"/>
  <c r="H72" i="3"/>
  <c r="J72" i="3"/>
  <c r="K72" i="3"/>
  <c r="L72" i="3"/>
  <c r="I445" i="1"/>
  <c r="J445" i="1"/>
  <c r="D73" i="3"/>
  <c r="D72" i="3" s="1"/>
  <c r="M445" i="1"/>
  <c r="N445" i="1"/>
  <c r="P445" i="1"/>
  <c r="H445" i="1"/>
  <c r="O447" i="1"/>
  <c r="D62" i="3"/>
  <c r="C62" i="3"/>
  <c r="I282" i="1"/>
  <c r="I281" i="1" s="1"/>
  <c r="J282" i="1"/>
  <c r="J281" i="1" s="1"/>
  <c r="K282" i="1"/>
  <c r="L282" i="1"/>
  <c r="M282" i="1"/>
  <c r="M281" i="1" s="1"/>
  <c r="N282" i="1"/>
  <c r="N281" i="1" s="1"/>
  <c r="O282" i="1"/>
  <c r="O281" i="1" s="1"/>
  <c r="P282" i="1"/>
  <c r="P281" i="1" s="1"/>
  <c r="H282" i="1"/>
  <c r="I477" i="1"/>
  <c r="I476" i="1" s="1"/>
  <c r="J477" i="1"/>
  <c r="J476" i="1" s="1"/>
  <c r="K477" i="1"/>
  <c r="L477" i="1"/>
  <c r="M213" i="3" s="1"/>
  <c r="M477" i="1"/>
  <c r="M476" i="1" s="1"/>
  <c r="N477" i="1"/>
  <c r="N476" i="1" s="1"/>
  <c r="P477" i="1"/>
  <c r="P476" i="1" s="1"/>
  <c r="P471" i="1" s="1"/>
  <c r="P470" i="1" s="1"/>
  <c r="H477" i="1"/>
  <c r="O478" i="1"/>
  <c r="O477" i="1" s="1"/>
  <c r="O476" i="1" s="1"/>
  <c r="D61" i="3"/>
  <c r="C61" i="3"/>
  <c r="C40" i="3"/>
  <c r="E40" i="3"/>
  <c r="F40" i="3"/>
  <c r="J40" i="3"/>
  <c r="K40" i="3"/>
  <c r="O340" i="1"/>
  <c r="I331" i="1"/>
  <c r="J331" i="1"/>
  <c r="K331" i="1"/>
  <c r="D37" i="3" s="1"/>
  <c r="L331" i="1"/>
  <c r="N331" i="1"/>
  <c r="O334" i="1"/>
  <c r="O332" i="1" s="1"/>
  <c r="D16" i="3"/>
  <c r="E16" i="3"/>
  <c r="F16" i="3"/>
  <c r="G16" i="3"/>
  <c r="J16" i="3"/>
  <c r="K16" i="3"/>
  <c r="L16" i="3"/>
  <c r="C16" i="3"/>
  <c r="C19" i="3" l="1"/>
  <c r="C18" i="3" s="1"/>
  <c r="D19" i="3"/>
  <c r="D18" i="3" s="1"/>
  <c r="O244" i="1"/>
  <c r="C213" i="3"/>
  <c r="C211" i="3" s="1"/>
  <c r="C151" i="3"/>
  <c r="N213" i="3"/>
  <c r="N211" i="3" s="1"/>
  <c r="M211" i="3"/>
  <c r="K476" i="1"/>
  <c r="D213" i="3"/>
  <c r="D211" i="3" s="1"/>
  <c r="D151" i="3"/>
  <c r="K6" i="3"/>
  <c r="I16" i="3"/>
  <c r="G6" i="3"/>
  <c r="I72" i="3"/>
  <c r="H6" i="3"/>
  <c r="J6" i="3"/>
  <c r="E6" i="3"/>
  <c r="F6" i="3"/>
  <c r="O339" i="1"/>
  <c r="O338" i="1" s="1"/>
  <c r="O446" i="1"/>
  <c r="O445" i="1" s="1"/>
  <c r="L281" i="1"/>
  <c r="M19" i="3"/>
  <c r="M18" i="3" s="1"/>
  <c r="O331" i="1"/>
  <c r="P331" i="1"/>
  <c r="P330" i="1" s="1"/>
  <c r="M331" i="1"/>
  <c r="L445" i="1"/>
  <c r="C73" i="3"/>
  <c r="K445" i="1"/>
  <c r="K281" i="1"/>
  <c r="H281" i="1"/>
  <c r="L476" i="1"/>
  <c r="H476" i="1"/>
  <c r="C83" i="3" l="1"/>
  <c r="M73" i="3"/>
  <c r="M72" i="3" s="1"/>
  <c r="D83" i="3"/>
  <c r="P328" i="1"/>
  <c r="P329" i="1"/>
  <c r="I6" i="3"/>
  <c r="C72" i="3"/>
  <c r="N19" i="3"/>
  <c r="N18" i="3" s="1"/>
  <c r="N73" i="3" l="1"/>
  <c r="N72" i="3" s="1"/>
  <c r="P327" i="1"/>
  <c r="P326" i="1" s="1"/>
  <c r="P325" i="1" s="1"/>
  <c r="P324" i="1" s="1"/>
  <c r="I469" i="1"/>
  <c r="J469" i="1"/>
  <c r="K469" i="1"/>
  <c r="L469" i="1"/>
  <c r="M469" i="1"/>
  <c r="N469" i="1"/>
  <c r="P469" i="1"/>
  <c r="H469" i="1"/>
  <c r="D58" i="3"/>
  <c r="J18" i="1"/>
  <c r="J16" i="1" s="1"/>
  <c r="K18" i="1"/>
  <c r="K16" i="1" s="1"/>
  <c r="C81" i="3" l="1"/>
  <c r="D81" i="3"/>
  <c r="I18" i="1"/>
  <c r="I16" i="1" s="1"/>
  <c r="H18" i="1"/>
  <c r="H16" i="1" s="1"/>
  <c r="M12" i="3"/>
  <c r="C58" i="3"/>
  <c r="O469" i="1"/>
  <c r="N12" i="3" l="1"/>
  <c r="D6" i="3" l="1"/>
  <c r="L534" i="1" l="1"/>
  <c r="L533" i="1" l="1"/>
  <c r="O534" i="1"/>
  <c r="O533" i="1" s="1"/>
  <c r="Q297" i="1"/>
  <c r="C7" i="3"/>
  <c r="Q298" i="1"/>
  <c r="Q290" i="1"/>
  <c r="Q292" i="1"/>
  <c r="Q296" i="1"/>
  <c r="Q293" i="1"/>
  <c r="Q286" i="1"/>
  <c r="Q289" i="1"/>
  <c r="Q294" i="1"/>
  <c r="L532" i="1" l="1"/>
  <c r="O532" i="1"/>
  <c r="O521" i="1" s="1"/>
  <c r="Q288" i="1"/>
  <c r="Q295" i="1"/>
  <c r="Q291" i="1"/>
  <c r="Q299" i="1"/>
  <c r="L521" i="1" l="1"/>
  <c r="Q287" i="1"/>
  <c r="N237" i="3" l="1"/>
  <c r="N236" i="3" s="1"/>
  <c r="M236" i="3"/>
  <c r="Q305" i="1"/>
  <c r="L304" i="1"/>
  <c r="O304" i="1"/>
  <c r="O303" i="1" s="1"/>
  <c r="L303" i="1" l="1"/>
  <c r="M23" i="3" l="1"/>
  <c r="M24" i="3"/>
  <c r="N24" i="3" s="1"/>
  <c r="N23" i="3" s="1"/>
  <c r="M21" i="3" l="1"/>
  <c r="N21" i="3" l="1"/>
  <c r="N20" i="3" s="1"/>
  <c r="M20" i="3"/>
  <c r="M6" i="3" s="1"/>
  <c r="C21" i="3" l="1"/>
  <c r="C20" i="3" l="1"/>
  <c r="C6" i="3" l="1"/>
  <c r="M247" i="1"/>
  <c r="M246" i="1" s="1"/>
  <c r="M245" i="1" s="1"/>
  <c r="M244" i="1" s="1"/>
  <c r="M361" i="1"/>
  <c r="P361" i="1"/>
  <c r="N361" i="1"/>
  <c r="M358" i="1" l="1"/>
  <c r="M359" i="1"/>
  <c r="N359" i="1"/>
  <c r="N358" i="1"/>
  <c r="P359" i="1"/>
  <c r="P358" i="1"/>
  <c r="M357" i="1" l="1"/>
  <c r="M356" i="1" s="1"/>
  <c r="M355" i="1" s="1"/>
  <c r="M354" i="1" s="1"/>
  <c r="M353" i="1" s="1"/>
  <c r="M352" i="1" s="1"/>
  <c r="M18" i="1" s="1"/>
  <c r="M16" i="1" s="1"/>
  <c r="P357" i="1"/>
  <c r="P356" i="1" s="1"/>
  <c r="P355" i="1" s="1"/>
  <c r="P354" i="1" s="1"/>
  <c r="P353" i="1" s="1"/>
  <c r="P352" i="1" s="1"/>
  <c r="N357" i="1"/>
  <c r="N356" i="1" s="1"/>
  <c r="N355" i="1" s="1"/>
  <c r="N354" i="1" s="1"/>
  <c r="N353" i="1" s="1"/>
  <c r="N352" i="1" s="1"/>
  <c r="P16" i="1" l="1"/>
  <c r="P18" i="1"/>
  <c r="N434" i="1"/>
  <c r="N18" i="1" s="1"/>
  <c r="N16" i="1" s="1"/>
  <c r="O208" i="1"/>
  <c r="Q209" i="1"/>
  <c r="O209" i="1"/>
  <c r="O210" i="1"/>
  <c r="O211" i="1"/>
  <c r="O212" i="1"/>
  <c r="O213" i="1"/>
  <c r="O214" i="1"/>
  <c r="O215" i="1"/>
  <c r="O217" i="1"/>
  <c r="O218" i="1"/>
  <c r="O219" i="1"/>
  <c r="L18" i="1"/>
  <c r="L16" i="1" s="1"/>
  <c r="N6" i="3"/>
  <c r="O207" i="1" l="1"/>
  <c r="O18" i="1" s="1"/>
  <c r="O16" i="1" s="1"/>
  <c r="L6" i="3"/>
  <c r="F13" i="7" l="1"/>
  <c r="F9" i="7" s="1"/>
  <c r="F101" i="7" l="1"/>
  <c r="F97" i="7" s="1"/>
  <c r="F7" i="7" s="1"/>
  <c r="M261" i="5"/>
  <c r="M16" i="5" s="1"/>
  <c r="M14" i="5" s="1"/>
  <c r="M603" i="5"/>
  <c r="M455" i="5" s="1"/>
  <c r="N603" i="5"/>
  <c r="N455" i="5" s="1"/>
  <c r="Q603" i="5" l="1"/>
  <c r="Q455" i="5" s="1"/>
  <c r="N819" i="5"/>
  <c r="N718" i="5" s="1"/>
  <c r="M819" i="5"/>
  <c r="M718" i="5" s="1"/>
  <c r="Q819" i="5"/>
  <c r="Q718" i="5" s="1"/>
  <c r="C1195" i="6" l="1"/>
  <c r="C1192" i="6" s="1"/>
  <c r="R1397" i="5"/>
  <c r="O1397" i="5"/>
  <c r="R1398" i="5"/>
  <c r="O1398" i="5"/>
  <c r="R1400" i="5"/>
  <c r="O1402" i="5"/>
  <c r="R1402" i="5"/>
  <c r="O1403" i="5"/>
  <c r="R1403" i="5"/>
  <c r="O1406" i="5"/>
  <c r="R1399" i="5"/>
  <c r="O1399" i="5"/>
  <c r="L921" i="5"/>
  <c r="O1407" i="5"/>
  <c r="O1400" i="5"/>
  <c r="C900" i="6" l="1"/>
  <c r="O1394" i="5"/>
  <c r="O1393" i="5" l="1"/>
  <c r="O923" i="5" l="1"/>
  <c r="O921" i="5" s="1"/>
</calcChain>
</file>

<file path=xl/comments1.xml><?xml version="1.0" encoding="utf-8"?>
<comments xmlns="http://schemas.openxmlformats.org/spreadsheetml/2006/main">
  <authors>
    <author>Ольга Костоусова</author>
  </authors>
  <commentList>
    <comment ref="I1554" authorId="0" shapeId="0">
      <text>
        <r>
          <rPr>
            <b/>
            <sz val="9"/>
            <color indexed="81"/>
            <rFont val="Tahoma"/>
            <family val="2"/>
            <charset val="204"/>
          </rPr>
          <t>Ольга Костоусова: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исправила</t>
        </r>
      </text>
    </comment>
    <comment ref="J1554" authorId="0" shapeId="0">
      <text>
        <r>
          <rPr>
            <b/>
            <sz val="9"/>
            <color indexed="81"/>
            <rFont val="Tahoma"/>
            <family val="2"/>
            <charset val="204"/>
          </rPr>
          <t>Ольга Костоусова: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исправила</t>
        </r>
      </text>
    </comment>
    <comment ref="I1581" authorId="0" shapeId="0">
      <text>
        <r>
          <rPr>
            <b/>
            <sz val="9"/>
            <color indexed="81"/>
            <rFont val="Tahoma"/>
            <family val="2"/>
            <charset val="204"/>
          </rPr>
          <t>Ольга Костоусова: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5 409,00 верная площадь. Жду акт</t>
        </r>
      </text>
    </comment>
  </commentList>
</comments>
</file>

<file path=xl/comments2.xml><?xml version="1.0" encoding="utf-8"?>
<comments xmlns="http://schemas.openxmlformats.org/spreadsheetml/2006/main">
  <authors>
    <author>Ершова Юлия Игоревна</author>
    <author>Ольга Костоусова</author>
  </authors>
  <commentList>
    <comment ref="X751" authorId="0" shapeId="0">
      <text>
        <r>
          <rPr>
            <b/>
            <sz val="9"/>
            <color indexed="81"/>
            <rFont val="Tahoma"/>
            <family val="2"/>
            <charset val="204"/>
          </rPr>
          <t>Ершова Юлия Игоревна:</t>
        </r>
        <r>
          <rPr>
            <sz val="9"/>
            <color indexed="81"/>
            <rFont val="Tahoma"/>
            <family val="2"/>
            <charset val="204"/>
          </rPr>
          <t xml:space="preserve">
фундамент</t>
        </r>
      </text>
    </comment>
    <comment ref="S1340" authorId="1" shapeId="0">
      <text>
        <r>
          <rPr>
            <b/>
            <sz val="9"/>
            <color indexed="81"/>
            <rFont val="Tahoma"/>
            <family val="2"/>
            <charset val="204"/>
          </rPr>
          <t>Ольга Костоусова: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<sst xmlns="http://schemas.openxmlformats.org/spreadsheetml/2006/main" count="11281" uniqueCount="2622">
  <si>
    <t>№ п/п</t>
  </si>
  <si>
    <t>Год</t>
  </si>
  <si>
    <t>Материал стен</t>
  </si>
  <si>
    <t>Количество этажей</t>
  </si>
  <si>
    <t>Количество подъездов</t>
  </si>
  <si>
    <t>Площадь помещений МКД:</t>
  </si>
  <si>
    <t>Количество жителей, зарегистрированных в МКД на дату утверждения краткосрочного плана</t>
  </si>
  <si>
    <t>Стоимость капитального ремонта</t>
  </si>
  <si>
    <t>Удельная стоимость капитального ремонта 1 кв. м общей площади помещений МКД</t>
  </si>
  <si>
    <t>Предельная стоимость капитального ремонта 1 кв. м общей площади помещений МКД</t>
  </si>
  <si>
    <t>Плановая дата завершения работ</t>
  </si>
  <si>
    <t>ввода в эксплуатацию</t>
  </si>
  <si>
    <t>всего:</t>
  </si>
  <si>
    <t>в том числе жилых помещений, находящихся в собственности граждан</t>
  </si>
  <si>
    <t>за счет средств местного бюджета</t>
  </si>
  <si>
    <t>за счет средств собственников помещений в МКД</t>
  </si>
  <si>
    <t>чел.</t>
  </si>
  <si>
    <t>руб.</t>
  </si>
  <si>
    <t>в том числе</t>
  </si>
  <si>
    <t>за счет привлеченных средств</t>
  </si>
  <si>
    <t>Всего</t>
  </si>
  <si>
    <t>кв. м</t>
  </si>
  <si>
    <t>Адрес МКД</t>
  </si>
  <si>
    <t>ед.</t>
  </si>
  <si>
    <t>куб. м</t>
  </si>
  <si>
    <t>Наименование муниципального образования</t>
  </si>
  <si>
    <t>Количество МКД</t>
  </si>
  <si>
    <t>I квартал</t>
  </si>
  <si>
    <t>II квартал</t>
  </si>
  <si>
    <t>III квартал</t>
  </si>
  <si>
    <t>IV квартал</t>
  </si>
  <si>
    <t xml:space="preserve">Приложение </t>
  </si>
  <si>
    <t>завершения последнего капитального ремонта</t>
  </si>
  <si>
    <t>Общая площадь МКД, всего</t>
  </si>
  <si>
    <t>Формирование фонда капитального ремонта многоквартирного дома на счете некоммерческой организации - Фонд капитального ремонта многоквартирных домов Тверской области (далее - региональный оператор)</t>
  </si>
  <si>
    <t>Формирование фонда капитального ремонта многоквартирного дома на специальном счете, владельцем которого является региональный оператор</t>
  </si>
  <si>
    <t>Стоимость капитального ремонта:</t>
  </si>
  <si>
    <t>Формирование фонда капитального ремонта многоквартирного дома на специальном счете, владельцем которого является товарищество собственников жилья, жилищно-строительный кооператив, жилищный кооператив, иной специализированный потребительский кооператив, управляющая компания</t>
  </si>
  <si>
    <t>I. Перечень многоквартирных домов, которые подлежат капитальному ремонту</t>
  </si>
  <si>
    <t xml:space="preserve">II. Реестр многоквартирных домов, которые подлежат капитальному ремонту по видам ремонта </t>
  </si>
  <si>
    <t>Х</t>
  </si>
  <si>
    <t>Бежецкий район</t>
  </si>
  <si>
    <t>Итого по Тверской области</t>
  </si>
  <si>
    <t>Бологовский район</t>
  </si>
  <si>
    <t>Весьегонский район</t>
  </si>
  <si>
    <t>Вышневолоцкий район</t>
  </si>
  <si>
    <t>Жарковский район</t>
  </si>
  <si>
    <t>Западнодвинский район</t>
  </si>
  <si>
    <t>Зубцовский район</t>
  </si>
  <si>
    <t>Калининский район</t>
  </si>
  <si>
    <t>Калязинский район</t>
  </si>
  <si>
    <t>Кашинский район</t>
  </si>
  <si>
    <t>Кимрский район</t>
  </si>
  <si>
    <t>Конаковский район</t>
  </si>
  <si>
    <t>Краснохолмский район</t>
  </si>
  <si>
    <t>Кувшиновский район</t>
  </si>
  <si>
    <t xml:space="preserve">Лихославльский район </t>
  </si>
  <si>
    <t>Максатихинский район</t>
  </si>
  <si>
    <t>Нелидовский район</t>
  </si>
  <si>
    <t>Оленинский район</t>
  </si>
  <si>
    <t>Осташковский район</t>
  </si>
  <si>
    <t>Рамешковский район</t>
  </si>
  <si>
    <t>Сандовский район</t>
  </si>
  <si>
    <t>Селижаровский район</t>
  </si>
  <si>
    <t>Старицкий район</t>
  </si>
  <si>
    <t>Торжокской район</t>
  </si>
  <si>
    <t>Торопецкий район</t>
  </si>
  <si>
    <t>Фировский район</t>
  </si>
  <si>
    <t>Бельский район</t>
  </si>
  <si>
    <t>электрика</t>
  </si>
  <si>
    <t>2 </t>
  </si>
  <si>
    <t> 2</t>
  </si>
  <si>
    <t>Андреапольский район</t>
  </si>
  <si>
    <t>3</t>
  </si>
  <si>
    <t>4</t>
  </si>
  <si>
    <t>пер. Адрианова, д. 19</t>
  </si>
  <si>
    <t>пер. 1-й Путейский, д. 21</t>
  </si>
  <si>
    <t>ул. Володарского, д. 27</t>
  </si>
  <si>
    <t>ул. Дзержинского, д. 5</t>
  </si>
  <si>
    <t>ул. Дзержинского, д. 14</t>
  </si>
  <si>
    <t>ул. Матросова, д. 23</t>
  </si>
  <si>
    <t>ул. Нахимова, д. 21</t>
  </si>
  <si>
    <t>ул. Пионерская, д. 8</t>
  </si>
  <si>
    <t>ул. Шменкеля, д. 14/12</t>
  </si>
  <si>
    <t>ул. Матросова, д. 32</t>
  </si>
  <si>
    <t>Итого по Мостовское сельское поселение</t>
  </si>
  <si>
    <t>Итого по городское поселение поселок Оленино</t>
  </si>
  <si>
    <t>Итого по городское поселение город Нелидово</t>
  </si>
  <si>
    <t>Итого по городское поселение город Конаково</t>
  </si>
  <si>
    <t>Итого по город Тверь</t>
  </si>
  <si>
    <t>Итого по городское поселение поселок Фирово</t>
  </si>
  <si>
    <t>Итого по город Вышний Волочек</t>
  </si>
  <si>
    <t>Итого по город Кимры</t>
  </si>
  <si>
    <t>Итого по город Ржев</t>
  </si>
  <si>
    <t>Итого по город Торжок</t>
  </si>
  <si>
    <t>Итого по городское поселение город Андреаполь</t>
  </si>
  <si>
    <t>Итого по городское поселение город Бежецк</t>
  </si>
  <si>
    <t>Итого по городское поселение город Белый</t>
  </si>
  <si>
    <t>Итого по городское поселение поселок Красномайский</t>
  </si>
  <si>
    <t>Итого по Коломенское сельское поселение</t>
  </si>
  <si>
    <t>Итого по Солнечное сельское поселение</t>
  </si>
  <si>
    <t>Итого по Сорокинское сельское поселение</t>
  </si>
  <si>
    <t>Итого по Городское поселение поселок Жарковский</t>
  </si>
  <si>
    <t>Итого по городское поселение город Западная Двина</t>
  </si>
  <si>
    <t>Итого по Погорельское сельское поселение</t>
  </si>
  <si>
    <t>Итого по городское поселение поселок Орша</t>
  </si>
  <si>
    <t>Итого по городское поселение город Калязин</t>
  </si>
  <si>
    <t>Итого по городское поселение город Зубцов</t>
  </si>
  <si>
    <t>Итого по городское поселение город Кашин</t>
  </si>
  <si>
    <t>Итого по Быковское сельское поселение</t>
  </si>
  <si>
    <t>Итого по городское поселение поселок Козлово</t>
  </si>
  <si>
    <t>Итого по Дмитровогорское сельское поселение</t>
  </si>
  <si>
    <t>Итого по городское поселение город Красный Холм</t>
  </si>
  <si>
    <t xml:space="preserve">Итого по городское поселение город Осташков </t>
  </si>
  <si>
    <t>Итого по городское поселение город Торопец</t>
  </si>
  <si>
    <t>Итого по городское поселение город Старица</t>
  </si>
  <si>
    <t>Итого по городское поселение поселок Селижарово</t>
  </si>
  <si>
    <t>Итого по городское поселение поселок Сандово</t>
  </si>
  <si>
    <t>Итого по городское поселение поселок Рамешки</t>
  </si>
  <si>
    <t>Итого по городское поселение поселок Максатиха</t>
  </si>
  <si>
    <t>Итого по Ильинское сельское поселение</t>
  </si>
  <si>
    <t>Итого по городское поселение поселок Калашниково</t>
  </si>
  <si>
    <t>Итого по городское поселение город Кувшиново</t>
  </si>
  <si>
    <t>Итого по ЗАТО Озерный</t>
  </si>
  <si>
    <t>III. Планируемые показатели выполнения работ по капитальному ремонту многоквартирных домов</t>
  </si>
  <si>
    <t>Итого по городскому поселению город Бологое</t>
  </si>
  <si>
    <t>Итого по Терелесовское  сельское поселение</t>
  </si>
  <si>
    <t>Итого по городское поселение поселок Великооктябрьский</t>
  </si>
  <si>
    <t>Итого по городское поселение поселок Редкино</t>
  </si>
  <si>
    <t>Итого по сельское поселение "Завидово"</t>
  </si>
  <si>
    <t>Итого по городское поселение поселок Белый Городок</t>
  </si>
  <si>
    <t>Итого по Эммаусское сельское поселение</t>
  </si>
  <si>
    <t>Итого по городское поселение поселок Изоплит</t>
  </si>
  <si>
    <t>г.Андреаполь</t>
  </si>
  <si>
    <t>г.Бежецк</t>
  </si>
  <si>
    <t xml:space="preserve">г.Белый </t>
  </si>
  <si>
    <t>г.Бологое</t>
  </si>
  <si>
    <t>г.Весьегонск</t>
  </si>
  <si>
    <t>г.В.Волочек</t>
  </si>
  <si>
    <t>пгт.Красномайский</t>
  </si>
  <si>
    <t>Коломенское с/п</t>
  </si>
  <si>
    <t>Солнечное с/п</t>
  </si>
  <si>
    <t>Сорокинское с/п</t>
  </si>
  <si>
    <t>Терелесовское с/п</t>
  </si>
  <si>
    <t>пгт.Жарковский</t>
  </si>
  <si>
    <t xml:space="preserve">г.Западная Двина </t>
  </si>
  <si>
    <t xml:space="preserve">Зубцовский район </t>
  </si>
  <si>
    <t xml:space="preserve">г.Зубцов </t>
  </si>
  <si>
    <t>Погорельское с/п</t>
  </si>
  <si>
    <t xml:space="preserve">Калининский район </t>
  </si>
  <si>
    <t xml:space="preserve">пгт.Орша </t>
  </si>
  <si>
    <t>Эммаусское с/п</t>
  </si>
  <si>
    <t xml:space="preserve">г.Калязин </t>
  </si>
  <si>
    <t xml:space="preserve">г.Кашин </t>
  </si>
  <si>
    <t xml:space="preserve">Кимрский район </t>
  </si>
  <si>
    <t>г.Кимры</t>
  </si>
  <si>
    <t>пгт.Белый Городок</t>
  </si>
  <si>
    <t>Быковское с/п</t>
  </si>
  <si>
    <t xml:space="preserve">Конаковский район </t>
  </si>
  <si>
    <t>г.Конаково</t>
  </si>
  <si>
    <t xml:space="preserve">пгт.Изоплит </t>
  </si>
  <si>
    <t>пгт.Козлово</t>
  </si>
  <si>
    <t>пгт.Редкино</t>
  </si>
  <si>
    <t>Козловское с/п</t>
  </si>
  <si>
    <t>Дмитровогорское с/п</t>
  </si>
  <si>
    <t>"Завидово" с/п</t>
  </si>
  <si>
    <t>г.Красный Холм</t>
  </si>
  <si>
    <t>г.Кувшиново</t>
  </si>
  <si>
    <t>Лихославльский район</t>
  </si>
  <si>
    <t>г.Лихославль</t>
  </si>
  <si>
    <t>пгт.Калашниково</t>
  </si>
  <si>
    <t>Ильинское с/п</t>
  </si>
  <si>
    <t>пгт.Максатиха</t>
  </si>
  <si>
    <t>г.Нелидово</t>
  </si>
  <si>
    <t xml:space="preserve">Оленинский район </t>
  </si>
  <si>
    <t>пгт.Оленино</t>
  </si>
  <si>
    <t>Мостовское с/п</t>
  </si>
  <si>
    <t>г.Осташков</t>
  </si>
  <si>
    <t>ЗАТО "ОЗЕРНЫЙ"</t>
  </si>
  <si>
    <t>г.Ржев</t>
  </si>
  <si>
    <t>пгт.Сандово</t>
  </si>
  <si>
    <t xml:space="preserve">пгт.Селижарово </t>
  </si>
  <si>
    <t xml:space="preserve">г.Старица </t>
  </si>
  <si>
    <t>г.Торопец</t>
  </si>
  <si>
    <t xml:space="preserve">г.Удомля </t>
  </si>
  <si>
    <t xml:space="preserve">Фировский район </t>
  </si>
  <si>
    <t>пгт.Фирово</t>
  </si>
  <si>
    <t>пгт.Великооктябрьский</t>
  </si>
  <si>
    <t>Итого по Верхневолжское сельское поселение</t>
  </si>
  <si>
    <t>Итого по Щербининское сельское поселение</t>
  </si>
  <si>
    <t>до 1917</t>
  </si>
  <si>
    <t>4-5</t>
  </si>
  <si>
    <t>"Вышневолоцкий район"</t>
  </si>
  <si>
    <t>Верхневолжское с/п</t>
  </si>
  <si>
    <t>Щербининское с/п</t>
  </si>
  <si>
    <t>г.ТВЕРЬ</t>
  </si>
  <si>
    <t>г.Торжок</t>
  </si>
  <si>
    <t>КП  2016 г</t>
  </si>
  <si>
    <t>Итого по Приволжское сельское поселение</t>
  </si>
  <si>
    <t>№ 1</t>
  </si>
  <si>
    <t>№ 2</t>
  </si>
  <si>
    <t>№ 3</t>
  </si>
  <si>
    <t>№ 4</t>
  </si>
  <si>
    <t>№ 5</t>
  </si>
  <si>
    <t>Приволжское с/п</t>
  </si>
  <si>
    <t>Всего по Тверской области</t>
  </si>
  <si>
    <t>Формирование фонда капитального ремонта многоквартирного дома на специальном счете</t>
  </si>
  <si>
    <t>Удомельский городской округ</t>
  </si>
  <si>
    <t>Пеновский район</t>
  </si>
  <si>
    <t>Итого по городское поселение поселок Пено</t>
  </si>
  <si>
    <t>Итого по Валдайскому сельскому поселению</t>
  </si>
  <si>
    <t>Торжокский район</t>
  </si>
  <si>
    <t>Итого по Мирновское сельское поселение</t>
  </si>
  <si>
    <t>Итого по Рудниковское сельское поселение</t>
  </si>
  <si>
    <t>к постановлению Правительства Тверской области 
Тверской области
от 24.02.2016 № 82-пп</t>
  </si>
  <si>
    <t>ремонт или замена лифтового оборудования, признанного непригодным для эксплуатации, ремонт лифтовых шахт</t>
  </si>
  <si>
    <t xml:space="preserve">ремонт крыши, в том числе устройство выходов на кровлю
</t>
  </si>
  <si>
    <t>ремонт подвальных помещений, относящихся к общему имуществу в многоквартирном доме</t>
  </si>
  <si>
    <t>Каменные, кирпичные</t>
  </si>
  <si>
    <t>Панельные</t>
  </si>
  <si>
    <t>Блочные</t>
  </si>
  <si>
    <t>Деревянные</t>
  </si>
  <si>
    <t>Прочие</t>
  </si>
  <si>
    <t>ул. Екатерины Фарафоновой, д. 37</t>
  </si>
  <si>
    <t>ул. Вагжанова, д. 4</t>
  </si>
  <si>
    <t>ул. Советская, д. 60</t>
  </si>
  <si>
    <t>ул. Бобкова, д. 2</t>
  </si>
  <si>
    <t>ул. Румянцева, д. 24/40</t>
  </si>
  <si>
    <t>ул. Советская, д. 24</t>
  </si>
  <si>
    <t xml:space="preserve">ул. Маршала Буденого, д. 4 </t>
  </si>
  <si>
    <t>ул. Скворцова-Степанова, д. 16</t>
  </si>
  <si>
    <t>ул. Седова, д. 120А</t>
  </si>
  <si>
    <t>ул. Советская, д. 8</t>
  </si>
  <si>
    <t>ул. Ипподромная, д. 22</t>
  </si>
  <si>
    <t>ул. Горького, д. 106</t>
  </si>
  <si>
    <t>ул. Ротмистрова, д. 20</t>
  </si>
  <si>
    <t>ул. Мусоргского, д. 38/33</t>
  </si>
  <si>
    <t>ул. Озерная, д. 23</t>
  </si>
  <si>
    <t xml:space="preserve">ул. Прядильная, д. 13 </t>
  </si>
  <si>
    <t>ул. Гвардейская, д. 5</t>
  </si>
  <si>
    <t>ул. Мичурина, д. 37/23</t>
  </si>
  <si>
    <t>ул. Ипподромная, д. 10</t>
  </si>
  <si>
    <t>ул. Хромова, д. 16</t>
  </si>
  <si>
    <t xml:space="preserve">ул. Можайского, д. 51 </t>
  </si>
  <si>
    <t>ул. Королева, д. 24</t>
  </si>
  <si>
    <t>ул. Орджоникидзе, д. 8</t>
  </si>
  <si>
    <t>ул. Академическая, д. 22</t>
  </si>
  <si>
    <t>ул. 15 лет Октября, д. 47</t>
  </si>
  <si>
    <t>ул. Коробкова, д. 18</t>
  </si>
  <si>
    <t>ул. Крылова, д. 5</t>
  </si>
  <si>
    <t>ул. Орджоникидзе, д. 12/1</t>
  </si>
  <si>
    <t>ул. Благоева, д. 6А</t>
  </si>
  <si>
    <t>ул. Склизкова, д. 88</t>
  </si>
  <si>
    <t>ул. Терещенко, д. 28</t>
  </si>
  <si>
    <t>ул. Громова, д. 30</t>
  </si>
  <si>
    <t>ул. Орджоникидзе, д. 5</t>
  </si>
  <si>
    <t>ул. Орджоникидзе, д. 4/2</t>
  </si>
  <si>
    <t>ул. 15 лет Октября, д. 64/23</t>
  </si>
  <si>
    <t>ул. Орджоникидзе, д. 11</t>
  </si>
  <si>
    <t>ул. Бориса Полевого, д. 10/11</t>
  </si>
  <si>
    <t>ул. Терещенко, д. 35</t>
  </si>
  <si>
    <t>ул. Веселова, д. 34/28</t>
  </si>
  <si>
    <t>ул. Чудова, д. 14</t>
  </si>
  <si>
    <t>ул. Ротмистрова, д. 17</t>
  </si>
  <si>
    <t>ул. Орджоникидзе, д. 1</t>
  </si>
  <si>
    <t>ул. Лукина, д. 14</t>
  </si>
  <si>
    <t>ул. Кайкова, д. 4А</t>
  </si>
  <si>
    <t>ул. Орджоникидзе, д. 14</t>
  </si>
  <si>
    <t>ул. Академическая, д. 16</t>
  </si>
  <si>
    <t>ул. Московская, д. 78</t>
  </si>
  <si>
    <t>ул. Склизкова, д. 80</t>
  </si>
  <si>
    <t>ул. Богданова, д. 26/17</t>
  </si>
  <si>
    <t>ул. 15 лет Октября, д. 60</t>
  </si>
  <si>
    <t>ул. Резинстроя, д. 2/7</t>
  </si>
  <si>
    <t>ул. 15 лет Октября, д. 56</t>
  </si>
  <si>
    <t>ул. Спартака, д. 4/2</t>
  </si>
  <si>
    <t>ул. Маршала Буденого, д. 19/1</t>
  </si>
  <si>
    <t>ул. Горького, д. 4А</t>
  </si>
  <si>
    <t>ул. Ипподромная, д. 6Б</t>
  </si>
  <si>
    <t>ул. Хромова, д. 8</t>
  </si>
  <si>
    <t>ул. Паши Савельевой, д. 7</t>
  </si>
  <si>
    <t>ул. Кирова, д. 3А</t>
  </si>
  <si>
    <t>ул. Орджоникидзе, д. 13/26</t>
  </si>
  <si>
    <t>ул. Седова, д. 1Б</t>
  </si>
  <si>
    <t>ул. Орджоникидзе, д. 3</t>
  </si>
  <si>
    <t xml:space="preserve">ул. Новоторжская, д. 7 </t>
  </si>
  <si>
    <t>ул. Строителей, д. 12</t>
  </si>
  <si>
    <t>ул. Богданова, д. 29</t>
  </si>
  <si>
    <t>ул. Королева, д. 4</t>
  </si>
  <si>
    <t>ул. Богданова, д. 33/15</t>
  </si>
  <si>
    <t>ул. Чудова, д. 19</t>
  </si>
  <si>
    <t>ул. Брагина, д. 44</t>
  </si>
  <si>
    <t>ул. Лукина, д. 8</t>
  </si>
  <si>
    <t>ул. Горького, д. 89</t>
  </si>
  <si>
    <t>ул. Склизкова, д. 60</t>
  </si>
  <si>
    <t>ул. Склизкова, д. 54/25</t>
  </si>
  <si>
    <t>ул. Машинистов, д. 3</t>
  </si>
  <si>
    <t>ул. Ржевская, д. 14</t>
  </si>
  <si>
    <t>ул. Тамары Ильиной, д. 9/19</t>
  </si>
  <si>
    <t>ул. Мусоргского, д. 32/32</t>
  </si>
  <si>
    <t>ул. Седова, д. 120Б</t>
  </si>
  <si>
    <t>ул. Королева, д. 16/1</t>
  </si>
  <si>
    <t>ул. Учительская, д. 39</t>
  </si>
  <si>
    <t>ул. Горького, д. 70</t>
  </si>
  <si>
    <t>ул. Склизкова, д. 94</t>
  </si>
  <si>
    <t>ул. Дарвина, д. 2</t>
  </si>
  <si>
    <t>ул. Горького, д. 10</t>
  </si>
  <si>
    <t>ул. Академика Туполева, д. 112/24</t>
  </si>
  <si>
    <t>ул. Маршала Василевского, д. 20</t>
  </si>
  <si>
    <t>ул. Маршала Василевского, д. 18</t>
  </si>
  <si>
    <t>ул. Карла Маркса, д. 5</t>
  </si>
  <si>
    <t>пер. Перекопский, д. 11А</t>
  </si>
  <si>
    <t>пер. Никитина, д. 5</t>
  </si>
  <si>
    <t>пер. Коллективный, д. 6</t>
  </si>
  <si>
    <t>пер. Университетский, д. 3</t>
  </si>
  <si>
    <t>пер. Перекопский, д. 15</t>
  </si>
  <si>
    <t>пер. Артиллерийский, д. 12</t>
  </si>
  <si>
    <t>тер. Двор Пролетарки, д. 43</t>
  </si>
  <si>
    <t>ш. Петербургское, д. 7А</t>
  </si>
  <si>
    <t>б-р Радищева, д. 26</t>
  </si>
  <si>
    <t>б-р Ногина, д. 2</t>
  </si>
  <si>
    <t>б-р Гусева, д. 41</t>
  </si>
  <si>
    <t>б-р Гусева, д. 9</t>
  </si>
  <si>
    <t>б-р Профсоюзов, д. 21</t>
  </si>
  <si>
    <t>б-р Гусева, д. 25</t>
  </si>
  <si>
    <t>б-р Гусева, д. 39</t>
  </si>
  <si>
    <t>б-р Цанова, д. 10</t>
  </si>
  <si>
    <t>б-р Ногина, д. 4</t>
  </si>
  <si>
    <t>п. Химинститута, д. 20</t>
  </si>
  <si>
    <t>п. Химинститута, д. 7</t>
  </si>
  <si>
    <t>п. Химинститута, д. 13</t>
  </si>
  <si>
    <t>п. Химинститута, д. 38</t>
  </si>
  <si>
    <t>п. Химинститута, д. 9</t>
  </si>
  <si>
    <t>п. Химинститута, д. 32</t>
  </si>
  <si>
    <t>п. Литвинки, д. 27</t>
  </si>
  <si>
    <t>ул. Орджоникидзе, д. 46, корп. 4</t>
  </si>
  <si>
    <t>ул. Гвардейская, д. 9, корп. 1</t>
  </si>
  <si>
    <t>ул. 15 лет Октября, д. 62, корп. 1</t>
  </si>
  <si>
    <t>ул. 15 лет Октября, д. 58, корп. 1</t>
  </si>
  <si>
    <t>ул. Севастьянова, д. 7, корп. 1</t>
  </si>
  <si>
    <t>ул. Громова, д. 28, корп. 2</t>
  </si>
  <si>
    <t>ул. Фадеева, д. 34, корп. 1</t>
  </si>
  <si>
    <t>ул. Тамары Ильиной, д. 7, корп. 1</t>
  </si>
  <si>
    <t>ул. Громова, д. 36, корп. 2</t>
  </si>
  <si>
    <t xml:space="preserve">проезд Зеленый, д. 47, корп. 1 </t>
  </si>
  <si>
    <t>ул. Дарвина, д. 4, корп. 1</t>
  </si>
  <si>
    <t>б-р Гусева, д. 45, корп. 1</t>
  </si>
  <si>
    <t>ул. Ипподромная, д. 7, корп. 1</t>
  </si>
  <si>
    <t>проезд Зеленый, д. 47, корп. 2</t>
  </si>
  <si>
    <t>ул. Терещенко, д. 41, корп. 1</t>
  </si>
  <si>
    <t>ул. Благоева, д. 4, корп. 2</t>
  </si>
  <si>
    <t>пер. Смоленский, д. 8, корп. 1</t>
  </si>
  <si>
    <t>ш. Петербургское, д. 50</t>
  </si>
  <si>
    <t>ш. Петербургское, д. 86</t>
  </si>
  <si>
    <t>ш. Петербургское, д. 14, корп. 1</t>
  </si>
  <si>
    <t>ш. Петербургское, д. 60</t>
  </si>
  <si>
    <t>ш. Московское, д. 13</t>
  </si>
  <si>
    <t>ул. Советская, д. 4</t>
  </si>
  <si>
    <t>ул. Энергетиков, д. 31</t>
  </si>
  <si>
    <t>п. Энергетик, д. 2</t>
  </si>
  <si>
    <t>п. Энергетик, д. 4</t>
  </si>
  <si>
    <t>ул. Чехова, д. 11</t>
  </si>
  <si>
    <t>ул. Ленина, д. 54</t>
  </si>
  <si>
    <t>ул. Строителей, д. 7</t>
  </si>
  <si>
    <t>ул. Кузьмина, д. 83</t>
  </si>
  <si>
    <t>ул. Кузьмина, д. 85</t>
  </si>
  <si>
    <t>ул. Чехова, д. 21</t>
  </si>
  <si>
    <t>ул. Пролетарская 6-я, д. 16</t>
  </si>
  <si>
    <t>пр-кт Победы, д. 32/3</t>
  </si>
  <si>
    <t>пр-кт 50 лет Октября, д. 2/19</t>
  </si>
  <si>
    <t>пр-кт Калинина, д. 9</t>
  </si>
  <si>
    <t>пр-кт Ленина, д. 43А</t>
  </si>
  <si>
    <t>пр-кт Чайковского, д. 37</t>
  </si>
  <si>
    <t>пр-кт Ленина, д. 14, корп. 2</t>
  </si>
  <si>
    <t>пр-кт Победы, д. 4А</t>
  </si>
  <si>
    <t>пр-кт Победы, д. 36/46</t>
  </si>
  <si>
    <t>пр-кт Победы, до 22/15</t>
  </si>
  <si>
    <t>пр-кт Октябрьский, д. 69</t>
  </si>
  <si>
    <t>пр-кт Победы, д. 28, корп. 1</t>
  </si>
  <si>
    <t>пр-кт Чайковского, д. 24/2Б</t>
  </si>
  <si>
    <t>пр-кт Победы, д. 38/45</t>
  </si>
  <si>
    <t>пр-кт Ленина, д. 40</t>
  </si>
  <si>
    <t>пр-кт Ленина, д. 43</t>
  </si>
  <si>
    <t>пр-кт Победы, д. 2А</t>
  </si>
  <si>
    <t>тер. Товарный двор, д. 483А</t>
  </si>
  <si>
    <t>ул. Пролетарская 6-я, д. 19</t>
  </si>
  <si>
    <t>проезд Карпинского 1-й, д. 2/60</t>
  </si>
  <si>
    <t>наб. Мигаловская, д. 10А</t>
  </si>
  <si>
    <t>наб. Афанасия Никитина, д. 24</t>
  </si>
  <si>
    <t>тер. Двор Пролетарки, д. 119</t>
  </si>
  <si>
    <t>ул. Советская, д. 3</t>
  </si>
  <si>
    <t>ул. Октябрьская, д. 60</t>
  </si>
  <si>
    <t>ул. Половчени, д. 8</t>
  </si>
  <si>
    <t>мкр. Заозерный, д. 15</t>
  </si>
  <si>
    <t>ш. Куженкинское, д. 47</t>
  </si>
  <si>
    <t>ш. Куженкинское, д. 48</t>
  </si>
  <si>
    <t>ш. Куженкинское, д. 49</t>
  </si>
  <si>
    <t>ул. Дзержинского, д. 44</t>
  </si>
  <si>
    <t>ул. Дзержинского, д. 46</t>
  </si>
  <si>
    <t>ул. Кирова, д. 2</t>
  </si>
  <si>
    <t>ул. Народная, д. 2</t>
  </si>
  <si>
    <t>ул. Народная, д. 3</t>
  </si>
  <si>
    <t>ул. 1-я Социалистическая, д. 1</t>
  </si>
  <si>
    <t>ул. Кирова, д. 53</t>
  </si>
  <si>
    <t>ул. Ленинская, д. 1</t>
  </si>
  <si>
    <t>мкр. Заводской, д. 4</t>
  </si>
  <si>
    <t>мкр. Западный, д. 5</t>
  </si>
  <si>
    <t>д. Корыхново, ул. Советская, д. 1</t>
  </si>
  <si>
    <t>д. Корыхново, ул. Советская, д. 2</t>
  </si>
  <si>
    <t>ул. Комсомолькая, д. 14</t>
  </si>
  <si>
    <t>д. Квакшино, д. 9</t>
  </si>
  <si>
    <t>д. Квакшино, д. 12</t>
  </si>
  <si>
    <t>ж/д ст. Кузьминка, д.  3</t>
  </si>
  <si>
    <t>ул. Декабристов, д. 9</t>
  </si>
  <si>
    <t>д. Радомино, д. 3</t>
  </si>
  <si>
    <t>п. Приволжский, ул. Песочная, д. 2</t>
  </si>
  <si>
    <t>ул. Васильковского, д. 29</t>
  </si>
  <si>
    <t>ул. Баскакова, д. 17</t>
  </si>
  <si>
    <t>ул. Баскакова, д. 19</t>
  </si>
  <si>
    <t>наб. Афанасия Никитина, д. 24А</t>
  </si>
  <si>
    <t>с. Дмитрова Гора, ул. Новая, д. 2</t>
  </si>
  <si>
    <t>ул. Мясникова, д. 36А</t>
  </si>
  <si>
    <t>ул. Базарная, д. 67</t>
  </si>
  <si>
    <t>ул. Октябрьская, д. 11</t>
  </si>
  <si>
    <t>Итого по городское поселение город Лихославль</t>
  </si>
  <si>
    <t>пр-кт Ленина, д. 4</t>
  </si>
  <si>
    <t>ул. Лесная, д. 6А</t>
  </si>
  <si>
    <t>ул. Рябочкина, д. 38А</t>
  </si>
  <si>
    <t>г. Удомля, ул. Автодорожная, д. 2/1</t>
  </si>
  <si>
    <t>ул. Советская, д. 17</t>
  </si>
  <si>
    <t>ул. Кооперативная, д. 7</t>
  </si>
  <si>
    <t>пр-кт Ленина, д. 9</t>
  </si>
  <si>
    <t>пр-кт Ленина, д. 13</t>
  </si>
  <si>
    <t>пр-кт Ленина, д. 7/15</t>
  </si>
  <si>
    <t>ул. Ленина, д. 50/2</t>
  </si>
  <si>
    <t>Итого по городское поселение город Весьегонск</t>
  </si>
  <si>
    <t xml:space="preserve">ремонт фасада
</t>
  </si>
  <si>
    <t>от                       №</t>
  </si>
  <si>
    <t>Краткосрочный план</t>
  </si>
  <si>
    <t>руб/кв. м</t>
  </si>
  <si>
    <t>всего</t>
  </si>
  <si>
    <t>Количество жителей, зарегистрированных в МКД 
на дату утверждения краткосрочного плана</t>
  </si>
  <si>
    <t>Адрес многоквартирного дома 
(далее - МКД)</t>
  </si>
  <si>
    <t>ул. Октябрьская, д. 59</t>
  </si>
  <si>
    <r>
      <t>п. Приволжский, ул. Песочная, д.</t>
    </r>
    <r>
      <rPr>
        <sz val="11"/>
        <color theme="1"/>
        <rFont val="Calibri"/>
        <family val="2"/>
        <charset val="204"/>
      </rPr>
      <t> </t>
    </r>
    <r>
      <rPr>
        <sz val="11"/>
        <color theme="1"/>
        <rFont val="Times New Roman"/>
        <family val="1"/>
        <charset val="204"/>
      </rPr>
      <t>2</t>
    </r>
  </si>
  <si>
    <t>с. Ильинское, ул. Мира, д. 1</t>
  </si>
  <si>
    <r>
      <t>ул. Зинаиды Коноплянниковой, д.</t>
    </r>
    <r>
      <rPr>
        <sz val="12"/>
        <color indexed="8"/>
        <rFont val="Calibri"/>
        <family val="2"/>
        <charset val="204"/>
      </rPr>
      <t> </t>
    </r>
    <r>
      <rPr>
        <sz val="12"/>
        <color indexed="8"/>
        <rFont val="Times New Roman"/>
        <family val="1"/>
        <charset val="204"/>
      </rPr>
      <t>14</t>
    </r>
  </si>
  <si>
    <r>
      <t>ул. Евгения Пичугина, д. 21, корп.</t>
    </r>
    <r>
      <rPr>
        <sz val="12"/>
        <color indexed="8"/>
        <rFont val="Calibri"/>
        <family val="2"/>
        <charset val="204"/>
      </rPr>
      <t> </t>
    </r>
    <r>
      <rPr>
        <sz val="12"/>
        <color indexed="8"/>
        <rFont val="Times New Roman"/>
        <family val="1"/>
        <charset val="204"/>
      </rPr>
      <t>3</t>
    </r>
  </si>
  <si>
    <r>
      <t>ул. Зинаиды Коноплянниковой, д.</t>
    </r>
    <r>
      <rPr>
        <sz val="12"/>
        <color indexed="8"/>
        <rFont val="Calibri"/>
        <family val="2"/>
        <charset val="204"/>
      </rPr>
      <t> </t>
    </r>
    <r>
      <rPr>
        <sz val="12"/>
        <color indexed="8"/>
        <rFont val="Times New Roman"/>
        <family val="1"/>
        <charset val="204"/>
      </rPr>
      <t>19, корп. 2</t>
    </r>
  </si>
  <si>
    <r>
      <t>ул. Паши Савельевой, д. 39, корп.</t>
    </r>
    <r>
      <rPr>
        <sz val="12"/>
        <color indexed="8"/>
        <rFont val="Calibri"/>
        <family val="2"/>
        <charset val="204"/>
      </rPr>
      <t> </t>
    </r>
    <r>
      <rPr>
        <sz val="12"/>
        <color indexed="8"/>
        <rFont val="Times New Roman"/>
        <family val="1"/>
        <charset val="204"/>
      </rPr>
      <t>3</t>
    </r>
  </si>
  <si>
    <t>ул. Скворцова-Степанова, д. 10</t>
  </si>
  <si>
    <t>ул. Паши Савельевой, д. 39, корп. 3</t>
  </si>
  <si>
    <t>с. Погорелое Городище, ул. Советская, д. 6</t>
  </si>
  <si>
    <t>с. Дмитрова Гора, ул. Новая, д. 2</t>
  </si>
  <si>
    <r>
      <t>ул. Евгения Пичугина, д. 21, корп.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3</t>
    </r>
  </si>
  <si>
    <r>
      <t>ул. Екатерины Фарафоновой, д.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37</t>
    </r>
  </si>
  <si>
    <r>
      <t>ул. Зинаиды Коноплянниковой, д.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14</t>
    </r>
  </si>
  <si>
    <r>
      <t>ул. Зинаиды Коноплянниковой, д.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19, корп. 2</t>
    </r>
  </si>
  <si>
    <r>
      <t>с. Погорелое Городище, ул.</t>
    </r>
    <r>
      <rPr>
        <sz val="12"/>
        <color indexed="8"/>
        <rFont val="Calibri"/>
        <family val="2"/>
        <charset val="204"/>
      </rPr>
      <t> </t>
    </r>
    <r>
      <rPr>
        <sz val="12"/>
        <color indexed="8"/>
        <rFont val="Times New Roman"/>
        <family val="1"/>
        <charset val="204"/>
      </rPr>
      <t>Советская, д. 6</t>
    </r>
  </si>
  <si>
    <t>Стоимость капитального ремонта,
всего</t>
  </si>
  <si>
    <t>Общая площадь МКД, 
всего</t>
  </si>
  <si>
    <t>проезд Карпинского 1-й, д. 4</t>
  </si>
  <si>
    <t>проезд Розы Люксембург 1-й, д. 6</t>
  </si>
  <si>
    <t>ул. Грибоедова 2-я, д. 8/1</t>
  </si>
  <si>
    <t>ул. Пролетарская 6-я, д. 17</t>
  </si>
  <si>
    <t>реализации в 2016 году региональной программы по проведению капитального ремонта общего имущества</t>
  </si>
  <si>
    <t>в многоквартирных домах на территории Тверской области на 2014-2043 годы</t>
  </si>
  <si>
    <t>хвс</t>
  </si>
  <si>
    <t>гвс</t>
  </si>
  <si>
    <t>пр-кт Победы, д. 22/15</t>
  </si>
  <si>
    <t>ул. Артюхиной, д. 7</t>
  </si>
  <si>
    <t>за счет средств областного бюджета Тверской области</t>
  </si>
  <si>
    <t>ул. Прядильщиков, д. 2а</t>
  </si>
  <si>
    <t>Кирпичные</t>
  </si>
  <si>
    <t xml:space="preserve">2018 год </t>
  </si>
  <si>
    <t>Дачный пер., д. 2</t>
  </si>
  <si>
    <t xml:space="preserve">2019 год </t>
  </si>
  <si>
    <t>ул. Прядильщиков, д. 4а</t>
  </si>
  <si>
    <t>ул. Красноармейская, д. 11</t>
  </si>
  <si>
    <t>ул. Лизы Чайкиной, д. 32Б</t>
  </si>
  <si>
    <t>ул. Парковая, д. 3</t>
  </si>
  <si>
    <t>ул. Ленина, д. 13</t>
  </si>
  <si>
    <t>ул. Октябрьская, д. 10/5</t>
  </si>
  <si>
    <t>ул. Октябрьская, д. 4</t>
  </si>
  <si>
    <t>ул. Доватора, д. 8</t>
  </si>
  <si>
    <t>ул. Доватора, д. 11</t>
  </si>
  <si>
    <t>ул. Заводская, д. 8</t>
  </si>
  <si>
    <t>ул. 50 лет Октября, д. 1</t>
  </si>
  <si>
    <t>ул. Заречная, д. 3</t>
  </si>
  <si>
    <t>ул. Бежецкая, д. 18</t>
  </si>
  <si>
    <t>ул. Советская, д. 68</t>
  </si>
  <si>
    <t>ул. Пионерская, д. 30</t>
  </si>
  <si>
    <t>ул. Бежецкая, д. 20</t>
  </si>
  <si>
    <t>ул. Комсомольская, д. 86</t>
  </si>
  <si>
    <t>ул. Бежецкая, д. 32</t>
  </si>
  <si>
    <t>ул. Советская, д. 20А</t>
  </si>
  <si>
    <t>ул. Советская, д. 62</t>
  </si>
  <si>
    <t xml:space="preserve"> ул. Советская, д. 20</t>
  </si>
  <si>
    <t xml:space="preserve"> ул. Октябрьская, д. 52</t>
  </si>
  <si>
    <t xml:space="preserve"> ул. Комсомольская, д. 121</t>
  </si>
  <si>
    <t>пл. 1 Мая, д. 1</t>
  </si>
  <si>
    <t>ул. Гоголя, д. 4</t>
  </si>
  <si>
    <t>ул. Ст. Торопец, д. 20</t>
  </si>
  <si>
    <t>пер. Строителей, д. 1</t>
  </si>
  <si>
    <t>ул. Правды, д. 8</t>
  </si>
  <si>
    <t>ул. Ленина, д. 50</t>
  </si>
  <si>
    <t>г. Удомля, пр-кт Энергетиков, д. 10</t>
  </si>
  <si>
    <t>г. Удомля, ул. Автодорожная, д. 7</t>
  </si>
  <si>
    <t>г. Удомля, ул. Левитана, д. 5</t>
  </si>
  <si>
    <t>г. Удомля, ул. Автодорожная, д. 9</t>
  </si>
  <si>
    <t>г. Удомля, ул. Венецианова, д. 5а</t>
  </si>
  <si>
    <t>г. Удомля, ул. Александрова, д. 9</t>
  </si>
  <si>
    <t>г. Удомля, пр-т Энергетиков, д. 3</t>
  </si>
  <si>
    <t>г. Удомля, пр-т Энергетиков, д. 4а</t>
  </si>
  <si>
    <t>г. Удомля, ул. Энтузиастов, д. 28</t>
  </si>
  <si>
    <t>г. Удомля, ул. Автодорожная, д. 7а</t>
  </si>
  <si>
    <t>г. Удомля, ул. Попова, д. 17</t>
  </si>
  <si>
    <t>г. Удомля, ул. Левитана, д. 3</t>
  </si>
  <si>
    <t>г. Удомля, ул. Энтузиастов, д. 6/3</t>
  </si>
  <si>
    <t>г. Удомля, ул. Энтузиастов, д. 10</t>
  </si>
  <si>
    <t>г. Удомля, ул. Венецианова, д. 7а</t>
  </si>
  <si>
    <t>г. Удомля, ул. Энтузиастов, д. 8</t>
  </si>
  <si>
    <t>г. Удомля, пр-т Энергетиков, д. 5а</t>
  </si>
  <si>
    <t>г. Удомля, пер. Автодорожный, д. 3а</t>
  </si>
  <si>
    <t>г. Удомля, пр-т Энергетиков, д. 8</t>
  </si>
  <si>
    <t>г. Удомля, ул. Энтузиастов, д. 6/1</t>
  </si>
  <si>
    <t>г. Удомля, пр-т Энергетиков, д. 6</t>
  </si>
  <si>
    <t>г. Удомля, пр-т Энергетиков, д. 4</t>
  </si>
  <si>
    <t>г. Удомля, пр-т Энергетиков, д. 12</t>
  </si>
  <si>
    <t>г. Торжок, ул. Красноармейская, д.44</t>
  </si>
  <si>
    <t>г. Торжок, ул. М.Горького, д.59</t>
  </si>
  <si>
    <t>г. Торжок, Ленинградское шоссе, д.16</t>
  </si>
  <si>
    <t>г. Торжок, Ленинградское шоссе, д.87б</t>
  </si>
  <si>
    <t>г. Торжок, Ленинградское шоссе, д.87в</t>
  </si>
  <si>
    <t>г. Торжок, ул. Падерина, д.3</t>
  </si>
  <si>
    <t>г. Торжок, пер. Железнодорожный, д. 9</t>
  </si>
  <si>
    <t>г. Торжок, ул. М. Горького, д.38</t>
  </si>
  <si>
    <t>г. Торжок, ул. М.Горького, д.45</t>
  </si>
  <si>
    <t>шлак</t>
  </si>
  <si>
    <t>г. Торжок, ул. Дзержинского, д.52</t>
  </si>
  <si>
    <t>г. Торжок, ул. Красноармейская, д.48</t>
  </si>
  <si>
    <t>г. Торжок, ул. Падерина, д.5</t>
  </si>
  <si>
    <t>г. Торжок, ул. Володарского, д.49а</t>
  </si>
  <si>
    <t>г. Торжок, Ленинградское шоссе, д.41</t>
  </si>
  <si>
    <t>г. Торжок, Зеленый городок, д.7б</t>
  </si>
  <si>
    <t>г. Торжок, Ленинградское шоссе, д.85б</t>
  </si>
  <si>
    <t>г. Торжок, ул. Мира, д.46</t>
  </si>
  <si>
    <t>г. Торжок, ул. Энгельса, д.8</t>
  </si>
  <si>
    <t>Деревянные, кирпичные</t>
  </si>
  <si>
    <t>электроснабжения</t>
  </si>
  <si>
    <t>теплоснабжения</t>
  </si>
  <si>
    <t>газоснабжения</t>
  </si>
  <si>
    <t>холодного водоснабжения</t>
  </si>
  <si>
    <t>горячего водоснабжения</t>
  </si>
  <si>
    <t>водоотведения</t>
  </si>
  <si>
    <t>установка коллективных (общедомовых) приборов учета и узлов управления</t>
  </si>
  <si>
    <t>Итого</t>
  </si>
  <si>
    <t>ремонт фундамента</t>
  </si>
  <si>
    <t>Виды, установленные нормативным правовым актом субъекта РФ:</t>
  </si>
  <si>
    <t>ремонт внутридомовых инженерных систем</t>
  </si>
  <si>
    <t>Ленинградское шоссе, д.87в</t>
  </si>
  <si>
    <t>ул. Красноармейская, д.44</t>
  </si>
  <si>
    <t>ул. М.Горького, д.59</t>
  </si>
  <si>
    <t>Ленинградское шоссе, д.16</t>
  </si>
  <si>
    <t>Ленинградское шоссе, д.87б</t>
  </si>
  <si>
    <t>ул. Падерина, д.3</t>
  </si>
  <si>
    <t>пер. Железнодорожный, д. 9</t>
  </si>
  <si>
    <t>ул. М. Горького, д.38</t>
  </si>
  <si>
    <t>ул. М.Горького, д.45</t>
  </si>
  <si>
    <t>пр-т Энергетиков, д. 5а</t>
  </si>
  <si>
    <t>пер. Автодорожный, д. 3а</t>
  </si>
  <si>
    <t>пр-т Энергетиков, д. 8</t>
  </si>
  <si>
    <t>ул. Энтузиастов, д. 6/1</t>
  </si>
  <si>
    <t>пр-т Энергетиков, д. 6</t>
  </si>
  <si>
    <t>пр-т Энергетиков, д. 4</t>
  </si>
  <si>
    <t>пр-т Энергетиков, д. 12</t>
  </si>
  <si>
    <t>кровля 3342,75</t>
  </si>
  <si>
    <t>ул. Дзержинского, д.52</t>
  </si>
  <si>
    <t>ул. Красноармейская, д.48</t>
  </si>
  <si>
    <t>ул. Падерина, д.5</t>
  </si>
  <si>
    <t>ул. Володарского, д.49а</t>
  </si>
  <si>
    <t>Ленинградское шоссе, д.41</t>
  </si>
  <si>
    <t>Зеленый городок, д.7б</t>
  </si>
  <si>
    <t>Ленинградское шоссе, д.85б</t>
  </si>
  <si>
    <t>ул. Мира, д.46</t>
  </si>
  <si>
    <t>ул. Энгельса, д.8</t>
  </si>
  <si>
    <t>Итого пр Терелесовское сельское поселение</t>
  </si>
  <si>
    <t>Итого по городское поселение поселок Жарковский</t>
  </si>
  <si>
    <t>Итого пео городское поселение поселок Орша</t>
  </si>
  <si>
    <t>Итого по Эмаусское сельское поселение</t>
  </si>
  <si>
    <t>Итого по тгородское поселение город Кувшиново</t>
  </si>
  <si>
    <t>фасад  1600,33</t>
  </si>
  <si>
    <t>ул. Комсомольская, д. 14</t>
  </si>
  <si>
    <t>Итого по городское поселение поселок Новозавидовский</t>
  </si>
  <si>
    <t>ул. Юбилейная, д. 8</t>
  </si>
  <si>
    <t xml:space="preserve"> ул. Гоголя, д. 4</t>
  </si>
  <si>
    <t xml:space="preserve"> ул. Ст. Торопец, д. 20</t>
  </si>
  <si>
    <t>ул. Бежецкая. Д.20</t>
  </si>
  <si>
    <t>пер. Маяковского, д. 7</t>
  </si>
  <si>
    <t>пер. Маяковского, д. 8</t>
  </si>
  <si>
    <t>1971</t>
  </si>
  <si>
    <t>1969</t>
  </si>
  <si>
    <t>пер. Маяковского, д. 5</t>
  </si>
  <si>
    <t>1973</t>
  </si>
  <si>
    <t>1956</t>
  </si>
  <si>
    <t>газоснабжение</t>
  </si>
  <si>
    <t>тепло</t>
  </si>
  <si>
    <t>водоотв.</t>
  </si>
  <si>
    <t>ул. Городище, д. 1</t>
  </si>
  <si>
    <t>ул. Адмирала Октябрьского, д. 61</t>
  </si>
  <si>
    <t>ул. Карла Маркса, д. 61</t>
  </si>
  <si>
    <t>ул. Карла Маркса, д. 63</t>
  </si>
  <si>
    <t>ул. Адмирала Октябрьского, д. 70</t>
  </si>
  <si>
    <t>ул. Адмирала Октябрьского, д. 70а</t>
  </si>
  <si>
    <t>ул. Ленина, д. 14</t>
  </si>
  <si>
    <t>ул. Ленина, д. 14а</t>
  </si>
  <si>
    <t>ул. Пушкина, д. 12</t>
  </si>
  <si>
    <t>ул. Карла Маркса, д. 79</t>
  </si>
  <si>
    <t>ул. Пушкина, д. 5</t>
  </si>
  <si>
    <t>ул. Советская, д. 65а</t>
  </si>
  <si>
    <t>ул. Театральная, д. 3</t>
  </si>
  <si>
    <t>ул. Театральная, д. 11</t>
  </si>
  <si>
    <t>ул. Гагарина, д. 17</t>
  </si>
  <si>
    <t>ул. Театральная, д. 8</t>
  </si>
  <si>
    <t>ул. Октябрьская, д. 56</t>
  </si>
  <si>
    <t>ул. Кленовая, д. 19</t>
  </si>
  <si>
    <t>ул. Кленовая, д. 4</t>
  </si>
  <si>
    <t>пл. Гвардейская, д. 9</t>
  </si>
  <si>
    <t>ул. Половчени, д. 5а</t>
  </si>
  <si>
    <t>Итого по Мошковское сельское поселение</t>
  </si>
  <si>
    <t>д. Мошки, д. 36</t>
  </si>
  <si>
    <t>Итого по Яконовское сельское поселение</t>
  </si>
  <si>
    <t>с. Яконово, ул. Поселковая, д. 1</t>
  </si>
  <si>
    <t>Итого по Высоковское сельское поселение</t>
  </si>
  <si>
    <t>п. Высокое, ул. Советская, д. 16</t>
  </si>
  <si>
    <t>Итого по Пироговское сельское поселение</t>
  </si>
  <si>
    <t>д. Пирогово, ул. Надежды, д. 1</t>
  </si>
  <si>
    <t>Итого по Марьинское сельское поселение</t>
  </si>
  <si>
    <t>п. Зеленый, д. 19</t>
  </si>
  <si>
    <t>Итого по Масловское сельское поселение</t>
  </si>
  <si>
    <t>д. Селихово, ул. Новая, д. 2</t>
  </si>
  <si>
    <t>Итого по Речанское сельское поселение</t>
  </si>
  <si>
    <t>д. Лесная, д. 3</t>
  </si>
  <si>
    <t>д. Лесная, д. 2</t>
  </si>
  <si>
    <t>д. Лесная, л. 2</t>
  </si>
  <si>
    <t>ул. Кириллова, д. 14</t>
  </si>
  <si>
    <t>щитовые</t>
  </si>
  <si>
    <t>ул. Кириллова, д. 2</t>
  </si>
  <si>
    <t>ул. Кропоткина, д. 10</t>
  </si>
  <si>
    <t>Ржевский район</t>
  </si>
  <si>
    <t>Итого по сельское поселение  "Победа"</t>
  </si>
  <si>
    <t>д. Леонтьево, д. 26</t>
  </si>
  <si>
    <t>Итого по сельское поселение "Итомля"</t>
  </si>
  <si>
    <t>д. Итомля, ул. Школьная, д. 40</t>
  </si>
  <si>
    <t>д. Итомля, ул. Школьная, д. 41</t>
  </si>
  <si>
    <t>Итого по сельское поселение "Есинка"</t>
  </si>
  <si>
    <t>д. Домашино, Библиотечный пер., д. 112</t>
  </si>
  <si>
    <t>д. Домашино, Библиотечный пер.,      д. 112</t>
  </si>
  <si>
    <t>Итого по сельское поселение "Победа"</t>
  </si>
  <si>
    <t>п. Эммаусс, д. 7</t>
  </si>
  <si>
    <t>п. Эммаусс, д. 18</t>
  </si>
  <si>
    <t>блочные</t>
  </si>
  <si>
    <t>п. Эммаусс, д. 33</t>
  </si>
  <si>
    <t>Сонковский район</t>
  </si>
  <si>
    <t>пгт Сонково, ул. Красноармейская, д. 35</t>
  </si>
  <si>
    <t>брусчатые</t>
  </si>
  <si>
    <t>пгт Сонково, ул. Сельхозтехника, д. 1а</t>
  </si>
  <si>
    <t>Итого по городское поселение поселок Сонково</t>
  </si>
  <si>
    <t>Итого по городское поселение поселок Радченко</t>
  </si>
  <si>
    <t>п. Радченко, д. 12</t>
  </si>
  <si>
    <t>п. Радченко, д. 49</t>
  </si>
  <si>
    <t>п. Радченко, д. 48</t>
  </si>
  <si>
    <t>ул. Лесная, д. 9</t>
  </si>
  <si>
    <t>ул. Лесная, д. 18</t>
  </si>
  <si>
    <t>ул. Лесная, д. 6</t>
  </si>
  <si>
    <t xml:space="preserve">ул. Пионерская, д. 14 </t>
  </si>
  <si>
    <t>ул. Микрорайон, д. 6</t>
  </si>
  <si>
    <t xml:space="preserve">ул. Ст. Разина, д. 2а </t>
  </si>
  <si>
    <t>ул. Пушкина, д. 52</t>
  </si>
  <si>
    <t xml:space="preserve">ул. Пушкина, д. 52 </t>
  </si>
  <si>
    <t>с. Завидово, ул. Школьная, д. 4</t>
  </si>
  <si>
    <t>с. Завидово, ул. Школьная, д. 5</t>
  </si>
  <si>
    <t>д. Мокшино, ул. Солнечная, д. 3</t>
  </si>
  <si>
    <t>д. Мокшино, ул. Ленинградская д. 2</t>
  </si>
  <si>
    <t>д. Мокшино, ул. Ленинградская д. 2</t>
  </si>
  <si>
    <t>д. Мокшино, ул. Солнечная, д. 3</t>
  </si>
  <si>
    <t>ул. Кооперативная, д. 22</t>
  </si>
  <si>
    <t>ул. Кооперативная, д. 5</t>
  </si>
  <si>
    <t>Итого по Горняцкое сельское поселение</t>
  </si>
  <si>
    <t>п. Белый Омут, ул. Советская, д. 3</t>
  </si>
  <si>
    <t>п. Белый Омут,  ул. Советская, д. 2</t>
  </si>
  <si>
    <t>п. Белый Омут, ул. Советская, д. 1</t>
  </si>
  <si>
    <t>п. Белый Омут, ул. Советская, д. 2</t>
  </si>
  <si>
    <t>п. Солнечный, ул. Центральная, д. 5</t>
  </si>
  <si>
    <t>п. Солнечный, ул. Молодежная, д. 4</t>
  </si>
  <si>
    <r>
      <t>п. Солнечный, ул. Центральная, д.</t>
    </r>
    <r>
      <rPr>
        <sz val="11"/>
        <color theme="1"/>
        <rFont val="Calibri"/>
        <family val="2"/>
        <charset val="204"/>
      </rPr>
      <t> 5</t>
    </r>
  </si>
  <si>
    <r>
      <t>п. Солнечный, ул. Молодежная, д.</t>
    </r>
    <r>
      <rPr>
        <sz val="11"/>
        <color theme="1"/>
        <rFont val="Calibri"/>
        <family val="2"/>
        <charset val="204"/>
      </rPr>
      <t> 4</t>
    </r>
  </si>
  <si>
    <t xml:space="preserve">п. Озерки, ул. Локомотивная, д. 5 </t>
  </si>
  <si>
    <t>п. Озерки, ул. Школьная, д. 3</t>
  </si>
  <si>
    <t>п. Изоплит, ул. Пионерская, д. 2</t>
  </si>
  <si>
    <t>каркасно-засыпные</t>
  </si>
  <si>
    <t>п. Озерки, проезд Железнодорожный, д. 3</t>
  </si>
  <si>
    <t>п. Изоплит, ул. Пионерская, д. 12</t>
  </si>
  <si>
    <t>ул. Гагарина, д. 37</t>
  </si>
  <si>
    <t xml:space="preserve">ул. Карла Маркса, д. 25 </t>
  </si>
  <si>
    <t>ул. Лихославльская, дом тяговой подстанции</t>
  </si>
  <si>
    <t>ул. Лихославльская, д. 30 МПС</t>
  </si>
  <si>
    <t xml:space="preserve">ул. Разъезжая, д. 12 </t>
  </si>
  <si>
    <t>ул. Бежецкая, д. 25</t>
  </si>
  <si>
    <t xml:space="preserve">ул. Красноармейская, д. 4А </t>
  </si>
  <si>
    <t xml:space="preserve">ул. Первомайская, д. 14 </t>
  </si>
  <si>
    <t>пер. Привокзальный, д. 5</t>
  </si>
  <si>
    <t>пер. Театральный, д. 1</t>
  </si>
  <si>
    <t xml:space="preserve">ул. Школьная, д. 4 </t>
  </si>
  <si>
    <t>до 1918</t>
  </si>
  <si>
    <t>пос. Льнозавод, д. 26</t>
  </si>
  <si>
    <t>ул. Первомайская, д. 27</t>
  </si>
  <si>
    <t>ул. Советская, д. 33 МПС</t>
  </si>
  <si>
    <t>ул. Юбилейная, д. 2</t>
  </si>
  <si>
    <t>ул. Юбилейная, д. РСУ</t>
  </si>
  <si>
    <t>подвал   1012,19</t>
  </si>
  <si>
    <t>ул. Академическая, д. 5</t>
  </si>
  <si>
    <t>ул. Диева, д. 25</t>
  </si>
  <si>
    <t>ул. Фадеева, д. 3</t>
  </si>
  <si>
    <t>ул. Гагарина, д. 7</t>
  </si>
  <si>
    <t>ул. Академическая, дом 9</t>
  </si>
  <si>
    <t>ул. Академическая, дом 10</t>
  </si>
  <si>
    <t>ул. Геофизиков, дом 7</t>
  </si>
  <si>
    <t>ул. Геофизиков, дом 2</t>
  </si>
  <si>
    <t>пр-кт Химиков, д. 41</t>
  </si>
  <si>
    <t>ул. Гагарина, д. 11</t>
  </si>
  <si>
    <t>ул. Гагарина, д. 12</t>
  </si>
  <si>
    <t>ул. Ленинградская, д. 21</t>
  </si>
  <si>
    <t>ул. Труда, д. 10</t>
  </si>
  <si>
    <t>панельные</t>
  </si>
  <si>
    <t>монолитные</t>
  </si>
  <si>
    <t>ул. Московская, д. 15</t>
  </si>
  <si>
    <t>ул. Московская, д. 17</t>
  </si>
  <si>
    <t>ул. Александрова, д. 10</t>
  </si>
  <si>
    <t>ул. Ленинградская, д. 16</t>
  </si>
  <si>
    <t>ул. Киевская, д. 13</t>
  </si>
  <si>
    <t>ул. Ленинградская, д. 20</t>
  </si>
  <si>
    <t>ул. Труда, д. 6</t>
  </si>
  <si>
    <t>ул. Горького, д. 3а</t>
  </si>
  <si>
    <t>ул. Энергетиков, д. 16</t>
  </si>
  <si>
    <t>ул. Энергетиков, д. 18</t>
  </si>
  <si>
    <t>ул. Горького, д. 8</t>
  </si>
  <si>
    <t>пр. Ленина, д. 38</t>
  </si>
  <si>
    <t>ул. Учебная, д. 5</t>
  </si>
  <si>
    <t>ул. Баскакова, д. 31</t>
  </si>
  <si>
    <t>ул. Баскакова, д. 21</t>
  </si>
  <si>
    <t>ул. Баскакова, д. 11</t>
  </si>
  <si>
    <t>ул. Гагарина, д. 33</t>
  </si>
  <si>
    <t>ул. Набережная Волги, д. 40</t>
  </si>
  <si>
    <t>Торговый проезд, д. 1</t>
  </si>
  <si>
    <t>Торговый проезд, д. 2</t>
  </si>
  <si>
    <t>ул. Баскакова, д. 1</t>
  </si>
  <si>
    <t>ул. Гагарина, д. 5</t>
  </si>
  <si>
    <t>ул. Гагарина, д. 6</t>
  </si>
  <si>
    <t>ул. Гагарина, д. 16</t>
  </si>
  <si>
    <t>ул. Энергетиков, д. 8</t>
  </si>
  <si>
    <t>ул. Энергетиков, д. 10</t>
  </si>
  <si>
    <t>ул. Энергетиков, д. 11</t>
  </si>
  <si>
    <t>ул. Энергетиков, д. 27</t>
  </si>
  <si>
    <t>ул. Энергетиков, д. 34</t>
  </si>
  <si>
    <t>пр. Ленина, д. 4</t>
  </si>
  <si>
    <t>пр. Ленина, д. 12</t>
  </si>
  <si>
    <t>ул. Радищева, д. 1</t>
  </si>
  <si>
    <t>ул. П. Морозова, д. 28</t>
  </si>
  <si>
    <t>ул. Кирова, д. 8</t>
  </si>
  <si>
    <t>ул. Садово-Набережная, д. 3</t>
  </si>
  <si>
    <t>ул. Советская, д. 11</t>
  </si>
  <si>
    <t>ул. Советская, д. 19</t>
  </si>
  <si>
    <t>ул. Мира, д. 9</t>
  </si>
  <si>
    <t>ул. Советская, д. 22</t>
  </si>
  <si>
    <t>Селижаровский проезд, 8</t>
  </si>
  <si>
    <t>Осташковский проезд, 3</t>
  </si>
  <si>
    <t>шлакозаливные</t>
  </si>
  <si>
    <t>ул. Тертия Филиппова, 86а</t>
  </si>
  <si>
    <t>ул. Карла Маркса, 20/16</t>
  </si>
  <si>
    <t>ул. Садовая, 20/30</t>
  </si>
  <si>
    <t>ул. Большая Спасская, 18/50</t>
  </si>
  <si>
    <t>ул. Чернышевского, 19</t>
  </si>
  <si>
    <t>ул. Большая Спасская, 15</t>
  </si>
  <si>
    <t>ул. Садовая, 18а</t>
  </si>
  <si>
    <t>ул. Карла Маркса, 14</t>
  </si>
  <si>
    <t>пос. Нижний Бор,7</t>
  </si>
  <si>
    <t>ул. Мира, 2</t>
  </si>
  <si>
    <t>ул. Торопецкий тракт, д. 5</t>
  </si>
  <si>
    <t>ул. Чернышевского, 10а</t>
  </si>
  <si>
    <t>ул. Большевистская, д. 9/16</t>
  </si>
  <si>
    <t>ул. Тимирязева, д. 32</t>
  </si>
  <si>
    <t>ул. Челюскинцев, д. 17</t>
  </si>
  <si>
    <t>ул. Гагарина, д. 160</t>
  </si>
  <si>
    <t>ул. Кирова, д. 39а</t>
  </si>
  <si>
    <t>ул. Школьная, д. 6</t>
  </si>
  <si>
    <t>Рабочая пл., д. 8</t>
  </si>
  <si>
    <t>ул. Железнодорожная, д.11</t>
  </si>
  <si>
    <t>ул. Кирова, д. 25</t>
  </si>
  <si>
    <t>п. Академический, ул. Пионерская, д. 4 </t>
  </si>
  <si>
    <t>п. Академический, ул. Фабричная, д. 3 </t>
  </si>
  <si>
    <t>п. Академический, ул. Пионерская, д. 11 </t>
  </si>
  <si>
    <t>п. Академический, ул. Пионерская, д. 3</t>
  </si>
  <si>
    <t>п. Академический, ул. Пионерская, д. 11 </t>
  </si>
  <si>
    <t>п. Академический, ул. Пионерская, д. 3</t>
  </si>
  <si>
    <t>п. Академический, ул. Фабричная, д. 3 </t>
  </si>
  <si>
    <t>п. Академический, ул. Пионерская, д. 4 </t>
  </si>
  <si>
    <t>Итого по Вескинское сельское поселение</t>
  </si>
  <si>
    <t>д. Вески, ул. Боровикова, д. 3</t>
  </si>
  <si>
    <t>п. Осиновая Гряда, д. 14</t>
  </si>
  <si>
    <t>д. Вески, ул. Боровикова, д.3</t>
  </si>
  <si>
    <t>п. Терелесовский, ул. Центральная, д. 11/8</t>
  </si>
  <si>
    <t>п. Терелесовский, ул. Центральная, д. 11/8</t>
  </si>
  <si>
    <t>г. Бежецк, наб. рядового Николаева, д. 13</t>
  </si>
  <si>
    <t>г. Бежецк, пер. Остречинский, д. 15</t>
  </si>
  <si>
    <t>г. Бежецк, ул. М.И. Кузнецова, д. 8</t>
  </si>
  <si>
    <t>г. Бежецк, ул. Нечаева, д. 30</t>
  </si>
  <si>
    <t>городское поселение - г. Бежецк, д. Ивановское, ул. 1-ая, д. 39а</t>
  </si>
  <si>
    <t>г. Бежецк, ул. Нечаева, д. 2/7</t>
  </si>
  <si>
    <t>г. Бежецк, ул. Песочная, д. 4</t>
  </si>
  <si>
    <t>г. Бежецк, ул. Чехова, д. 7</t>
  </si>
  <si>
    <t>г. Бежецк, пер. Остречинский, д. 17</t>
  </si>
  <si>
    <t>г. Бежецк, ул. Энергетическая, д. 3</t>
  </si>
  <si>
    <t>Шлакоблочные</t>
  </si>
  <si>
    <t>Бревенчатые</t>
  </si>
  <si>
    <t>г. Бежецк, ул. Заводская, д. 4</t>
  </si>
  <si>
    <t>г. Бежецк, ул. М.И. Кузнецова, д. 16</t>
  </si>
  <si>
    <t>г. Бежецк, ул. Инженерная, д. 3</t>
  </si>
  <si>
    <t>г. Бежецк, ул. Инженерная, д. 6</t>
  </si>
  <si>
    <t>г. Бежецк, ул. Л. Толстого, д. 18</t>
  </si>
  <si>
    <t>каркасно-щитовые</t>
  </si>
  <si>
    <t>г. Бежецк, ул. Л. Толстого, д. 4</t>
  </si>
  <si>
    <t>г. Бежецк, ул. Остречинская, д. 4</t>
  </si>
  <si>
    <t>г. Бежецк, ул. Песочная, д. 10</t>
  </si>
  <si>
    <t>Крупнопанельные</t>
  </si>
  <si>
    <t>ул. Красноармейская, д. 35</t>
  </si>
  <si>
    <t>ул. Тургенева, д. 19</t>
  </si>
  <si>
    <t>ул. Ленина, д. 39а</t>
  </si>
  <si>
    <t>ул. Коминтерна, д. 47/21</t>
  </si>
  <si>
    <t>ул. Декабристов, д. 3а</t>
  </si>
  <si>
    <t>ул. Школьная, д. 39</t>
  </si>
  <si>
    <t>ул. Володарского, д. 7</t>
  </si>
  <si>
    <t>ул. Коминтерна, д. 2/26</t>
  </si>
  <si>
    <t>ул. Дзержинского, д. 17а</t>
  </si>
  <si>
    <t>ул. Шорина, д. 20а</t>
  </si>
  <si>
    <t>ул. Декабристов, д. 7</t>
  </si>
  <si>
    <t>ул. Коммунистическая, д. 18</t>
  </si>
  <si>
    <t>ул. Володарского, д. 8</t>
  </si>
  <si>
    <t>ул. Центральная, д. 5</t>
  </si>
  <si>
    <t>ул. Коминтерна, д. 39</t>
  </si>
  <si>
    <t>ул. Коминтерна, д. 69/26</t>
  </si>
  <si>
    <t>ул. Коминтерна, д. 63/15</t>
  </si>
  <si>
    <t>ул. Школьная, д. 40</t>
  </si>
  <si>
    <t>ул. Школьная, д. 44</t>
  </si>
  <si>
    <t>ул. Коминтерна, д. 62/26</t>
  </si>
  <si>
    <t>ул. Коминтерна, д. 65/14</t>
  </si>
  <si>
    <t>ул. Студенческая, д. 12а</t>
  </si>
  <si>
    <t>ул. Волжская, д. 41</t>
  </si>
  <si>
    <t>лифт</t>
  </si>
  <si>
    <t>д. Афимьино, ул. Мира, д. 2</t>
  </si>
  <si>
    <t>бетонные</t>
  </si>
  <si>
    <t>Итого по Холохоленское сельское поселение</t>
  </si>
  <si>
    <t>д. Афимьино, ул. Мира, д. 1</t>
  </si>
  <si>
    <t>Итого по Терелесовское сельское поселение</t>
  </si>
  <si>
    <t>Итого по ЗАТО Солнечный</t>
  </si>
  <si>
    <t>ул. Новая, д. 26</t>
  </si>
  <si>
    <t>ул. Новая, д. 27</t>
  </si>
  <si>
    <t>ул. Новая, д. 28</t>
  </si>
  <si>
    <t>ул. Новая, д. 29</t>
  </si>
  <si>
    <t>ул. Новая, д. 30</t>
  </si>
  <si>
    <t>ул. Кирова, д. 29</t>
  </si>
  <si>
    <t>ул. Фадеева, д. 29</t>
  </si>
  <si>
    <t>Типографский пер., д. 5</t>
  </si>
  <si>
    <t>Садовый пер., д. 5</t>
  </si>
  <si>
    <t>1997</t>
  </si>
  <si>
    <t>1963</t>
  </si>
  <si>
    <t>1977</t>
  </si>
  <si>
    <t>1962</t>
  </si>
  <si>
    <t>ул. Горького, д. 6</t>
  </si>
  <si>
    <t>1974</t>
  </si>
  <si>
    <t>ул. Мира, д. 70</t>
  </si>
  <si>
    <t>1989</t>
  </si>
  <si>
    <t>Итого по Верхнетроицкое сельское поселение</t>
  </si>
  <si>
    <t>д. Верхняя Троица, ул. Молодежная, д. 3</t>
  </si>
  <si>
    <t>д. Тетьково, д. 63</t>
  </si>
  <si>
    <t>д. Тетьково, д. 39</t>
  </si>
  <si>
    <t>д. Верхняя Троица, ул. Мира, д. 2</t>
  </si>
  <si>
    <t>пер. 1-й Путейский, д. 24</t>
  </si>
  <si>
    <t>ул. Володарского, д. 177</t>
  </si>
  <si>
    <t>ул. Загородная, д. 16</t>
  </si>
  <si>
    <t>ул. Ленина, д. 3</t>
  </si>
  <si>
    <t>ул. Ленина, д. 5</t>
  </si>
  <si>
    <t>ул. Ленина, д. 7</t>
  </si>
  <si>
    <t>ул. Ленина, д. 8</t>
  </si>
  <si>
    <t>ул. Ленина, д. 9</t>
  </si>
  <si>
    <t>ул. Ленина, д. 10</t>
  </si>
  <si>
    <t>ул. Ленина, д. 11</t>
  </si>
  <si>
    <t>ул. Ленина, д. 12</t>
  </si>
  <si>
    <t>ул. Ленина, д. 16</t>
  </si>
  <si>
    <t>ул. Строителей, д. 8</t>
  </si>
  <si>
    <t>ул. Строителей, д. 14</t>
  </si>
  <si>
    <t>ул. Строителей, д. 18</t>
  </si>
  <si>
    <t>ул. Строителей, д. 22</t>
  </si>
  <si>
    <t>ул. Строителей, д. 26</t>
  </si>
  <si>
    <t>ул.С. Козлова, д. 1</t>
  </si>
  <si>
    <t>ул.С. Козлова, д. 3</t>
  </si>
  <si>
    <t>ул.С. Козлова, д. 5</t>
  </si>
  <si>
    <t>ул. Советская, д. 1</t>
  </si>
  <si>
    <t>ул. Советская, д. 2</t>
  </si>
  <si>
    <t>ул. Советская, д. 6</t>
  </si>
  <si>
    <t>ул. Солнечная, д. 1</t>
  </si>
  <si>
    <t>ул. Солнечная, д. 2</t>
  </si>
  <si>
    <t>ул. Солнечная, д. 3</t>
  </si>
  <si>
    <t>ул. Солнечная, д. 6</t>
  </si>
  <si>
    <t>ул. Г. Кольцова, д. 1</t>
  </si>
  <si>
    <t>ул. Г. Кольцова, д. 2</t>
  </si>
  <si>
    <t>ул. Г. Кольцова, д. 6</t>
  </si>
  <si>
    <t>ул. Озерная, д. 4</t>
  </si>
  <si>
    <t>ул. Озерная, д. 6</t>
  </si>
  <si>
    <t>ул. Озерная, д. 8</t>
  </si>
  <si>
    <t>ул. Озерная, д. 10</t>
  </si>
  <si>
    <t>ул. Озерная, д. 12</t>
  </si>
  <si>
    <t>ул. Юбилейная, д. 11</t>
  </si>
  <si>
    <t>п. Пригородный, ул. Гагарина, д. 22</t>
  </si>
  <si>
    <t>п. Пригородный, ул. Гагарина, д. 20</t>
  </si>
  <si>
    <t>п. Пригородный, ул. Гагарина, д. 20</t>
  </si>
  <si>
    <t>п. Пригородный, ул. Гагарина, д. 22</t>
  </si>
  <si>
    <t>ул. Баумана, д. 13</t>
  </si>
  <si>
    <t>ул. Б. Садовая, д. 29</t>
  </si>
  <si>
    <t>ул. Правды, д. 27</t>
  </si>
  <si>
    <t>ул. Правды, д. 31/33</t>
  </si>
  <si>
    <t>ул. Правды, д. 27а</t>
  </si>
  <si>
    <t>Казанский пр-т, д. 105</t>
  </si>
  <si>
    <t>ул. Ст. Разина, д. 41</t>
  </si>
  <si>
    <t>ул. Московская, д. 1/49</t>
  </si>
  <si>
    <t>ул. Екатерининская, д. 4-6</t>
  </si>
  <si>
    <t>Казанский пр-т, д. 93</t>
  </si>
  <si>
    <t>Ржевский тракт, д. 44</t>
  </si>
  <si>
    <t>ул. Шмидта, д. 79/4</t>
  </si>
  <si>
    <t>ул. Новгородская, д. 4</t>
  </si>
  <si>
    <t>Лермонтовский пер., д. 16</t>
  </si>
  <si>
    <t>ул. 4-я Пролетарская, д. 98/2</t>
  </si>
  <si>
    <t>ул. Московская, д. 1</t>
  </si>
  <si>
    <t>ул. Киевская, д. 3</t>
  </si>
  <si>
    <t>Горняцкое с/п</t>
  </si>
  <si>
    <t>Холохоленское с/п</t>
  </si>
  <si>
    <t>п. Пено</t>
  </si>
  <si>
    <t>пгт. Сонково</t>
  </si>
  <si>
    <t>г. Бежецк, ул. Нечаева, д. 5</t>
  </si>
  <si>
    <t>ул. Баумана, д. 25</t>
  </si>
  <si>
    <t>ул. Правды,  д. 26</t>
  </si>
  <si>
    <t>ул. Правды,  д. 28</t>
  </si>
  <si>
    <t>ул. Баумана, д. 9</t>
  </si>
  <si>
    <t>Ванчакова линия, д. 5</t>
  </si>
  <si>
    <t>Ванчакова линия, д. 7</t>
  </si>
  <si>
    <t>Ванчакова линия, д. 9</t>
  </si>
  <si>
    <t>Ванчакова линия, д. 25</t>
  </si>
  <si>
    <t>Ванчакова линия, д. 29</t>
  </si>
  <si>
    <t>Ванчакова линия, д. 43</t>
  </si>
  <si>
    <t>Ванчакова линия, д. 53</t>
  </si>
  <si>
    <t>Ванчакова линия, д. 69а</t>
  </si>
  <si>
    <t>Ванчакова линия, д. 77/1</t>
  </si>
  <si>
    <t>бревенчатые</t>
  </si>
  <si>
    <t>ул. Цюрупы, д. 4</t>
  </si>
  <si>
    <t>Тургеневский пер., д. 7</t>
  </si>
  <si>
    <t>Бейшлотская наб., д. 127</t>
  </si>
  <si>
    <t>Бейшлотская наб., д. 127а</t>
  </si>
  <si>
    <t>ул. Мичурина, д. 3</t>
  </si>
  <si>
    <t>Тверской пер., д. 11/2</t>
  </si>
  <si>
    <t>ул. М. Расковой, д. 79/82</t>
  </si>
  <si>
    <t>Казанский пр-т, д. 66/57</t>
  </si>
  <si>
    <t>Казанский пр-т, д. 86</t>
  </si>
  <si>
    <t>Казанский пр-т, д. 39-45</t>
  </si>
  <si>
    <t>ул. Сиверсова, д. 5-9</t>
  </si>
  <si>
    <t>шлакоблочные</t>
  </si>
  <si>
    <t>фундам.</t>
  </si>
  <si>
    <t>ул. Старицкая, д. 100</t>
  </si>
  <si>
    <t>ул. Падерина, д. 1</t>
  </si>
  <si>
    <t>ул. Школьная, д. 42</t>
  </si>
  <si>
    <t>ул. Зеленая, д. 2</t>
  </si>
  <si>
    <t>ул. Восточная, д. 1</t>
  </si>
  <si>
    <t>ул. Северная, д. 5а</t>
  </si>
  <si>
    <t>ул. Восточная, д. 25</t>
  </si>
  <si>
    <t>ул. им. Василенкова, д. 3</t>
  </si>
  <si>
    <t>ул. им Смирнова, д. 20</t>
  </si>
  <si>
    <t>Итого по Бурашевское сельское поселение</t>
  </si>
  <si>
    <t>д. Езвино, д. 7</t>
  </si>
  <si>
    <t>д. Езвино, д. 9</t>
  </si>
  <si>
    <t>керамзитовые блоки</t>
  </si>
  <si>
    <t>ул. Ленина, д. 36</t>
  </si>
  <si>
    <t>ул. Ленина, д. 28</t>
  </si>
  <si>
    <t>ул. Ленина, д. 34</t>
  </si>
  <si>
    <t>ул. Ленина, д. 39</t>
  </si>
  <si>
    <t>ул. Речная, д. 1</t>
  </si>
  <si>
    <t>Итого по Городенское сельское поселение</t>
  </si>
  <si>
    <r>
      <t>с. Городня, ул. Садовая, д.</t>
    </r>
    <r>
      <rPr>
        <sz val="12"/>
        <color theme="1"/>
        <rFont val="Calibri"/>
        <family val="2"/>
        <charset val="204"/>
      </rPr>
      <t> 2</t>
    </r>
  </si>
  <si>
    <t>д. Заполок, д. 1</t>
  </si>
  <si>
    <t>д. Заполок, д. 2</t>
  </si>
  <si>
    <t>ул. Михаила Калинина, д. 8/3</t>
  </si>
  <si>
    <t>ул. Ивана Тургенева, д. 3а</t>
  </si>
  <si>
    <t>ул. Карла Маркса, д. 21а</t>
  </si>
  <si>
    <t>ул. Ленина, д. 49б</t>
  </si>
  <si>
    <t>ул. Ленина,д. 60</t>
  </si>
  <si>
    <t>пл. Пролетарская, д. 13</t>
  </si>
  <si>
    <t>ул. Профсоюзов, д. 8</t>
  </si>
  <si>
    <t>ул. Республиканская, д. 3</t>
  </si>
  <si>
    <t>ул. Вонжинская, д. 15</t>
  </si>
  <si>
    <t>ул. Карла Маркса, д. 38</t>
  </si>
  <si>
    <t>ул. Ленина, д. 49а</t>
  </si>
  <si>
    <t>ул. Ленина, д. 52а</t>
  </si>
  <si>
    <t>ул. Ленина, д. 54а</t>
  </si>
  <si>
    <t>ул. Песочная, д. 8</t>
  </si>
  <si>
    <t>пл. Петровой, д. 7</t>
  </si>
  <si>
    <t>ул. Чистопрудная, д. 23</t>
  </si>
  <si>
    <t>ул. Заводская, д. 6</t>
  </si>
  <si>
    <t>ул. Николая Гоголя, д. 2а</t>
  </si>
  <si>
    <t>ул. Песочная, д. 9</t>
  </si>
  <si>
    <t>ул. Строителей, д. 20</t>
  </si>
  <si>
    <t>пл. Республиканская, д. 2а</t>
  </si>
  <si>
    <t>ул. Московская, д. 18</t>
  </si>
  <si>
    <t>мкр. Заозерный, д. 2</t>
  </si>
  <si>
    <t>мкр. Заозерный, д. 22</t>
  </si>
  <si>
    <t>ул. Дзержинского, д.2</t>
  </si>
  <si>
    <t>ул. Луначарского, д. 35</t>
  </si>
  <si>
    <t>ул. Мира, д. 195</t>
  </si>
  <si>
    <t>мкр. Заозерный, д. 1</t>
  </si>
  <si>
    <t>ул. Дачная, д. 13</t>
  </si>
  <si>
    <t>ул. Октябрьская, д. 15</t>
  </si>
  <si>
    <t>ул. Кирова, д. 1</t>
  </si>
  <si>
    <t>ул. Кирова, д. 20</t>
  </si>
  <si>
    <t>ул. Луначарского, д. 43</t>
  </si>
  <si>
    <t>мкр. Заводской, д. 2</t>
  </si>
  <si>
    <t>ул. Северная, д. 15</t>
  </si>
  <si>
    <t>ул. Дружбы, д. 2</t>
  </si>
  <si>
    <t>ул. Кирова, д. 24</t>
  </si>
  <si>
    <t>ул. Кирова, д. 31</t>
  </si>
  <si>
    <t>Спировский район</t>
  </si>
  <si>
    <t>пос. Межа, ул. Ленина, д. 15</t>
  </si>
  <si>
    <t>ул. Баумана, д. 10</t>
  </si>
  <si>
    <t>наб. О. Матвеева, д. 17</t>
  </si>
  <si>
    <t>ул. Лесозаводская, д. 14</t>
  </si>
  <si>
    <t>ул. Урицкого, д. 97</t>
  </si>
  <si>
    <t>ул. Фабричная, д. 7</t>
  </si>
  <si>
    <t>ул. Фабричная, д. 9</t>
  </si>
  <si>
    <t>ул. Фадеева, д. 4</t>
  </si>
  <si>
    <t>ул. Лихославльская, д. тяговой подстанции</t>
  </si>
  <si>
    <t>ул. Нечаева, д. 2/7</t>
  </si>
  <si>
    <t>ул. Песочная, д. 4</t>
  </si>
  <si>
    <t>ул. Энергетическая, д. 3</t>
  </si>
  <si>
    <t>ул. Заводская, д. 4</t>
  </si>
  <si>
    <t>ул. М.И. Кузнецова, д. 16</t>
  </si>
  <si>
    <t>ул. Инженерная, д. 3</t>
  </si>
  <si>
    <t>ул. Инженерная, д. 6</t>
  </si>
  <si>
    <t>ул. Парковая, д. 2</t>
  </si>
  <si>
    <t>ул. Садовая, д. 20/30</t>
  </si>
  <si>
    <t>ул. Карла Маркса, д. 14</t>
  </si>
  <si>
    <t>ул. Мира, д. 2</t>
  </si>
  <si>
    <t>пер. Типографский, д. 5</t>
  </si>
  <si>
    <t>пер. Садовый, д. 5</t>
  </si>
  <si>
    <t xml:space="preserve">  пгт. Рамешки</t>
  </si>
  <si>
    <t>Нелидовское с/п</t>
  </si>
  <si>
    <t>ул. Железнодорожная, д. 34</t>
  </si>
  <si>
    <t>ул. Краностроителей, д. 3</t>
  </si>
  <si>
    <t>ул. Краностроителей, д. 14</t>
  </si>
  <si>
    <t>ул. Робеспьера, д. 5</t>
  </si>
  <si>
    <t>ул. Смольная, д. 46</t>
  </si>
  <si>
    <t>Бетонные</t>
  </si>
  <si>
    <t>ул. Садовая, д. 18А</t>
  </si>
  <si>
    <t>ул. Ленинская, д. 8А</t>
  </si>
  <si>
    <t>с. Городня, ул. Садовая, д. 2</t>
  </si>
  <si>
    <t>Итого по муниципальному образованию Тверской области (далее - МО) город Тверь</t>
  </si>
  <si>
    <t>Итого по МО город Вышний Волочек</t>
  </si>
  <si>
    <t>Итого по МО город Кимры</t>
  </si>
  <si>
    <t>Итого по МО город Ржев</t>
  </si>
  <si>
    <t>Итого по МО город Торжок</t>
  </si>
  <si>
    <t>Итого по МО городское поселение город Бежецк</t>
  </si>
  <si>
    <t>Итого по МО городское поселение город Белый</t>
  </si>
  <si>
    <t>Итого по МО Городское поселение пос. Жарковский</t>
  </si>
  <si>
    <t>Итого по МО городское поселение город Зубцов</t>
  </si>
  <si>
    <t>Итого по МО городское поселение пос. Орша</t>
  </si>
  <si>
    <t>Итого по МО Каблуковское сельское поселение</t>
  </si>
  <si>
    <t>Итого по МО городское поселение город Калязин</t>
  </si>
  <si>
    <t>Итого по МО городское поселение пос. Белый Городок</t>
  </si>
  <si>
    <t>Итого по МО городское поселение город Конаково</t>
  </si>
  <si>
    <t>Итого по МО городское поселение пос. Изоплит</t>
  </si>
  <si>
    <t>Итого по МО городское поселение пос. Новозавидовский</t>
  </si>
  <si>
    <t>Итого по МО городское поселение пос. Козлово</t>
  </si>
  <si>
    <t>Итого по МО городское поселение пос. Редкино</t>
  </si>
  <si>
    <t>Итого по МО городское поселение пос. Радченко</t>
  </si>
  <si>
    <t>Итого по МО Городенское сельское поселение</t>
  </si>
  <si>
    <t>Итого по МО городское поселение город Кувшиново</t>
  </si>
  <si>
    <t>Итого по МО городское поселение город Лихославль</t>
  </si>
  <si>
    <t>Итого по МО городское поселение пос. Калашниково</t>
  </si>
  <si>
    <t>Итого по МО Вескинское сельское поселение</t>
  </si>
  <si>
    <t>Итого по МО городское поселение пос. Максатиха</t>
  </si>
  <si>
    <t>Итого по МО городское поселение пос. Рамешки</t>
  </si>
  <si>
    <t>Итого по МО городское поселение пос. Спирово</t>
  </si>
  <si>
    <t>Итого по МО городское поселение город Старица</t>
  </si>
  <si>
    <t>Итого по МО Мошковское сельское поселение</t>
  </si>
  <si>
    <t>Итого по МО Яконовское сельское поселение</t>
  </si>
  <si>
    <t>Итого по МО Речанское сельское поселение</t>
  </si>
  <si>
    <t>Итого по МО городское поселение город Торопец</t>
  </si>
  <si>
    <t>Итого по МО городское поселение пос. Фирово</t>
  </si>
  <si>
    <t>Итого по МО город Тверь</t>
  </si>
  <si>
    <t>Итого по МО Приволжское сельское поселение</t>
  </si>
  <si>
    <t>Итого по МО городское поселение пос. Сонково</t>
  </si>
  <si>
    <t>Итого по МО городское поселение поселок Жарковский</t>
  </si>
  <si>
    <t>Итого по МО городское поселение поселок Белый Городок</t>
  </si>
  <si>
    <t>Итого по МО городское поселение поселок Изоплит</t>
  </si>
  <si>
    <t>Итого по МО городское поселение поселок Козлово</t>
  </si>
  <si>
    <t>Итого по МО городское поселение поселок Радченко</t>
  </si>
  <si>
    <t>Итого по МО городское поселение поселок Калашниково</t>
  </si>
  <si>
    <t>Итого по МО городское поселение поселок Максатиха</t>
  </si>
  <si>
    <t>Итого по МО городское поселение поселок Сонково</t>
  </si>
  <si>
    <t>Итого по МО городское поселение поселок Спирово</t>
  </si>
  <si>
    <t>Итого по МО городское поселение город Бологое</t>
  </si>
  <si>
    <t>Формирование фонда капитального ремонта многоквартирного дома на счете регионального оператора</t>
  </si>
  <si>
    <t>Итого по МО городское поселение поселок Рамешки</t>
  </si>
  <si>
    <t>ул. Падерина, д. 3</t>
  </si>
  <si>
    <t>ш. Ленинградское, д. 87В</t>
  </si>
  <si>
    <t>ул. Мира, д. 46</t>
  </si>
  <si>
    <t>Итого по МО городское поселение поселок Орша</t>
  </si>
  <si>
    <t>№ 
п/п</t>
  </si>
  <si>
    <t>ул. Микрорайон, д. 1</t>
  </si>
  <si>
    <t>ул. Садовая, д. 17/11</t>
  </si>
  <si>
    <t>ул. Советская, д. 2/1</t>
  </si>
  <si>
    <t>ул. Красноармейская, д. 2</t>
  </si>
  <si>
    <t>ул. Красноармейская, д. 3</t>
  </si>
  <si>
    <t>ул. Мира, д. 4</t>
  </si>
  <si>
    <t>ш. Калининское, д. 16Б</t>
  </si>
  <si>
    <t>ш. Калининское, д. 35</t>
  </si>
  <si>
    <t>ул. Московская, д. 10</t>
  </si>
  <si>
    <t>ул. Труда, д. 5</t>
  </si>
  <si>
    <t>ул. Карла Маркса, д. 3</t>
  </si>
  <si>
    <t>ул. М.Складская, д. 4</t>
  </si>
  <si>
    <t>ул. Кирова, д. 37</t>
  </si>
  <si>
    <t>ул. Школьная, д. 7</t>
  </si>
  <si>
    <t>ул. Щербакова, д. 24</t>
  </si>
  <si>
    <t>ул. Имени В.И. Ленина, д. 4</t>
  </si>
  <si>
    <t>Итого по МО Погорельское сельское поселение</t>
  </si>
  <si>
    <t>Итого по МО Верхневолжское сельское поселение</t>
  </si>
  <si>
    <t>Итого по МО Щербининское сельское поселение</t>
  </si>
  <si>
    <t>Итого по МО Эммаусское сельское поселение</t>
  </si>
  <si>
    <t>ул. Центральная, д. 10</t>
  </si>
  <si>
    <t>ул. Ленина, д. 35</t>
  </si>
  <si>
    <t>Итого по МО сельское поселение «Завидово»</t>
  </si>
  <si>
    <t>с. Завидово, ул. Школьная, д. 3</t>
  </si>
  <si>
    <t>ул. Бумажников, д. 4</t>
  </si>
  <si>
    <t>ул. Бумажников, д. 10</t>
  </si>
  <si>
    <t>ул. Экономическая, д. 11</t>
  </si>
  <si>
    <t xml:space="preserve">ул. Льнозаводская, д. 44 </t>
  </si>
  <si>
    <t xml:space="preserve">Количество МКД </t>
  </si>
  <si>
    <t>за счет привлеченных средств (кредит)</t>
  </si>
  <si>
    <t>за счет привлеченных средств (рассрочка)</t>
  </si>
  <si>
    <t>ул. Прядильщиков, д.2</t>
  </si>
  <si>
    <t>Удельная стоимость капитального ремонта 
1 кв. м общей площади помещений МКД</t>
  </si>
  <si>
    <t>Формирование фонда капитального ремонта многоквартирного дома на счете некоммерческой организации - Фонда капитального ремонта многоквартирных домов Тверской области (далее - региональный оператор)</t>
  </si>
  <si>
    <t>Итого по МО сельское поселение «Победа»</t>
  </si>
  <si>
    <t>Итого по МО Осташковский городской округ</t>
  </si>
  <si>
    <t>Формирование фонда капитального ремонта многоквартирного дома на специальном счете, владельцем которого является товарищество собственников жилья, жилищно-строительный кооператив, жилищный кооператив, 
иной специализированный потребительский кооператив, управляющая компания</t>
  </si>
  <si>
    <t>Виды услуг и (или) работ по капитальному ремонту:</t>
  </si>
  <si>
    <t>Итого по МО Удомельский городской округ</t>
  </si>
  <si>
    <t>Итого по МО ЗАТО Солнечный</t>
  </si>
  <si>
    <t>Итого по МО ЗАТО Озерный</t>
  </si>
  <si>
    <t>пер. Театральный, д. 2</t>
  </si>
  <si>
    <t xml:space="preserve">Итого по МО Верхневолжское сельское поселение </t>
  </si>
  <si>
    <t>д. Рязаново, д. 11</t>
  </si>
  <si>
    <t>ул. Рижская, д. 4</t>
  </si>
  <si>
    <t xml:space="preserve">Итого по МО Щербининское сельское поселение </t>
  </si>
  <si>
    <t>ж/д ст. Кузьминка, д. 2</t>
  </si>
  <si>
    <t>ул. Шевченко, д. 99В</t>
  </si>
  <si>
    <t>ул. Горького, д. 3</t>
  </si>
  <si>
    <t>ул. Энергетиков, д. 4</t>
  </si>
  <si>
    <t>выполнения работ по капитальному ремонту</t>
  </si>
  <si>
    <t>ул. Советская, д. 18</t>
  </si>
  <si>
    <t>ул. Фадеева, д. 8</t>
  </si>
  <si>
    <t>ул. Центральная, д. 14</t>
  </si>
  <si>
    <t>ул. Пионерская, д. 1/10</t>
  </si>
  <si>
    <t>ул. Елисеева, д. 10/75</t>
  </si>
  <si>
    <t>ул. Робеспьера, д. 7</t>
  </si>
  <si>
    <t>Итого по МО Выползовское сельское поселение</t>
  </si>
  <si>
    <t xml:space="preserve">Итого по МО Красногорское сельское поселение </t>
  </si>
  <si>
    <t>Итого по МО сельское поселение Застолбье</t>
  </si>
  <si>
    <t>с. Застолбье, ул.Школьная, д. 4</t>
  </si>
  <si>
    <t>Наименование муниципального образования 
Тверской области</t>
  </si>
  <si>
    <t>ул. Красноармейская, д. 37</t>
  </si>
  <si>
    <t>ул. Бакунина, д. 8</t>
  </si>
  <si>
    <t>ул. Старицкая, д. 5</t>
  </si>
  <si>
    <t>ул. Чапаева, д. 11</t>
  </si>
  <si>
    <t>ул. Быкова гора, д. 1</t>
  </si>
  <si>
    <t xml:space="preserve">Итого по МО Каблуковское сельское поселение </t>
  </si>
  <si>
    <t>5</t>
  </si>
  <si>
    <t>разработки проектной документации, проведения проверки достоверности определения сметной стоимости капитального ремонта</t>
  </si>
  <si>
    <t>ремонт и утепление фасада</t>
  </si>
  <si>
    <t xml:space="preserve">Итого по МО Эммаусское сельское поселение </t>
  </si>
  <si>
    <t>ул. Карла Маркса, д. 73</t>
  </si>
  <si>
    <t>ул. Карла Маркса, д. 58</t>
  </si>
  <si>
    <t>ж/д ст. Чуприяновка, ул. Рабочая, д. 3</t>
  </si>
  <si>
    <t>пр. Ленина, д. 11</t>
  </si>
  <si>
    <t xml:space="preserve">Итого по МО Погорельское сельское поселение </t>
  </si>
  <si>
    <t>ул. Кирова, д. 49А</t>
  </si>
  <si>
    <t>ул. Тимирязева, д. 5/25</t>
  </si>
  <si>
    <t>ул. Т.Филиппова, д. 60</t>
  </si>
  <si>
    <t>ул. Партизанская, д. 21/13</t>
  </si>
  <si>
    <t>ул. Робеспьера, д. 1</t>
  </si>
  <si>
    <t>ул. Бехтерева, д. 83/1</t>
  </si>
  <si>
    <t>Ленинградское ш., д. 31</t>
  </si>
  <si>
    <t>ул. Декабристов, д. 66</t>
  </si>
  <si>
    <t>Итого по МО Будовское сельское поселение</t>
  </si>
  <si>
    <t>ул. Ленина, д. 41/15</t>
  </si>
  <si>
    <t>ул. Большая Садовая, д. 55</t>
  </si>
  <si>
    <t>пл. Карла Маркса, д. 1</t>
  </si>
  <si>
    <t>ул. Карла Маркса, д. 55/15</t>
  </si>
  <si>
    <t>ул. Грацинского, д. 25</t>
  </si>
  <si>
    <t>ул. Карла Маркса, д. 9/32</t>
  </si>
  <si>
    <t>ул. Центральная, д. 7</t>
  </si>
  <si>
    <t>ул. Екатерининская, д. 39</t>
  </si>
  <si>
    <t>ул. Пашинская, д. 11</t>
  </si>
  <si>
    <t>пос. Южный, ул. Маресьева, д. 23</t>
  </si>
  <si>
    <t>Итого по МО Рождественское сельское поселение</t>
  </si>
  <si>
    <t>Итого по МО Нелидовский городской округ</t>
  </si>
  <si>
    <t>Итого по МО Кашинский городской округ</t>
  </si>
  <si>
    <t>ул. Захарова, д. 3</t>
  </si>
  <si>
    <t>ул. Прядильщиков, д. 2</t>
  </si>
  <si>
    <t>ул. Прядильщиков, д. 10</t>
  </si>
  <si>
    <t xml:space="preserve"> ул. Ленина, д. 34</t>
  </si>
  <si>
    <t>Итого по МО Красногорское сельское поселение</t>
  </si>
  <si>
    <t>Итого по МО городское поселение поселок Фирово</t>
  </si>
  <si>
    <t>д. Мокшино, ул. Ленинградская, 
д. 6</t>
  </si>
  <si>
    <t>д. Мокшино, ул. Ленинградская,  
д. 7</t>
  </si>
  <si>
    <t>д. Мокшино, ул. Ленинградская, 
д. 8</t>
  </si>
  <si>
    <t>1980</t>
  </si>
  <si>
    <t>1987</t>
  </si>
  <si>
    <t>1934</t>
  </si>
  <si>
    <t>Плановая дата завершения</t>
  </si>
  <si>
    <t>Площадь помещений МКД</t>
  </si>
  <si>
    <t>за счет средств собственников 
помещений в МКД</t>
  </si>
  <si>
    <t>517,2</t>
  </si>
  <si>
    <t xml:space="preserve">Начало проведения капитального ремонта 2020 год </t>
  </si>
  <si>
    <t>0,00</t>
  </si>
  <si>
    <t>Начало проведения капитального ремонта 2021 год</t>
  </si>
  <si>
    <t>Начало проведения капитального ремонта 2022 год</t>
  </si>
  <si>
    <t>Реестр многоквартирных домов, капитальный ремонт которых которых не был завершен в 2019 году, и которые планируется отремонтировать в 2020 году</t>
  </si>
  <si>
    <t>Начало проведения капитального ремонта 2020 год</t>
  </si>
  <si>
    <t>ул. Энгельса, д. 84</t>
  </si>
  <si>
    <t>ул. Гагарина, д. 2</t>
  </si>
  <si>
    <t>ул. Ленина, д. 29</t>
  </si>
  <si>
    <t>ул. Завокзальная, д. 20</t>
  </si>
  <si>
    <t>ул. Западная, д. 47</t>
  </si>
  <si>
    <t>ул. Вознесенского, д. 13</t>
  </si>
  <si>
    <t xml:space="preserve">ул. Гагарина, д. 2 </t>
  </si>
  <si>
    <t>д. Митьково, д. 3</t>
  </si>
  <si>
    <t>ул. Юбилейная, д. 3</t>
  </si>
  <si>
    <t>ул. Юбилейная, д. 1/2</t>
  </si>
  <si>
    <t>ул. Юбилейная, д. 9</t>
  </si>
  <si>
    <t>ул. Октябрьская, д. 7</t>
  </si>
  <si>
    <t>с. Погорелое Городище, ул. Советская, д. 17</t>
  </si>
  <si>
    <t>ул. Пионерская, д. 38</t>
  </si>
  <si>
    <t>ул. Кирова, д. 12</t>
  </si>
  <si>
    <t>ул. Октябрьская, д. 2</t>
  </si>
  <si>
    <t>ул. Октябрьская, д. 5</t>
  </si>
  <si>
    <t>ул. Фадеева, д. 25</t>
  </si>
  <si>
    <t>пер. Типографский, д. 3</t>
  </si>
  <si>
    <t>ул. Почтовая, д. 12</t>
  </si>
  <si>
    <t>ул. Мира, д. 35А</t>
  </si>
  <si>
    <t>1986</t>
  </si>
  <si>
    <t>-</t>
  </si>
  <si>
    <t>1</t>
  </si>
  <si>
    <t>1985</t>
  </si>
  <si>
    <t>2020</t>
  </si>
  <si>
    <t>1957</t>
  </si>
  <si>
    <t>2</t>
  </si>
  <si>
    <t>655,98</t>
  </si>
  <si>
    <t>2021</t>
  </si>
  <si>
    <t>ул. Александра Невского, д. 2</t>
  </si>
  <si>
    <t xml:space="preserve"> ул. Советская, д. 130р</t>
  </si>
  <si>
    <t>ул. Советская, д. 130у</t>
  </si>
  <si>
    <t>ул. Советская, д. 125б</t>
  </si>
  <si>
    <t xml:space="preserve"> ул. Советская, д. 130у</t>
  </si>
  <si>
    <t>ул. Мира, д. 14</t>
  </si>
  <si>
    <t>ул. Мира,  д. 14</t>
  </si>
  <si>
    <t>ул. Мира, д. 13</t>
  </si>
  <si>
    <t>ул. Комсомольская, д. 11</t>
  </si>
  <si>
    <t>д. Вески, ул. Боровикова, д. 1</t>
  </si>
  <si>
    <t>д. Вески, ул. Боровикова, д. 2</t>
  </si>
  <si>
    <t>д. Вески, ул. Боровикова, д. 4</t>
  </si>
  <si>
    <t>ул. Мира, д. 6</t>
  </si>
  <si>
    <t>пер. Советский, д. 2</t>
  </si>
  <si>
    <t>ул. Страховая, д. 13</t>
  </si>
  <si>
    <t>пер. Фестивальный, д. 3</t>
  </si>
  <si>
    <t>ул. Советская, д. 81</t>
  </si>
  <si>
    <t>ул. Молодежная, д. 24</t>
  </si>
  <si>
    <t>ул. Парковая, д. 6</t>
  </si>
  <si>
    <t>ул. Коммунистическая, д. 12</t>
  </si>
  <si>
    <t>ул. Правды, д. 10</t>
  </si>
  <si>
    <t>ул. Промышленная, д. 22</t>
  </si>
  <si>
    <t>ул. Первомайская,  д. 14</t>
  </si>
  <si>
    <t>ул. Юбилейная,  д. 2</t>
  </si>
  <si>
    <t>ул. Ямская,  д. 31</t>
  </si>
  <si>
    <t>ул. Ямская,  д. 33</t>
  </si>
  <si>
    <t>ул. Ямская,  д. 35</t>
  </si>
  <si>
    <t>Дом тяговой подстанции</t>
  </si>
  <si>
    <t>ул. Бежецкая,  д. 25</t>
  </si>
  <si>
    <t>ул. Первомайская,  д. 21</t>
  </si>
  <si>
    <t>ул.  Лихославльская,  д. 16</t>
  </si>
  <si>
    <t>ул.  Юбилейная,  д. РСУ</t>
  </si>
  <si>
    <t>ул. Первомайская, д. 39</t>
  </si>
  <si>
    <t>ул. Лихославльская, д. 45</t>
  </si>
  <si>
    <t>пер. 2-й Коммунистический, д. 7</t>
  </si>
  <si>
    <t>ул. Кириллова, д. 7</t>
  </si>
  <si>
    <t>ул. Кириллова, д. 9</t>
  </si>
  <si>
    <t>ул. Кропоткина, д. 12</t>
  </si>
  <si>
    <t>ул. Льва Толстого, д. 51/4</t>
  </si>
  <si>
    <t>ул. Заводская, д. 22</t>
  </si>
  <si>
    <t>ул. Октябрьская, д. 26</t>
  </si>
  <si>
    <t>ул. Калинина, д. 6</t>
  </si>
  <si>
    <t>1968</t>
  </si>
  <si>
    <t>1917</t>
  </si>
  <si>
    <t>ул. Коммунистическая, д. 36</t>
  </si>
  <si>
    <t>с. Пушкино, д. 2</t>
  </si>
  <si>
    <t>с. Пушкино, д. 6</t>
  </si>
  <si>
    <t>д. Нестерово, ул. Центральная, д. 13</t>
  </si>
  <si>
    <t>д. Нестерово, ул. Центральная,               д. 13</t>
  </si>
  <si>
    <t>с. Пушкино, д. 8</t>
  </si>
  <si>
    <t>д. Верхняя Троица, ул. Советская, д. 4</t>
  </si>
  <si>
    <t>1965</t>
  </si>
  <si>
    <t>с. Лесное, ул. 50 лет Октября, д. 34</t>
  </si>
  <si>
    <t>ул. Захарова,  д. 3</t>
  </si>
  <si>
    <t>ул. Ленина,  д. 80</t>
  </si>
  <si>
    <t>ул. Карла Маркса,  д. 60</t>
  </si>
  <si>
    <t>ул. Володарского,  д. 15</t>
  </si>
  <si>
    <t>ул. Чернозерского,  д. 24</t>
  </si>
  <si>
    <t>ул. Адмирала Октябрьского,  д. 7</t>
  </si>
  <si>
    <t>ул. Адмирала Октябрьского,  д. 10</t>
  </si>
  <si>
    <t>ул. Мира,  д. 16</t>
  </si>
  <si>
    <t>ул. Чернозерского,  д. 10</t>
  </si>
  <si>
    <t>ул. Пушкина,  д. 8</t>
  </si>
  <si>
    <t>ул. Завидова, д. 19</t>
  </si>
  <si>
    <t>ул. Коммунистическая, д. 34</t>
  </si>
  <si>
    <t>Молоковский район</t>
  </si>
  <si>
    <t>Итого по МО городское поселение поселок Молоково</t>
  </si>
  <si>
    <t>п. Молоково, ул. Народная, д. 10</t>
  </si>
  <si>
    <t>Итого по МО Сосновицкое сельское поселение</t>
  </si>
  <si>
    <t>д. Барановка, д. 1</t>
  </si>
  <si>
    <t>д. Барановка, д. 2</t>
  </si>
  <si>
    <t>Итого по МО Великооктябрьское городское поселение</t>
  </si>
  <si>
    <t>Итого по МО Великооктябрьское городское поселение 
пос. Великооктябрьский</t>
  </si>
  <si>
    <t xml:space="preserve">Итого по МО Великооктябрьское городское поселение </t>
  </si>
  <si>
    <t>ул. Тверская, д. 36</t>
  </si>
  <si>
    <t>ул. Первомайская, д. 3</t>
  </si>
  <si>
    <t>ул. Горького, д. 4</t>
  </si>
  <si>
    <t>Итого по МО Берновское сельское поселение</t>
  </si>
  <si>
    <t>д. Берново, ул. Советская, д. 8</t>
  </si>
  <si>
    <t>д. Берново, ул. Советская, д. 9</t>
  </si>
  <si>
    <t>д. Заречье, д. 51</t>
  </si>
  <si>
    <t>д. Заречье, д. 52</t>
  </si>
  <si>
    <t>пер. Милицейский, д. 2</t>
  </si>
  <si>
    <t xml:space="preserve">Максатихинский район </t>
  </si>
  <si>
    <t>Итого по МО городское поселение город Максатиха</t>
  </si>
  <si>
    <t>ул. Пролетарская, д. 21</t>
  </si>
  <si>
    <t>Итого по МО сельское поселение «Хорошево»</t>
  </si>
  <si>
    <t>д. Хорошево, д. 3</t>
  </si>
  <si>
    <t>д. Хорошево, д. 4</t>
  </si>
  <si>
    <t>Итого по МО Рыбинское сельское поселение</t>
  </si>
  <si>
    <t>д. Фабрика, мкр. «Льнозавод», д. 5</t>
  </si>
  <si>
    <t>Итого по МО Малышевское сельское поселение</t>
  </si>
  <si>
    <t xml:space="preserve">ул. Коминтерна, д. 73           </t>
  </si>
  <si>
    <t xml:space="preserve">ул. Урицкого, д. 28                 </t>
  </si>
  <si>
    <t xml:space="preserve">ул. Коминтерна, д. 105           </t>
  </si>
  <si>
    <t xml:space="preserve">ул. Волжская, д. 33       </t>
  </si>
  <si>
    <t xml:space="preserve">ул. К. Либкнехта, д. 43           </t>
  </si>
  <si>
    <t xml:space="preserve">ул. Дзержинского, д. 10       </t>
  </si>
  <si>
    <t xml:space="preserve">ул. Декабристов, д. 11  </t>
  </si>
  <si>
    <t>ул. Ленина, д. 41/3</t>
  </si>
  <si>
    <t xml:space="preserve">ул. Шорина, д. 18       </t>
  </si>
  <si>
    <t xml:space="preserve">ул. Декабристов, д. 4        </t>
  </si>
  <si>
    <t xml:space="preserve">ул. Коминтерна, д. 78            </t>
  </si>
  <si>
    <t xml:space="preserve">ул. Коминтерна, д. 76                   </t>
  </si>
  <si>
    <t xml:space="preserve">ул. Шорина, д. 15                </t>
  </si>
  <si>
    <t xml:space="preserve">ул. Коминтерна, д. 44          </t>
  </si>
  <si>
    <t xml:space="preserve">ул. Коминтерна, д. 32     </t>
  </si>
  <si>
    <t>наб. рядового Николаева, д. 13</t>
  </si>
  <si>
    <t>пер. Остречинский, д. 6</t>
  </si>
  <si>
    <t xml:space="preserve">ул. Коминтерна, д. 69/26        </t>
  </si>
  <si>
    <t xml:space="preserve">Итого по МО Славновское сельское поселение </t>
  </si>
  <si>
    <t>с. Беле-Кушальское, д. 2</t>
  </si>
  <si>
    <t>Итого по МО Славновское сельское поселение</t>
  </si>
  <si>
    <t>пос. Граничный, д. 10</t>
  </si>
  <si>
    <t>пос. Труд, ул. Пушкина, д. 31</t>
  </si>
  <si>
    <t>пос. Граничный, д. 14</t>
  </si>
  <si>
    <t>Итого по МО Емельяновское сельское поселение</t>
  </si>
  <si>
    <t>пос. Славный, ул. Школьная, д. 12</t>
  </si>
  <si>
    <t>ул. Володарского, д. 43</t>
  </si>
  <si>
    <t>ул. Константина Заслонова, д. 3</t>
  </si>
  <si>
    <t>пер. Адрианова, д. 14</t>
  </si>
  <si>
    <t>ул. Шевчука, д. 5</t>
  </si>
  <si>
    <t>ул. Рабочий Городок, д. 48</t>
  </si>
  <si>
    <t>ул. Загородная, д. 10</t>
  </si>
  <si>
    <t>ул. Рудинская, д. 17</t>
  </si>
  <si>
    <t>ул. Володарского, д. 175</t>
  </si>
  <si>
    <t>ул. Шевчука, д. 3</t>
  </si>
  <si>
    <t>ул. Тимофеевская, д. 66</t>
  </si>
  <si>
    <t>ул. Садовая, д. 12</t>
  </si>
  <si>
    <t>Новый проезд, д. 10</t>
  </si>
  <si>
    <t>пер. Адрианова, д. 12</t>
  </si>
  <si>
    <t>ул. Рабочая, д. 29</t>
  </si>
  <si>
    <t>с. Святое, ул. Первомайская, д. 11</t>
  </si>
  <si>
    <t>Новый проезд, д. 1</t>
  </si>
  <si>
    <t>Новый проезд, д. 8</t>
  </si>
  <si>
    <t>ул. Печатникова, д. 8</t>
  </si>
  <si>
    <t>д. Жданово, Микрорайон, д. 1</t>
  </si>
  <si>
    <t>ул.Рабочая, д. 29</t>
  </si>
  <si>
    <t>ж/д  ст. Чуприяновка, ул. 3-я Мира, д. 11</t>
  </si>
  <si>
    <t>ул. Парковая, д. 1</t>
  </si>
  <si>
    <t>ул. З. Голицыной, д. 11</t>
  </si>
  <si>
    <t>ул. Тарасова, д. 8</t>
  </si>
  <si>
    <t>ул. Красноармейская, д. 42</t>
  </si>
  <si>
    <t>ул. Студенческая, д. 13</t>
  </si>
  <si>
    <t>ул.Студенческая, д. 12</t>
  </si>
  <si>
    <t>ул. Студенческая, д. 9</t>
  </si>
  <si>
    <t>ул. Студенческая, д. 6</t>
  </si>
  <si>
    <t>ул. Бакунина, д. 5</t>
  </si>
  <si>
    <t>ул. Падерина, д. 4</t>
  </si>
  <si>
    <t>ул. М.Горького, д. 40</t>
  </si>
  <si>
    <t xml:space="preserve">ул. Студенческая, д. 11 </t>
  </si>
  <si>
    <t>ул. Горького, д. 55</t>
  </si>
  <si>
    <t>пер. Железнодорожный, д. 8</t>
  </si>
  <si>
    <t>ул. Мира, д. 40</t>
  </si>
  <si>
    <t>ул. Луначарского, д. 14</t>
  </si>
  <si>
    <t>ул. Красноармейская, д. 12</t>
  </si>
  <si>
    <t>ул. Падерина, д. 2</t>
  </si>
  <si>
    <t>ул. Падерина, д. 6</t>
  </si>
  <si>
    <t>ул. Энгельса, д. 10</t>
  </si>
  <si>
    <t>ул. Белинского, д. 5</t>
  </si>
  <si>
    <t>ул. М.Горького, д. 44</t>
  </si>
  <si>
    <t>ул. Зеленый городок, д. 6</t>
  </si>
  <si>
    <t>ул. Падерина, д. 8</t>
  </si>
  <si>
    <t>ул. Зеленый городок, д. 8</t>
  </si>
  <si>
    <t>ул. Завидова, д.4</t>
  </si>
  <si>
    <t>ул. Баскакова, д. 7</t>
  </si>
  <si>
    <t>ул. Баскакова, д. 9</t>
  </si>
  <si>
    <t>пр. Ленина, д. 8</t>
  </si>
  <si>
    <t>пр. Ленина, д. 19</t>
  </si>
  <si>
    <t>пр. Ленина, д. 18</t>
  </si>
  <si>
    <t>ул. Советская, д. 16</t>
  </si>
  <si>
    <t>ул. Крупская, д. 1</t>
  </si>
  <si>
    <t>ул. Декабристов, д. 22</t>
  </si>
  <si>
    <t>ул. Строителей д. 6</t>
  </si>
  <si>
    <t>ул. Энергетиков, д. 35</t>
  </si>
  <si>
    <t>ул. Энергетиков, д. 5</t>
  </si>
  <si>
    <t>ул. Гагарина, д. 8</t>
  </si>
  <si>
    <t>ул. Учебная, д. 13</t>
  </si>
  <si>
    <t>пр. Ленина, д. 1</t>
  </si>
  <si>
    <t xml:space="preserve">ул. Баскакова,  д. 1 </t>
  </si>
  <si>
    <t>ул. Гагарина,  д. 16</t>
  </si>
  <si>
    <t>пр-т Ленина,  д. 4</t>
  </si>
  <si>
    <t>ул.Торговый проезд,  д. 1</t>
  </si>
  <si>
    <t>ул.Торговый проезд, д. 2</t>
  </si>
  <si>
    <t>ул. Энергетиков,  д .34</t>
  </si>
  <si>
    <t>ул. Энергетиков , д. 4</t>
  </si>
  <si>
    <t>пр-т Ленина,  д. 12</t>
  </si>
  <si>
    <t>ул. Энергетиков,  д. 34</t>
  </si>
  <si>
    <t>пр-т Ленина, д. 11</t>
  </si>
  <si>
    <t xml:space="preserve"> ул. Строителей, д. 20</t>
  </si>
  <si>
    <t>3 входа</t>
  </si>
  <si>
    <t xml:space="preserve">ул. Карла Маркса, д. 34 </t>
  </si>
  <si>
    <t>ул. Двор фабрики «Пролетарский Авангард», д. 43</t>
  </si>
  <si>
    <t xml:space="preserve">наб. Валентины Терешковой, д. 41 </t>
  </si>
  <si>
    <t xml:space="preserve">Ванчакова линия, д. 5 </t>
  </si>
  <si>
    <t xml:space="preserve">ул. Южная, д. 6 </t>
  </si>
  <si>
    <t xml:space="preserve">ул. Б. Садовая, д. 146/1 </t>
  </si>
  <si>
    <t>ул. Венецианова, д. 31</t>
  </si>
  <si>
    <t>ул. Бутягина, д. 29</t>
  </si>
  <si>
    <t>ул. Московская, д. 41</t>
  </si>
  <si>
    <t>ул. Екатерининская, д. 7/9</t>
  </si>
  <si>
    <t>ул. Цветочная, д. 17</t>
  </si>
  <si>
    <t>ул. Карла Маркса, д. 68</t>
  </si>
  <si>
    <t>ул. Красных Печатников, д. 16</t>
  </si>
  <si>
    <t>ул. Баумана, д. 31</t>
  </si>
  <si>
    <t>ул. Урицкого, д. 106</t>
  </si>
  <si>
    <t>ул. Мичурина, д. 2</t>
  </si>
  <si>
    <t>ул. Егорова, д. 2</t>
  </si>
  <si>
    <t>ул. 9 Января, д. 59/43</t>
  </si>
  <si>
    <t>уд. Декабристов, д. 9</t>
  </si>
  <si>
    <t>ул. Дзержинского, д. 12/25</t>
  </si>
  <si>
    <t>ул. Дзержинского, д. 10</t>
  </si>
  <si>
    <t>ул. Баумана, д. 27</t>
  </si>
  <si>
    <t>ул. Баумана, д. 11</t>
  </si>
  <si>
    <t>ул. М. Горького, д. 15</t>
  </si>
  <si>
    <t>ул. Советская, д. 21/2</t>
  </si>
  <si>
    <t>ул. Ямская, д. 283</t>
  </si>
  <si>
    <t>ул. Двор фабрики «Пролетарский Авангард», д. 39</t>
  </si>
  <si>
    <t>ул. Двор фабрики «Пролетарский Авангард», д. 41</t>
  </si>
  <si>
    <t>ул. Красная, д. 9</t>
  </si>
  <si>
    <t>ул. Баумана, д. 23</t>
  </si>
  <si>
    <t>ул. Урицкого, д. 178/11</t>
  </si>
  <si>
    <t>ул. Трудовая, д. 5/9</t>
  </si>
  <si>
    <t xml:space="preserve">ул. Баумана, д. 5 </t>
  </si>
  <si>
    <t>ул. Двор фабрики Парижская коммуна, д. 48</t>
  </si>
  <si>
    <t>ул. Б. Зайцева, д. 13/56</t>
  </si>
  <si>
    <t>Поликлинический проезд, д. 5</t>
  </si>
  <si>
    <t>ул. Екатерининская, д. 40</t>
  </si>
  <si>
    <t>ул. Рабочая, д. 59</t>
  </si>
  <si>
    <t>Затверецкая набережная, д. 9/1</t>
  </si>
  <si>
    <t>Бейшлотская набережная, д. 127</t>
  </si>
  <si>
    <t>ул. Муслима Магомаева, д. 3А</t>
  </si>
  <si>
    <t>Тверской переулок, д. 11/2</t>
  </si>
  <si>
    <t>ул. Джержинского, д. 10</t>
  </si>
  <si>
    <t>пос. Изоплит, ул. Школьная, д. 6</t>
  </si>
  <si>
    <t>пос. Озерки, ул. Октябрьская, д. 7</t>
  </si>
  <si>
    <t xml:space="preserve">Итого по МО Заволжское сельское поселение </t>
  </si>
  <si>
    <t>Итого по МО Заволжское сельское поселение</t>
  </si>
  <si>
    <t>Итого по МО Титовское сельское поселение</t>
  </si>
  <si>
    <t>д. Титово, ул. Центральная, д. 5</t>
  </si>
  <si>
    <t>д. Титово, ул. Центральная, д. 1</t>
  </si>
  <si>
    <t>ул. Совхозная, д. 1</t>
  </si>
  <si>
    <t>ул. Маяковского, д. 18</t>
  </si>
  <si>
    <t>1992</t>
  </si>
  <si>
    <t>ул. Маяковского, д. 22</t>
  </si>
  <si>
    <t>1983</t>
  </si>
  <si>
    <t>ул. Труда, д. 2</t>
  </si>
  <si>
    <t>ул. Труда, д. 3</t>
  </si>
  <si>
    <t>ул. Труда, д. 4</t>
  </si>
  <si>
    <t>ул. Строителей, д. 1</t>
  </si>
  <si>
    <t>пер. Садовый, д. 3</t>
  </si>
  <si>
    <t>ул. Московская, д. 2</t>
  </si>
  <si>
    <t>ул. Московская, д. 4</t>
  </si>
  <si>
    <t>пер. Садовый, д. 4</t>
  </si>
  <si>
    <t>д. Мокшино, ул. Ленинградская, д. 2</t>
  </si>
  <si>
    <t>ул. Кленовая, д. 18</t>
  </si>
  <si>
    <t>мкр. Заводской, д. 11</t>
  </si>
  <si>
    <t>мкр. Заводской, д. 12</t>
  </si>
  <si>
    <t>ул. Дружбы д. 3</t>
  </si>
  <si>
    <t>ул. Народная, д. 5</t>
  </si>
  <si>
    <t>ул. Народная, д. 6</t>
  </si>
  <si>
    <t>мкр. Западный, д. 2</t>
  </si>
  <si>
    <t>пл. Ленина, д. 8</t>
  </si>
  <si>
    <t>ул. Дачная, д. 19</t>
  </si>
  <si>
    <t>мкр. Заводской, д. 15</t>
  </si>
  <si>
    <t>ул. Совхозная, д. 29</t>
  </si>
  <si>
    <t>мкр. Заозерный, д. 14</t>
  </si>
  <si>
    <t>ул. Прядильщиков, д. 16</t>
  </si>
  <si>
    <t>ул. Прядильщиков, д. 4</t>
  </si>
  <si>
    <t>ул. Октябрьская, д. 45</t>
  </si>
  <si>
    <t>ул. Калинина, д. 2</t>
  </si>
  <si>
    <t>ул. Артамонова, д. 1А</t>
  </si>
  <si>
    <t>Итого по МО городское поселение пос. Васильевский Мох</t>
  </si>
  <si>
    <t>ул. Смирнова, д. 13</t>
  </si>
  <si>
    <t>Итого по МО городское поселение поселок Васильевский Мох</t>
  </si>
  <si>
    <t>ул. Энтузиастов,  д. 18</t>
  </si>
  <si>
    <t>ул. Энтузиастов, д. 4</t>
  </si>
  <si>
    <t>ул. Космонавтов, д. 5</t>
  </si>
  <si>
    <t>пр-т Венецианова, д. 1</t>
  </si>
  <si>
    <t>ул. Энтузиастов, д. 12</t>
  </si>
  <si>
    <t>пр. Курчатова, д. 24</t>
  </si>
  <si>
    <t>пр.Курчатова, д. 3</t>
  </si>
  <si>
    <t>ул. Космонавтов, д. 1</t>
  </si>
  <si>
    <t>пр-т Энергетиков, д. 14</t>
  </si>
  <si>
    <t>Итого по МО Первомайское сельское поселение</t>
  </si>
  <si>
    <t>д. Поповское, ул. Новая, д. 6</t>
  </si>
  <si>
    <t>пос. Радченко, д. 43</t>
  </si>
  <si>
    <t>пос. Радченко, д. 7</t>
  </si>
  <si>
    <t>пос. Радченко, д. 11</t>
  </si>
  <si>
    <t xml:space="preserve">Итого по МО Никулинское сельское поселение </t>
  </si>
  <si>
    <t>д. Никулино, ул. Юбилейная, д. 1</t>
  </si>
  <si>
    <t>с. Никольское, д. 4</t>
  </si>
  <si>
    <t>с. Никольское, д. 3</t>
  </si>
  <si>
    <t>Итого по МО Никулинское сельское поселение</t>
  </si>
  <si>
    <t>ул. Строителей, д. 13</t>
  </si>
  <si>
    <t>пер. Аптечный,  д. 1</t>
  </si>
  <si>
    <t>ул. Смирнова, д. 16</t>
  </si>
  <si>
    <t>ул. Ленина, д. 31</t>
  </si>
  <si>
    <t>пл. Кирова, д. 8</t>
  </si>
  <si>
    <t>ул. Лесная, д. 8</t>
  </si>
  <si>
    <t>ул. Матросова, д. 30</t>
  </si>
  <si>
    <t>ул. Правды, д. 9</t>
  </si>
  <si>
    <t>ул. Нахимова, д. 11</t>
  </si>
  <si>
    <t>пр. Ленина, д. 15/4</t>
  </si>
  <si>
    <t>ул. Нахимова, д. 14/13</t>
  </si>
  <si>
    <t>ул. Академическая, д. 4</t>
  </si>
  <si>
    <t>ул. Гагарина, д. 9</t>
  </si>
  <si>
    <t>ул. Парковая, д. 14</t>
  </si>
  <si>
    <t>ул. Академическая, д. 2</t>
  </si>
  <si>
    <t>ул. Геофизиков, д. 4</t>
  </si>
  <si>
    <t>ул. Ленинградская, д. 34</t>
  </si>
  <si>
    <t>ул. Парковая, д. 39</t>
  </si>
  <si>
    <t>пр. Химиков, д. 41</t>
  </si>
  <si>
    <t>Итого по МО городское поселение поселок Редкино</t>
  </si>
  <si>
    <t>Весьегонский муниципальный округ</t>
  </si>
  <si>
    <t>ул. Строителей, д. 3</t>
  </si>
  <si>
    <t>ул. Промышленная, д. 24</t>
  </si>
  <si>
    <t>ул. Павлика Морозова, д. 28</t>
  </si>
  <si>
    <t>Новгородская наб., д. 1Б</t>
  </si>
  <si>
    <t>ул. Лермонтова, д. 8</t>
  </si>
  <si>
    <t>ул. Дзержинского, д. 113</t>
  </si>
  <si>
    <t>ул. Красноармейская, д. 19</t>
  </si>
  <si>
    <t>ул. Пролетарская, д. 36</t>
  </si>
  <si>
    <t>ул. Пролетарская, д. 38</t>
  </si>
  <si>
    <t>ул. Осташковская, д. 50</t>
  </si>
  <si>
    <t>ул. Кутузова, д. 1</t>
  </si>
  <si>
    <t>ул. Мира, д. 8</t>
  </si>
  <si>
    <t>Щитовые</t>
  </si>
  <si>
    <t>ул. Доватора, д. 11 </t>
  </si>
  <si>
    <t>ул. Доватора, д. 8 </t>
  </si>
  <si>
    <t>Итого по МО Фировское городское поселение</t>
  </si>
  <si>
    <t>т/б Сокол, д. 17</t>
  </si>
  <si>
    <t>с. Погорелое Городище, ул. Вокзальная, д. 13</t>
  </si>
  <si>
    <t>нп Микрорайон, д. 11</t>
  </si>
  <si>
    <t>с. Рождествено, 
ул. Советская, д. 58</t>
  </si>
  <si>
    <t>ул. Главная, д. 1</t>
  </si>
  <si>
    <t>ул. Главная, д. 4</t>
  </si>
  <si>
    <t>Итого по МО Печетовское сельское поселение</t>
  </si>
  <si>
    <t>д. Паскино, ул. Молодежная, д. 4</t>
  </si>
  <si>
    <t>д. Паскино, ул. Молодежная, д. 2</t>
  </si>
  <si>
    <t>ул. Речная, д. 2</t>
  </si>
  <si>
    <t>пос. Славный, ул. Парковая, д. 1/6</t>
  </si>
  <si>
    <t>пос. Выползово, ул. Березовая роща, д. 10</t>
  </si>
  <si>
    <t>пос. Приволжский, 
ул. Центральная, д. 10</t>
  </si>
  <si>
    <t>ул. Ленина, д. 78</t>
  </si>
  <si>
    <t>Итого по МО Вышневолоцкий городской округ</t>
  </si>
  <si>
    <t>ул. Степана Разина, д. 1</t>
  </si>
  <si>
    <t>пл. Советская, д. 1/4</t>
  </si>
  <si>
    <t>пл. Советская, д. 7</t>
  </si>
  <si>
    <t>пл. Советская, д. 8</t>
  </si>
  <si>
    <t>пл. Советская, д. 9</t>
  </si>
  <si>
    <t>пл. Советская, д. 10</t>
  </si>
  <si>
    <t>ул. Большевистская, д. 1</t>
  </si>
  <si>
    <t>ул. Урицкого, д. 88</t>
  </si>
  <si>
    <t>ул. Челюскинцев, д. 37</t>
  </si>
  <si>
    <t>ул. Большевистская, д. 46</t>
  </si>
  <si>
    <t>ул. Пархоменко, д. 14</t>
  </si>
  <si>
    <t>ул. Краностроителей, д. 12</t>
  </si>
  <si>
    <t>ул. Разина, д. 3</t>
  </si>
  <si>
    <t>ул. Челюскинцев, д. 36</t>
  </si>
  <si>
    <t>ул. Центральная, д. 12</t>
  </si>
  <si>
    <t>Ленинградское ш., д. 52</t>
  </si>
  <si>
    <t>Селижаровский проезд, д. 8</t>
  </si>
  <si>
    <t>ул. Т.Филиппова, д. 48/2</t>
  </si>
  <si>
    <t>ул. Профсоюзная, д. 5</t>
  </si>
  <si>
    <t>пос. Нижний Бор, д. 2</t>
  </si>
  <si>
    <t>Осташковский проезд, д. 7</t>
  </si>
  <si>
    <t>Торопецкий тракт, д. 9/21</t>
  </si>
  <si>
    <t>Советская пл., д. 2/1</t>
  </si>
  <si>
    <t>Фабричный пр., д. 1</t>
  </si>
  <si>
    <t>Советская пл., д. 17</t>
  </si>
  <si>
    <t>ул. Бехтерева, д. 82</t>
  </si>
  <si>
    <t>ул. Бехтерева, д. 84</t>
  </si>
  <si>
    <t>ул. Ленина, д. 18</t>
  </si>
  <si>
    <t>Ленинградское ш., д. 46/39</t>
  </si>
  <si>
    <t>Советская пл.,  д. 9</t>
  </si>
  <si>
    <t xml:space="preserve">ул. Б. Спасская, д. 30 </t>
  </si>
  <si>
    <t>Советская пл.,  д. 3</t>
  </si>
  <si>
    <t>Советская пл.,  д. 4</t>
  </si>
  <si>
    <t>ул. Ленина,  д. 22</t>
  </si>
  <si>
    <t>ул. Ленина, д. 26</t>
  </si>
  <si>
    <t>Ленинградское ш., д. 29</t>
  </si>
  <si>
    <t>ул. Ленина, д. 19</t>
  </si>
  <si>
    <t>пл. Коммуны, д. 4</t>
  </si>
  <si>
    <t>пл. Коммуны, д. 6</t>
  </si>
  <si>
    <t>Советская пл., д. 10</t>
  </si>
  <si>
    <t>ул. Б.Спасская, д. 32</t>
  </si>
  <si>
    <t>Советская пл.,  д. 1/4</t>
  </si>
  <si>
    <t>Советская пл.,  д. 7</t>
  </si>
  <si>
    <t>Советская пл., д. 8</t>
  </si>
  <si>
    <t>ул. Б. Спасская, д. 59</t>
  </si>
  <si>
    <t>ул. Никиты Головни, д. 1</t>
  </si>
  <si>
    <t>ул. Гвардейская, д. 9</t>
  </si>
  <si>
    <t>пгт. Орша, ул. Октябрьская, д. 4</t>
  </si>
  <si>
    <t>6</t>
  </si>
  <si>
    <t>1959, 1980</t>
  </si>
  <si>
    <t>2022</t>
  </si>
  <si>
    <t xml:space="preserve"> до 1917</t>
  </si>
  <si>
    <t>5-4-2</t>
  </si>
  <si>
    <t>10, 11</t>
  </si>
  <si>
    <t>4, 5</t>
  </si>
  <si>
    <t>9, 5</t>
  </si>
  <si>
    <t>ш. Ленинградское, д. 41</t>
  </si>
  <si>
    <t>ул. Первомайская, д. 14</t>
  </si>
  <si>
    <t>ул. им. Смирнова,  д. 9</t>
  </si>
  <si>
    <t>ул. Парковская, д. 26</t>
  </si>
  <si>
    <t>ул. Парковская, д. 17</t>
  </si>
  <si>
    <t>Андреапольский муниципальный округ</t>
  </si>
  <si>
    <t>ул. Малая Самара, д. 9</t>
  </si>
  <si>
    <t>наб. Мигаловская, д. 8</t>
  </si>
  <si>
    <t>ш. Сахаровское, д. 16</t>
  </si>
  <si>
    <t>ул. Артюхиной, д. 26</t>
  </si>
  <si>
    <t>пр-т Ленина, д. 28</t>
  </si>
  <si>
    <t>ул. Маяковского, д. 48</t>
  </si>
  <si>
    <t>пер. Спортивный,  д. 2, корп. 3</t>
  </si>
  <si>
    <t>пер. Артиллерийский, д. 13</t>
  </si>
  <si>
    <t>пр-т Победы, д. 57</t>
  </si>
  <si>
    <t>ул. Вольного Новгорода, д. 23</t>
  </si>
  <si>
    <t>ул. Маршала Буденного, д. 19/1</t>
  </si>
  <si>
    <t>ш. Петербургское, д. 32</t>
  </si>
  <si>
    <t>ул. Бобкова, д. 26, корп. 8</t>
  </si>
  <si>
    <t>ул. Терещенко, д. 32/14</t>
  </si>
  <si>
    <t>ул. Громова, д. 11, корп. 3</t>
  </si>
  <si>
    <t>ул. Склизкова, д. 33</t>
  </si>
  <si>
    <t>пр-т Волоколамский, д. 8</t>
  </si>
  <si>
    <t>ул. Склизкова, д. 31</t>
  </si>
  <si>
    <t>ул. Горького, д. 104</t>
  </si>
  <si>
    <t>ул. Склизкова, д. 35</t>
  </si>
  <si>
    <t>ул. Склизкова, д. 27</t>
  </si>
  <si>
    <t>пос.  Литвинки, д. 23</t>
  </si>
  <si>
    <t>ул. Фадеева, д. 28, корп. 1</t>
  </si>
  <si>
    <t>ул. Московская, д. 24, корп. 2</t>
  </si>
  <si>
    <t>ул. Лукина, д. 6</t>
  </si>
  <si>
    <t>пер. Садовый, д. 22</t>
  </si>
  <si>
    <t>пр-т Калинина, д. 14</t>
  </si>
  <si>
    <t>пр-т Ленина, д. 41</t>
  </si>
  <si>
    <t>ул. Склизкова, д. 68</t>
  </si>
  <si>
    <t>ул. 15 лет Октября, д. 54/62</t>
  </si>
  <si>
    <t>ул. Вагжанова, д. 10</t>
  </si>
  <si>
    <t>ул. Инициативная, д. 9/9</t>
  </si>
  <si>
    <t>ул. Лукина, д. 13 корп.  4</t>
  </si>
  <si>
    <t>ул. Маршала Буденного, д. 13</t>
  </si>
  <si>
    <t>пр-т Чайковского, д. 37</t>
  </si>
  <si>
    <t>ул. Благоева, д. 3, корп. 2</t>
  </si>
  <si>
    <t>ул. Склизкова, д. 29</t>
  </si>
  <si>
    <t>ул. Софьи Перовской, д. 26</t>
  </si>
  <si>
    <t>ул. Железнодорожников, д. 28</t>
  </si>
  <si>
    <t>пр-т Ленина, д. 42</t>
  </si>
  <si>
    <t>ул. Лизы Чайкиной, д. 25/2б</t>
  </si>
  <si>
    <t>ул. Можайского, д. 61б</t>
  </si>
  <si>
    <t>пер. Свободный, д. 1г</t>
  </si>
  <si>
    <t>ул. Кирова, д. 5а</t>
  </si>
  <si>
    <t>ул. Ржевская, д. 8а</t>
  </si>
  <si>
    <t>наб. Афанасия Никитина, д. 148</t>
  </si>
  <si>
    <t>пр-т Ленина, д. 14, корп. 2</t>
  </si>
  <si>
    <t>ул. Фадеева, д. 36, корп.1</t>
  </si>
  <si>
    <t>ул. Кирова, д. 7а</t>
  </si>
  <si>
    <t>пер. Партизанский, д.  22/8</t>
  </si>
  <si>
    <t>пр-т Волоколамский, д. 5</t>
  </si>
  <si>
    <t>ул. Ипподромная, д. 24</t>
  </si>
  <si>
    <t>пос. Химинститута, д. 6</t>
  </si>
  <si>
    <t>ул. Склизкова, д. 103</t>
  </si>
  <si>
    <t>пер. Спортивный, д. 3а</t>
  </si>
  <si>
    <t>ул. Горького, д. 19</t>
  </si>
  <si>
    <t>пр-т Ленина, д. 27</t>
  </si>
  <si>
    <t>ул. 15 лет Октября, д. 48/15</t>
  </si>
  <si>
    <t>ул. Московская, д. 111</t>
  </si>
  <si>
    <t>ул. Ржевская, д. 11</t>
  </si>
  <si>
    <t>наб. Афанасия Никитина, д. 74</t>
  </si>
  <si>
    <t>ул. Вокзальная, д. 5</t>
  </si>
  <si>
    <t>ул. Советская, д. 64</t>
  </si>
  <si>
    <t>пер. Перекопский, д. 15а</t>
  </si>
  <si>
    <t>наб. реки Лазури, д. 10</t>
  </si>
  <si>
    <t>ул. Ипподромная, д. 21</t>
  </si>
  <si>
    <t xml:space="preserve">пр-т Казанский, д. 106/112 </t>
  </si>
  <si>
    <t xml:space="preserve">пос. Газовый, д. 1 </t>
  </si>
  <si>
    <t xml:space="preserve">ул. Большая Садовая, д. 146/1 </t>
  </si>
  <si>
    <t>пр-т Казанский, д. 86</t>
  </si>
  <si>
    <t>ул. Желябова, д. 11а</t>
  </si>
  <si>
    <t>ул. Цюрупы, д. 5а</t>
  </si>
  <si>
    <t>пр-т Казанский, д. 48</t>
  </si>
  <si>
    <t>ул. Крылова, д. 1а/29</t>
  </si>
  <si>
    <t>ш. Московское, д. 111</t>
  </si>
  <si>
    <t>ул. Артюхина, д. 45а</t>
  </si>
  <si>
    <t>пос. Красномайский,  ул. Железнодоржная, д. 19</t>
  </si>
  <si>
    <t>пос. Пригородный, ул. Милиораторов, д. 7</t>
  </si>
  <si>
    <t>пос. Борисовский, ул. Октябрьская, д. 17</t>
  </si>
  <si>
    <t>пос. Приозерный, ул. Дорожная, д. 6</t>
  </si>
  <si>
    <t>пос. Академический, ул. Октябрьская, д. 1</t>
  </si>
  <si>
    <t>наб. Фадеева, д. 4а</t>
  </si>
  <si>
    <t>ш. Ленинградское, д. 7</t>
  </si>
  <si>
    <t>ул. Калинина, д. 51а</t>
  </si>
  <si>
    <t>ш. Московское, д. 9</t>
  </si>
  <si>
    <t>наб. Красноармейская, д. 30/1</t>
  </si>
  <si>
    <t xml:space="preserve">Калининское ш., д. 16а </t>
  </si>
  <si>
    <t>ш. Ленинградское, д. 33</t>
  </si>
  <si>
    <t>ул. Студенческая, д. 7</t>
  </si>
  <si>
    <t>ул. Студенческая, д. 7а</t>
  </si>
  <si>
    <t>ул. Студенческая, д. 12</t>
  </si>
  <si>
    <t>ул. Л.Толстого, д. 4</t>
  </si>
  <si>
    <t>ул. Л. Толстого, д. 5</t>
  </si>
  <si>
    <t>ул. Нечаева, д. 5</t>
  </si>
  <si>
    <t>ул. Инженерная, д. 11/8</t>
  </si>
  <si>
    <t>ул. Кашинская, д. 31</t>
  </si>
  <si>
    <t>ул. Остречинская, д. 4</t>
  </si>
  <si>
    <t>ул. Песочная, д. 10</t>
  </si>
  <si>
    <t>пер. Остречинский, д. 17</t>
  </si>
  <si>
    <t>ул. Новая, д. 59</t>
  </si>
  <si>
    <t>ул. Нечаева, д. 23</t>
  </si>
  <si>
    <t>ул. Мира, д. 2/50</t>
  </si>
  <si>
    <t>ул. Инженерная, д. 1</t>
  </si>
  <si>
    <t>ул. Введенская, д. 35</t>
  </si>
  <si>
    <t>ул. Рабочая, д. 10/5</t>
  </si>
  <si>
    <t>ул. Нечаева, д. 16</t>
  </si>
  <si>
    <t>ул. Новая, д. 68</t>
  </si>
  <si>
    <t>ул. Дружбы, д. 5б</t>
  </si>
  <si>
    <t>ул. Луначарского, д. 31а</t>
  </si>
  <si>
    <t>ул. Почтовая, д. 20а</t>
  </si>
  <si>
    <t>пос. Дмитрово-Черкассы, ул. Спортивная, д. 2а</t>
  </si>
  <si>
    <t>пос. Заволжский, д. 19</t>
  </si>
  <si>
    <t>с. Красная Гора, ул. Парковая, д. 4</t>
  </si>
  <si>
    <t>д. Колталово, ул. Зеленая, д. 15</t>
  </si>
  <si>
    <t>ул. Юбилейная, д. 6а</t>
  </si>
  <si>
    <t>пос. Эммаусс, д. 2</t>
  </si>
  <si>
    <t>пос. Эммаусс, д. 7а</t>
  </si>
  <si>
    <t>ул. Карла Маркса, д. 16</t>
  </si>
  <si>
    <t>ул. Ленина, д. 8/11</t>
  </si>
  <si>
    <t>ул. Михаила Калинина, д. 5</t>
  </si>
  <si>
    <t>ул. Московская, д. 4а</t>
  </si>
  <si>
    <t>пл. Республиканская, д. 3</t>
  </si>
  <si>
    <t>пос. Белый Городок,  проезд Южный, д. 16</t>
  </si>
  <si>
    <t>пос. Приволжский, ул. Центральная,     д. 6</t>
  </si>
  <si>
    <t>ул. Васильковского, д. 1а</t>
  </si>
  <si>
    <t>ул. Васильковского, д. 1б</t>
  </si>
  <si>
    <t>ул. Учебная, д. 15а</t>
  </si>
  <si>
    <t>с. Лесное, ул. Советская, д. 3а</t>
  </si>
  <si>
    <t>ул. Первомайская,  д. 11а</t>
  </si>
  <si>
    <t>ул. Вагжанова,  д. 6а</t>
  </si>
  <si>
    <t>д. Каменка, ул. Центральная, д. 7а</t>
  </si>
  <si>
    <t>ул. Рудакова, д. 5</t>
  </si>
  <si>
    <t>пос. Славный, ул. Школьная, д. 12а</t>
  </si>
  <si>
    <t>ул. Космонавтов, д. 5а</t>
  </si>
  <si>
    <t>ул. Карла Маркса, д. 25а</t>
  </si>
  <si>
    <t>пр-т Энергетиков, д. 11в</t>
  </si>
  <si>
    <t>пос. Великооктябрьский, ул. Кооперативная, д. 20</t>
  </si>
  <si>
    <t>пос. Великооктябрьский, ул. Советская, д. 2</t>
  </si>
  <si>
    <t>ул. Восстания, д. 38</t>
  </si>
  <si>
    <t>ул. Громова, д. 11, корп. 1</t>
  </si>
  <si>
    <t>ул. Мусоргского, д. 35</t>
  </si>
  <si>
    <t>ул. Бобкова, д. 13</t>
  </si>
  <si>
    <t>ул. Зинаиды Коноплянниковой, д. 8</t>
  </si>
  <si>
    <t>ул. Гвардейская, д. 14</t>
  </si>
  <si>
    <t>ул. Фадеева, д. 26, корп. 1</t>
  </si>
  <si>
    <t>пр-т Победы, д. 22/15</t>
  </si>
  <si>
    <t>ул. Маршала Захарова, д. 12</t>
  </si>
  <si>
    <t>ул. Севастьянова, д. 11</t>
  </si>
  <si>
    <t>пер. Трудолюбия, д. 34, корп. 1</t>
  </si>
  <si>
    <t>ул. Лукина, д. 10</t>
  </si>
  <si>
    <t>пос. Химинститута, д. 11</t>
  </si>
  <si>
    <t>ул. Кирова, д. 9а</t>
  </si>
  <si>
    <t>ул. Александра Томского, д. 8/1</t>
  </si>
  <si>
    <t>пос. Химинститута, д. 17</t>
  </si>
  <si>
    <t>ул. Фадеева, д. 14</t>
  </si>
  <si>
    <t>ул. Горького, д. 4а</t>
  </si>
  <si>
    <t>пр-т 50 лет Октября, д. 20а</t>
  </si>
  <si>
    <t>пос. Химинститута, д. 16</t>
  </si>
  <si>
    <t>ул. Оборонная, д. 9/27</t>
  </si>
  <si>
    <t>ул. Ротмистрова, д. 16</t>
  </si>
  <si>
    <t>пос. Химинститута, д. 12</t>
  </si>
  <si>
    <t>ул. Терещенко, д. 36</t>
  </si>
  <si>
    <t>ш. Сахаровское, д. 22</t>
  </si>
  <si>
    <t>пос. Химинститута, д. 21</t>
  </si>
  <si>
    <t>пос. Химинститута, д. 20</t>
  </si>
  <si>
    <t>ул. Ипподромная, д. 19</t>
  </si>
  <si>
    <t>ул. Коробкова, д. 13</t>
  </si>
  <si>
    <t>ул. Рихарда Зорге, д. 15</t>
  </si>
  <si>
    <t>ул. Седова, д. 120а</t>
  </si>
  <si>
    <t>ул. Кирова, д. 3а</t>
  </si>
  <si>
    <t>ул. Ипподромная, д. 6</t>
  </si>
  <si>
    <t>пр-т 50 лет Октября, д. 2/19</t>
  </si>
  <si>
    <t>пр-т Ленина, д. 34</t>
  </si>
  <si>
    <t>ул. Лукина, д. 12</t>
  </si>
  <si>
    <t>ул. Восстания, д. 11/34</t>
  </si>
  <si>
    <t>ул. Орджрникидзе, д. 2/1</t>
  </si>
  <si>
    <t>ул. Резинстроя, д. 8, корп. 2</t>
  </si>
  <si>
    <t>ул. Горького, д. 15</t>
  </si>
  <si>
    <t>ул. Бобкова, д. 24, корп. 3</t>
  </si>
  <si>
    <t>пр-т Ленина, д. 36</t>
  </si>
  <si>
    <t>ул. Александра Попова, д. 38/2</t>
  </si>
  <si>
    <t>ул. Орджоникидзе, д. 46, корп. 1</t>
  </si>
  <si>
    <t>ул. Горького, д. 184</t>
  </si>
  <si>
    <t>ул. Ямская, д. 96а</t>
  </si>
  <si>
    <t>пос. Газовый, д. 4</t>
  </si>
  <si>
    <t>ул. Ямская, д. 175а</t>
  </si>
  <si>
    <t>ул. Баумана, д. 10а</t>
  </si>
  <si>
    <t xml:space="preserve">ул. Б. Зайцева, д. 15а </t>
  </si>
  <si>
    <t>ул. Шевченко, д. 7а</t>
  </si>
  <si>
    <t>ш. Калининское, д. 24а</t>
  </si>
  <si>
    <t>ул. Студенческая, д. 18а</t>
  </si>
  <si>
    <t>ш. Ленинградское, д. 91</t>
  </si>
  <si>
    <t>ул. Киевская, д. 5а</t>
  </si>
  <si>
    <t>ул. Кленовая, д. 19а</t>
  </si>
  <si>
    <t>ул. Восточный проезд, д. 22</t>
  </si>
  <si>
    <t>ул. Спасская, д. 21/28</t>
  </si>
  <si>
    <t>ул. Нечаева, д. 6</t>
  </si>
  <si>
    <t>ул. Радищева, д. 5/35</t>
  </si>
  <si>
    <t>ул. Чехова, д. 10</t>
  </si>
  <si>
    <t>ул. Ленинская, д. 4а</t>
  </si>
  <si>
    <t>ул. Дачная, д. 12а</t>
  </si>
  <si>
    <t>ул. Единения, д. 2</t>
  </si>
  <si>
    <t>ул. Железнодорожная, д. 8/37</t>
  </si>
  <si>
    <t>ул. Ленина,  д. 4/14</t>
  </si>
  <si>
    <t>ул. Республиканская, д. 5</t>
  </si>
  <si>
    <t>ул. Ивана Чистякова, д. 14</t>
  </si>
  <si>
    <t>пос. Приволжский, ул. Песочная,  д. 15</t>
  </si>
  <si>
    <t>пр-т Ленина, д. 8</t>
  </si>
  <si>
    <t>пр-т Ленина, д. 19</t>
  </si>
  <si>
    <t>пр-т Ленина, д. 18</t>
  </si>
  <si>
    <t>ул. Советская, д. 41б</t>
  </si>
  <si>
    <t>пер. Литвиненко, д. 28а</t>
  </si>
  <si>
    <t>ул. Тимофеевская, д. 66а</t>
  </si>
  <si>
    <t>ул. Лесная, д. 3</t>
  </si>
  <si>
    <t>ул. Пионерская, д. 18</t>
  </si>
  <si>
    <t>ул. Космонавтов, д. 9а</t>
  </si>
  <si>
    <t>ул. Левитана, д. 1а</t>
  </si>
  <si>
    <t>пос. Великооктябрьский, ул. Кооперативная, д. 19</t>
  </si>
  <si>
    <t>пос. Великооктябрьский, ул. Советская, д. 4</t>
  </si>
  <si>
    <t>ул. Паши Савельевой, д. 35, корп. 4</t>
  </si>
  <si>
    <t>пос. Химинститута, д. 40</t>
  </si>
  <si>
    <t>ул. Орджоникидзе, д. 23</t>
  </si>
  <si>
    <t>пр-т Ленина, д. 43</t>
  </si>
  <si>
    <t>ул. Благоева, д. 6а</t>
  </si>
  <si>
    <t>ул. Королева, д. 14/2</t>
  </si>
  <si>
    <t>пр-т Ленина, д. 23/1</t>
  </si>
  <si>
    <t>ш. Петербургское, д. 118</t>
  </si>
  <si>
    <t>пер. Садовый, д. 20</t>
  </si>
  <si>
    <t>пр-т Волоколамский, д. 9</t>
  </si>
  <si>
    <t>ул. Склизкова, д. 56/20</t>
  </si>
  <si>
    <t>ул. 15 лет Октября, д. 3/22</t>
  </si>
  <si>
    <t>ул. Орджоникидзе, д. 44</t>
  </si>
  <si>
    <t>ул. Виноградова, д. 1</t>
  </si>
  <si>
    <t>ул. Терещенко, д. 26</t>
  </si>
  <si>
    <t>ул. Гвардейская, д. 16/7</t>
  </si>
  <si>
    <t>ул. Л. Толстого, д. 108а</t>
  </si>
  <si>
    <t>ул. Большая Садовая, д. 82</t>
  </si>
  <si>
    <t>пос. Горняк, ул. Центральная, д. 6</t>
  </si>
  <si>
    <t>ш. Ленинградское, д. 20</t>
  </si>
  <si>
    <t>ш. Ленинградское, д. 54а</t>
  </si>
  <si>
    <t>ш. Ленинградское, д. 71</t>
  </si>
  <si>
    <t>пер. Южный, д. 10</t>
  </si>
  <si>
    <t>ул. Большая, д. 17/19</t>
  </si>
  <si>
    <t>пер. Чернышевского, д. 44</t>
  </si>
  <si>
    <t>ул. Чехова, д. 5</t>
  </si>
  <si>
    <t>ул. Луначарского, д. 33а</t>
  </si>
  <si>
    <t>ул. Мира, д. 35а</t>
  </si>
  <si>
    <t>ул. Комсомольская, д. 3</t>
  </si>
  <si>
    <t>ул. Московская,  д. 12</t>
  </si>
  <si>
    <t>ул. Карла Маркса,  д. 41</t>
  </si>
  <si>
    <t>ул. Лихославльская, д. 9а</t>
  </si>
  <si>
    <t>ул. Первомайская, д. 2а</t>
  </si>
  <si>
    <t>пос. Осиновая Гряда, д. 32</t>
  </si>
  <si>
    <t>ул. Советская, д. 41а</t>
  </si>
  <si>
    <t>ул. Загородная, д. 12а</t>
  </si>
  <si>
    <t>пер. Льва Толстого, д. 1а</t>
  </si>
  <si>
    <t>ул. 1-я Железнодорожная, д. 1а</t>
  </si>
  <si>
    <t>ул. Советская, д. 20а</t>
  </si>
  <si>
    <t>пос. Великооктябрьский, ул. Цнинская, д. 4</t>
  </si>
  <si>
    <t>ул. Большая Садовая, д. 69</t>
  </si>
  <si>
    <t>ул. Большая Садовая, д. 80</t>
  </si>
  <si>
    <t>ул. Сиверсова, д. 8а</t>
  </si>
  <si>
    <t>ул. Коммунаров, д. 7а</t>
  </si>
  <si>
    <t>ул. Муслима Магомаева, д. 3а</t>
  </si>
  <si>
    <t>пр-т Казанский, д. 151</t>
  </si>
  <si>
    <t>Бейшлотская набережная, д. 127а</t>
  </si>
  <si>
    <t>пр-т Казанский, д. 66/57</t>
  </si>
  <si>
    <t>ул. Крылова, д. 2а</t>
  </si>
  <si>
    <t>пос. Академический, ул. Пионерская, д. 11</t>
  </si>
  <si>
    <t>пос. Академический, ул. Пионерская, д. 3</t>
  </si>
  <si>
    <t>ул. Большая Спасская, д. 41/65</t>
  </si>
  <si>
    <t>ул. Садовая, д. 18а</t>
  </si>
  <si>
    <t>ул. Большая Спасская, д. 45</t>
  </si>
  <si>
    <t>ул. Большая Спасская, д. 43/72</t>
  </si>
  <si>
    <t>ул. Калинина, д. 54а</t>
  </si>
  <si>
    <t>ул. Большая Спасская, д. 10</t>
  </si>
  <si>
    <t>ул. Большая Спасская, д. 15</t>
  </si>
  <si>
    <t>ул. Большая Спасская, д. 17</t>
  </si>
  <si>
    <t xml:space="preserve">ул. Большая Спасская, д. 30 </t>
  </si>
  <si>
    <t>ул. Карла Маркса, д. 47</t>
  </si>
  <si>
    <t>ул.Песочная, д. 16/7</t>
  </si>
  <si>
    <t>ул. Советская, д. 1/8</t>
  </si>
  <si>
    <t>ул. Заводская, д. 10</t>
  </si>
  <si>
    <t>ул. Заводская, д. 12</t>
  </si>
  <si>
    <t>ул. Анатолия Луначарского, д. 8</t>
  </si>
  <si>
    <t>ул. Анатолия Луначарского, д. 10</t>
  </si>
  <si>
    <t>ул.Чистопрудная, д. 36</t>
  </si>
  <si>
    <t>пос. Озерки, проезд Железнодорожный, д. 3</t>
  </si>
  <si>
    <t>пос. Озерки, ул. Калинина, д. 6</t>
  </si>
  <si>
    <t>пер. Красный, д. 2а</t>
  </si>
  <si>
    <t>ул. Мясникова, д. 36б</t>
  </si>
  <si>
    <t xml:space="preserve">ул. Красноармейская, д. 4а </t>
  </si>
  <si>
    <t>ул. Матросова, д. 36/44</t>
  </si>
  <si>
    <t>ул. Шахтерская, д. 9/12</t>
  </si>
  <si>
    <t>ул. Матросова, д. 26/1</t>
  </si>
  <si>
    <t>ул. Лизы Чайкиной, д. 32б</t>
  </si>
  <si>
    <t>ул. Сельхозтехника, д. 1а</t>
  </si>
  <si>
    <t>ул. Мира, д. 28г</t>
  </si>
  <si>
    <t>пр-т Энергетиков, д.14</t>
  </si>
  <si>
    <t>пос. Фирово, ул. Новая, д. 96</t>
  </si>
  <si>
    <t>пос. Великооктябрьский, ул. Кооперативная, д. 5</t>
  </si>
  <si>
    <t>пос. Великооктябрьский, ул. Профсоюзная, д. 9</t>
  </si>
  <si>
    <t xml:space="preserve">ш. Калининское, д. 16а </t>
  </si>
  <si>
    <t>пр. Восточный, д. 20</t>
  </si>
  <si>
    <t>ул. Б. Зайцева, д. 15а</t>
  </si>
  <si>
    <t>ул. Ленина, д. 4/14</t>
  </si>
  <si>
    <t>ул. Московская, д. 12</t>
  </si>
  <si>
    <t>ул. Карла Маркса д. 41</t>
  </si>
  <si>
    <t>ул.1-я Железнодорожная, д. 1а</t>
  </si>
  <si>
    <t>ул. Артамонова, д. 1а</t>
  </si>
  <si>
    <t>пос. 2-е Городское торфопредприятие, д. 10</t>
  </si>
  <si>
    <t>ш. Московское, д. 109б</t>
  </si>
  <si>
    <t>ул. Шевченко, д. 99в</t>
  </si>
  <si>
    <t>ш. Ленинградское, д. 31</t>
  </si>
  <si>
    <t>ш. Ленинградское, д. 52</t>
  </si>
  <si>
    <t>ш. Ленинградское, д. 87в</t>
  </si>
  <si>
    <t>ш. Калининское, д. 16б</t>
  </si>
  <si>
    <t>Новгородская наб., д. 1б</t>
  </si>
  <si>
    <t>ш. Ленинградское, д. 103</t>
  </si>
  <si>
    <t>ш. Калининское, д. 18а</t>
  </si>
  <si>
    <t>ул. Песочная, д.4</t>
  </si>
  <si>
    <t>ул. Кирова, д. 49а</t>
  </si>
  <si>
    <t>ул. Ленинская, д. 8а</t>
  </si>
  <si>
    <t>ул. Михаила Калинина, д.8/3</t>
  </si>
  <si>
    <t>ул. Песочная, д.8</t>
  </si>
  <si>
    <t>Итого по МО Дмитровогорское сельское поселение</t>
  </si>
  <si>
    <t>с. Дмитрова Гора, ул. Новая, д. 1</t>
  </si>
  <si>
    <t>пос. Льнозавода,  д. 26</t>
  </si>
  <si>
    <t>пос. Льнозавода, д. 10</t>
  </si>
  <si>
    <t>пос. Льнозавода, д. 26</t>
  </si>
  <si>
    <t>Западнодвинский муниципальный округ</t>
  </si>
  <si>
    <t>Пеновский муниципальный округ</t>
  </si>
  <si>
    <t>Сандовский муниципальный округ</t>
  </si>
  <si>
    <t>Краснохолмский муниципальный округ</t>
  </si>
  <si>
    <t>Селижаровский муниципальный округ</t>
  </si>
  <si>
    <t>ул. Бехтерева, д. 81/10</t>
  </si>
  <si>
    <t>с. Завидово, ул. Школьная, д. 9</t>
  </si>
  <si>
    <t>ул. Школьная, д. 9</t>
  </si>
  <si>
    <t>ж/д  ст. Чуприяновка, ул. 3-я Мира, д. 15</t>
  </si>
  <si>
    <t>Лесной муниципальный округ</t>
  </si>
  <si>
    <t>Оленинский муниципальный округ</t>
  </si>
  <si>
    <t>пос. Пригородный, ул. Гагарина, д. 22</t>
  </si>
  <si>
    <t xml:space="preserve">Итого по МО Выползовское сельское поселение </t>
  </si>
  <si>
    <t>п. Выползово, ул. Березовая роща, д. 6</t>
  </si>
  <si>
    <t xml:space="preserve">ремонт, замена, модернизация лифтов, ремонт лифтовых шахт, машинных и блочных помещений
</t>
  </si>
  <si>
    <t xml:space="preserve">ремонт крыши, переустройство невентилируемой крыши на вынтилируемую крышу, устройство выходов на кровлю  </t>
  </si>
  <si>
    <t xml:space="preserve">разработка проектной документа-ции4 
</t>
  </si>
  <si>
    <r>
      <t>установка приборов учета</t>
    </r>
    <r>
      <rPr>
        <vertAlign val="superscript"/>
        <sz val="30"/>
        <rFont val="Times New Roman"/>
        <family val="1"/>
        <charset val="204"/>
      </rPr>
      <t>2</t>
    </r>
    <r>
      <rPr>
        <sz val="30"/>
        <rFont val="Times New Roman"/>
        <family val="1"/>
        <charset val="204"/>
      </rPr>
      <t xml:space="preserve">
</t>
    </r>
  </si>
  <si>
    <r>
      <t xml:space="preserve">теплоснабжения </t>
    </r>
    <r>
      <rPr>
        <vertAlign val="superscript"/>
        <sz val="30"/>
        <rFont val="Times New Roman"/>
        <family val="1"/>
        <charset val="204"/>
      </rPr>
      <t>1</t>
    </r>
  </si>
  <si>
    <t xml:space="preserve"> </t>
  </si>
  <si>
    <t>пгт Оленино, ул.К.Маркса, д.13</t>
  </si>
  <si>
    <t>3-й пер. Бакунина, д. 8</t>
  </si>
  <si>
    <t>пр-д Зеленый, д. 43, корп. 15</t>
  </si>
  <si>
    <t>пр-д Восточный, д. 20</t>
  </si>
  <si>
    <t>пр-д Зеленый, д. 45, корп. 2</t>
  </si>
  <si>
    <t>Тверецкая наб., д. 80</t>
  </si>
  <si>
    <t>пр-д Зеленый, д. 43, корп. 4</t>
  </si>
  <si>
    <t>ул. Горького,  д.  88А</t>
  </si>
  <si>
    <t>пр-т Победы, д. 42</t>
  </si>
  <si>
    <t>пр-т Победы, д. 42А</t>
  </si>
  <si>
    <t>ул. Крылова, д. 29/40</t>
  </si>
  <si>
    <t>ул. 15 лет Октября, д. 62 корп. 1</t>
  </si>
  <si>
    <t>ул. Ипподромная, д, 7, корп. 1</t>
  </si>
  <si>
    <t>ул. Тамары Ильиной, д. 7 корп. 1</t>
  </si>
  <si>
    <t>пр-т Победы, д. 36/46</t>
  </si>
  <si>
    <t>ул. Громова, д. 36 корп. 2</t>
  </si>
  <si>
    <t>пос. Химинститута, д. 32</t>
  </si>
  <si>
    <t>Петербургское ш., д. 7А</t>
  </si>
  <si>
    <t>пр-т Победы, д. 28 корп. 1</t>
  </si>
  <si>
    <t>пр-т Калинина, д. 9</t>
  </si>
  <si>
    <t>пр-т Ленина, д. 40</t>
  </si>
  <si>
    <t>пр-т Ленина, д. 43А</t>
  </si>
  <si>
    <t>пр-т Октябрьский, д. 69</t>
  </si>
  <si>
    <t>ул. Советская,  д. 24</t>
  </si>
  <si>
    <t>пр-т Чайковского, д. 24/2Б</t>
  </si>
  <si>
    <t>пр-т 50 лет Октября, д. 2, корп. 1</t>
  </si>
  <si>
    <t>пр-т 50 лет Октября, д. 44 А</t>
  </si>
  <si>
    <t>ул. Алексея Томского, д. 14</t>
  </si>
  <si>
    <t>ул. Артюхиной, д. 11, корп. 1</t>
  </si>
  <si>
    <t>ул. Артюхиной, д. 3</t>
  </si>
  <si>
    <t>ул. Артюхиной, д. 9, корп. 4</t>
  </si>
  <si>
    <t>пр-т Волоколамский, д. 47</t>
  </si>
  <si>
    <t>ул. Гончаровой, д. 8</t>
  </si>
  <si>
    <t>ул. Громова, д. 44</t>
  </si>
  <si>
    <t>ул. Евгения Пичугина, д. 52</t>
  </si>
  <si>
    <t>ул. Железнодорожников, д. 35, корп. 1</t>
  </si>
  <si>
    <t>ул. Инициативная, д. 10/11</t>
  </si>
  <si>
    <t>ул. Кольцевая, д. 70</t>
  </si>
  <si>
    <t>ул. Кольцевая, д. 74</t>
  </si>
  <si>
    <t>ул. Маршала Захарова, д. 16/17</t>
  </si>
  <si>
    <t>ул. Московская, д. 24, корп. 1</t>
  </si>
  <si>
    <t>пер. Никитина, д. 10, корп. 2</t>
  </si>
  <si>
    <t>ул. Новикова, д. 19</t>
  </si>
  <si>
    <t>пр-т Октябрьский, д. 49</t>
  </si>
  <si>
    <t>пр-т Октябрьский, д. 73</t>
  </si>
  <si>
    <t>пр-т Октябрьский, д. 87, корп. 1</t>
  </si>
  <si>
    <t>ул. Орджоникидзе, д. 22/25</t>
  </si>
  <si>
    <t>ул. Паши Савельевой, д. 35, корп. 2</t>
  </si>
  <si>
    <t>ш. Петербургское, д. 53</t>
  </si>
  <si>
    <t>наб. Пролетарская, д. 1</t>
  </si>
  <si>
    <t>пр-т Победы, д. 25</t>
  </si>
  <si>
    <t>ул. Пушкинская, д. 2 А</t>
  </si>
  <si>
    <t>ул. Ротмистрова, д. 18</t>
  </si>
  <si>
    <t>пер. Студенческий, д. 30А</t>
  </si>
  <si>
    <t>ул. Ткача, д. 2</t>
  </si>
  <si>
    <t>ул. Седова, д. 7в</t>
  </si>
  <si>
    <t>ул. Екатерины Фарафоновой, д. 45</t>
  </si>
  <si>
    <t>пер. Университетский, д. 5</t>
  </si>
  <si>
    <t>пос. Химинститута, д. 18</t>
  </si>
  <si>
    <t>пр-т Чайковского, д. 4</t>
  </si>
  <si>
    <t>ул. Михаила Румянцева, д. 12, корп. 1</t>
  </si>
  <si>
    <t>наб. Степана Разина, д. 16</t>
  </si>
  <si>
    <t>наб. Степана Разина, д. 19</t>
  </si>
  <si>
    <t>пер. Артиллерийский, д. 20</t>
  </si>
  <si>
    <t>пер. Вагжановский, д. 14</t>
  </si>
  <si>
    <t>пер. Партизанский, д. 22/8</t>
  </si>
  <si>
    <t>пер. Садовый, д. 37/15</t>
  </si>
  <si>
    <t>пер. Спортивный, д. 2, корп. 4</t>
  </si>
  <si>
    <t>пл. Гагарина, д. 2</t>
  </si>
  <si>
    <t>пос. Химинститута, д. 19</t>
  </si>
  <si>
    <t>пр-д Зеленый, д 49, корп. 3</t>
  </si>
  <si>
    <t>пр-д Зеленый, д. 47, корп. 1</t>
  </si>
  <si>
    <t>пр-д Ремесленный, д. 10а</t>
  </si>
  <si>
    <t>пр-т Октябрьский, д. 85/49</t>
  </si>
  <si>
    <t>пр-т Октябрьский, д. 87, корп. 2</t>
  </si>
  <si>
    <t>пр-т Октябрьский, д. 95, корп. 3</t>
  </si>
  <si>
    <t>пр-т Октябрьский, д. 95, корп. 4</t>
  </si>
  <si>
    <t>пр-т Победы, д. 48/29</t>
  </si>
  <si>
    <t>пр-т Победы, д. 5</t>
  </si>
  <si>
    <t>пр-т Победы, д. 7 корп. 4</t>
  </si>
  <si>
    <t>пр-т Тверской, д. 16</t>
  </si>
  <si>
    <t>пр-т Тверской, д. 9</t>
  </si>
  <si>
    <t>пр-т Чайковского, д 35</t>
  </si>
  <si>
    <t>пр-т Чайковского, д. 44, корп. 3</t>
  </si>
  <si>
    <t>пр-т Чайковского, д. 94</t>
  </si>
  <si>
    <t>ул. 1-я Силикатная, д. 11</t>
  </si>
  <si>
    <t>ул. 2-я Серова, д. 10</t>
  </si>
  <si>
    <t>ул. Артюхиной, д. 24, корп. 3</t>
  </si>
  <si>
    <t>ул. Артюхиной, д. 24, корп. 4</t>
  </si>
  <si>
    <t>ул. Артюхиной, д. 24, корп. 5</t>
  </si>
  <si>
    <t>ул. Артюхиной, д. 5</t>
  </si>
  <si>
    <t>ул. Артюхиной, д. 9, корп. 3</t>
  </si>
  <si>
    <t>ул. Благоева, д. 12</t>
  </si>
  <si>
    <t>ул. Благоева, д. 8, корп. 2</t>
  </si>
  <si>
    <t>ул. Благоева, д. 8, корп. 3</t>
  </si>
  <si>
    <t>ул. Бобкова, д. 14</t>
  </si>
  <si>
    <t>ул. Бобкова, д. 16</t>
  </si>
  <si>
    <t>ул. Бобкова, д. 24</t>
  </si>
  <si>
    <t>ул. Бобкова, д. 32</t>
  </si>
  <si>
    <t>ул. Бобкова, д. 37</t>
  </si>
  <si>
    <t>ул. Андрея Дементьева, д. 19</t>
  </si>
  <si>
    <t>ул. Андрея Дементьева, д. 36/38</t>
  </si>
  <si>
    <t>ул. Андрея Дементьева, д. 4</t>
  </si>
  <si>
    <t>ул. Громова, д. 9</t>
  </si>
  <si>
    <t>ул. Евгения Пичугина, д. 56</t>
  </si>
  <si>
    <t>ул. Константина Заслонова, д. 5</t>
  </si>
  <si>
    <t>ул. Инициативная, д. 13</t>
  </si>
  <si>
    <t>ул. Инициативная, д. 7</t>
  </si>
  <si>
    <t>ул. Ипподромная, д. 8</t>
  </si>
  <si>
    <t>ул. Карпинского, д. 12/32</t>
  </si>
  <si>
    <t>ул. Кольцевая, д. 72</t>
  </si>
  <si>
    <t>ул. Зинаиды Коноплянниковой, д. 26</t>
  </si>
  <si>
    <t>ул. Левитана, д. 26</t>
  </si>
  <si>
    <t>ул. Маршала Захарова, д. 14</t>
  </si>
  <si>
    <t>ул. Озерная, д. 18</t>
  </si>
  <si>
    <t>ул. Озерная, д. 19</t>
  </si>
  <si>
    <t>ул. Паши Савельевой д. 2</t>
  </si>
  <si>
    <t>ул. Паши Савельевой, д. 23</t>
  </si>
  <si>
    <t>ул. Паши Савельевой, д. 3</t>
  </si>
  <si>
    <t>ул. Паши Савельевой, д. 6</t>
  </si>
  <si>
    <t>ул. Пржевальского, д. 58</t>
  </si>
  <si>
    <t>ул. Пушкинская, д. 9</t>
  </si>
  <si>
    <t>ул. Михаила Румянцева, д. 15</t>
  </si>
  <si>
    <t>ул. Ржевская, д. 12А</t>
  </si>
  <si>
    <t>ул. Салтыкова-Щедрина, д. 44</t>
  </si>
  <si>
    <t>ул. Севастьянова, д. 16</t>
  </si>
  <si>
    <t>ул. Севастьянова, д. 20</t>
  </si>
  <si>
    <t>ул. Севастьянова, д. 7</t>
  </si>
  <si>
    <t>ул. Склизкова, д. 19/25</t>
  </si>
  <si>
    <t>ул. Склизкова, д. 2</t>
  </si>
  <si>
    <t>ул. Склизкова, д. 6</t>
  </si>
  <si>
    <t>ул. Склизкова, д. 8</t>
  </si>
  <si>
    <t>ул. Софьи Перовской, д. 14</t>
  </si>
  <si>
    <t>ул. Стахановская, д. 31</t>
  </si>
  <si>
    <t>ул. Строителей, д. 11/16</t>
  </si>
  <si>
    <t>ул. Строителей, д. 9/15</t>
  </si>
  <si>
    <t>ул. Тамары Ильиной, д. 35</t>
  </si>
  <si>
    <t>ул. Тракторная, д. 5</t>
  </si>
  <si>
    <t>ул. Можайского, д.  61в</t>
  </si>
  <si>
    <t>ул. Советская, д.  24</t>
  </si>
  <si>
    <t>ул. Ткача, д.  2</t>
  </si>
  <si>
    <t>ул. Маршала Конева, д.  20</t>
  </si>
  <si>
    <t>ул. Новоторжская, д.  14</t>
  </si>
  <si>
    <t xml:space="preserve"> ул. Железнодорожников, д. 60</t>
  </si>
  <si>
    <t>ул. Пушкинская, д.  2а</t>
  </si>
  <si>
    <t>ул. Московская, д.  86а</t>
  </si>
  <si>
    <t>ул. Трехсвятская, д.  12</t>
  </si>
  <si>
    <t>ул. Спартака, д.  46</t>
  </si>
  <si>
    <t xml:space="preserve"> ул. Зинаиды Коноплянниковой, д. 13</t>
  </si>
  <si>
    <t>ул. Вагжанова, д.  16</t>
  </si>
  <si>
    <t>ул. Склизкова, д.  29</t>
  </si>
  <si>
    <t xml:space="preserve"> ул. Зинаиды Коноплянниковой, д. 15</t>
  </si>
  <si>
    <t>ул. Большевиков, д. 43б</t>
  </si>
  <si>
    <t>ул. Можайского, д.  58</t>
  </si>
  <si>
    <t>ул. Бобкова, д. 28, корп. 1</t>
  </si>
  <si>
    <t>ул. Бобкова, д. 28, корп. 2</t>
  </si>
  <si>
    <t>ул. Богданова, д. 24 корп. 2</t>
  </si>
  <si>
    <t>ул. Громова, д. 48, корп. 1</t>
  </si>
  <si>
    <t>ул. Громова, д. 48, корп. 2</t>
  </si>
  <si>
    <t>ул. Мусоргского, д. 6, корп. 4</t>
  </si>
  <si>
    <t>ул. Паши Савельевой, д. 15, корп. 2</t>
  </si>
  <si>
    <t>ул. Паши Савельевой, д. 23, корп. 2</t>
  </si>
  <si>
    <t>ул. Паши Савельевой, д. 39, корп. 5</t>
  </si>
  <si>
    <t>ул. Паши Савельевой, д. 48, корп. 1</t>
  </si>
  <si>
    <t>ул. Севастьянова, д. 2, корп. 1</t>
  </si>
  <si>
    <t>ул. Склизкова, д. 70, корп. 1</t>
  </si>
  <si>
    <t>ул. Строителей, д. 8, корп. 2</t>
  </si>
  <si>
    <t>ул. Тамары Ильиной, д. 3, корп. 1</t>
  </si>
  <si>
    <t>ул. Академика Туполева, д. 116, корп. 2</t>
  </si>
  <si>
    <t>ул. Фадеева, д. 38, корп. 2</t>
  </si>
  <si>
    <t>ул. Центральная, д. 14, корп. 1</t>
  </si>
  <si>
    <t>ул. Орджоникидзе, д.  46, корп. 1</t>
  </si>
  <si>
    <t>ул. Железнодорожников, д.  35, корп. 1</t>
  </si>
  <si>
    <t xml:space="preserve"> ул. Железнодорожников, д. 35, корп. 2</t>
  </si>
  <si>
    <t>ул. Благоева, д.  4, корп. 2</t>
  </si>
  <si>
    <t>ул. Строителей, д.  8, корп. 1</t>
  </si>
  <si>
    <t>ул. Фрунзе, д.  8, корп. 1</t>
  </si>
  <si>
    <t>ш. Петербургское, д. 19</t>
  </si>
  <si>
    <t>ш. Петербургское, д. 28</t>
  </si>
  <si>
    <t>ш. Петербургское, д. 41</t>
  </si>
  <si>
    <t>ш. Петербургское, д. 43</t>
  </si>
  <si>
    <t>ш. Петербургское, д. 55</t>
  </si>
  <si>
    <t>ш. Сахаровское, д. 12</t>
  </si>
  <si>
    <t xml:space="preserve"> ш. Петербургское, д. 7а</t>
  </si>
  <si>
    <t>ш. Петербургское, д.  19</t>
  </si>
  <si>
    <t>Московское ш., д. 109б</t>
  </si>
  <si>
    <t>Московское ш., д. 9</t>
  </si>
  <si>
    <t>Ленинградское ш., д. 103</t>
  </si>
  <si>
    <t>Калининское ш., д. 18а</t>
  </si>
  <si>
    <t>пр-т Чайковского, д.  37</t>
  </si>
  <si>
    <t>пр-т Победы, д.  38/45</t>
  </si>
  <si>
    <t>пр-т Чайковского, д.  7</t>
  </si>
  <si>
    <t>наб. Пролетарская, д.  7</t>
  </si>
  <si>
    <t>пер. Трудолюбия, д.  37</t>
  </si>
  <si>
    <t>пер. Садовый, д.  1</t>
  </si>
  <si>
    <t>Реестр многоквартирных домов, капитальный ремонт которых не был завершен в 2019 году, и которые планируется отремонтировать в 2020 году</t>
  </si>
  <si>
    <t>1-й проезд Розы Люксембург, д. 6</t>
  </si>
  <si>
    <t>территория Товарный двор, д. 483А</t>
  </si>
  <si>
    <t>двор Пролетарки, д. 119</t>
  </si>
  <si>
    <t>б-р Шмидта, д. 40</t>
  </si>
  <si>
    <t>б-р Гусева, д. 36</t>
  </si>
  <si>
    <t>б-р Профсоюзов, д. 18, корп. 2</t>
  </si>
  <si>
    <t>б-р Цанова, д. 19</t>
  </si>
  <si>
    <t>ул. Пионерский б-р, д. 10</t>
  </si>
  <si>
    <t>б-р Гусева, д. 16</t>
  </si>
  <si>
    <t>б-р Гусева, д. 20</t>
  </si>
  <si>
    <t>территория двор Пролетарки, д. 43</t>
  </si>
  <si>
    <t>территория двор Пролетарки, д. 118</t>
  </si>
  <si>
    <t>территория двор Пролетарки, д. 164</t>
  </si>
  <si>
    <t>территория двор Пролетарки, д. 47</t>
  </si>
  <si>
    <t>ш. Петербургское, д.  58</t>
  </si>
  <si>
    <t>территория Двор Пролетарки, д.  118</t>
  </si>
  <si>
    <t>б-р Гусева, д.  45, корп. 2</t>
  </si>
  <si>
    <t>б-р Цанова, д.  21</t>
  </si>
  <si>
    <t>б-р Ногина, д.  10, корп. 2</t>
  </si>
  <si>
    <t>б-р Гусева, д. 22</t>
  </si>
  <si>
    <t>б-р Гусева, д. 38</t>
  </si>
  <si>
    <t>б-р Гусева, д. 15</t>
  </si>
  <si>
    <t>б-р Гусева, д. 5</t>
  </si>
  <si>
    <t>б-р Гусева, д. 47, корп. 1</t>
  </si>
  <si>
    <t>б-р Гусева, д. 47, корп. 3</t>
  </si>
  <si>
    <t>б-р Профсоюзов, д. 23</t>
  </si>
  <si>
    <t>б-р Профсоюзов, д. 3, корп. 3</t>
  </si>
  <si>
    <t>б-р Профсоюзов, д. 7</t>
  </si>
  <si>
    <t>б-р Цанова, д. 1</t>
  </si>
  <si>
    <t>б-р Цанова, д. 13</t>
  </si>
  <si>
    <t>б-р Шмидта, д. 49, корп. 1</t>
  </si>
  <si>
    <t>б-р Гусева, д.  47, корп. 1</t>
  </si>
  <si>
    <t>пр-т Победы, до 22/15</t>
  </si>
  <si>
    <t>Казанский пр-т, д. 151</t>
  </si>
  <si>
    <t>Итого по МО Уд.ельский городской округ</t>
  </si>
  <si>
    <t>Реестр многоквартирных д.ов, капитальный ремонт которых которых не был завершен в 2019 году, и которые планируется отремонтировать в 2020 году</t>
  </si>
  <si>
    <t>ул. Горького,  д.  88а</t>
  </si>
  <si>
    <t>Двор Пролетарки,  д. 43</t>
  </si>
  <si>
    <t>поселок Химинститута, д. 32</t>
  </si>
  <si>
    <t>поселок Химинститута, д. 20</t>
  </si>
  <si>
    <t>двор Пролетарки, д. 47</t>
  </si>
  <si>
    <t>поселок Химинститута, д. 18</t>
  </si>
  <si>
    <t>площадь Гагарина, д. 2</t>
  </si>
  <si>
    <t>поселок Химинститута, д. 19</t>
  </si>
  <si>
    <t>пр-т Чайковского, д. 35</t>
  </si>
  <si>
    <t>ул. Хромова, д. 18</t>
  </si>
  <si>
    <t>ш. Петербургское, д. 58</t>
  </si>
  <si>
    <t xml:space="preserve"> ул. Можайского, д. 61в</t>
  </si>
  <si>
    <t xml:space="preserve"> ул. Советская, д. 24</t>
  </si>
  <si>
    <t xml:space="preserve"> ул. Ткача, д. 2</t>
  </si>
  <si>
    <t xml:space="preserve"> ул. Маршала Конева, д. 20</t>
  </si>
  <si>
    <t xml:space="preserve"> ул. Новоторжская, д. 14</t>
  </si>
  <si>
    <t xml:space="preserve"> территория Двор Пролетарки, д. 118</t>
  </si>
  <si>
    <t xml:space="preserve"> ул. Пушкинская, д. 2а</t>
  </si>
  <si>
    <t xml:space="preserve"> территория Двор Пролетарки, д. 119</t>
  </si>
  <si>
    <t xml:space="preserve"> пр-т Чайковского, д. 37</t>
  </si>
  <si>
    <t xml:space="preserve"> пр-т Победы, д. 38/45</t>
  </si>
  <si>
    <t xml:space="preserve"> ул. Московская, д. 86а</t>
  </si>
  <si>
    <t xml:space="preserve"> б-р Цанова, д. 21</t>
  </si>
  <si>
    <t xml:space="preserve"> территория Двор Пролетарки, д. 43</t>
  </si>
  <si>
    <t xml:space="preserve"> ул. Евгения Пичугина, д. 46</t>
  </si>
  <si>
    <t xml:space="preserve"> ул. Виноградова, д. 10</t>
  </si>
  <si>
    <t xml:space="preserve"> пр-т Чайковского, д. 7</t>
  </si>
  <si>
    <t xml:space="preserve"> ул. Трехсвятская, д. 12</t>
  </si>
  <si>
    <t xml:space="preserve"> пер. Трудолюбия, д. 37</t>
  </si>
  <si>
    <t xml:space="preserve"> ул. Спартака, д. 46</t>
  </si>
  <si>
    <t xml:space="preserve"> ул. Вагжанова, д. 16</t>
  </si>
  <si>
    <t xml:space="preserve"> ул. Склизкова, д. 29</t>
  </si>
  <si>
    <t xml:space="preserve"> ш. Петербургское, д. 19</t>
  </si>
  <si>
    <t xml:space="preserve"> ул. Можайского, д. 58</t>
  </si>
  <si>
    <t xml:space="preserve"> пер. Садовый, д. 1</t>
  </si>
  <si>
    <t>1 в том числе ремонт внутрид.овых инженерных систем теплоснабжения, а также установка, ремонт или замена в комплексе оборудования индивидуальных тепловых пунктов и при наличии повысительных насосных установок;</t>
  </si>
  <si>
    <t>2 установка коллективных (общед.овых) приборов учета потребления ресурсов, необходимых для предоставления коммунальных услуг, и узлов управления и регулирования потребления этих ресурсов (тепловой энергии, горячей и холодной воды, газа);</t>
  </si>
  <si>
    <t>3 в том числе установка, ремонт систем коллективного приема телевидения для обеспечения приема и распределения в многоквартирных д.ах радиосигналов цифрового эфирного телевизионного вещания</t>
  </si>
  <si>
    <t>дом тяговой подстанции</t>
  </si>
  <si>
    <t>ул. Ипподромная, д. 7 корп. 1</t>
  </si>
  <si>
    <t>ул. Громова, д. 36 
корп. 2</t>
  </si>
  <si>
    <t>ул. Артюхиной, д. 9 корп. 4</t>
  </si>
  <si>
    <t xml:space="preserve"> ул. Орджоникидзе, д. 46, корп. 1</t>
  </si>
  <si>
    <t xml:space="preserve"> ул. Железнодорожников, д. 35, корп. 1</t>
  </si>
  <si>
    <t xml:space="preserve"> б-р Гусева, д. 45, корп. 2</t>
  </si>
  <si>
    <t xml:space="preserve"> ул. Благоева, д. 4, корп. 2</t>
  </si>
  <si>
    <t xml:space="preserve"> ул. Строителей, д. 8, корп. 1</t>
  </si>
  <si>
    <t xml:space="preserve"> б-р Гусева, д. 47, корп. 1</t>
  </si>
  <si>
    <t xml:space="preserve"> ул. Фрунзе, д. 8, корп. 1</t>
  </si>
  <si>
    <t xml:space="preserve"> б-р Ногина, д. 10, корп. 2</t>
  </si>
  <si>
    <t>Новый пр-д, д. 10</t>
  </si>
  <si>
    <t>пр-д Зеленый , д. 43 корп. 4</t>
  </si>
  <si>
    <t>Поликлинический пр-д, д. 5</t>
  </si>
  <si>
    <t>Новый пр-д, д. 1</t>
  </si>
  <si>
    <t>Новый пр-д, д. 8</t>
  </si>
  <si>
    <t>1-й пр-д Розы Люксембург, д. 6</t>
  </si>
  <si>
    <t>пр-д Зеленый, д. 49, корп. 3</t>
  </si>
  <si>
    <t>Осташковский пр-д, д. 7</t>
  </si>
  <si>
    <t>ул. Торговый пр-д, д. 1</t>
  </si>
  <si>
    <t>ул. Торговый пр-д, д. 2</t>
  </si>
  <si>
    <t xml:space="preserve"> наб. Пролетарская, д. 7</t>
  </si>
  <si>
    <t>Затверецкая наб., д. 9/1</t>
  </si>
  <si>
    <t>реализации в 2020 – 2022 годах региональной программы по проведению капитального ремонта общего имущества</t>
  </si>
  <si>
    <t>Итого по муниципальному образованию Тверской области (далее – МО) город Тверь</t>
  </si>
  <si>
    <t>Формирование фонда капитального ремонта многоквартирного дома на счете некоммерческой организации – Фонда капитального ремонта многоквартирных домов Тверской области (далее – региональный оператор)</t>
  </si>
  <si>
    <t>пос. Белый Омут, ул. Советская,                 д. 1</t>
  </si>
  <si>
    <t>пос. Терелесовский, ул. Рабочая,                д. 3</t>
  </si>
  <si>
    <t>Шлако-бетонные</t>
  </si>
  <si>
    <t>д. Верхняя Троица,                                      ул. Молодежная, д. 4</t>
  </si>
  <si>
    <t>пос. Белый Городок, ул. Главная,      д. 20</t>
  </si>
  <si>
    <t>пос. Белый Городок, ул. Лесная,                д. 6</t>
  </si>
  <si>
    <t>пос. Великооктябрьский,                            ул. Кооперативная, д. 20</t>
  </si>
  <si>
    <t>пос. Великооктябрьский,                             ул. Советская, д. 2</t>
  </si>
  <si>
    <t>пгт Оленино, ул. Пионерская, д. 2</t>
  </si>
  <si>
    <t>пгт Оленино, ул. Ленина, д. 24</t>
  </si>
  <si>
    <t>пгт Оленино, ул. Ленина, д. 35</t>
  </si>
  <si>
    <t>пгт Оленино, ул. Ленина, д. 33</t>
  </si>
  <si>
    <t>пгт Оленино, ул. Ленина, д. 54</t>
  </si>
  <si>
    <t>пгт Оленино, ул. Ленина, д. 56</t>
  </si>
  <si>
    <t>п. Мирный, ул. Озерная, д. 10</t>
  </si>
  <si>
    <t>п. Мирный, ул. С.Козлова, д. 3</t>
  </si>
  <si>
    <t>п. Мирный, ул. Солнечная, д. 1</t>
  </si>
  <si>
    <t>п. Мирный, ул. Солнечная, д. 6</t>
  </si>
  <si>
    <t>п. Мирный, ул. С. Козлова, д. 5</t>
  </si>
  <si>
    <t>пгт Оленино, ул.К. Маркса, д. 13</t>
  </si>
  <si>
    <t>пгт Оленино, ул. Пионеркая, д. 4</t>
  </si>
  <si>
    <t>п. Мирный, ул. Г.Кольцова, д. 1</t>
  </si>
  <si>
    <t>п. Мирный, ул. Ленина, д. 3</t>
  </si>
  <si>
    <t>п. Мирный, ул. Ленина, д. 16</t>
  </si>
  <si>
    <t>пос. Приозерный, ул. Дорожная,                  д. 4а</t>
  </si>
  <si>
    <t>пос. Приозерный, ул. Дорожная,                 д. 4</t>
  </si>
  <si>
    <t>пос. Академический,                                   ул. Пионерская, д. 1</t>
  </si>
  <si>
    <t>ул. Ивана Чистякова, д. 18</t>
  </si>
  <si>
    <t>пос. Белый Городок, ул. Лесная,                  д. 9</t>
  </si>
  <si>
    <t>пос. Озерки, ул. Комсомольская,                д. 10</t>
  </si>
  <si>
    <t>пос. Великооктябрьский,                           ул. Кооперативная, д. 19</t>
  </si>
  <si>
    <t>пос. Великооктябрьский,                            ул. Советская, д. 4</t>
  </si>
  <si>
    <t>пос. Красномайский, ул. Кирова,                 д. 27</t>
  </si>
  <si>
    <t>пос. Приозерный, ул. Дорожная,                 д. 5</t>
  </si>
  <si>
    <t>ул. Володарского, д. 179</t>
  </si>
  <si>
    <t>пос. Великооктябрьский,                                  ул. Цнинская, д. 4</t>
  </si>
  <si>
    <t>ул. Михаила Румянцева, д. 12,         корп. 1</t>
  </si>
  <si>
    <t>территория Двор Пролетарки,                   д.  119</t>
  </si>
  <si>
    <t>территория Двор Пролетарки,                       д.  43</t>
  </si>
  <si>
    <t>ул. Виноградова, д. 10</t>
  </si>
  <si>
    <t>ул. Евгения Пичугина, д. 46</t>
  </si>
  <si>
    <t>пос. Белый омут, ул. Советская,                д. 2</t>
  </si>
  <si>
    <t>пос. Академический,                                   ул. Фабричная, д. 3</t>
  </si>
  <si>
    <t>пос. Красномайский, ул. Кирова,                 д. 25</t>
  </si>
  <si>
    <t>Шлако-засыпные</t>
  </si>
  <si>
    <t>с. Погорелое Городище,                             ул. Вокзальная, д. 13</t>
  </si>
  <si>
    <t>с. Рождествено, ул. Советская,                   д. 58</t>
  </si>
  <si>
    <t>с. Красная Гора, ул. Центральная,        д. 1</t>
  </si>
  <si>
    <t>д. Колталово, ул. Центральная,                   д. 28</t>
  </si>
  <si>
    <t>ул. Песочная, д. 16/7</t>
  </si>
  <si>
    <t>пр. Ленина,  д. 12</t>
  </si>
  <si>
    <t xml:space="preserve">пос. Озерки, ул. Локомотивная,                        д. 5 </t>
  </si>
  <si>
    <t>пос. Великооктябрьский,                           ул. Кооперативная, д. 5</t>
  </si>
  <si>
    <t>пос. Великооктябрьский,                              ул. Профсоюзная, д. 9</t>
  </si>
  <si>
    <t>пос. Академический,                                 ул. Пионерская, д. 2</t>
  </si>
  <si>
    <t>4 разработка проектной документации, проведение экспертизы проектной документации (в случае, если разработка проектной документации, проведение экспертизы проектной документации необходимы в соответствии с законодательством о градостроительной деятельности), проведение проверки достоверности определения сметной стоимости капитального ремонта, а также проведение государственной историко-культурной экспертизы проектной документации на выполнение работ по сохранению объектов культурного наследия (памятников истории и культуры) народов Российской Федерации (далее - объекты культурного наследия), являющихся многоквартирными д.ами, в случае проведения работ по капитальному ремонту общего имущества в многоквартирных д.ах, являющихся объектами культурного наследия, выявленными объектами культурного наследия;</t>
  </si>
  <si>
    <t>Начало проведения капитального ремонта 2021 год*</t>
  </si>
  <si>
    <t>Начало проведения капитального ремонта 2022 год*</t>
  </si>
  <si>
    <t>* При внесении изменений в муниципальные краткосрочные планы перечень многоквартирных домов подлежит корректировке</t>
  </si>
  <si>
    <t>Адрес многоквартирного дома 
(далее – МКД)</t>
  </si>
  <si>
    <t>ул. Набережная Волги, д. 52</t>
  </si>
  <si>
    <t>наб. Рядового Николаева, д. 5</t>
  </si>
  <si>
    <t>наб. Кирова, д. 7а</t>
  </si>
  <si>
    <t>ш. Петербургское,                     д. 32</t>
  </si>
  <si>
    <t>ул. Терещенко,                       д. 32/14</t>
  </si>
  <si>
    <t>ул. Орджоникидзе,                    д. 3</t>
  </si>
  <si>
    <t>ул. 15 лет Октября,                 д. 54/62</t>
  </si>
  <si>
    <t>ул. Инициативная,                 д. 9/9</t>
  </si>
  <si>
    <t>пр-т Чайковского,                  д. 37</t>
  </si>
  <si>
    <t>ул. Лизы Чайкиной,                  д. 25/2б</t>
  </si>
  <si>
    <t>пр-т Ленина, д. 14,                корп. 2</t>
  </si>
  <si>
    <t>пер. Партизанский,                  д.  22/8</t>
  </si>
  <si>
    <t>ул. 15 лет Октября,                  д. 48/15</t>
  </si>
  <si>
    <t>ул. Красноармейская,                             д. 11</t>
  </si>
  <si>
    <t xml:space="preserve">пр-т Казанский,                          д. 106/112 </t>
  </si>
  <si>
    <t>ул. Екатерининская,            д. 4-6</t>
  </si>
  <si>
    <t>пос. Красномайский,               ул. Железнодоржная,                 д. 19</t>
  </si>
  <si>
    <t>пос. Белый Омут,                  ул. Советская, д. 1</t>
  </si>
  <si>
    <t>пос. Борисовский,                    ул. Октябрьская, д. 17</t>
  </si>
  <si>
    <t>пос. Пригородный,                  ул. Милиораторов, д. 7</t>
  </si>
  <si>
    <t>пос. Терелесовский,                  ул. Рабочая, д. 3</t>
  </si>
  <si>
    <t>пос. Академический,                      ул. Октябрьская, д. 1</t>
  </si>
  <si>
    <t>пос. Приозерный,                    ул. Дорожная, д. 6</t>
  </si>
  <si>
    <t>Красноармейская наб.,                  д. 30/1</t>
  </si>
  <si>
    <t>ул. Большевистская,                   д. 46</t>
  </si>
  <si>
    <t>ул. Краностроителей,                     д. 12</t>
  </si>
  <si>
    <t>ул. Красноармейская,                 д. 42</t>
  </si>
  <si>
    <t xml:space="preserve">ул. Л.Толстого, д. 4 </t>
  </si>
  <si>
    <t>п. Выползово,                        ул. Березовая роща, д. 6</t>
  </si>
  <si>
    <t>ул. Комсомольская,                   д. 11</t>
  </si>
  <si>
    <t>Итого по МО Городское поселение                            пос. Жарковский</t>
  </si>
  <si>
    <t>Итого по МО городское поселение                            пос. Васильевский Мох</t>
  </si>
  <si>
    <t>с. Красная Гора,                      ул. Парковая, д.4</t>
  </si>
  <si>
    <t>д. Никулино,                           ул. Юбилейная, д. 1</t>
  </si>
  <si>
    <t>ж/д  ст. Чуприяновка,          ул. 3-я Мира, д. 11</t>
  </si>
  <si>
    <t>ул. Красноармейская,                д. 3</t>
  </si>
  <si>
    <t>ул. Васильковского,                     д. 1б</t>
  </si>
  <si>
    <t>ул. Набережная Волги,           д. 52</t>
  </si>
  <si>
    <t>пос. Изоплит,                           ул. Школьная, д. 6</t>
  </si>
  <si>
    <t>ул.  Лихославльская,                  д. 16</t>
  </si>
  <si>
    <t>пгт. Оленино,                          ул. Пионерская, д. 4а</t>
  </si>
  <si>
    <t>пгт Оленино,                          ул. Пионерская, д. 2</t>
  </si>
  <si>
    <t>пгт Оленино,                 ул. Ленина, д. 35</t>
  </si>
  <si>
    <t>пгт Оленино,                          ул. Ленина, д. 24</t>
  </si>
  <si>
    <t>пгт Оленино,                  ул. Ленина, д. 54</t>
  </si>
  <si>
    <t>пгт Оленино,                  ул. Ленина, д. 56</t>
  </si>
  <si>
    <t>п. Мирный,                               ул. С. Козлова, д. 3</t>
  </si>
  <si>
    <t>п. Мирный,                               ул. Солнечная, д. 1</t>
  </si>
  <si>
    <t>п. Мирный,                             ул. С. Козлова, д. 5</t>
  </si>
  <si>
    <t>п. Мирный,                              ул. Солнечная, д. 6</t>
  </si>
  <si>
    <t>п. Мирный,                              ул. Г.Кольцова, д. 1</t>
  </si>
  <si>
    <t>ул. Рабочий Городок,                 д. 48</t>
  </si>
  <si>
    <t>д. Берново,                               ул. Советская, д. 8</t>
  </si>
  <si>
    <t>д. Берново,                             ул. Советская, д. 9</t>
  </si>
  <si>
    <t>пос. Славный,                          ул. Школьная, д. 12</t>
  </si>
  <si>
    <t>пос. Славный,                          ул. Школьная, д. 12а</t>
  </si>
  <si>
    <t>ул. Маршала Захарова,        д. 12</t>
  </si>
  <si>
    <t>ул. Фадеева, д. 26,                   корп. 1</t>
  </si>
  <si>
    <t>пр-т 50 лет Октября,                        д. 20а</t>
  </si>
  <si>
    <t>ул. Громова, д. 28,                        корп. 2</t>
  </si>
  <si>
    <t>пр-т 50 лет Октября,                  д. 2/19</t>
  </si>
  <si>
    <t>ул. Бобкова, д. 24,                  корп. 3</t>
  </si>
  <si>
    <t>ул. Орджоникидзе,                      д. 13/26</t>
  </si>
  <si>
    <t>ул. Дзержинского,                      д. 12/25</t>
  </si>
  <si>
    <t>пос. Приозерный,                    ул. Дорожная, д. 4а</t>
  </si>
  <si>
    <t>пос. Академический,                ул. Пионерская, д. 1</t>
  </si>
  <si>
    <t>пос. Приозерный,                          ул. Дорожная, д. 4</t>
  </si>
  <si>
    <t>ш. Ленинградское ш,                  д. 91</t>
  </si>
  <si>
    <t>ул. Красноармейская,                        д. 12</t>
  </si>
  <si>
    <t>ул. Красноармейская,                   д. 2</t>
  </si>
  <si>
    <t>ул. Восточный пр-д,                     д. 22</t>
  </si>
  <si>
    <t>Итого по МО Городское поселение                             пос. Жарковский</t>
  </si>
  <si>
    <t>Итого по МО городское поселение                                пос. Васильевский Мох</t>
  </si>
  <si>
    <t>ж/д  ст. Чуприяновка,     ул. 3-я Мира, д. 15</t>
  </si>
  <si>
    <t>д. Верхняя Троица,                   ул. Советская, д. 4</t>
  </si>
  <si>
    <t>ул. Железнодорожная,               д. 8/37</t>
  </si>
  <si>
    <t>ул. Республиканская,                         д. 5</t>
  </si>
  <si>
    <t>ул.Ивана Чистякова,                    д. 18</t>
  </si>
  <si>
    <t>ул. Ивана Чистякова,                    д. 14</t>
  </si>
  <si>
    <t>пос. Белый Городок,                    ул. Лесная, д.9</t>
  </si>
  <si>
    <t>пос. Приволжский,                   ул. Песочная, д. 15</t>
  </si>
  <si>
    <t>пос. Озерки,                               ул. Комсомольская, д. 10</t>
  </si>
  <si>
    <t>ул. Пионерский б-р,                  д. 10</t>
  </si>
  <si>
    <t>д. Вески,                                 ул. Боровикова, д. 2</t>
  </si>
  <si>
    <t>ул. Паши Савельевой,                 д. 35, корп. 4</t>
  </si>
  <si>
    <t>ул. 15 лет Октября,                          д. 3/22</t>
  </si>
  <si>
    <t>ул. Большая Садовая,                       д. 82</t>
  </si>
  <si>
    <t>ул. 4-я Пролетарская,                  д. 98/2</t>
  </si>
  <si>
    <t>ул. Двор фабрики Парижская коммуна,                    д. 48</t>
  </si>
  <si>
    <t>ул. Екатерининская,            д. 40</t>
  </si>
  <si>
    <t>п. Красномайский                      ул. Кирова, д. 27</t>
  </si>
  <si>
    <t>пос. Горняк,                             ул. Центральная, д. 6</t>
  </si>
  <si>
    <t>пос. Приозерный,                          ул. Дорожная, д. 5</t>
  </si>
  <si>
    <t>Итого по МО                           город Торжок</t>
  </si>
  <si>
    <t>пос. Академический,                   ул. Пионерская, д. 2</t>
  </si>
  <si>
    <t>пер. Чернышевского,                  д. 44</t>
  </si>
  <si>
    <t>с. Дмитрова Гора,                   ул. Новая, д. 1</t>
  </si>
  <si>
    <t>Итого по МО городское поселение                          город Кувшиново</t>
  </si>
  <si>
    <t>ул. Лихославльская,                     д. 9А</t>
  </si>
  <si>
    <t>пос. Осиновая Гряда,                  д. 32</t>
  </si>
  <si>
    <t>с. Святое,                                  ул. Первомайская, д. 11</t>
  </si>
  <si>
    <t>д. Жданово,                             тер. Микрорайон, д. 1</t>
  </si>
  <si>
    <t>Итого по МО городское поселение                           город Торопец</t>
  </si>
  <si>
    <t>ул. 15 лет Октября,                         д. 64/23</t>
  </si>
  <si>
    <t>ул. Тамары Ильиной,                    д. 7 корп. 1</t>
  </si>
  <si>
    <t>ул. Паши Савельевой,                    д. 7</t>
  </si>
  <si>
    <t>пер. Артиллерийский,                       д. 12</t>
  </si>
  <si>
    <t>пр-т Победы, д. 28               корп. 1</t>
  </si>
  <si>
    <t>пр-т 50 лет Октября,                      д. 44 А</t>
  </si>
  <si>
    <t>ул. Алексея Томского,                    д. 14</t>
  </si>
  <si>
    <t>пр-т 50 лет Октября,                  д. 2, корп. 1</t>
  </si>
  <si>
    <t>пр-т Волоколамский,                   д. 47</t>
  </si>
  <si>
    <t>ул. Инициативная,                     д. 10/11</t>
  </si>
  <si>
    <t>ул. Маршала Захарова,                 д. 12</t>
  </si>
  <si>
    <t>ул. Маршала Захарова,                          д. 16/17</t>
  </si>
  <si>
    <t>ул. Орджоникидзе,                   д. 22/25</t>
  </si>
  <si>
    <t>ул. Паши Савельевой,                д. 35 корп. 2</t>
  </si>
  <si>
    <t>ул. Паши Савельевой,                   д. 35 корп. 4</t>
  </si>
  <si>
    <t>пер. Студенческий,                       д. 30А</t>
  </si>
  <si>
    <t>б-р Шмидта, д. 49,                        корп. 1</t>
  </si>
  <si>
    <t>наб. Степана Разина,                 д. 16</t>
  </si>
  <si>
    <t>пер. Артиллерийский,                д. 20</t>
  </si>
  <si>
    <t>наб. Степана Разина,                     д. 19</t>
  </si>
  <si>
    <t>пер. Партизанский,                     д. 22/8</t>
  </si>
  <si>
    <t>пр-д Ремесленный,                       д. 10а</t>
  </si>
  <si>
    <t>пр-т Ленина, д. 14,                      корп. 2</t>
  </si>
  <si>
    <t>пр-т Октябрьский,                       д. 85/49</t>
  </si>
  <si>
    <t>ул. Благоева, д. 8,                    корп. 2</t>
  </si>
  <si>
    <t>ул. Благоева, д. 8,                   корп. 3</t>
  </si>
  <si>
    <t>ул. Бобкова, д. 28,                    корп. 1</t>
  </si>
  <si>
    <t>ул. Бобкова, д. 28,                  корп. 2</t>
  </si>
  <si>
    <t>ул. Громова, д. 48,                  корп. 1</t>
  </si>
  <si>
    <t>ул. Громова, д. 48,                       корп. 2</t>
  </si>
  <si>
    <t>ул. Евгения Пичугина,                      д. 56</t>
  </si>
  <si>
    <t>ул. Карпинского,                            д. 12/32</t>
  </si>
  <si>
    <t>ул. Маршала Захарова,           д. 14</t>
  </si>
  <si>
    <t>ул. Орджоникидзе,                     д. 12/1</t>
  </si>
  <si>
    <t>ул. Паши Савельевой,                 д. 15, корп. 2</t>
  </si>
  <si>
    <t>ул. Паши Савельевой                     д. 2</t>
  </si>
  <si>
    <t>ул. Паши Савельевой,                 д. 23</t>
  </si>
  <si>
    <t>ул. Паши Савельевой,                 д. 23, корп. 2</t>
  </si>
  <si>
    <t>ул. Паши Савельевой,                д. 3</t>
  </si>
  <si>
    <t>ул. Паши Савельевой,                 д. 48, корп. 1</t>
  </si>
  <si>
    <t>ул. Паши Савельевой,                  д. 39, корп. 5</t>
  </si>
  <si>
    <t>ул. Паши Савельевой,                  д. 6</t>
  </si>
  <si>
    <t>ул. Софьи Перовской,                д. 14</t>
  </si>
  <si>
    <t>ул. Тамары Ильиной,                    д. 35</t>
  </si>
  <si>
    <t>ул. Тамары Ильиной,                    д. 3, корп. 1</t>
  </si>
  <si>
    <t>ул. Фадеева, д. 38,                        корп. 2</t>
  </si>
  <si>
    <t>ул. Большая Садовая,                 д. 69</t>
  </si>
  <si>
    <t>ул. Большая Садовая,                   д. 80</t>
  </si>
  <si>
    <t>пос . Белый омут,                       ул. Советская, д. 2</t>
  </si>
  <si>
    <t>пос. Академический,                  ул. Фабричная, д. 3</t>
  </si>
  <si>
    <t>ул. Екатерининская,                    д. 39</t>
  </si>
  <si>
    <t>ул. Большая Садовая,                  д. 55</t>
  </si>
  <si>
    <t>Бейшлотская наб.,                            д. 127А</t>
  </si>
  <si>
    <t>пос. Красномайский,                ул. Кирова, д. 25</t>
  </si>
  <si>
    <t>пос. Академический,                 ул. Пионерская, д. 11</t>
  </si>
  <si>
    <t>пос. Академический,                ул. Пионерская, д. 3</t>
  </si>
  <si>
    <t>пос. Пригородный,                   ул. Гагарина, д. 22</t>
  </si>
  <si>
    <t>ул. Большая Спасская,                   д. 41/65</t>
  </si>
  <si>
    <t>Селижаровский пр-д,                 д. 8</t>
  </si>
  <si>
    <t>ул. Железнодорожная,                 д. 34</t>
  </si>
  <si>
    <t>ул. Краностроителей,                д. 3</t>
  </si>
  <si>
    <t>ул. Краностроителей,                     д. 14</t>
  </si>
  <si>
    <t>ул. Большая Спасская,                   д. 43/72</t>
  </si>
  <si>
    <t>ул. Большая Спасская,               д. 45</t>
  </si>
  <si>
    <t>ул. Большевистская,                        д. 9/16</t>
  </si>
  <si>
    <t>Торопецкий тракт,                       д. 9/21</t>
  </si>
  <si>
    <t>ул. Партизанская,                              д. 21/13</t>
  </si>
  <si>
    <t>ул. Карла Маркса,                        д. 55/15</t>
  </si>
  <si>
    <t>ул. Большая Спасская,                д. 10</t>
  </si>
  <si>
    <t>ул. Большая Спасская,                д. 17</t>
  </si>
  <si>
    <t>ул. Большая Спасская,                  д. 15</t>
  </si>
  <si>
    <t>Ленинградское ш.,                     д. 46/39</t>
  </si>
  <si>
    <t>ул. Большая Спасская,               д. 32</t>
  </si>
  <si>
    <t>ул. Большая Спасская,              д. 59</t>
  </si>
  <si>
    <t>ул. Никиты Головни,                  д. 1</t>
  </si>
  <si>
    <t>ул. Красноармейская,                 д. 2</t>
  </si>
  <si>
    <t>ул. Красноармейская,                д. 19</t>
  </si>
  <si>
    <t>ул. М.И. Кузнецова,                 д. 16</t>
  </si>
  <si>
    <t>ул. Дзержинского, д. 2</t>
  </si>
  <si>
    <t>с. Красная Гора,                            ул. Центральная, д. 1</t>
  </si>
  <si>
    <t>д. Колталово,                           ул. Центральная, д. 28</t>
  </si>
  <si>
    <t>ж/д ст. Чуприяновка,                  ул. Рабочая, д. 3</t>
  </si>
  <si>
    <t>д. Паскино,                                ул. Молодежная,
д. 2</t>
  </si>
  <si>
    <t xml:space="preserve">пос. Озерки,                             ул. Локомотивная, д. 5 </t>
  </si>
  <si>
    <t>пос. Озерки,                                ул. Калинина, д. 6</t>
  </si>
  <si>
    <t>пос. Озерки,                              пр-д Железнодорожный, д. 3</t>
  </si>
  <si>
    <t>д. Мокшино,                            ул. Ленинградская, 
д. 6</t>
  </si>
  <si>
    <t>д. Мокшино,                                     ул. Ленинградская, 
д. 8</t>
  </si>
  <si>
    <t>д. Мокшино,                                        ул. Ленинградская,  
д. 7</t>
  </si>
  <si>
    <t>с. Завидово,                                  ул. Школьная, д. 4</t>
  </si>
  <si>
    <t>с. Завидово,                               ул. Школьная, д. 5</t>
  </si>
  <si>
    <t>д. Мокшино,                                 ул. Ленинградская, д. 2</t>
  </si>
  <si>
    <t>д. Мокшино,                                    ул. Солнечная, д. 3</t>
  </si>
  <si>
    <t>с. Завидово,                                       ул. Школьная, д. 3</t>
  </si>
  <si>
    <t>ул. Лихославльская,                      д. тяговой подстанции</t>
  </si>
  <si>
    <t xml:space="preserve">ул. Красноармейская,                 д. 4а </t>
  </si>
  <si>
    <t>пос. Южный,                           ул. Маресьева, д. 23</t>
  </si>
  <si>
    <t>ул. Красноармейская,                 д. 11</t>
  </si>
  <si>
    <t>ул. Лизы Чайкиной,                            д. 32б</t>
  </si>
  <si>
    <t>с. Застолбье,                                  ул. Школьная, д. 4</t>
  </si>
  <si>
    <t>пос. Славный,                           ул. Парковая,  д. 1/6</t>
  </si>
  <si>
    <t>с. Яконово,                                ул. Поселковая, д. 1</t>
  </si>
  <si>
    <t>д. Паскино,                               ул. Молодежная, д. 4</t>
  </si>
  <si>
    <t>Итого по МО городское поселение                               пос. Калашниково</t>
  </si>
  <si>
    <t>пер. Артиллерийский,                              д. 13</t>
  </si>
  <si>
    <t>ул. Маршала Буденного,        д. 19/1</t>
  </si>
  <si>
    <t>уста-новка, ремонт систем приема телеви-дения3</t>
  </si>
  <si>
    <t>техническое обследование общего имущества в много-квартирном доме7</t>
  </si>
  <si>
    <t>Итого по МО                        город Торжок</t>
  </si>
  <si>
    <t>Итого по МО                        ЗАТО Озерный</t>
  </si>
  <si>
    <t>Итого по МО городское поселение                              город Бологое</t>
  </si>
  <si>
    <r>
      <t>с. Погорелое Городище, ул.</t>
    </r>
    <r>
      <rPr>
        <sz val="30"/>
        <rFont val="Calibri"/>
        <family val="2"/>
        <charset val="204"/>
      </rPr>
      <t> </t>
    </r>
    <r>
      <rPr>
        <sz val="30"/>
        <rFont val="Times New Roman"/>
        <family val="1"/>
        <charset val="204"/>
      </rPr>
      <t>Советская, д. 17</t>
    </r>
  </si>
  <si>
    <t>д. Колталово,                                ул. Зеленая, д. 15</t>
  </si>
  <si>
    <t>пос. Дмитрово-Черкассы,                                       ул. Спортивная, д. 2а</t>
  </si>
  <si>
    <t>д. Верхняя Троица,                     ул. Молодежная, д. 4</t>
  </si>
  <si>
    <t>пл. Республиканская,                  д. 3</t>
  </si>
  <si>
    <t>пос. Белый Городок,                        пр-д Южный, д. 16</t>
  </si>
  <si>
    <t>пос. Белый Городок,                      ул. Главная, д. 20</t>
  </si>
  <si>
    <t>пос. Белый Городок,                    ул. Лесная, д. 6</t>
  </si>
  <si>
    <t>пос. Приволжский,                       ул. Центральная, д. 6</t>
  </si>
  <si>
    <t>д. Титово,                                        ул. Центральная, д. 5</t>
  </si>
  <si>
    <t>ул. Льва Толстого,                         д. 51/4</t>
  </si>
  <si>
    <t>д. Фабрика,                               мкр. «Льнозавод», д. 5</t>
  </si>
  <si>
    <t>пос. Молоково,                             ул. Народная, д. 10</t>
  </si>
  <si>
    <t>Итого по МО городское поселение                              поселок Молоково</t>
  </si>
  <si>
    <t>пгт Оленино,                                    ул. Ленина, д. 33</t>
  </si>
  <si>
    <t>ул. Громова, д. 11,                   корп. 1</t>
  </si>
  <si>
    <t>Итого по МО городское поселение                                 город Калязин</t>
  </si>
  <si>
    <t>в многоквартирных домах на территории Тверской области на 2014 – 2043 годы</t>
  </si>
  <si>
    <t>Приложение 
к постановлению Правительства 
Тверской области 
от 14.08.2020 № 360-пп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</si>
</sst>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-* #,##0_р_._-;\-* #,##0_р_._-;_-* &quot;-&quot;_р_._-;_-@_-"/>
    <numFmt numFmtId="165" formatCode="_-* #,##0.00_р_._-;\-* #,##0.00_р_._-;_-* &quot;-&quot;??_р_._-;_-@_-"/>
    <numFmt numFmtId="166" formatCode="0.00000"/>
    <numFmt numFmtId="167" formatCode="0.0"/>
    <numFmt numFmtId="168" formatCode="#,##0.00_р_."/>
    <numFmt numFmtId="169" formatCode="\ #,##0.00&quot;    &quot;;\-#,##0.00&quot;    &quot;;&quot; -&quot;#&quot;    &quot;;@\ "/>
    <numFmt numFmtId="170" formatCode="\ #,##0&quot;    &quot;;\-#,##0&quot;    &quot;;&quot; -&quot;#&quot;    &quot;;@\ "/>
    <numFmt numFmtId="171" formatCode="#,##0.00_ ;\-#,##0.00\ "/>
    <numFmt numFmtId="172" formatCode="#,##0.0"/>
  </numFmts>
  <fonts count="82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2"/>
      <charset val="204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13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"/>
      <name val="Arial"/>
      <family val="2"/>
    </font>
    <font>
      <sz val="10"/>
      <color indexed="8"/>
      <name val="Calibri"/>
      <family val="2"/>
      <charset val="204"/>
    </font>
    <font>
      <sz val="11"/>
      <name val="Calibri"/>
      <family val="2"/>
      <charset val="204"/>
      <scheme val="minor"/>
    </font>
    <font>
      <sz val="11"/>
      <color indexed="8"/>
      <name val="Times New Roman1"/>
      <charset val="204"/>
    </font>
    <font>
      <sz val="11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u/>
      <sz val="16"/>
      <color theme="0"/>
      <name val="Arial"/>
      <family val="2"/>
      <charset val="204"/>
    </font>
    <font>
      <sz val="12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indexed="8"/>
      <name val="Times New Roman1"/>
      <charset val="204"/>
    </font>
    <font>
      <sz val="12"/>
      <color indexed="8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name val="Calibri"/>
      <family val="2"/>
      <charset val="204"/>
    </font>
    <font>
      <i/>
      <sz val="11"/>
      <name val="Times New Roman"/>
      <family val="1"/>
      <charset val="204"/>
    </font>
    <font>
      <sz val="12"/>
      <color theme="1"/>
      <name val="Calibri"/>
      <family val="2"/>
      <charset val="204"/>
    </font>
    <font>
      <sz val="10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color rgb="FF00B050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sz val="14"/>
      <color indexed="8"/>
      <name val="Times New Roman1"/>
      <charset val="204"/>
    </font>
    <font>
      <sz val="14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sz val="16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14"/>
      <color indexed="8"/>
      <name val="Calibri"/>
      <family val="2"/>
      <charset val="204"/>
      <scheme val="minor"/>
    </font>
    <font>
      <sz val="14"/>
      <name val="Times New Roman1"/>
      <charset val="204"/>
    </font>
    <font>
      <b/>
      <sz val="14"/>
      <color theme="1" tint="0.249977111117893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1"/>
      <name val="Calibri"/>
      <family val="2"/>
      <scheme val="minor"/>
    </font>
    <font>
      <b/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indexed="81"/>
      <name val="Tahoma"/>
      <family val="2"/>
      <charset val="204"/>
    </font>
    <font>
      <sz val="30"/>
      <name val="Times New Roman"/>
      <family val="1"/>
      <charset val="204"/>
    </font>
    <font>
      <vertAlign val="superscript"/>
      <sz val="30"/>
      <name val="Times New Roman"/>
      <family val="1"/>
      <charset val="204"/>
    </font>
    <font>
      <sz val="30"/>
      <color theme="1"/>
      <name val="Times New Roman"/>
      <family val="1"/>
      <charset val="204"/>
    </font>
    <font>
      <b/>
      <sz val="30"/>
      <color theme="1"/>
      <name val="Times New Roman"/>
      <family val="1"/>
      <charset val="204"/>
    </font>
    <font>
      <b/>
      <sz val="30"/>
      <name val="Times New Roman"/>
      <family val="1"/>
      <charset val="204"/>
    </font>
    <font>
      <b/>
      <sz val="30"/>
      <color rgb="FFFF0000"/>
      <name val="Times New Roman"/>
      <family val="1"/>
      <charset val="204"/>
    </font>
    <font>
      <sz val="30"/>
      <color rgb="FF000000"/>
      <name val="Times New Roman"/>
      <family val="1"/>
      <charset val="204"/>
    </font>
    <font>
      <sz val="30"/>
      <name val="Calibri"/>
      <family val="2"/>
      <charset val="204"/>
    </font>
    <font>
      <sz val="30"/>
      <color theme="1"/>
      <name val="Calibri"/>
      <family val="2"/>
      <charset val="204"/>
      <scheme val="minor"/>
    </font>
    <font>
      <sz val="30"/>
      <name val="Calibri"/>
      <family val="2"/>
      <charset val="204"/>
      <scheme val="minor"/>
    </font>
    <font>
      <sz val="30"/>
      <name val="Times New Roman1"/>
      <charset val="204"/>
    </font>
    <font>
      <sz val="30"/>
      <color indexed="8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theme="0" tint="-0.14999847407452621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0" fontId="3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19" fillId="0" borderId="0"/>
    <xf numFmtId="0" fontId="21" fillId="0" borderId="0"/>
    <xf numFmtId="0" fontId="24" fillId="0" borderId="0"/>
    <xf numFmtId="165" fontId="19" fillId="0" borderId="0" applyFont="0" applyFill="0" applyBorder="0" applyAlignment="0" applyProtection="0"/>
    <xf numFmtId="0" fontId="66" fillId="0" borderId="0"/>
  </cellStyleXfs>
  <cellXfs count="1592">
    <xf numFmtId="0" fontId="0" fillId="0" borderId="0" xfId="0"/>
    <xf numFmtId="0" fontId="0" fillId="2" borderId="0" xfId="0" applyFont="1" applyFill="1"/>
    <xf numFmtId="0" fontId="5" fillId="2" borderId="0" xfId="0" applyFont="1" applyFill="1"/>
    <xf numFmtId="0" fontId="0" fillId="2" borderId="0" xfId="0" applyFill="1"/>
    <xf numFmtId="4" fontId="10" fillId="2" borderId="1" xfId="0" applyNumberFormat="1" applyFont="1" applyFill="1" applyBorder="1" applyAlignment="1">
      <alignment horizontal="center" vertical="center"/>
    </xf>
    <xf numFmtId="0" fontId="12" fillId="2" borderId="0" xfId="0" applyFont="1" applyFill="1"/>
    <xf numFmtId="0" fontId="8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vertical="center" wrapText="1"/>
    </xf>
    <xf numFmtId="0" fontId="12" fillId="2" borderId="0" xfId="0" applyFont="1" applyFill="1" applyBorder="1"/>
    <xf numFmtId="0" fontId="15" fillId="2" borderId="0" xfId="0" applyFont="1" applyFill="1"/>
    <xf numFmtId="0" fontId="0" fillId="2" borderId="0" xfId="0" applyFont="1" applyFill="1" applyBorder="1"/>
    <xf numFmtId="0" fontId="26" fillId="2" borderId="0" xfId="0" applyFont="1" applyFill="1"/>
    <xf numFmtId="4" fontId="10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165" fontId="10" fillId="2" borderId="1" xfId="8" applyFont="1" applyFill="1" applyBorder="1" applyAlignment="1">
      <alignment horizontal="center" vertical="center"/>
    </xf>
    <xf numFmtId="0" fontId="11" fillId="2" borderId="0" xfId="0" applyFont="1" applyFill="1"/>
    <xf numFmtId="0" fontId="0" fillId="2" borderId="0" xfId="0" applyFont="1" applyFill="1" applyAlignment="1"/>
    <xf numFmtId="0" fontId="0" fillId="2" borderId="0" xfId="0" applyFont="1" applyFill="1" applyAlignment="1">
      <alignment vertical="center"/>
    </xf>
    <xf numFmtId="0" fontId="9" fillId="2" borderId="0" xfId="0" applyFont="1" applyFill="1"/>
    <xf numFmtId="0" fontId="17" fillId="2" borderId="0" xfId="0" applyFont="1" applyFill="1" applyAlignment="1">
      <alignment horizontal="center" vertical="center"/>
    </xf>
    <xf numFmtId="0" fontId="17" fillId="2" borderId="0" xfId="0" applyFont="1" applyFill="1"/>
    <xf numFmtId="0" fontId="0" fillId="2" borderId="0" xfId="0" applyNumberFormat="1" applyFont="1" applyFill="1"/>
    <xf numFmtId="0" fontId="0" fillId="2" borderId="0" xfId="0" applyFont="1" applyFill="1" applyAlignment="1">
      <alignment horizontal="center" vertical="center"/>
    </xf>
    <xf numFmtId="0" fontId="23" fillId="2" borderId="0" xfId="0" applyFont="1" applyFill="1" applyBorder="1" applyAlignment="1"/>
    <xf numFmtId="4" fontId="0" fillId="2" borderId="0" xfId="0" applyNumberFormat="1" applyFont="1" applyFill="1"/>
    <xf numFmtId="0" fontId="9" fillId="2" borderId="0" xfId="0" applyFont="1" applyFill="1" applyBorder="1" applyAlignment="1">
      <alignment vertical="center" wrapText="1"/>
    </xf>
    <xf numFmtId="0" fontId="9" fillId="2" borderId="0" xfId="0" applyFont="1" applyFill="1" applyBorder="1"/>
    <xf numFmtId="0" fontId="17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0" fillId="2" borderId="0" xfId="0" applyFont="1" applyFill="1" applyAlignment="1">
      <alignment horizontal="center"/>
    </xf>
    <xf numFmtId="0" fontId="25" fillId="2" borderId="0" xfId="0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wrapText="1"/>
    </xf>
    <xf numFmtId="0" fontId="6" fillId="2" borderId="0" xfId="0" applyFont="1" applyFill="1" applyAlignment="1">
      <alignment horizontal="right" vertical="top" wrapText="1"/>
    </xf>
    <xf numFmtId="0" fontId="19" fillId="2" borderId="0" xfId="0" applyFont="1" applyFill="1"/>
    <xf numFmtId="0" fontId="11" fillId="2" borderId="0" xfId="0" applyFont="1" applyFill="1" applyAlignment="1"/>
    <xf numFmtId="0" fontId="11" fillId="2" borderId="0" xfId="0" applyFont="1" applyFill="1" applyAlignment="1">
      <alignment horizontal="center"/>
    </xf>
    <xf numFmtId="4" fontId="5" fillId="2" borderId="0" xfId="0" applyNumberFormat="1" applyFont="1" applyFill="1"/>
    <xf numFmtId="4" fontId="15" fillId="2" borderId="0" xfId="0" applyNumberFormat="1" applyFont="1" applyFill="1"/>
    <xf numFmtId="0" fontId="26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0" fillId="0" borderId="0" xfId="0" applyFont="1" applyBorder="1"/>
    <xf numFmtId="0" fontId="17" fillId="0" borderId="0" xfId="0" applyFont="1"/>
    <xf numFmtId="0" fontId="17" fillId="0" borderId="0" xfId="0" applyFont="1" applyBorder="1"/>
    <xf numFmtId="0" fontId="0" fillId="0" borderId="0" xfId="0" applyFont="1" applyFill="1" applyAlignment="1">
      <alignment wrapText="1"/>
    </xf>
    <xf numFmtId="0" fontId="27" fillId="2" borderId="0" xfId="9" applyFont="1" applyFill="1"/>
    <xf numFmtId="0" fontId="0" fillId="2" borderId="0" xfId="0" applyFont="1" applyFill="1" applyAlignment="1">
      <alignment horizontal="left"/>
    </xf>
    <xf numFmtId="0" fontId="28" fillId="2" borderId="0" xfId="0" applyFont="1" applyFill="1"/>
    <xf numFmtId="0" fontId="16" fillId="2" borderId="0" xfId="0" applyFont="1" applyFill="1"/>
    <xf numFmtId="172" fontId="0" fillId="2" borderId="0" xfId="0" applyNumberFormat="1" applyFont="1" applyFill="1"/>
    <xf numFmtId="172" fontId="5" fillId="2" borderId="0" xfId="0" applyNumberFormat="1" applyFont="1" applyFill="1"/>
    <xf numFmtId="3" fontId="0" fillId="2" borderId="0" xfId="0" applyNumberFormat="1" applyFont="1" applyFill="1"/>
    <xf numFmtId="3" fontId="5" fillId="2" borderId="0" xfId="0" applyNumberFormat="1" applyFont="1" applyFill="1"/>
    <xf numFmtId="3" fontId="6" fillId="2" borderId="0" xfId="0" applyNumberFormat="1" applyFont="1" applyFill="1" applyAlignment="1">
      <alignment horizontal="right" vertical="top" wrapText="1"/>
    </xf>
    <xf numFmtId="0" fontId="0" fillId="0" borderId="0" xfId="0" applyFont="1"/>
    <xf numFmtId="0" fontId="12" fillId="0" borderId="0" xfId="0" applyFont="1"/>
    <xf numFmtId="0" fontId="5" fillId="0" borderId="0" xfId="0" applyFont="1"/>
    <xf numFmtId="0" fontId="0" fillId="0" borderId="0" xfId="0" applyAlignment="1">
      <alignment vertical="center"/>
    </xf>
    <xf numFmtId="0" fontId="5" fillId="2" borderId="0" xfId="0" applyFont="1" applyFill="1" applyAlignment="1"/>
    <xf numFmtId="165" fontId="10" fillId="2" borderId="1" xfId="8" applyFont="1" applyFill="1" applyBorder="1" applyAlignment="1">
      <alignment vertical="center"/>
    </xf>
    <xf numFmtId="4" fontId="10" fillId="2" borderId="2" xfId="0" applyNumberFormat="1" applyFont="1" applyFill="1" applyBorder="1" applyAlignment="1">
      <alignment horizontal="center" vertical="center" wrapText="1"/>
    </xf>
    <xf numFmtId="0" fontId="27" fillId="2" borderId="0" xfId="9" applyFont="1" applyFill="1" applyAlignment="1">
      <alignment horizontal="center"/>
    </xf>
    <xf numFmtId="0" fontId="29" fillId="2" borderId="0" xfId="0" applyFont="1" applyFill="1" applyBorder="1" applyAlignment="1">
      <alignment horizontal="left" vertical="center" indent="1"/>
    </xf>
    <xf numFmtId="0" fontId="29" fillId="2" borderId="4" xfId="0" applyFont="1" applyFill="1" applyBorder="1" applyAlignment="1">
      <alignment horizontal="left" vertical="center" indent="1"/>
    </xf>
    <xf numFmtId="0" fontId="29" fillId="2" borderId="5" xfId="0" applyFont="1" applyFill="1" applyBorder="1" applyAlignment="1">
      <alignment horizontal="left" vertical="center" indent="1"/>
    </xf>
    <xf numFmtId="0" fontId="29" fillId="2" borderId="6" xfId="0" applyFont="1" applyFill="1" applyBorder="1" applyAlignment="1">
      <alignment horizontal="left" vertical="center" indent="1"/>
    </xf>
    <xf numFmtId="0" fontId="29" fillId="2" borderId="5" xfId="0" applyFont="1" applyFill="1" applyBorder="1" applyAlignment="1">
      <alignment horizontal="left" indent="1"/>
    </xf>
    <xf numFmtId="0" fontId="29" fillId="2" borderId="6" xfId="0" applyFont="1" applyFill="1" applyBorder="1" applyAlignment="1">
      <alignment horizontal="left" indent="1"/>
    </xf>
    <xf numFmtId="0" fontId="29" fillId="2" borderId="3" xfId="0" applyFont="1" applyFill="1" applyBorder="1" applyAlignment="1">
      <alignment horizontal="left" vertical="center" indent="1"/>
    </xf>
    <xf numFmtId="0" fontId="29" fillId="4" borderId="4" xfId="0" applyFont="1" applyFill="1" applyBorder="1" applyAlignment="1">
      <alignment horizontal="left" vertical="center" indent="1"/>
    </xf>
    <xf numFmtId="0" fontId="29" fillId="4" borderId="5" xfId="0" applyFont="1" applyFill="1" applyBorder="1" applyAlignment="1">
      <alignment horizontal="left" vertical="center" indent="1"/>
    </xf>
    <xf numFmtId="0" fontId="29" fillId="4" borderId="6" xfId="0" applyFont="1" applyFill="1" applyBorder="1" applyAlignment="1">
      <alignment horizontal="left" vertical="center" indent="1"/>
    </xf>
    <xf numFmtId="0" fontId="0" fillId="4" borderId="6" xfId="0" applyFill="1" applyBorder="1" applyAlignment="1">
      <alignment horizontal="left" indent="1"/>
    </xf>
    <xf numFmtId="0" fontId="30" fillId="2" borderId="0" xfId="0" applyFont="1" applyFill="1"/>
    <xf numFmtId="0" fontId="31" fillId="2" borderId="0" xfId="0" applyFont="1" applyFill="1" applyBorder="1" applyAlignment="1">
      <alignment horizontal="left" vertical="center" indent="1"/>
    </xf>
    <xf numFmtId="0" fontId="30" fillId="2" borderId="0" xfId="0" applyFont="1" applyFill="1" applyBorder="1"/>
    <xf numFmtId="0" fontId="15" fillId="2" borderId="5" xfId="0" applyFont="1" applyFill="1" applyBorder="1"/>
    <xf numFmtId="0" fontId="29" fillId="2" borderId="0" xfId="0" applyFont="1" applyFill="1" applyBorder="1" applyAlignment="1">
      <alignment horizontal="center" vertical="center"/>
    </xf>
    <xf numFmtId="4" fontId="0" fillId="2" borderId="0" xfId="0" applyNumberFormat="1" applyFill="1"/>
    <xf numFmtId="4" fontId="9" fillId="2" borderId="0" xfId="0" applyNumberFormat="1" applyFont="1" applyFill="1"/>
    <xf numFmtId="0" fontId="0" fillId="2" borderId="0" xfId="0" applyFont="1" applyFill="1" applyAlignment="1">
      <alignment vertical="center" wrapText="1"/>
    </xf>
    <xf numFmtId="4" fontId="6" fillId="2" borderId="0" xfId="0" applyNumberFormat="1" applyFont="1" applyFill="1" applyAlignment="1">
      <alignment horizontal="right" vertical="top" wrapText="1"/>
    </xf>
    <xf numFmtId="4" fontId="7" fillId="2" borderId="0" xfId="0" applyNumberFormat="1" applyFont="1" applyFill="1" applyAlignment="1">
      <alignment vertical="center" wrapText="1"/>
    </xf>
    <xf numFmtId="4" fontId="7" fillId="2" borderId="0" xfId="0" applyNumberFormat="1" applyFont="1" applyFill="1" applyAlignment="1"/>
    <xf numFmtId="0" fontId="0" fillId="0" borderId="0" xfId="0" applyFont="1" applyFill="1"/>
    <xf numFmtId="0" fontId="0" fillId="0" borderId="0" xfId="0" applyFont="1" applyBorder="1" applyAlignment="1"/>
    <xf numFmtId="0" fontId="9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horizontal="center"/>
    </xf>
    <xf numFmtId="172" fontId="14" fillId="2" borderId="7" xfId="0" applyNumberFormat="1" applyFont="1" applyFill="1" applyBorder="1" applyAlignment="1">
      <alignment horizontal="center" vertical="center" wrapText="1"/>
    </xf>
    <xf numFmtId="3" fontId="14" fillId="2" borderId="7" xfId="0" applyNumberFormat="1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/>
    </xf>
    <xf numFmtId="0" fontId="10" fillId="2" borderId="7" xfId="0" applyNumberFormat="1" applyFont="1" applyFill="1" applyBorder="1" applyAlignment="1">
      <alignment horizontal="center" vertical="center"/>
    </xf>
    <xf numFmtId="3" fontId="10" fillId="2" borderId="7" xfId="0" applyNumberFormat="1" applyFont="1" applyFill="1" applyBorder="1" applyAlignment="1">
      <alignment horizontal="center" vertical="center"/>
    </xf>
    <xf numFmtId="0" fontId="33" fillId="2" borderId="7" xfId="0" applyFont="1" applyFill="1" applyBorder="1" applyAlignment="1">
      <alignment horizontal="center" vertical="center" wrapText="1"/>
    </xf>
    <xf numFmtId="4" fontId="33" fillId="2" borderId="7" xfId="0" applyNumberFormat="1" applyFont="1" applyFill="1" applyBorder="1" applyAlignment="1">
      <alignment horizontal="center" vertical="center" wrapText="1"/>
    </xf>
    <xf numFmtId="3" fontId="33" fillId="2" borderId="7" xfId="0" applyNumberFormat="1" applyFont="1" applyFill="1" applyBorder="1" applyAlignment="1">
      <alignment horizontal="center" vertical="center" wrapText="1"/>
    </xf>
    <xf numFmtId="4" fontId="33" fillId="2" borderId="7" xfId="0" applyNumberFormat="1" applyFont="1" applyFill="1" applyBorder="1" applyAlignment="1">
      <alignment horizontal="center" vertical="center"/>
    </xf>
    <xf numFmtId="0" fontId="33" fillId="2" borderId="7" xfId="0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 wrapText="1"/>
    </xf>
    <xf numFmtId="3" fontId="4" fillId="2" borderId="7" xfId="0" applyNumberFormat="1" applyFont="1" applyFill="1" applyBorder="1" applyAlignment="1">
      <alignment horizontal="center" vertical="center" wrapText="1"/>
    </xf>
    <xf numFmtId="4" fontId="4" fillId="2" borderId="7" xfId="0" applyNumberFormat="1" applyFont="1" applyFill="1" applyBorder="1" applyAlignment="1">
      <alignment horizontal="center" vertical="center"/>
    </xf>
    <xf numFmtId="0" fontId="35" fillId="2" borderId="7" xfId="0" applyFont="1" applyFill="1" applyBorder="1" applyAlignment="1">
      <alignment horizontal="center" vertical="center" wrapText="1"/>
    </xf>
    <xf numFmtId="0" fontId="35" fillId="2" borderId="7" xfId="0" applyFont="1" applyFill="1" applyBorder="1" applyAlignment="1">
      <alignment horizontal="center" vertical="center"/>
    </xf>
    <xf numFmtId="0" fontId="33" fillId="0" borderId="7" xfId="0" applyFont="1" applyFill="1" applyBorder="1" applyAlignment="1">
      <alignment horizontal="center" vertical="center" wrapText="1"/>
    </xf>
    <xf numFmtId="0" fontId="35" fillId="2" borderId="7" xfId="0" applyNumberFormat="1" applyFont="1" applyFill="1" applyBorder="1" applyAlignment="1">
      <alignment horizontal="center" vertical="center"/>
    </xf>
    <xf numFmtId="172" fontId="35" fillId="2" borderId="7" xfId="0" applyNumberFormat="1" applyFont="1" applyFill="1" applyBorder="1" applyAlignment="1">
      <alignment horizontal="center" vertical="center"/>
    </xf>
    <xf numFmtId="3" fontId="35" fillId="2" borderId="7" xfId="0" applyNumberFormat="1" applyFont="1" applyFill="1" applyBorder="1" applyAlignment="1">
      <alignment horizontal="center" vertical="center"/>
    </xf>
    <xf numFmtId="4" fontId="33" fillId="2" borderId="7" xfId="8" applyNumberFormat="1" applyFont="1" applyFill="1" applyBorder="1" applyAlignment="1">
      <alignment vertical="center"/>
    </xf>
    <xf numFmtId="4" fontId="35" fillId="2" borderId="7" xfId="0" applyNumberFormat="1" applyFont="1" applyFill="1" applyBorder="1" applyAlignment="1">
      <alignment horizontal="center" vertical="center"/>
    </xf>
    <xf numFmtId="4" fontId="35" fillId="2" borderId="7" xfId="0" applyNumberFormat="1" applyFont="1" applyFill="1" applyBorder="1" applyAlignment="1">
      <alignment horizontal="center" vertical="center" wrapText="1"/>
    </xf>
    <xf numFmtId="2" fontId="35" fillId="2" borderId="7" xfId="0" applyNumberFormat="1" applyFont="1" applyFill="1" applyBorder="1" applyAlignment="1">
      <alignment vertical="center"/>
    </xf>
    <xf numFmtId="172" fontId="33" fillId="2" borderId="7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3" fontId="4" fillId="2" borderId="7" xfId="0" applyNumberFormat="1" applyFont="1" applyFill="1" applyBorder="1" applyAlignment="1">
      <alignment horizontal="center" vertical="center"/>
    </xf>
    <xf numFmtId="0" fontId="33" fillId="0" borderId="7" xfId="0" applyFont="1" applyFill="1" applyBorder="1" applyAlignment="1">
      <alignment horizontal="left" vertical="center" wrapText="1"/>
    </xf>
    <xf numFmtId="49" fontId="35" fillId="2" borderId="7" xfId="0" applyNumberFormat="1" applyFont="1" applyFill="1" applyBorder="1" applyAlignment="1">
      <alignment horizontal="center" vertical="center"/>
    </xf>
    <xf numFmtId="167" fontId="35" fillId="2" borderId="7" xfId="0" applyNumberFormat="1" applyFont="1" applyFill="1" applyBorder="1" applyAlignment="1">
      <alignment horizontal="center" vertical="center"/>
    </xf>
    <xf numFmtId="3" fontId="35" fillId="0" borderId="7" xfId="0" applyNumberFormat="1" applyFont="1" applyFill="1" applyBorder="1" applyAlignment="1">
      <alignment horizontal="center" vertical="center"/>
    </xf>
    <xf numFmtId="4" fontId="35" fillId="0" borderId="7" xfId="0" applyNumberFormat="1" applyFont="1" applyFill="1" applyBorder="1" applyAlignment="1">
      <alignment horizontal="center" vertical="center"/>
    </xf>
    <xf numFmtId="2" fontId="35" fillId="0" borderId="7" xfId="0" applyNumberFormat="1" applyFont="1" applyFill="1" applyBorder="1" applyAlignment="1">
      <alignment horizontal="center" vertical="center"/>
    </xf>
    <xf numFmtId="2" fontId="35" fillId="2" borderId="7" xfId="0" applyNumberFormat="1" applyFont="1" applyFill="1" applyBorder="1" applyAlignment="1">
      <alignment horizontal="center" vertical="center"/>
    </xf>
    <xf numFmtId="172" fontId="4" fillId="2" borderId="7" xfId="0" applyNumberFormat="1" applyFont="1" applyFill="1" applyBorder="1" applyAlignment="1">
      <alignment horizontal="center" vertical="center" wrapText="1"/>
    </xf>
    <xf numFmtId="172" fontId="4" fillId="2" borderId="7" xfId="0" applyNumberFormat="1" applyFont="1" applyFill="1" applyBorder="1" applyAlignment="1">
      <alignment horizontal="center" vertical="center"/>
    </xf>
    <xf numFmtId="0" fontId="33" fillId="2" borderId="7" xfId="0" applyFont="1" applyFill="1" applyBorder="1" applyAlignment="1">
      <alignment vertical="center" wrapText="1"/>
    </xf>
    <xf numFmtId="0" fontId="35" fillId="0" borderId="7" xfId="0" applyFont="1" applyBorder="1" applyAlignment="1">
      <alignment horizontal="left" vertical="center"/>
    </xf>
    <xf numFmtId="0" fontId="35" fillId="0" borderId="7" xfId="0" applyFont="1" applyFill="1" applyBorder="1" applyAlignment="1">
      <alignment horizontal="center" vertical="center"/>
    </xf>
    <xf numFmtId="0" fontId="35" fillId="0" borderId="7" xfId="0" applyFont="1" applyFill="1" applyBorder="1" applyAlignment="1">
      <alignment horizontal="center" vertical="center" wrapText="1"/>
    </xf>
    <xf numFmtId="172" fontId="35" fillId="0" borderId="7" xfId="8" applyNumberFormat="1" applyFont="1" applyFill="1" applyBorder="1" applyAlignment="1">
      <alignment horizontal="center" vertical="center"/>
    </xf>
    <xf numFmtId="2" fontId="33" fillId="0" borderId="7" xfId="0" applyNumberFormat="1" applyFont="1" applyFill="1" applyBorder="1" applyAlignment="1">
      <alignment horizontal="center" vertical="center"/>
    </xf>
    <xf numFmtId="0" fontId="33" fillId="0" borderId="7" xfId="0" applyFont="1" applyFill="1" applyBorder="1" applyAlignment="1">
      <alignment horizontal="center" vertical="center"/>
    </xf>
    <xf numFmtId="172" fontId="33" fillId="0" borderId="7" xfId="8" applyNumberFormat="1" applyFont="1" applyBorder="1" applyAlignment="1">
      <alignment horizontal="center" vertical="center"/>
    </xf>
    <xf numFmtId="2" fontId="33" fillId="0" borderId="7" xfId="0" applyNumberFormat="1" applyFont="1" applyBorder="1" applyAlignment="1">
      <alignment horizontal="center" vertical="center"/>
    </xf>
    <xf numFmtId="3" fontId="33" fillId="0" borderId="7" xfId="0" applyNumberFormat="1" applyFont="1" applyFill="1" applyBorder="1" applyAlignment="1">
      <alignment horizontal="center" vertical="center"/>
    </xf>
    <xf numFmtId="165" fontId="33" fillId="3" borderId="7" xfId="0" applyNumberFormat="1" applyFont="1" applyFill="1" applyBorder="1" applyAlignment="1">
      <alignment horizontal="center" vertical="center"/>
    </xf>
    <xf numFmtId="0" fontId="35" fillId="0" borderId="7" xfId="0" applyFont="1" applyBorder="1" applyAlignment="1">
      <alignment horizontal="left" vertical="center" wrapText="1"/>
    </xf>
    <xf numFmtId="172" fontId="35" fillId="0" borderId="7" xfId="8" applyNumberFormat="1" applyFont="1" applyBorder="1" applyAlignment="1">
      <alignment horizontal="center" vertical="center"/>
    </xf>
    <xf numFmtId="2" fontId="35" fillId="0" borderId="7" xfId="0" applyNumberFormat="1" applyFont="1" applyBorder="1" applyAlignment="1">
      <alignment horizontal="center" vertical="center"/>
    </xf>
    <xf numFmtId="3" fontId="35" fillId="0" borderId="7" xfId="0" applyNumberFormat="1" applyFont="1" applyFill="1" applyBorder="1" applyAlignment="1">
      <alignment horizontal="center" vertical="center" wrapText="1"/>
    </xf>
    <xf numFmtId="2" fontId="35" fillId="3" borderId="7" xfId="0" applyNumberFormat="1" applyFont="1" applyFill="1" applyBorder="1" applyAlignment="1">
      <alignment horizontal="center" vertical="center"/>
    </xf>
    <xf numFmtId="0" fontId="35" fillId="0" borderId="7" xfId="0" applyFont="1" applyFill="1" applyBorder="1" applyAlignment="1">
      <alignment horizontal="left" vertical="center" wrapText="1"/>
    </xf>
    <xf numFmtId="172" fontId="35" fillId="0" borderId="7" xfId="0" applyNumberFormat="1" applyFont="1" applyBorder="1" applyAlignment="1">
      <alignment horizontal="center" vertical="center" wrapText="1"/>
    </xf>
    <xf numFmtId="2" fontId="35" fillId="0" borderId="7" xfId="0" applyNumberFormat="1" applyFont="1" applyBorder="1" applyAlignment="1">
      <alignment horizontal="center" vertical="center" wrapText="1"/>
    </xf>
    <xf numFmtId="3" fontId="35" fillId="0" borderId="7" xfId="0" applyNumberFormat="1" applyFont="1" applyBorder="1" applyAlignment="1">
      <alignment horizontal="center" vertical="center" wrapText="1"/>
    </xf>
    <xf numFmtId="172" fontId="35" fillId="0" borderId="7" xfId="0" applyNumberFormat="1" applyFont="1" applyBorder="1" applyAlignment="1">
      <alignment horizontal="center" vertical="center"/>
    </xf>
    <xf numFmtId="172" fontId="35" fillId="0" borderId="7" xfId="8" applyNumberFormat="1" applyFont="1" applyBorder="1" applyAlignment="1">
      <alignment horizontal="center" vertical="center" wrapText="1"/>
    </xf>
    <xf numFmtId="2" fontId="35" fillId="0" borderId="7" xfId="8" applyNumberFormat="1" applyFont="1" applyBorder="1" applyAlignment="1">
      <alignment horizontal="center" vertical="center"/>
    </xf>
    <xf numFmtId="4" fontId="35" fillId="0" borderId="7" xfId="8" applyNumberFormat="1" applyFont="1" applyBorder="1" applyAlignment="1">
      <alignment horizontal="center" vertical="center"/>
    </xf>
    <xf numFmtId="4" fontId="35" fillId="0" borderId="7" xfId="0" applyNumberFormat="1" applyFont="1" applyBorder="1" applyAlignment="1">
      <alignment horizontal="center" vertical="center"/>
    </xf>
    <xf numFmtId="3" fontId="35" fillId="2" borderId="7" xfId="0" applyNumberFormat="1" applyFont="1" applyFill="1" applyBorder="1" applyAlignment="1">
      <alignment horizontal="center" vertical="center" wrapText="1"/>
    </xf>
    <xf numFmtId="3" fontId="33" fillId="2" borderId="7" xfId="0" applyNumberFormat="1" applyFont="1" applyFill="1" applyBorder="1" applyAlignment="1">
      <alignment horizontal="center" vertical="center"/>
    </xf>
    <xf numFmtId="0" fontId="36" fillId="2" borderId="7" xfId="10" applyFont="1" applyFill="1" applyBorder="1" applyAlignment="1">
      <alignment horizontal="center" vertical="center" wrapText="1"/>
    </xf>
    <xf numFmtId="4" fontId="36" fillId="2" borderId="7" xfId="0" applyNumberFormat="1" applyFont="1" applyFill="1" applyBorder="1" applyAlignment="1">
      <alignment horizontal="center" vertical="center"/>
    </xf>
    <xf numFmtId="0" fontId="36" fillId="2" borderId="7" xfId="0" applyFont="1" applyFill="1" applyBorder="1" applyAlignment="1">
      <alignment horizontal="center" vertical="center"/>
    </xf>
    <xf numFmtId="172" fontId="36" fillId="2" borderId="7" xfId="0" applyNumberFormat="1" applyFont="1" applyFill="1" applyBorder="1" applyAlignment="1">
      <alignment horizontal="center" vertical="center"/>
    </xf>
    <xf numFmtId="3" fontId="36" fillId="2" borderId="7" xfId="0" applyNumberFormat="1" applyFont="1" applyFill="1" applyBorder="1" applyAlignment="1">
      <alignment horizontal="center" vertical="center"/>
    </xf>
    <xf numFmtId="0" fontId="36" fillId="2" borderId="7" xfId="0" applyFont="1" applyFill="1" applyBorder="1" applyAlignment="1">
      <alignment horizontal="left" vertical="center"/>
    </xf>
    <xf numFmtId="0" fontId="4" fillId="2" borderId="7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left" vertical="center"/>
    </xf>
    <xf numFmtId="0" fontId="35" fillId="0" borderId="7" xfId="0" applyNumberFormat="1" applyFont="1" applyFill="1" applyBorder="1" applyAlignment="1">
      <alignment horizontal="center" vertical="center"/>
    </xf>
    <xf numFmtId="169" fontId="38" fillId="2" borderId="7" xfId="8" applyNumberFormat="1" applyFont="1" applyFill="1" applyBorder="1" applyAlignment="1" applyProtection="1">
      <alignment horizontal="left" vertical="center"/>
    </xf>
    <xf numFmtId="0" fontId="35" fillId="2" borderId="7" xfId="8" applyNumberFormat="1" applyFont="1" applyFill="1" applyBorder="1" applyAlignment="1" applyProtection="1">
      <alignment horizontal="center" vertical="center"/>
    </xf>
    <xf numFmtId="170" fontId="35" fillId="2" borderId="7" xfId="8" applyNumberFormat="1" applyFont="1" applyFill="1" applyBorder="1" applyAlignment="1" applyProtection="1">
      <alignment vertical="center"/>
    </xf>
    <xf numFmtId="4" fontId="38" fillId="2" borderId="7" xfId="8" applyNumberFormat="1" applyFont="1" applyFill="1" applyBorder="1" applyAlignment="1" applyProtection="1">
      <alignment horizontal="center" vertical="center"/>
    </xf>
    <xf numFmtId="170" fontId="35" fillId="2" borderId="7" xfId="8" applyNumberFormat="1" applyFont="1" applyFill="1" applyBorder="1" applyAlignment="1" applyProtection="1">
      <alignment horizontal="center" vertical="center"/>
    </xf>
    <xf numFmtId="4" fontId="35" fillId="2" borderId="7" xfId="0" applyNumberFormat="1" applyFont="1" applyFill="1" applyBorder="1" applyAlignment="1">
      <alignment horizontal="center" vertical="center" wrapText="1" shrinkToFit="1"/>
    </xf>
    <xf numFmtId="0" fontId="35" fillId="2" borderId="7" xfId="0" applyFont="1" applyFill="1" applyBorder="1" applyAlignment="1">
      <alignment horizontal="left" vertical="center" wrapText="1" shrinkToFit="1"/>
    </xf>
    <xf numFmtId="0" fontId="35" fillId="2" borderId="7" xfId="0" applyFont="1" applyFill="1" applyBorder="1" applyAlignment="1">
      <alignment horizontal="center" vertical="center" wrapText="1" shrinkToFit="1"/>
    </xf>
    <xf numFmtId="0" fontId="35" fillId="2" borderId="7" xfId="0" applyFont="1" applyFill="1" applyBorder="1" applyAlignment="1">
      <alignment horizontal="left" vertical="center"/>
    </xf>
    <xf numFmtId="2" fontId="35" fillId="0" borderId="7" xfId="0" applyNumberFormat="1" applyFont="1" applyFill="1" applyBorder="1" applyAlignment="1">
      <alignment horizontal="center" vertical="center" wrapText="1"/>
    </xf>
    <xf numFmtId="1" fontId="4" fillId="2" borderId="7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35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" xfId="0" applyFont="1" applyFill="1" applyBorder="1" applyAlignment="1">
      <alignment horizontal="left" vertical="center"/>
    </xf>
    <xf numFmtId="0" fontId="35" fillId="2" borderId="7" xfId="0" applyFont="1" applyFill="1" applyBorder="1" applyAlignment="1" applyProtection="1">
      <alignment horizontal="center" vertical="center" wrapText="1"/>
    </xf>
    <xf numFmtId="172" fontId="33" fillId="2" borderId="7" xfId="0" applyNumberFormat="1" applyFont="1" applyFill="1" applyBorder="1" applyAlignment="1">
      <alignment horizontal="center" vertical="center" wrapText="1"/>
    </xf>
    <xf numFmtId="172" fontId="35" fillId="2" borderId="7" xfId="0" applyNumberFormat="1" applyFont="1" applyFill="1" applyBorder="1" applyAlignment="1">
      <alignment horizontal="center" vertical="center" wrapText="1"/>
    </xf>
    <xf numFmtId="0" fontId="37" fillId="2" borderId="7" xfId="0" applyFont="1" applyFill="1" applyBorder="1" applyAlignment="1">
      <alignment horizontal="center" vertical="center"/>
    </xf>
    <xf numFmtId="166" fontId="33" fillId="2" borderId="7" xfId="0" applyNumberFormat="1" applyFont="1" applyFill="1" applyBorder="1" applyAlignment="1">
      <alignment vertical="center" wrapText="1"/>
    </xf>
    <xf numFmtId="1" fontId="33" fillId="2" borderId="7" xfId="0" applyNumberFormat="1" applyFont="1" applyFill="1" applyBorder="1" applyAlignment="1">
      <alignment horizontal="center" vertical="center" wrapText="1"/>
    </xf>
    <xf numFmtId="49" fontId="33" fillId="2" borderId="7" xfId="0" applyNumberFormat="1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4" fontId="8" fillId="2" borderId="7" xfId="0" applyNumberFormat="1" applyFont="1" applyFill="1" applyBorder="1" applyAlignment="1">
      <alignment horizontal="center" vertical="center" wrapText="1"/>
    </xf>
    <xf numFmtId="0" fontId="8" fillId="2" borderId="7" xfId="0" applyNumberFormat="1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/>
    </xf>
    <xf numFmtId="0" fontId="8" fillId="2" borderId="7" xfId="0" applyNumberFormat="1" applyFont="1" applyFill="1" applyBorder="1" applyAlignment="1">
      <alignment horizontal="center" vertical="center"/>
    </xf>
    <xf numFmtId="0" fontId="20" fillId="2" borderId="7" xfId="0" applyFont="1" applyFill="1" applyBorder="1" applyAlignment="1">
      <alignment vertical="center"/>
    </xf>
    <xf numFmtId="4" fontId="20" fillId="2" borderId="7" xfId="0" applyNumberFormat="1" applyFont="1" applyFill="1" applyBorder="1" applyAlignment="1">
      <alignment horizontal="center" vertical="center"/>
    </xf>
    <xf numFmtId="3" fontId="20" fillId="2" borderId="7" xfId="0" applyNumberFormat="1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left" vertical="center" wrapText="1"/>
    </xf>
    <xf numFmtId="4" fontId="18" fillId="2" borderId="7" xfId="0" applyNumberFormat="1" applyFont="1" applyFill="1" applyBorder="1" applyAlignment="1">
      <alignment horizontal="center" vertical="center" wrapText="1"/>
    </xf>
    <xf numFmtId="3" fontId="18" fillId="2" borderId="7" xfId="0" applyNumberFormat="1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4" fontId="18" fillId="2" borderId="7" xfId="0" applyNumberFormat="1" applyFont="1" applyFill="1" applyBorder="1" applyAlignment="1">
      <alignment horizontal="center" vertical="center"/>
    </xf>
    <xf numFmtId="3" fontId="18" fillId="2" borderId="7" xfId="0" applyNumberFormat="1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165" fontId="18" fillId="2" borderId="7" xfId="8" applyFont="1" applyFill="1" applyBorder="1" applyAlignment="1">
      <alignment horizontal="center" vertical="center"/>
    </xf>
    <xf numFmtId="4" fontId="42" fillId="2" borderId="7" xfId="0" applyNumberFormat="1" applyFont="1" applyFill="1" applyBorder="1" applyAlignment="1">
      <alignment horizontal="center" vertical="center" wrapText="1"/>
    </xf>
    <xf numFmtId="0" fontId="18" fillId="2" borderId="7" xfId="0" applyNumberFormat="1" applyFont="1" applyFill="1" applyBorder="1" applyAlignment="1">
      <alignment horizontal="center" vertical="center" wrapText="1"/>
    </xf>
    <xf numFmtId="0" fontId="20" fillId="2" borderId="7" xfId="0" applyNumberFormat="1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left" vertical="center" wrapText="1"/>
    </xf>
    <xf numFmtId="1" fontId="18" fillId="2" borderId="7" xfId="0" applyNumberFormat="1" applyFont="1" applyFill="1" applyBorder="1" applyAlignment="1">
      <alignment horizontal="center" vertical="center" wrapText="1"/>
    </xf>
    <xf numFmtId="0" fontId="18" fillId="2" borderId="7" xfId="0" applyNumberFormat="1" applyFont="1" applyFill="1" applyBorder="1" applyAlignment="1">
      <alignment horizontal="center" vertical="center"/>
    </xf>
    <xf numFmtId="2" fontId="18" fillId="2" borderId="7" xfId="0" applyNumberFormat="1" applyFont="1" applyFill="1" applyBorder="1" applyAlignment="1">
      <alignment horizontal="center" vertical="center"/>
    </xf>
    <xf numFmtId="4" fontId="17" fillId="2" borderId="7" xfId="0" applyNumberFormat="1" applyFont="1" applyFill="1" applyBorder="1" applyAlignment="1">
      <alignment horizontal="center" vertical="center" wrapText="1"/>
    </xf>
    <xf numFmtId="4" fontId="17" fillId="2" borderId="7" xfId="0" applyNumberFormat="1" applyFont="1" applyFill="1" applyBorder="1" applyAlignment="1">
      <alignment horizontal="center" vertical="center"/>
    </xf>
    <xf numFmtId="0" fontId="17" fillId="2" borderId="7" xfId="0" applyNumberFormat="1" applyFont="1" applyFill="1" applyBorder="1" applyAlignment="1">
      <alignment horizontal="center" vertical="center"/>
    </xf>
    <xf numFmtId="3" fontId="17" fillId="2" borderId="7" xfId="0" applyNumberFormat="1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vertical="center" wrapText="1"/>
    </xf>
    <xf numFmtId="4" fontId="17" fillId="0" borderId="7" xfId="0" applyNumberFormat="1" applyFont="1" applyBorder="1" applyAlignment="1">
      <alignment horizontal="center" vertical="center"/>
    </xf>
    <xf numFmtId="0" fontId="17" fillId="2" borderId="7" xfId="0" applyFont="1" applyFill="1" applyBorder="1" applyAlignment="1">
      <alignment vertical="center"/>
    </xf>
    <xf numFmtId="0" fontId="20" fillId="2" borderId="7" xfId="0" applyFont="1" applyFill="1" applyBorder="1" applyAlignment="1">
      <alignment horizontal="left" vertical="center"/>
    </xf>
    <xf numFmtId="0" fontId="18" fillId="2" borderId="7" xfId="0" applyFont="1" applyFill="1" applyBorder="1" applyAlignment="1">
      <alignment horizontal="left" vertical="center"/>
    </xf>
    <xf numFmtId="0" fontId="18" fillId="0" borderId="7" xfId="0" applyFont="1" applyFill="1" applyBorder="1" applyAlignment="1">
      <alignment horizontal="left" vertical="center" wrapText="1"/>
    </xf>
    <xf numFmtId="4" fontId="18" fillId="3" borderId="7" xfId="8" applyNumberFormat="1" applyFont="1" applyFill="1" applyBorder="1" applyAlignment="1">
      <alignment horizontal="center" vertical="center"/>
    </xf>
    <xf numFmtId="4" fontId="16" fillId="0" borderId="7" xfId="0" applyNumberFormat="1" applyFont="1" applyFill="1" applyBorder="1" applyAlignment="1">
      <alignment horizontal="center" vertical="center"/>
    </xf>
    <xf numFmtId="0" fontId="16" fillId="2" borderId="7" xfId="0" applyNumberFormat="1" applyFont="1" applyFill="1" applyBorder="1" applyAlignment="1">
      <alignment horizontal="center" vertical="center"/>
    </xf>
    <xf numFmtId="4" fontId="17" fillId="0" borderId="7" xfId="8" applyNumberFormat="1" applyFont="1" applyBorder="1" applyAlignment="1">
      <alignment horizontal="center" vertical="center"/>
    </xf>
    <xf numFmtId="171" fontId="18" fillId="0" borderId="7" xfId="8" applyNumberFormat="1" applyFont="1" applyFill="1" applyBorder="1" applyAlignment="1">
      <alignment horizontal="center" vertical="center"/>
    </xf>
    <xf numFmtId="3" fontId="16" fillId="0" borderId="7" xfId="0" applyNumberFormat="1" applyFont="1" applyFill="1" applyBorder="1" applyAlignment="1">
      <alignment horizontal="center" vertical="center"/>
    </xf>
    <xf numFmtId="0" fontId="16" fillId="0" borderId="7" xfId="0" applyNumberFormat="1" applyFont="1" applyFill="1" applyBorder="1" applyAlignment="1">
      <alignment horizontal="center" vertical="center"/>
    </xf>
    <xf numFmtId="4" fontId="18" fillId="0" borderId="7" xfId="0" applyNumberFormat="1" applyFont="1" applyFill="1" applyBorder="1" applyAlignment="1">
      <alignment horizontal="center" vertical="center"/>
    </xf>
    <xf numFmtId="4" fontId="18" fillId="0" borderId="7" xfId="8" applyNumberFormat="1" applyFont="1" applyFill="1" applyBorder="1" applyAlignment="1">
      <alignment horizontal="center" vertical="center"/>
    </xf>
    <xf numFmtId="4" fontId="16" fillId="0" borderId="7" xfId="8" applyNumberFormat="1" applyFont="1" applyFill="1" applyBorder="1" applyAlignment="1">
      <alignment horizontal="center" vertical="center"/>
    </xf>
    <xf numFmtId="3" fontId="16" fillId="2" borderId="7" xfId="0" applyNumberFormat="1" applyFont="1" applyFill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4" fontId="16" fillId="2" borderId="7" xfId="0" applyNumberFormat="1" applyFont="1" applyFill="1" applyBorder="1" applyAlignment="1">
      <alignment horizontal="center" vertical="center"/>
    </xf>
    <xf numFmtId="4" fontId="20" fillId="0" borderId="7" xfId="0" applyNumberFormat="1" applyFont="1" applyBorder="1" applyAlignment="1">
      <alignment horizontal="center" vertical="center"/>
    </xf>
    <xf numFmtId="4" fontId="16" fillId="2" borderId="7" xfId="9" applyNumberFormat="1" applyFont="1" applyFill="1" applyBorder="1" applyAlignment="1">
      <alignment horizontal="center" vertical="center"/>
    </xf>
    <xf numFmtId="166" fontId="17" fillId="2" borderId="7" xfId="0" applyNumberFormat="1" applyFont="1" applyFill="1" applyBorder="1" applyAlignment="1">
      <alignment vertical="center" wrapText="1"/>
    </xf>
    <xf numFmtId="0" fontId="17" fillId="2" borderId="7" xfId="0" applyFont="1" applyFill="1" applyBorder="1" applyAlignment="1">
      <alignment horizontal="center" vertical="center"/>
    </xf>
    <xf numFmtId="4" fontId="16" fillId="2" borderId="7" xfId="0" applyNumberFormat="1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left" vertical="center" wrapText="1"/>
    </xf>
    <xf numFmtId="3" fontId="16" fillId="2" borderId="7" xfId="0" applyNumberFormat="1" applyFont="1" applyFill="1" applyBorder="1" applyAlignment="1">
      <alignment horizontal="center" vertical="center" wrapText="1"/>
    </xf>
    <xf numFmtId="2" fontId="17" fillId="2" borderId="7" xfId="0" applyNumberFormat="1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left" vertical="center"/>
    </xf>
    <xf numFmtId="172" fontId="9" fillId="2" borderId="7" xfId="0" applyNumberFormat="1" applyFont="1" applyFill="1" applyBorder="1" applyAlignment="1">
      <alignment horizontal="center" vertical="center" wrapText="1"/>
    </xf>
    <xf numFmtId="3" fontId="8" fillId="2" borderId="7" xfId="0" applyNumberFormat="1" applyFont="1" applyFill="1" applyBorder="1" applyAlignment="1">
      <alignment horizontal="center" vertical="center"/>
    </xf>
    <xf numFmtId="4" fontId="8" fillId="2" borderId="7" xfId="0" applyNumberFormat="1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/>
    </xf>
    <xf numFmtId="0" fontId="34" fillId="2" borderId="7" xfId="0" applyNumberFormat="1" applyFont="1" applyFill="1" applyBorder="1" applyAlignment="1">
      <alignment horizontal="center" vertical="center"/>
    </xf>
    <xf numFmtId="3" fontId="34" fillId="2" borderId="7" xfId="0" applyNumberFormat="1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left" vertical="center" wrapText="1"/>
    </xf>
    <xf numFmtId="4" fontId="9" fillId="2" borderId="7" xfId="0" applyNumberFormat="1" applyFont="1" applyFill="1" applyBorder="1" applyAlignment="1">
      <alignment horizontal="center" vertical="center"/>
    </xf>
    <xf numFmtId="3" fontId="9" fillId="2" borderId="7" xfId="0" applyNumberFormat="1" applyFont="1" applyFill="1" applyBorder="1" applyAlignment="1">
      <alignment horizontal="center" vertical="center"/>
    </xf>
    <xf numFmtId="4" fontId="9" fillId="2" borderId="7" xfId="0" applyNumberFormat="1" applyFont="1" applyFill="1" applyBorder="1" applyAlignment="1">
      <alignment horizontal="right" vertical="center"/>
    </xf>
    <xf numFmtId="0" fontId="9" fillId="2" borderId="7" xfId="0" applyNumberFormat="1" applyFont="1" applyFill="1" applyBorder="1" applyAlignment="1">
      <alignment horizontal="center" vertical="center"/>
    </xf>
    <xf numFmtId="0" fontId="9" fillId="2" borderId="7" xfId="0" applyFont="1" applyFill="1" applyBorder="1" applyAlignment="1">
      <alignment vertical="center" wrapText="1"/>
    </xf>
    <xf numFmtId="0" fontId="9" fillId="2" borderId="7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vertical="center"/>
    </xf>
    <xf numFmtId="172" fontId="9" fillId="2" borderId="7" xfId="0" applyNumberFormat="1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left" vertical="center" wrapText="1"/>
    </xf>
    <xf numFmtId="0" fontId="9" fillId="2" borderId="7" xfId="0" applyFont="1" applyFill="1" applyBorder="1" applyAlignment="1">
      <alignment horizontal="left" vertical="center"/>
    </xf>
    <xf numFmtId="2" fontId="20" fillId="2" borderId="7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 wrapText="1"/>
    </xf>
    <xf numFmtId="0" fontId="35" fillId="2" borderId="7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 vertical="center" wrapText="1"/>
    </xf>
    <xf numFmtId="0" fontId="14" fillId="2" borderId="7" xfId="0" applyFont="1" applyFill="1" applyBorder="1" applyAlignment="1">
      <alignment horizontal="center" vertical="center" textRotation="90" wrapText="1"/>
    </xf>
    <xf numFmtId="4" fontId="14" fillId="2" borderId="7" xfId="0" applyNumberFormat="1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4" fontId="14" fillId="2" borderId="7" xfId="0" applyNumberFormat="1" applyFont="1" applyFill="1" applyBorder="1" applyAlignment="1">
      <alignment horizontal="center" vertical="center" textRotation="90" wrapText="1"/>
    </xf>
    <xf numFmtId="0" fontId="4" fillId="2" borderId="7" xfId="0" applyFont="1" applyFill="1" applyBorder="1" applyAlignment="1">
      <alignment horizontal="center" vertical="center" wrapText="1"/>
    </xf>
    <xf numFmtId="0" fontId="35" fillId="2" borderId="7" xfId="0" applyFont="1" applyFill="1" applyBorder="1" applyAlignment="1">
      <alignment vertical="center" wrapText="1"/>
    </xf>
    <xf numFmtId="0" fontId="33" fillId="2" borderId="7" xfId="0" applyFont="1" applyFill="1" applyBorder="1" applyAlignment="1">
      <alignment horizontal="left" vertical="center" wrapText="1"/>
    </xf>
    <xf numFmtId="0" fontId="0" fillId="2" borderId="0" xfId="0" applyFill="1" applyAlignment="1"/>
    <xf numFmtId="0" fontId="0" fillId="2" borderId="0" xfId="0" applyFill="1" applyAlignment="1">
      <alignment wrapText="1"/>
    </xf>
    <xf numFmtId="4" fontId="44" fillId="2" borderId="1" xfId="0" applyNumberFormat="1" applyFont="1" applyFill="1" applyBorder="1" applyAlignment="1">
      <alignment horizontal="center" vertical="center" wrapText="1"/>
    </xf>
    <xf numFmtId="0" fontId="35" fillId="2" borderId="7" xfId="0" applyFont="1" applyFill="1" applyBorder="1" applyAlignment="1">
      <alignment horizontal="left" vertical="center" wrapText="1"/>
    </xf>
    <xf numFmtId="0" fontId="33" fillId="2" borderId="7" xfId="0" applyFont="1" applyFill="1" applyBorder="1" applyAlignment="1">
      <alignment horizontal="left" vertical="center" wrapText="1"/>
    </xf>
    <xf numFmtId="4" fontId="10" fillId="5" borderId="1" xfId="0" applyNumberFormat="1" applyFont="1" applyFill="1" applyBorder="1" applyAlignment="1">
      <alignment horizontal="center" vertical="center" wrapText="1"/>
    </xf>
    <xf numFmtId="0" fontId="0" fillId="5" borderId="0" xfId="0" applyFont="1" applyFill="1"/>
    <xf numFmtId="0" fontId="45" fillId="2" borderId="0" xfId="0" applyFont="1" applyFill="1" applyBorder="1" applyAlignment="1">
      <alignment horizontal="center" vertical="center" wrapText="1"/>
    </xf>
    <xf numFmtId="0" fontId="44" fillId="2" borderId="0" xfId="0" applyNumberFormat="1" applyFont="1" applyFill="1" applyBorder="1" applyAlignment="1">
      <alignment horizontal="center" vertical="center" wrapText="1"/>
    </xf>
    <xf numFmtId="0" fontId="44" fillId="2" borderId="0" xfId="0" applyNumberFormat="1" applyFont="1" applyFill="1" applyBorder="1" applyAlignment="1">
      <alignment horizontal="center" vertical="center"/>
    </xf>
    <xf numFmtId="4" fontId="28" fillId="2" borderId="0" xfId="0" applyNumberFormat="1" applyFont="1" applyFill="1" applyBorder="1" applyAlignment="1">
      <alignment horizontal="center" vertical="center"/>
    </xf>
    <xf numFmtId="0" fontId="22" fillId="2" borderId="0" xfId="0" applyNumberFormat="1" applyFont="1" applyFill="1"/>
    <xf numFmtId="0" fontId="33" fillId="2" borderId="7" xfId="0" applyFont="1" applyFill="1" applyBorder="1" applyAlignment="1">
      <alignment horizontal="left" vertical="center" wrapText="1"/>
    </xf>
    <xf numFmtId="0" fontId="46" fillId="2" borderId="7" xfId="0" applyFont="1" applyFill="1" applyBorder="1" applyAlignment="1">
      <alignment horizontal="center" vertical="center" wrapText="1"/>
    </xf>
    <xf numFmtId="0" fontId="46" fillId="2" borderId="7" xfId="0" applyNumberFormat="1" applyFont="1" applyFill="1" applyBorder="1" applyAlignment="1">
      <alignment horizontal="center" vertical="center"/>
    </xf>
    <xf numFmtId="4" fontId="47" fillId="2" borderId="7" xfId="0" applyNumberFormat="1" applyFont="1" applyFill="1" applyBorder="1" applyAlignment="1">
      <alignment horizontal="center" vertical="center"/>
    </xf>
    <xf numFmtId="4" fontId="26" fillId="2" borderId="7" xfId="0" applyNumberFormat="1" applyFont="1" applyFill="1" applyBorder="1" applyAlignment="1">
      <alignment horizontal="center" vertical="center" wrapText="1"/>
    </xf>
    <xf numFmtId="2" fontId="26" fillId="2" borderId="7" xfId="0" applyNumberFormat="1" applyFont="1" applyFill="1" applyBorder="1" applyAlignment="1">
      <alignment horizontal="center" vertical="center"/>
    </xf>
    <xf numFmtId="4" fontId="0" fillId="2" borderId="7" xfId="0" applyNumberFormat="1" applyFont="1" applyFill="1" applyBorder="1" applyAlignment="1">
      <alignment horizontal="center" vertical="center"/>
    </xf>
    <xf numFmtId="4" fontId="48" fillId="0" borderId="7" xfId="0" applyNumberFormat="1" applyFont="1" applyFill="1" applyBorder="1" applyAlignment="1">
      <alignment horizontal="center" vertical="center"/>
    </xf>
    <xf numFmtId="4" fontId="26" fillId="3" borderId="7" xfId="8" applyNumberFormat="1" applyFont="1" applyFill="1" applyBorder="1" applyAlignment="1">
      <alignment horizontal="center" vertical="center"/>
    </xf>
    <xf numFmtId="2" fontId="0" fillId="2" borderId="7" xfId="0" applyNumberFormat="1" applyFont="1" applyFill="1" applyBorder="1" applyAlignment="1">
      <alignment horizontal="center" vertical="center"/>
    </xf>
    <xf numFmtId="4" fontId="26" fillId="2" borderId="7" xfId="0" applyNumberFormat="1" applyFont="1" applyFill="1" applyBorder="1" applyAlignment="1">
      <alignment horizontal="center" vertical="center"/>
    </xf>
    <xf numFmtId="4" fontId="48" fillId="2" borderId="7" xfId="0" applyNumberFormat="1" applyFont="1" applyFill="1" applyBorder="1" applyAlignment="1">
      <alignment horizontal="center" vertical="center"/>
    </xf>
    <xf numFmtId="4" fontId="10" fillId="2" borderId="8" xfId="0" applyNumberFormat="1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4" fontId="10" fillId="5" borderId="8" xfId="0" applyNumberFormat="1" applyFont="1" applyFill="1" applyBorder="1" applyAlignment="1">
      <alignment horizontal="center" vertical="center" wrapText="1"/>
    </xf>
    <xf numFmtId="4" fontId="10" fillId="2" borderId="9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35" fillId="2" borderId="7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vertical="center"/>
    </xf>
    <xf numFmtId="0" fontId="33" fillId="2" borderId="7" xfId="0" applyFont="1" applyFill="1" applyBorder="1" applyAlignment="1">
      <alignment horizontal="left" vertical="center" wrapText="1"/>
    </xf>
    <xf numFmtId="0" fontId="14" fillId="2" borderId="7" xfId="0" applyFont="1" applyFill="1" applyBorder="1" applyAlignment="1">
      <alignment horizontal="center" vertical="center" textRotation="90" wrapText="1"/>
    </xf>
    <xf numFmtId="0" fontId="4" fillId="2" borderId="7" xfId="0" applyFont="1" applyFill="1" applyBorder="1" applyAlignment="1">
      <alignment horizontal="left" vertical="center"/>
    </xf>
    <xf numFmtId="0" fontId="35" fillId="6" borderId="7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left" vertical="center" wrapText="1"/>
    </xf>
    <xf numFmtId="0" fontId="35" fillId="6" borderId="7" xfId="0" applyFont="1" applyFill="1" applyBorder="1" applyAlignment="1">
      <alignment horizontal="center" vertical="center"/>
    </xf>
    <xf numFmtId="0" fontId="33" fillId="6" borderId="7" xfId="0" applyFont="1" applyFill="1" applyBorder="1" applyAlignment="1">
      <alignment horizontal="center" vertical="center" wrapText="1"/>
    </xf>
    <xf numFmtId="172" fontId="35" fillId="6" borderId="7" xfId="0" applyNumberFormat="1" applyFont="1" applyFill="1" applyBorder="1" applyAlignment="1">
      <alignment horizontal="center" vertical="center"/>
    </xf>
    <xf numFmtId="3" fontId="35" fillId="6" borderId="7" xfId="0" applyNumberFormat="1" applyFont="1" applyFill="1" applyBorder="1" applyAlignment="1">
      <alignment horizontal="center" vertical="center"/>
    </xf>
    <xf numFmtId="4" fontId="33" fillId="6" borderId="7" xfId="8" applyNumberFormat="1" applyFont="1" applyFill="1" applyBorder="1" applyAlignment="1">
      <alignment vertical="center"/>
    </xf>
    <xf numFmtId="4" fontId="35" fillId="6" borderId="7" xfId="0" applyNumberFormat="1" applyFont="1" applyFill="1" applyBorder="1" applyAlignment="1">
      <alignment horizontal="center" vertical="center"/>
    </xf>
    <xf numFmtId="14" fontId="35" fillId="6" borderId="7" xfId="0" applyNumberFormat="1" applyFont="1" applyFill="1" applyBorder="1" applyAlignment="1">
      <alignment horizontal="center" vertical="center"/>
    </xf>
    <xf numFmtId="4" fontId="33" fillId="2" borderId="7" xfId="8" applyNumberFormat="1" applyFont="1" applyFill="1" applyBorder="1" applyAlignment="1">
      <alignment horizontal="center" vertical="center"/>
    </xf>
    <xf numFmtId="0" fontId="35" fillId="7" borderId="7" xfId="0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left" vertical="center" wrapText="1"/>
    </xf>
    <xf numFmtId="0" fontId="35" fillId="7" borderId="7" xfId="0" applyFont="1" applyFill="1" applyBorder="1" applyAlignment="1">
      <alignment horizontal="center" vertical="center"/>
    </xf>
    <xf numFmtId="0" fontId="33" fillId="7" borderId="7" xfId="0" applyFont="1" applyFill="1" applyBorder="1" applyAlignment="1">
      <alignment horizontal="center" vertical="center" wrapText="1"/>
    </xf>
    <xf numFmtId="172" fontId="35" fillId="7" borderId="7" xfId="0" applyNumberFormat="1" applyFont="1" applyFill="1" applyBorder="1" applyAlignment="1">
      <alignment horizontal="center" vertical="center"/>
    </xf>
    <xf numFmtId="3" fontId="35" fillId="7" borderId="7" xfId="0" applyNumberFormat="1" applyFont="1" applyFill="1" applyBorder="1" applyAlignment="1">
      <alignment horizontal="center" vertical="center"/>
    </xf>
    <xf numFmtId="4" fontId="33" fillId="7" borderId="7" xfId="8" applyNumberFormat="1" applyFont="1" applyFill="1" applyBorder="1" applyAlignment="1">
      <alignment vertical="center"/>
    </xf>
    <xf numFmtId="4" fontId="35" fillId="7" borderId="7" xfId="0" applyNumberFormat="1" applyFont="1" applyFill="1" applyBorder="1" applyAlignment="1">
      <alignment horizontal="center" vertical="center"/>
    </xf>
    <xf numFmtId="14" fontId="35" fillId="7" borderId="7" xfId="0" applyNumberFormat="1" applyFont="1" applyFill="1" applyBorder="1" applyAlignment="1">
      <alignment horizontal="center" vertical="center"/>
    </xf>
    <xf numFmtId="0" fontId="35" fillId="8" borderId="7" xfId="0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left" vertical="center" wrapText="1"/>
    </xf>
    <xf numFmtId="0" fontId="35" fillId="8" borderId="7" xfId="0" applyFont="1" applyFill="1" applyBorder="1" applyAlignment="1">
      <alignment horizontal="center" vertical="center"/>
    </xf>
    <xf numFmtId="0" fontId="33" fillId="8" borderId="7" xfId="0" applyFont="1" applyFill="1" applyBorder="1" applyAlignment="1">
      <alignment horizontal="center" vertical="center" wrapText="1"/>
    </xf>
    <xf numFmtId="172" fontId="35" fillId="8" borderId="7" xfId="0" applyNumberFormat="1" applyFont="1" applyFill="1" applyBorder="1" applyAlignment="1">
      <alignment horizontal="center" vertical="center"/>
    </xf>
    <xf numFmtId="3" fontId="35" fillId="8" borderId="7" xfId="0" applyNumberFormat="1" applyFont="1" applyFill="1" applyBorder="1" applyAlignment="1">
      <alignment horizontal="center" vertical="center"/>
    </xf>
    <xf numFmtId="4" fontId="33" fillId="8" borderId="7" xfId="8" applyNumberFormat="1" applyFont="1" applyFill="1" applyBorder="1" applyAlignment="1">
      <alignment vertical="center"/>
    </xf>
    <xf numFmtId="4" fontId="35" fillId="8" borderId="7" xfId="0" applyNumberFormat="1" applyFont="1" applyFill="1" applyBorder="1" applyAlignment="1">
      <alignment horizontal="center" vertical="center"/>
    </xf>
    <xf numFmtId="14" fontId="35" fillId="8" borderId="7" xfId="0" applyNumberFormat="1" applyFont="1" applyFill="1" applyBorder="1" applyAlignment="1">
      <alignment horizontal="center" vertical="center"/>
    </xf>
    <xf numFmtId="0" fontId="35" fillId="7" borderId="7" xfId="0" applyFont="1" applyFill="1" applyBorder="1" applyAlignment="1">
      <alignment horizontal="left" vertical="center" wrapText="1"/>
    </xf>
    <xf numFmtId="0" fontId="35" fillId="6" borderId="7" xfId="0" applyFont="1" applyFill="1" applyBorder="1" applyAlignment="1">
      <alignment horizontal="left" vertical="center" wrapText="1"/>
    </xf>
    <xf numFmtId="0" fontId="35" fillId="8" borderId="7" xfId="0" applyFont="1" applyFill="1" applyBorder="1" applyAlignment="1">
      <alignment horizontal="left" vertical="center" wrapText="1"/>
    </xf>
    <xf numFmtId="0" fontId="4" fillId="7" borderId="7" xfId="0" applyFont="1" applyFill="1" applyBorder="1" applyAlignment="1">
      <alignment horizontal="left" vertical="center"/>
    </xf>
    <xf numFmtId="0" fontId="4" fillId="7" borderId="7" xfId="0" applyFont="1" applyFill="1" applyBorder="1" applyAlignment="1">
      <alignment horizontal="center" vertical="center"/>
    </xf>
    <xf numFmtId="172" fontId="4" fillId="7" borderId="7" xfId="0" applyNumberFormat="1" applyFont="1" applyFill="1" applyBorder="1" applyAlignment="1">
      <alignment horizontal="center" vertical="center"/>
    </xf>
    <xf numFmtId="0" fontId="4" fillId="7" borderId="7" xfId="0" applyNumberFormat="1" applyFont="1" applyFill="1" applyBorder="1" applyAlignment="1">
      <alignment horizontal="center" vertical="center"/>
    </xf>
    <xf numFmtId="3" fontId="4" fillId="7" borderId="7" xfId="0" applyNumberFormat="1" applyFont="1" applyFill="1" applyBorder="1" applyAlignment="1">
      <alignment horizontal="center" vertical="center"/>
    </xf>
    <xf numFmtId="4" fontId="4" fillId="7" borderId="7" xfId="0" applyNumberFormat="1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left" vertical="center"/>
    </xf>
    <xf numFmtId="0" fontId="4" fillId="6" borderId="7" xfId="0" applyFont="1" applyFill="1" applyBorder="1" applyAlignment="1">
      <alignment horizontal="center" vertical="center"/>
    </xf>
    <xf numFmtId="172" fontId="4" fillId="6" borderId="7" xfId="0" applyNumberFormat="1" applyFont="1" applyFill="1" applyBorder="1" applyAlignment="1">
      <alignment horizontal="center" vertical="center"/>
    </xf>
    <xf numFmtId="0" fontId="4" fillId="6" borderId="7" xfId="0" applyNumberFormat="1" applyFont="1" applyFill="1" applyBorder="1" applyAlignment="1">
      <alignment horizontal="center" vertical="center"/>
    </xf>
    <xf numFmtId="3" fontId="4" fillId="6" borderId="7" xfId="0" applyNumberFormat="1" applyFont="1" applyFill="1" applyBorder="1" applyAlignment="1">
      <alignment horizontal="center" vertical="center"/>
    </xf>
    <xf numFmtId="4" fontId="4" fillId="6" borderId="7" xfId="0" applyNumberFormat="1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left" vertical="center"/>
    </xf>
    <xf numFmtId="0" fontId="4" fillId="8" borderId="7" xfId="0" applyFont="1" applyFill="1" applyBorder="1" applyAlignment="1">
      <alignment horizontal="center" vertical="center"/>
    </xf>
    <xf numFmtId="172" fontId="4" fillId="8" borderId="7" xfId="0" applyNumberFormat="1" applyFont="1" applyFill="1" applyBorder="1" applyAlignment="1">
      <alignment horizontal="center" vertical="center"/>
    </xf>
    <xf numFmtId="0" fontId="4" fillId="8" borderId="7" xfId="0" applyNumberFormat="1" applyFont="1" applyFill="1" applyBorder="1" applyAlignment="1">
      <alignment horizontal="center" vertical="center"/>
    </xf>
    <xf numFmtId="3" fontId="4" fillId="8" borderId="7" xfId="0" applyNumberFormat="1" applyFont="1" applyFill="1" applyBorder="1" applyAlignment="1">
      <alignment horizontal="center" vertical="center"/>
    </xf>
    <xf numFmtId="4" fontId="4" fillId="8" borderId="7" xfId="0" applyNumberFormat="1" applyFont="1" applyFill="1" applyBorder="1" applyAlignment="1">
      <alignment horizontal="center" vertical="center"/>
    </xf>
    <xf numFmtId="0" fontId="36" fillId="8" borderId="7" xfId="10" applyFont="1" applyFill="1" applyBorder="1" applyAlignment="1">
      <alignment horizontal="center" vertical="center" wrapText="1"/>
    </xf>
    <xf numFmtId="167" fontId="35" fillId="8" borderId="7" xfId="0" applyNumberFormat="1" applyFont="1" applyFill="1" applyBorder="1" applyAlignment="1">
      <alignment horizontal="center" vertical="center"/>
    </xf>
    <xf numFmtId="0" fontId="36" fillId="7" borderId="7" xfId="10" applyFont="1" applyFill="1" applyBorder="1" applyAlignment="1">
      <alignment horizontal="center" vertical="center" wrapText="1"/>
    </xf>
    <xf numFmtId="167" fontId="35" fillId="7" borderId="7" xfId="0" applyNumberFormat="1" applyFont="1" applyFill="1" applyBorder="1" applyAlignment="1">
      <alignment horizontal="center" vertical="center"/>
    </xf>
    <xf numFmtId="0" fontId="36" fillId="6" borderId="7" xfId="10" applyFont="1" applyFill="1" applyBorder="1" applyAlignment="1">
      <alignment horizontal="center" vertical="center" wrapText="1"/>
    </xf>
    <xf numFmtId="167" fontId="35" fillId="6" borderId="7" xfId="0" applyNumberFormat="1" applyFont="1" applyFill="1" applyBorder="1" applyAlignment="1">
      <alignment horizontal="center" vertical="center"/>
    </xf>
    <xf numFmtId="0" fontId="4" fillId="6" borderId="7" xfId="0" applyFont="1" applyFill="1" applyBorder="1" applyAlignment="1">
      <alignment vertical="center"/>
    </xf>
    <xf numFmtId="0" fontId="4" fillId="7" borderId="7" xfId="0" applyFont="1" applyFill="1" applyBorder="1" applyAlignment="1">
      <alignment vertical="center"/>
    </xf>
    <xf numFmtId="0" fontId="4" fillId="8" borderId="7" xfId="0" applyFont="1" applyFill="1" applyBorder="1" applyAlignment="1">
      <alignment vertical="center"/>
    </xf>
    <xf numFmtId="172" fontId="4" fillId="2" borderId="7" xfId="0" applyNumberFormat="1" applyFont="1" applyFill="1" applyBorder="1" applyAlignment="1">
      <alignment horizontal="right" vertical="center"/>
    </xf>
    <xf numFmtId="0" fontId="4" fillId="8" borderId="7" xfId="0" applyFont="1" applyFill="1" applyBorder="1" applyAlignment="1">
      <alignment horizontal="center" vertical="center" wrapText="1"/>
    </xf>
    <xf numFmtId="172" fontId="4" fillId="8" borderId="7" xfId="0" applyNumberFormat="1" applyFont="1" applyFill="1" applyBorder="1" applyAlignment="1">
      <alignment horizontal="center" vertical="center" wrapText="1"/>
    </xf>
    <xf numFmtId="2" fontId="4" fillId="8" borderId="7" xfId="0" applyNumberFormat="1" applyFont="1" applyFill="1" applyBorder="1" applyAlignment="1">
      <alignment horizontal="center" vertical="center" wrapText="1"/>
    </xf>
    <xf numFmtId="3" fontId="4" fillId="8" borderId="7" xfId="0" applyNumberFormat="1" applyFont="1" applyFill="1" applyBorder="1" applyAlignment="1">
      <alignment horizontal="center" vertical="center" wrapText="1"/>
    </xf>
    <xf numFmtId="4" fontId="4" fillId="8" borderId="7" xfId="0" applyNumberFormat="1" applyFont="1" applyFill="1" applyBorder="1" applyAlignment="1">
      <alignment horizontal="center" vertical="center" wrapText="1"/>
    </xf>
    <xf numFmtId="2" fontId="4" fillId="8" borderId="7" xfId="0" applyNumberFormat="1" applyFont="1" applyFill="1" applyBorder="1" applyAlignment="1">
      <alignment horizontal="center" vertical="center"/>
    </xf>
    <xf numFmtId="0" fontId="4" fillId="7" borderId="7" xfId="0" applyFont="1" applyFill="1" applyBorder="1"/>
    <xf numFmtId="0" fontId="4" fillId="7" borderId="7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 vertical="center" wrapText="1"/>
    </xf>
    <xf numFmtId="165" fontId="4" fillId="7" borderId="7" xfId="0" applyNumberFormat="1" applyFont="1" applyFill="1" applyBorder="1"/>
    <xf numFmtId="2" fontId="4" fillId="7" borderId="7" xfId="0" applyNumberFormat="1" applyFont="1" applyFill="1" applyBorder="1" applyAlignment="1">
      <alignment horizontal="center" vertical="center" wrapText="1"/>
    </xf>
    <xf numFmtId="3" fontId="4" fillId="7" borderId="7" xfId="0" applyNumberFormat="1" applyFont="1" applyFill="1" applyBorder="1" applyAlignment="1">
      <alignment horizontal="center" vertical="center" wrapText="1"/>
    </xf>
    <xf numFmtId="4" fontId="4" fillId="7" borderId="7" xfId="0" applyNumberFormat="1" applyFont="1" applyFill="1" applyBorder="1" applyAlignment="1">
      <alignment horizontal="center" vertical="center" wrapText="1"/>
    </xf>
    <xf numFmtId="2" fontId="4" fillId="7" borderId="7" xfId="0" applyNumberFormat="1" applyFont="1" applyFill="1" applyBorder="1" applyAlignment="1">
      <alignment horizontal="center" vertical="center"/>
    </xf>
    <xf numFmtId="0" fontId="35" fillId="7" borderId="13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left" vertical="center"/>
    </xf>
    <xf numFmtId="0" fontId="4" fillId="7" borderId="13" xfId="0" applyFont="1" applyFill="1" applyBorder="1" applyAlignment="1">
      <alignment horizontal="center" vertical="center" wrapText="1"/>
    </xf>
    <xf numFmtId="0" fontId="33" fillId="7" borderId="13" xfId="0" applyFont="1" applyFill="1" applyBorder="1" applyAlignment="1">
      <alignment horizontal="center" vertical="center" wrapText="1"/>
    </xf>
    <xf numFmtId="172" fontId="4" fillId="7" borderId="13" xfId="0" applyNumberFormat="1" applyFont="1" applyFill="1" applyBorder="1" applyAlignment="1">
      <alignment horizontal="center" vertical="center" wrapText="1"/>
    </xf>
    <xf numFmtId="2" fontId="4" fillId="7" borderId="13" xfId="0" applyNumberFormat="1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172" fontId="4" fillId="6" borderId="7" xfId="0" applyNumberFormat="1" applyFont="1" applyFill="1" applyBorder="1" applyAlignment="1">
      <alignment horizontal="center" vertical="center" wrapText="1"/>
    </xf>
    <xf numFmtId="2" fontId="4" fillId="6" borderId="7" xfId="0" applyNumberFormat="1" applyFont="1" applyFill="1" applyBorder="1" applyAlignment="1">
      <alignment horizontal="center" vertical="center" wrapText="1"/>
    </xf>
    <xf numFmtId="3" fontId="4" fillId="6" borderId="7" xfId="0" applyNumberFormat="1" applyFont="1" applyFill="1" applyBorder="1" applyAlignment="1">
      <alignment horizontal="center" vertical="center" wrapText="1"/>
    </xf>
    <xf numFmtId="4" fontId="4" fillId="6" borderId="7" xfId="0" applyNumberFormat="1" applyFont="1" applyFill="1" applyBorder="1" applyAlignment="1">
      <alignment horizontal="center" vertical="center" wrapText="1"/>
    </xf>
    <xf numFmtId="2" fontId="4" fillId="6" borderId="7" xfId="0" applyNumberFormat="1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/>
    </xf>
    <xf numFmtId="0" fontId="8" fillId="2" borderId="7" xfId="0" applyNumberFormat="1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vertical="center" wrapText="1"/>
    </xf>
    <xf numFmtId="0" fontId="33" fillId="8" borderId="7" xfId="0" applyFont="1" applyFill="1" applyBorder="1" applyAlignment="1">
      <alignment horizontal="center" vertical="center"/>
    </xf>
    <xf numFmtId="4" fontId="33" fillId="8" borderId="7" xfId="0" applyNumberFormat="1" applyFont="1" applyFill="1" applyBorder="1" applyAlignment="1">
      <alignment horizontal="center" vertical="center"/>
    </xf>
    <xf numFmtId="168" fontId="33" fillId="8" borderId="7" xfId="0" applyNumberFormat="1" applyFont="1" applyFill="1" applyBorder="1" applyAlignment="1">
      <alignment horizontal="center" vertical="center"/>
    </xf>
    <xf numFmtId="3" fontId="33" fillId="8" borderId="7" xfId="0" applyNumberFormat="1" applyFont="1" applyFill="1" applyBorder="1" applyAlignment="1">
      <alignment horizontal="center" vertical="center" wrapText="1"/>
    </xf>
    <xf numFmtId="0" fontId="33" fillId="8" borderId="7" xfId="0" applyFont="1" applyFill="1" applyBorder="1" applyAlignment="1">
      <alignment vertical="center" wrapText="1"/>
    </xf>
    <xf numFmtId="0" fontId="4" fillId="6" borderId="7" xfId="0" applyFont="1" applyFill="1" applyBorder="1" applyAlignment="1">
      <alignment vertical="center" wrapText="1"/>
    </xf>
    <xf numFmtId="0" fontId="33" fillId="6" borderId="7" xfId="0" applyFont="1" applyFill="1" applyBorder="1" applyAlignment="1">
      <alignment horizontal="center" vertical="center"/>
    </xf>
    <xf numFmtId="4" fontId="33" fillId="6" borderId="7" xfId="0" applyNumberFormat="1" applyFont="1" applyFill="1" applyBorder="1" applyAlignment="1">
      <alignment horizontal="center" vertical="center"/>
    </xf>
    <xf numFmtId="168" fontId="33" fillId="6" borderId="7" xfId="0" applyNumberFormat="1" applyFont="1" applyFill="1" applyBorder="1" applyAlignment="1">
      <alignment horizontal="center" vertical="center"/>
    </xf>
    <xf numFmtId="3" fontId="33" fillId="6" borderId="7" xfId="0" applyNumberFormat="1" applyFont="1" applyFill="1" applyBorder="1" applyAlignment="1">
      <alignment horizontal="center" vertical="center" wrapText="1"/>
    </xf>
    <xf numFmtId="0" fontId="33" fillId="6" borderId="7" xfId="0" applyFont="1" applyFill="1" applyBorder="1" applyAlignment="1">
      <alignment vertical="center" wrapText="1"/>
    </xf>
    <xf numFmtId="0" fontId="35" fillId="2" borderId="14" xfId="0" applyFont="1" applyFill="1" applyBorder="1" applyAlignment="1">
      <alignment horizontal="center" vertical="center" wrapText="1"/>
    </xf>
    <xf numFmtId="4" fontId="4" fillId="2" borderId="14" xfId="0" applyNumberFormat="1" applyFont="1" applyFill="1" applyBorder="1" applyAlignment="1">
      <alignment horizontal="center" vertical="center"/>
    </xf>
    <xf numFmtId="0" fontId="33" fillId="6" borderId="7" xfId="0" applyFont="1" applyFill="1" applyBorder="1" applyAlignment="1">
      <alignment vertical="center"/>
    </xf>
    <xf numFmtId="0" fontId="33" fillId="6" borderId="7" xfId="0" applyFont="1" applyFill="1" applyBorder="1" applyAlignment="1"/>
    <xf numFmtId="0" fontId="18" fillId="6" borderId="7" xfId="0" applyFont="1" applyFill="1" applyBorder="1" applyAlignment="1">
      <alignment horizontal="center"/>
    </xf>
    <xf numFmtId="168" fontId="18" fillId="6" borderId="7" xfId="0" applyNumberFormat="1" applyFont="1" applyFill="1" applyBorder="1" applyAlignment="1">
      <alignment horizontal="center"/>
    </xf>
    <xf numFmtId="4" fontId="18" fillId="6" borderId="7" xfId="0" applyNumberFormat="1" applyFont="1" applyFill="1" applyBorder="1" applyAlignment="1">
      <alignment horizontal="center"/>
    </xf>
    <xf numFmtId="4" fontId="4" fillId="2" borderId="14" xfId="0" applyNumberFormat="1" applyFont="1" applyFill="1" applyBorder="1" applyAlignment="1">
      <alignment horizontal="right" vertical="center"/>
    </xf>
    <xf numFmtId="0" fontId="4" fillId="7" borderId="7" xfId="0" applyFont="1" applyFill="1" applyBorder="1" applyAlignment="1">
      <alignment vertical="center" wrapText="1"/>
    </xf>
    <xf numFmtId="0" fontId="33" fillId="7" borderId="7" xfId="0" applyFont="1" applyFill="1" applyBorder="1" applyAlignment="1">
      <alignment horizontal="center" vertical="center"/>
    </xf>
    <xf numFmtId="4" fontId="33" fillId="7" borderId="7" xfId="0" applyNumberFormat="1" applyFont="1" applyFill="1" applyBorder="1" applyAlignment="1">
      <alignment horizontal="center" vertical="center"/>
    </xf>
    <xf numFmtId="168" fontId="33" fillId="7" borderId="7" xfId="0" applyNumberFormat="1" applyFont="1" applyFill="1" applyBorder="1" applyAlignment="1">
      <alignment horizontal="center" vertical="center"/>
    </xf>
    <xf numFmtId="3" fontId="33" fillId="7" borderId="7" xfId="0" applyNumberFormat="1" applyFont="1" applyFill="1" applyBorder="1" applyAlignment="1">
      <alignment horizontal="center" vertical="center" wrapText="1"/>
    </xf>
    <xf numFmtId="0" fontId="33" fillId="7" borderId="7" xfId="0" applyFont="1" applyFill="1" applyBorder="1" applyAlignment="1">
      <alignment vertical="center" wrapText="1"/>
    </xf>
    <xf numFmtId="0" fontId="4" fillId="7" borderId="13" xfId="0" applyFont="1" applyFill="1" applyBorder="1" applyAlignment="1">
      <alignment vertical="center" wrapText="1"/>
    </xf>
    <xf numFmtId="0" fontId="33" fillId="7" borderId="13" xfId="0" applyFont="1" applyFill="1" applyBorder="1" applyAlignment="1">
      <alignment horizontal="center" vertical="center"/>
    </xf>
    <xf numFmtId="4" fontId="33" fillId="7" borderId="13" xfId="0" applyNumberFormat="1" applyFont="1" applyFill="1" applyBorder="1" applyAlignment="1">
      <alignment horizontal="center" vertical="center"/>
    </xf>
    <xf numFmtId="3" fontId="33" fillId="7" borderId="13" xfId="0" applyNumberFormat="1" applyFont="1" applyFill="1" applyBorder="1" applyAlignment="1">
      <alignment horizontal="center" vertical="center" wrapText="1"/>
    </xf>
    <xf numFmtId="4" fontId="33" fillId="7" borderId="13" xfId="8" applyNumberFormat="1" applyFont="1" applyFill="1" applyBorder="1" applyAlignment="1">
      <alignment vertical="center"/>
    </xf>
    <xf numFmtId="0" fontId="33" fillId="7" borderId="7" xfId="0" applyFont="1" applyFill="1" applyBorder="1" applyAlignment="1">
      <alignment vertical="center"/>
    </xf>
    <xf numFmtId="0" fontId="18" fillId="7" borderId="7" xfId="0" applyFont="1" applyFill="1" applyBorder="1" applyAlignment="1">
      <alignment horizontal="center" vertical="center"/>
    </xf>
    <xf numFmtId="168" fontId="18" fillId="7" borderId="7" xfId="0" applyNumberFormat="1" applyFont="1" applyFill="1" applyBorder="1" applyAlignment="1">
      <alignment horizontal="center" vertical="center"/>
    </xf>
    <xf numFmtId="0" fontId="18" fillId="6" borderId="7" xfId="0" applyFont="1" applyFill="1" applyBorder="1" applyAlignment="1">
      <alignment horizontal="center" vertical="center" wrapText="1"/>
    </xf>
    <xf numFmtId="0" fontId="18" fillId="6" borderId="7" xfId="0" applyFont="1" applyFill="1" applyBorder="1" applyAlignment="1">
      <alignment horizontal="left" vertical="center" wrapText="1"/>
    </xf>
    <xf numFmtId="4" fontId="18" fillId="6" borderId="7" xfId="0" applyNumberFormat="1" applyFont="1" applyFill="1" applyBorder="1" applyAlignment="1">
      <alignment horizontal="center" vertical="center" wrapText="1"/>
    </xf>
    <xf numFmtId="3" fontId="18" fillId="6" borderId="7" xfId="0" applyNumberFormat="1" applyFont="1" applyFill="1" applyBorder="1" applyAlignment="1">
      <alignment horizontal="center" vertical="center" wrapText="1"/>
    </xf>
    <xf numFmtId="4" fontId="26" fillId="6" borderId="7" xfId="0" applyNumberFormat="1" applyFont="1" applyFill="1" applyBorder="1" applyAlignment="1">
      <alignment horizontal="center" vertical="center" wrapText="1"/>
    </xf>
    <xf numFmtId="4" fontId="20" fillId="6" borderId="7" xfId="0" applyNumberFormat="1" applyFont="1" applyFill="1" applyBorder="1" applyAlignment="1">
      <alignment horizontal="center" vertical="center"/>
    </xf>
    <xf numFmtId="4" fontId="28" fillId="6" borderId="0" xfId="0" applyNumberFormat="1" applyFont="1" applyFill="1" applyBorder="1" applyAlignment="1">
      <alignment horizontal="center" vertical="center"/>
    </xf>
    <xf numFmtId="0" fontId="0" fillId="6" borderId="0" xfId="0" applyFont="1" applyFill="1" applyBorder="1"/>
    <xf numFmtId="0" fontId="17" fillId="6" borderId="7" xfId="0" applyFont="1" applyFill="1" applyBorder="1" applyAlignment="1">
      <alignment vertical="center" wrapText="1"/>
    </xf>
    <xf numFmtId="4" fontId="17" fillId="6" borderId="7" xfId="0" applyNumberFormat="1" applyFont="1" applyFill="1" applyBorder="1" applyAlignment="1">
      <alignment horizontal="center" vertical="center"/>
    </xf>
    <xf numFmtId="0" fontId="17" fillId="6" borderId="7" xfId="0" applyNumberFormat="1" applyFont="1" applyFill="1" applyBorder="1" applyAlignment="1">
      <alignment horizontal="center" vertical="center"/>
    </xf>
    <xf numFmtId="4" fontId="18" fillId="6" borderId="7" xfId="0" applyNumberFormat="1" applyFont="1" applyFill="1" applyBorder="1" applyAlignment="1">
      <alignment horizontal="center" vertical="center"/>
    </xf>
    <xf numFmtId="3" fontId="17" fillId="6" borderId="7" xfId="0" applyNumberFormat="1" applyFont="1" applyFill="1" applyBorder="1" applyAlignment="1">
      <alignment horizontal="center" vertical="center"/>
    </xf>
    <xf numFmtId="4" fontId="0" fillId="6" borderId="7" xfId="0" applyNumberFormat="1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textRotation="90" wrapText="1"/>
    </xf>
    <xf numFmtId="0" fontId="18" fillId="6" borderId="7" xfId="0" applyFont="1" applyFill="1" applyBorder="1" applyAlignment="1">
      <alignment vertical="center"/>
    </xf>
    <xf numFmtId="0" fontId="18" fillId="6" borderId="7" xfId="0" applyFont="1" applyFill="1" applyBorder="1" applyAlignment="1"/>
    <xf numFmtId="0" fontId="18" fillId="6" borderId="7" xfId="0" applyFont="1" applyFill="1" applyBorder="1" applyAlignment="1">
      <alignment vertical="center" wrapText="1"/>
    </xf>
    <xf numFmtId="0" fontId="8" fillId="6" borderId="7" xfId="0" applyFont="1" applyFill="1" applyBorder="1" applyAlignment="1">
      <alignment horizontal="center" vertical="center"/>
    </xf>
    <xf numFmtId="0" fontId="10" fillId="6" borderId="7" xfId="0" applyFont="1" applyFill="1" applyBorder="1" applyAlignment="1">
      <alignment horizontal="left" vertical="center" wrapText="1"/>
    </xf>
    <xf numFmtId="4" fontId="9" fillId="6" borderId="7" xfId="0" applyNumberFormat="1" applyFont="1" applyFill="1" applyBorder="1" applyAlignment="1">
      <alignment horizontal="center" vertical="center"/>
    </xf>
    <xf numFmtId="3" fontId="9" fillId="6" borderId="7" xfId="0" applyNumberFormat="1" applyFont="1" applyFill="1" applyBorder="1" applyAlignment="1">
      <alignment horizontal="center" vertical="center"/>
    </xf>
    <xf numFmtId="0" fontId="9" fillId="6" borderId="7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right" vertical="center"/>
    </xf>
    <xf numFmtId="0" fontId="9" fillId="6" borderId="7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vertical="center" wrapText="1"/>
    </xf>
    <xf numFmtId="0" fontId="17" fillId="6" borderId="7" xfId="0" applyFont="1" applyFill="1" applyBorder="1" applyAlignment="1">
      <alignment horizontal="left" vertical="center"/>
    </xf>
    <xf numFmtId="0" fontId="17" fillId="6" borderId="7" xfId="0" applyFont="1" applyFill="1" applyBorder="1"/>
    <xf numFmtId="0" fontId="17" fillId="6" borderId="7" xfId="0" applyFont="1" applyFill="1" applyBorder="1" applyAlignment="1">
      <alignment horizontal="center" vertical="center"/>
    </xf>
    <xf numFmtId="0" fontId="4" fillId="6" borderId="7" xfId="0" applyFont="1" applyFill="1" applyBorder="1"/>
    <xf numFmtId="0" fontId="4" fillId="6" borderId="7" xfId="0" applyFont="1" applyFill="1" applyBorder="1" applyAlignment="1">
      <alignment horizontal="center"/>
    </xf>
    <xf numFmtId="165" fontId="4" fillId="6" borderId="7" xfId="0" applyNumberFormat="1" applyFont="1" applyFill="1" applyBorder="1"/>
    <xf numFmtId="0" fontId="18" fillId="6" borderId="7" xfId="0" applyNumberFormat="1" applyFont="1" applyFill="1" applyBorder="1" applyAlignment="1">
      <alignment horizontal="center" vertical="center" wrapText="1"/>
    </xf>
    <xf numFmtId="0" fontId="17" fillId="6" borderId="7" xfId="0" applyFont="1" applyFill="1" applyBorder="1" applyAlignment="1">
      <alignment vertical="center"/>
    </xf>
    <xf numFmtId="0" fontId="17" fillId="6" borderId="7" xfId="0" applyFont="1" applyFill="1" applyBorder="1" applyAlignment="1">
      <alignment horizontal="left" vertical="center" wrapText="1"/>
    </xf>
    <xf numFmtId="0" fontId="0" fillId="6" borderId="0" xfId="0" applyFont="1" applyFill="1"/>
    <xf numFmtId="0" fontId="16" fillId="6" borderId="7" xfId="0" applyFont="1" applyFill="1" applyBorder="1" applyAlignment="1">
      <alignment horizontal="left" vertical="center" wrapText="1"/>
    </xf>
    <xf numFmtId="4" fontId="16" fillId="6" borderId="7" xfId="0" applyNumberFormat="1" applyFont="1" applyFill="1" applyBorder="1" applyAlignment="1">
      <alignment horizontal="center" vertical="center"/>
    </xf>
    <xf numFmtId="3" fontId="16" fillId="6" borderId="7" xfId="0" applyNumberFormat="1" applyFont="1" applyFill="1" applyBorder="1" applyAlignment="1">
      <alignment horizontal="center" vertical="center"/>
    </xf>
    <xf numFmtId="0" fontId="18" fillId="8" borderId="7" xfId="0" applyFont="1" applyFill="1" applyBorder="1" applyAlignment="1">
      <alignment horizontal="center" vertical="center" wrapText="1"/>
    </xf>
    <xf numFmtId="0" fontId="18" fillId="8" borderId="7" xfId="0" applyFont="1" applyFill="1" applyBorder="1" applyAlignment="1">
      <alignment vertical="center"/>
    </xf>
    <xf numFmtId="4" fontId="18" fillId="8" borderId="7" xfId="0" applyNumberFormat="1" applyFont="1" applyFill="1" applyBorder="1" applyAlignment="1">
      <alignment horizontal="center" vertical="center"/>
    </xf>
    <xf numFmtId="0" fontId="18" fillId="8" borderId="7" xfId="0" applyNumberFormat="1" applyFont="1" applyFill="1" applyBorder="1" applyAlignment="1">
      <alignment horizontal="center" vertical="center"/>
    </xf>
    <xf numFmtId="3" fontId="18" fillId="8" borderId="7" xfId="0" applyNumberFormat="1" applyFont="1" applyFill="1" applyBorder="1" applyAlignment="1">
      <alignment horizontal="center" vertical="center"/>
    </xf>
    <xf numFmtId="2" fontId="18" fillId="8" borderId="7" xfId="0" applyNumberFormat="1" applyFont="1" applyFill="1" applyBorder="1" applyAlignment="1">
      <alignment horizontal="center" vertical="center"/>
    </xf>
    <xf numFmtId="0" fontId="20" fillId="8" borderId="7" xfId="0" applyNumberFormat="1" applyFont="1" applyFill="1" applyBorder="1" applyAlignment="1">
      <alignment horizontal="center" vertical="center"/>
    </xf>
    <xf numFmtId="4" fontId="47" fillId="8" borderId="7" xfId="0" applyNumberFormat="1" applyFont="1" applyFill="1" applyBorder="1" applyAlignment="1">
      <alignment horizontal="center" vertical="center"/>
    </xf>
    <xf numFmtId="0" fontId="18" fillId="8" borderId="7" xfId="0" applyFont="1" applyFill="1" applyBorder="1" applyAlignment="1"/>
    <xf numFmtId="4" fontId="17" fillId="8" borderId="7" xfId="0" applyNumberFormat="1" applyFont="1" applyFill="1" applyBorder="1" applyAlignment="1">
      <alignment horizontal="center" vertical="center"/>
    </xf>
    <xf numFmtId="0" fontId="17" fillId="8" borderId="7" xfId="0" applyFont="1" applyFill="1" applyBorder="1" applyAlignment="1">
      <alignment vertical="center" wrapText="1"/>
    </xf>
    <xf numFmtId="0" fontId="18" fillId="8" borderId="7" xfId="0" applyFont="1" applyFill="1" applyBorder="1" applyAlignment="1">
      <alignment vertical="center" wrapText="1"/>
    </xf>
    <xf numFmtId="0" fontId="18" fillId="6" borderId="7" xfId="0" applyNumberFormat="1" applyFont="1" applyFill="1" applyBorder="1" applyAlignment="1">
      <alignment horizontal="center" vertical="center"/>
    </xf>
    <xf numFmtId="3" fontId="18" fillId="6" borderId="7" xfId="0" applyNumberFormat="1" applyFont="1" applyFill="1" applyBorder="1" applyAlignment="1">
      <alignment horizontal="center" vertical="center"/>
    </xf>
    <xf numFmtId="2" fontId="18" fillId="6" borderId="7" xfId="0" applyNumberFormat="1" applyFont="1" applyFill="1" applyBorder="1" applyAlignment="1">
      <alignment horizontal="center" vertical="center"/>
    </xf>
    <xf numFmtId="0" fontId="20" fillId="6" borderId="7" xfId="0" applyNumberFormat="1" applyFont="1" applyFill="1" applyBorder="1" applyAlignment="1">
      <alignment horizontal="center" vertical="center"/>
    </xf>
    <xf numFmtId="4" fontId="47" fillId="6" borderId="7" xfId="0" applyNumberFormat="1" applyFont="1" applyFill="1" applyBorder="1" applyAlignment="1">
      <alignment horizontal="center" vertical="center"/>
    </xf>
    <xf numFmtId="0" fontId="18" fillId="7" borderId="7" xfId="0" applyFont="1" applyFill="1" applyBorder="1" applyAlignment="1">
      <alignment horizontal="center" vertical="center" wrapText="1"/>
    </xf>
    <xf numFmtId="0" fontId="18" fillId="7" borderId="7" xfId="0" applyFont="1" applyFill="1" applyBorder="1" applyAlignment="1">
      <alignment horizontal="left" vertical="center" wrapText="1"/>
    </xf>
    <xf numFmtId="4" fontId="18" fillId="7" borderId="7" xfId="0" applyNumberFormat="1" applyFont="1" applyFill="1" applyBorder="1" applyAlignment="1">
      <alignment horizontal="center" vertical="center" wrapText="1"/>
    </xf>
    <xf numFmtId="3" fontId="18" fillId="7" borderId="7" xfId="0" applyNumberFormat="1" applyFont="1" applyFill="1" applyBorder="1" applyAlignment="1">
      <alignment horizontal="center" vertical="center" wrapText="1"/>
    </xf>
    <xf numFmtId="4" fontId="26" fillId="7" borderId="7" xfId="0" applyNumberFormat="1" applyFont="1" applyFill="1" applyBorder="1" applyAlignment="1">
      <alignment horizontal="center" vertical="center" wrapText="1"/>
    </xf>
    <xf numFmtId="4" fontId="18" fillId="7" borderId="7" xfId="0" applyNumberFormat="1" applyFont="1" applyFill="1" applyBorder="1" applyAlignment="1">
      <alignment horizontal="center" vertical="center"/>
    </xf>
    <xf numFmtId="0" fontId="18" fillId="7" borderId="7" xfId="0" applyNumberFormat="1" applyFont="1" applyFill="1" applyBorder="1" applyAlignment="1">
      <alignment horizontal="center" vertical="center"/>
    </xf>
    <xf numFmtId="3" fontId="18" fillId="7" borderId="7" xfId="0" applyNumberFormat="1" applyFont="1" applyFill="1" applyBorder="1" applyAlignment="1">
      <alignment horizontal="center" vertical="center"/>
    </xf>
    <xf numFmtId="2" fontId="18" fillId="7" borderId="7" xfId="0" applyNumberFormat="1" applyFont="1" applyFill="1" applyBorder="1" applyAlignment="1">
      <alignment horizontal="center" vertical="center"/>
    </xf>
    <xf numFmtId="0" fontId="20" fillId="7" borderId="7" xfId="0" applyNumberFormat="1" applyFont="1" applyFill="1" applyBorder="1" applyAlignment="1">
      <alignment horizontal="center" vertical="center"/>
    </xf>
    <xf numFmtId="4" fontId="47" fillId="7" borderId="7" xfId="0" applyNumberFormat="1" applyFont="1" applyFill="1" applyBorder="1" applyAlignment="1">
      <alignment horizontal="center" vertical="center"/>
    </xf>
    <xf numFmtId="4" fontId="17" fillId="7" borderId="7" xfId="0" applyNumberFormat="1" applyFont="1" applyFill="1" applyBorder="1" applyAlignment="1">
      <alignment horizontal="center" vertical="center"/>
    </xf>
    <xf numFmtId="0" fontId="17" fillId="7" borderId="7" xfId="0" applyFont="1" applyFill="1" applyBorder="1" applyAlignment="1">
      <alignment vertical="center" wrapText="1"/>
    </xf>
    <xf numFmtId="0" fontId="18" fillId="7" borderId="7" xfId="0" applyNumberFormat="1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vertical="center"/>
    </xf>
    <xf numFmtId="0" fontId="17" fillId="7" borderId="7" xfId="0" applyNumberFormat="1" applyFont="1" applyFill="1" applyBorder="1" applyAlignment="1">
      <alignment horizontal="center" vertical="center"/>
    </xf>
    <xf numFmtId="3" fontId="17" fillId="7" borderId="7" xfId="0" applyNumberFormat="1" applyFont="1" applyFill="1" applyBorder="1" applyAlignment="1">
      <alignment horizontal="center" vertical="center"/>
    </xf>
    <xf numFmtId="4" fontId="0" fillId="7" borderId="7" xfId="0" applyNumberFormat="1" applyFont="1" applyFill="1" applyBorder="1" applyAlignment="1">
      <alignment horizontal="center" vertical="center"/>
    </xf>
    <xf numFmtId="0" fontId="17" fillId="7" borderId="7" xfId="0" applyFont="1" applyFill="1" applyBorder="1" applyAlignment="1">
      <alignment horizontal="left" vertical="center" wrapText="1"/>
    </xf>
    <xf numFmtId="0" fontId="16" fillId="7" borderId="7" xfId="0" applyFont="1" applyFill="1" applyBorder="1" applyAlignment="1">
      <alignment horizontal="left" vertical="center" wrapText="1"/>
    </xf>
    <xf numFmtId="4" fontId="16" fillId="7" borderId="7" xfId="0" applyNumberFormat="1" applyFont="1" applyFill="1" applyBorder="1" applyAlignment="1">
      <alignment horizontal="center" vertical="center"/>
    </xf>
    <xf numFmtId="3" fontId="16" fillId="7" borderId="7" xfId="0" applyNumberFormat="1" applyFont="1" applyFill="1" applyBorder="1" applyAlignment="1">
      <alignment horizontal="center" vertical="center"/>
    </xf>
    <xf numFmtId="0" fontId="17" fillId="7" borderId="7" xfId="0" applyFont="1" applyFill="1" applyBorder="1"/>
    <xf numFmtId="4" fontId="20" fillId="7" borderId="7" xfId="0" applyNumberFormat="1" applyFont="1" applyFill="1" applyBorder="1" applyAlignment="1">
      <alignment horizontal="center" vertical="center"/>
    </xf>
    <xf numFmtId="0" fontId="18" fillId="8" borderId="7" xfId="0" applyFont="1" applyFill="1" applyBorder="1" applyAlignment="1">
      <alignment horizontal="left" vertical="center" wrapText="1"/>
    </xf>
    <xf numFmtId="4" fontId="18" fillId="8" borderId="7" xfId="0" applyNumberFormat="1" applyFont="1" applyFill="1" applyBorder="1" applyAlignment="1">
      <alignment horizontal="center" vertical="center" wrapText="1"/>
    </xf>
    <xf numFmtId="3" fontId="18" fillId="8" borderId="7" xfId="0" applyNumberFormat="1" applyFont="1" applyFill="1" applyBorder="1" applyAlignment="1">
      <alignment horizontal="center" vertical="center" wrapText="1"/>
    </xf>
    <xf numFmtId="4" fontId="26" fillId="8" borderId="7" xfId="0" applyNumberFormat="1" applyFont="1" applyFill="1" applyBorder="1" applyAlignment="1">
      <alignment horizontal="center" vertical="center" wrapText="1"/>
    </xf>
    <xf numFmtId="0" fontId="17" fillId="8" borderId="7" xfId="0" applyNumberFormat="1" applyFont="1" applyFill="1" applyBorder="1" applyAlignment="1">
      <alignment horizontal="center" vertical="center"/>
    </xf>
    <xf numFmtId="3" fontId="17" fillId="8" borderId="7" xfId="0" applyNumberFormat="1" applyFont="1" applyFill="1" applyBorder="1" applyAlignment="1">
      <alignment horizontal="center" vertical="center"/>
    </xf>
    <xf numFmtId="4" fontId="0" fillId="8" borderId="7" xfId="0" applyNumberFormat="1" applyFont="1" applyFill="1" applyBorder="1" applyAlignment="1">
      <alignment horizontal="center" vertical="center"/>
    </xf>
    <xf numFmtId="4" fontId="20" fillId="8" borderId="7" xfId="0" applyNumberFormat="1" applyFont="1" applyFill="1" applyBorder="1" applyAlignment="1">
      <alignment horizontal="center" vertical="center"/>
    </xf>
    <xf numFmtId="0" fontId="17" fillId="8" borderId="7" xfId="0" applyFont="1" applyFill="1" applyBorder="1" applyAlignment="1">
      <alignment horizontal="left" vertical="center"/>
    </xf>
    <xf numFmtId="0" fontId="16" fillId="8" borderId="7" xfId="0" applyFont="1" applyFill="1" applyBorder="1" applyAlignment="1">
      <alignment horizontal="left" vertical="center" wrapText="1"/>
    </xf>
    <xf numFmtId="4" fontId="16" fillId="8" borderId="7" xfId="0" applyNumberFormat="1" applyFont="1" applyFill="1" applyBorder="1" applyAlignment="1">
      <alignment horizontal="center" vertical="center"/>
    </xf>
    <xf numFmtId="3" fontId="16" fillId="8" borderId="7" xfId="0" applyNumberFormat="1" applyFont="1" applyFill="1" applyBorder="1" applyAlignment="1">
      <alignment horizontal="center" vertical="center"/>
    </xf>
    <xf numFmtId="0" fontId="17" fillId="8" borderId="7" xfId="0" applyFont="1" applyFill="1" applyBorder="1" applyAlignment="1">
      <alignment horizontal="left" vertical="center" wrapText="1"/>
    </xf>
    <xf numFmtId="0" fontId="17" fillId="8" borderId="7" xfId="0" applyFont="1" applyFill="1" applyBorder="1" applyAlignment="1">
      <alignment vertical="center"/>
    </xf>
    <xf numFmtId="0" fontId="18" fillId="8" borderId="7" xfId="0" applyNumberFormat="1" applyFont="1" applyFill="1" applyBorder="1" applyAlignment="1">
      <alignment horizontal="center" vertical="center" wrapText="1"/>
    </xf>
    <xf numFmtId="4" fontId="49" fillId="2" borderId="0" xfId="0" applyNumberFormat="1" applyFont="1" applyFill="1" applyBorder="1" applyAlignment="1">
      <alignment horizontal="center" vertical="center"/>
    </xf>
    <xf numFmtId="0" fontId="8" fillId="7" borderId="7" xfId="0" applyFont="1" applyFill="1" applyBorder="1" applyAlignment="1">
      <alignment horizontal="center" vertical="center"/>
    </xf>
    <xf numFmtId="0" fontId="10" fillId="7" borderId="7" xfId="0" applyFont="1" applyFill="1" applyBorder="1" applyAlignment="1">
      <alignment horizontal="left" vertical="center" wrapText="1"/>
    </xf>
    <xf numFmtId="4" fontId="9" fillId="7" borderId="7" xfId="0" applyNumberFormat="1" applyFont="1" applyFill="1" applyBorder="1" applyAlignment="1">
      <alignment horizontal="center" vertical="center"/>
    </xf>
    <xf numFmtId="3" fontId="9" fillId="7" borderId="7" xfId="0" applyNumberFormat="1" applyFont="1" applyFill="1" applyBorder="1" applyAlignment="1">
      <alignment horizontal="center" vertical="center"/>
    </xf>
    <xf numFmtId="0" fontId="9" fillId="7" borderId="7" xfId="0" applyNumberFormat="1" applyFont="1" applyFill="1" applyBorder="1" applyAlignment="1">
      <alignment horizontal="center" vertical="center"/>
    </xf>
    <xf numFmtId="4" fontId="9" fillId="7" borderId="7" xfId="0" applyNumberFormat="1" applyFont="1" applyFill="1" applyBorder="1" applyAlignment="1">
      <alignment horizontal="right" vertical="center"/>
    </xf>
    <xf numFmtId="0" fontId="9" fillId="8" borderId="7" xfId="0" applyNumberFormat="1" applyFont="1" applyFill="1" applyBorder="1" applyAlignment="1">
      <alignment horizontal="center" vertical="center"/>
    </xf>
    <xf numFmtId="0" fontId="9" fillId="7" borderId="7" xfId="0" applyFont="1" applyFill="1" applyBorder="1" applyAlignment="1">
      <alignment vertical="center" wrapText="1"/>
    </xf>
    <xf numFmtId="0" fontId="9" fillId="7" borderId="7" xfId="0" applyFont="1" applyFill="1" applyBorder="1" applyAlignment="1">
      <alignment horizontal="center" vertical="center"/>
    </xf>
    <xf numFmtId="0" fontId="17" fillId="7" borderId="7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/>
    </xf>
    <xf numFmtId="0" fontId="10" fillId="8" borderId="7" xfId="0" applyFont="1" applyFill="1" applyBorder="1" applyAlignment="1">
      <alignment horizontal="left" vertical="center" wrapText="1"/>
    </xf>
    <xf numFmtId="4" fontId="9" fillId="8" borderId="7" xfId="0" applyNumberFormat="1" applyFont="1" applyFill="1" applyBorder="1" applyAlignment="1">
      <alignment horizontal="center" vertical="center"/>
    </xf>
    <xf numFmtId="3" fontId="9" fillId="8" borderId="7" xfId="0" applyNumberFormat="1" applyFont="1" applyFill="1" applyBorder="1" applyAlignment="1">
      <alignment horizontal="center" vertical="center"/>
    </xf>
    <xf numFmtId="4" fontId="9" fillId="8" borderId="7" xfId="0" applyNumberFormat="1" applyFont="1" applyFill="1" applyBorder="1" applyAlignment="1">
      <alignment horizontal="right" vertical="center"/>
    </xf>
    <xf numFmtId="0" fontId="17" fillId="8" borderId="7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vertical="center" wrapText="1"/>
    </xf>
    <xf numFmtId="0" fontId="9" fillId="8" borderId="7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vertical="center"/>
    </xf>
    <xf numFmtId="0" fontId="9" fillId="7" borderId="7" xfId="0" applyFont="1" applyFill="1" applyBorder="1" applyAlignment="1">
      <alignment vertical="center"/>
    </xf>
    <xf numFmtId="0" fontId="9" fillId="8" borderId="7" xfId="0" applyFont="1" applyFill="1" applyBorder="1" applyAlignment="1">
      <alignment vertical="center"/>
    </xf>
    <xf numFmtId="0" fontId="17" fillId="7" borderId="13" xfId="0" applyFont="1" applyFill="1" applyBorder="1" applyAlignment="1">
      <alignment horizontal="left" vertical="center"/>
    </xf>
    <xf numFmtId="0" fontId="33" fillId="6" borderId="7" xfId="0" applyFont="1" applyFill="1" applyBorder="1" applyAlignment="1">
      <alignment horizontal="justify" vertical="center" wrapText="1"/>
    </xf>
    <xf numFmtId="172" fontId="33" fillId="6" borderId="7" xfId="0" applyNumberFormat="1" applyFont="1" applyFill="1" applyBorder="1" applyAlignment="1">
      <alignment horizontal="center" vertical="center"/>
    </xf>
    <xf numFmtId="3" fontId="33" fillId="6" borderId="7" xfId="0" applyNumberFormat="1" applyFont="1" applyFill="1" applyBorder="1" applyAlignment="1">
      <alignment horizontal="center" vertical="center"/>
    </xf>
    <xf numFmtId="4" fontId="28" fillId="8" borderId="0" xfId="0" applyNumberFormat="1" applyFont="1" applyFill="1" applyBorder="1" applyAlignment="1">
      <alignment horizontal="center" vertical="center"/>
    </xf>
    <xf numFmtId="49" fontId="35" fillId="6" borderId="7" xfId="0" applyNumberFormat="1" applyFont="1" applyFill="1" applyBorder="1" applyAlignment="1">
      <alignment horizontal="center" vertical="center"/>
    </xf>
    <xf numFmtId="49" fontId="35" fillId="7" borderId="7" xfId="0" applyNumberFormat="1" applyFont="1" applyFill="1" applyBorder="1" applyAlignment="1">
      <alignment horizontal="center" vertical="center"/>
    </xf>
    <xf numFmtId="49" fontId="35" fillId="8" borderId="7" xfId="0" applyNumberFormat="1" applyFont="1" applyFill="1" applyBorder="1" applyAlignment="1">
      <alignment horizontal="center" vertical="center"/>
    </xf>
    <xf numFmtId="4" fontId="17" fillId="6" borderId="7" xfId="0" applyNumberFormat="1" applyFont="1" applyFill="1" applyBorder="1" applyAlignment="1">
      <alignment horizontal="center" vertical="center" wrapText="1"/>
    </xf>
    <xf numFmtId="4" fontId="17" fillId="7" borderId="7" xfId="0" applyNumberFormat="1" applyFont="1" applyFill="1" applyBorder="1" applyAlignment="1">
      <alignment horizontal="center" vertical="center" wrapText="1"/>
    </xf>
    <xf numFmtId="4" fontId="17" fillId="8" borderId="7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vertical="center"/>
    </xf>
    <xf numFmtId="2" fontId="18" fillId="7" borderId="7" xfId="0" applyNumberFormat="1" applyFont="1" applyFill="1" applyBorder="1" applyAlignment="1">
      <alignment horizontal="center" vertical="center" wrapText="1"/>
    </xf>
    <xf numFmtId="2" fontId="26" fillId="7" borderId="7" xfId="0" applyNumberFormat="1" applyFont="1" applyFill="1" applyBorder="1" applyAlignment="1">
      <alignment horizontal="center" vertical="center" wrapText="1"/>
    </xf>
    <xf numFmtId="2" fontId="18" fillId="8" borderId="7" xfId="0" applyNumberFormat="1" applyFont="1" applyFill="1" applyBorder="1" applyAlignment="1">
      <alignment horizontal="center" vertical="center" wrapText="1"/>
    </xf>
    <xf numFmtId="2" fontId="26" fillId="8" borderId="7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vertical="center"/>
    </xf>
    <xf numFmtId="4" fontId="4" fillId="2" borderId="7" xfId="0" applyNumberFormat="1" applyFont="1" applyFill="1" applyBorder="1" applyAlignment="1">
      <alignment horizontal="right" vertical="center"/>
    </xf>
    <xf numFmtId="172" fontId="35" fillId="2" borderId="7" xfId="0" applyNumberFormat="1" applyFont="1" applyFill="1" applyBorder="1" applyAlignment="1">
      <alignment horizontal="right" vertical="center"/>
    </xf>
    <xf numFmtId="0" fontId="4" fillId="2" borderId="7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 vertical="center" wrapText="1"/>
    </xf>
    <xf numFmtId="0" fontId="33" fillId="5" borderId="7" xfId="0" applyFont="1" applyFill="1" applyBorder="1" applyAlignment="1">
      <alignment horizontal="center" vertical="center" wrapText="1"/>
    </xf>
    <xf numFmtId="2" fontId="35" fillId="0" borderId="7" xfId="0" applyNumberFormat="1" applyFont="1" applyFill="1" applyBorder="1" applyAlignment="1">
      <alignment horizontal="right" vertical="center"/>
    </xf>
    <xf numFmtId="3" fontId="20" fillId="8" borderId="7" xfId="0" applyNumberFormat="1" applyFont="1" applyFill="1" applyBorder="1" applyAlignment="1">
      <alignment horizontal="center" vertical="center"/>
    </xf>
    <xf numFmtId="3" fontId="20" fillId="7" borderId="7" xfId="0" applyNumberFormat="1" applyFont="1" applyFill="1" applyBorder="1" applyAlignment="1">
      <alignment horizontal="center" vertical="center"/>
    </xf>
    <xf numFmtId="3" fontId="20" fillId="6" borderId="7" xfId="0" applyNumberFormat="1" applyFont="1" applyFill="1" applyBorder="1" applyAlignment="1">
      <alignment horizontal="center" vertical="center"/>
    </xf>
    <xf numFmtId="172" fontId="33" fillId="8" borderId="7" xfId="0" applyNumberFormat="1" applyFont="1" applyFill="1" applyBorder="1" applyAlignment="1">
      <alignment horizontal="center" vertical="center"/>
    </xf>
    <xf numFmtId="4" fontId="33" fillId="8" borderId="7" xfId="0" applyNumberFormat="1" applyFont="1" applyFill="1" applyBorder="1" applyAlignment="1">
      <alignment horizontal="right" vertical="center"/>
    </xf>
    <xf numFmtId="0" fontId="36" fillId="8" borderId="7" xfId="0" applyFont="1" applyFill="1" applyBorder="1" applyAlignment="1">
      <alignment horizontal="left" vertical="center" wrapText="1"/>
    </xf>
    <xf numFmtId="0" fontId="35" fillId="8" borderId="7" xfId="0" applyNumberFormat="1" applyFont="1" applyFill="1" applyBorder="1" applyAlignment="1">
      <alignment horizontal="center" vertical="center"/>
    </xf>
    <xf numFmtId="4" fontId="33" fillId="8" borderId="7" xfId="0" applyNumberFormat="1" applyFont="1" applyFill="1" applyBorder="1" applyAlignment="1">
      <alignment horizontal="center" vertical="center" wrapText="1"/>
    </xf>
    <xf numFmtId="4" fontId="35" fillId="8" borderId="7" xfId="9" applyNumberFormat="1" applyFont="1" applyFill="1" applyBorder="1" applyAlignment="1">
      <alignment horizontal="center" vertical="center"/>
    </xf>
    <xf numFmtId="3" fontId="35" fillId="8" borderId="7" xfId="0" applyNumberFormat="1" applyFont="1" applyFill="1" applyBorder="1" applyAlignment="1">
      <alignment horizontal="center" vertical="center" wrapText="1"/>
    </xf>
    <xf numFmtId="4" fontId="33" fillId="6" borderId="7" xfId="0" applyNumberFormat="1" applyFont="1" applyFill="1" applyBorder="1" applyAlignment="1">
      <alignment horizontal="right" vertical="center"/>
    </xf>
    <xf numFmtId="0" fontId="36" fillId="6" borderId="7" xfId="0" applyFont="1" applyFill="1" applyBorder="1" applyAlignment="1">
      <alignment horizontal="left" vertical="center" wrapText="1"/>
    </xf>
    <xf numFmtId="0" fontId="35" fillId="6" borderId="7" xfId="0" applyNumberFormat="1" applyFont="1" applyFill="1" applyBorder="1" applyAlignment="1">
      <alignment horizontal="center" vertical="center"/>
    </xf>
    <xf numFmtId="4" fontId="33" fillId="6" borderId="7" xfId="0" applyNumberFormat="1" applyFont="1" applyFill="1" applyBorder="1" applyAlignment="1">
      <alignment horizontal="center" vertical="center" wrapText="1"/>
    </xf>
    <xf numFmtId="4" fontId="35" fillId="6" borderId="7" xfId="9" applyNumberFormat="1" applyFont="1" applyFill="1" applyBorder="1" applyAlignment="1">
      <alignment horizontal="center" vertical="center"/>
    </xf>
    <xf numFmtId="3" fontId="35" fillId="6" borderId="7" xfId="0" applyNumberFormat="1" applyFont="1" applyFill="1" applyBorder="1" applyAlignment="1">
      <alignment horizontal="center" vertical="center" wrapText="1"/>
    </xf>
    <xf numFmtId="172" fontId="33" fillId="7" borderId="7" xfId="0" applyNumberFormat="1" applyFont="1" applyFill="1" applyBorder="1" applyAlignment="1">
      <alignment horizontal="center" vertical="center"/>
    </xf>
    <xf numFmtId="4" fontId="33" fillId="7" borderId="7" xfId="0" applyNumberFormat="1" applyFont="1" applyFill="1" applyBorder="1" applyAlignment="1">
      <alignment horizontal="center" vertical="center" wrapText="1"/>
    </xf>
    <xf numFmtId="4" fontId="35" fillId="7" borderId="7" xfId="9" applyNumberFormat="1" applyFont="1" applyFill="1" applyBorder="1" applyAlignment="1">
      <alignment horizontal="center" vertical="center"/>
    </xf>
    <xf numFmtId="3" fontId="35" fillId="7" borderId="7" xfId="0" applyNumberFormat="1" applyFont="1" applyFill="1" applyBorder="1" applyAlignment="1">
      <alignment horizontal="center" vertical="center" wrapText="1"/>
    </xf>
    <xf numFmtId="0" fontId="36" fillId="7" borderId="7" xfId="0" applyFont="1" applyFill="1" applyBorder="1" applyAlignment="1">
      <alignment horizontal="left" vertical="center" wrapText="1"/>
    </xf>
    <xf numFmtId="0" fontId="35" fillId="7" borderId="7" xfId="0" applyNumberFormat="1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left" vertical="center" wrapText="1"/>
    </xf>
    <xf numFmtId="0" fontId="9" fillId="7" borderId="7" xfId="0" applyFont="1" applyFill="1" applyBorder="1" applyAlignment="1">
      <alignment horizontal="left" vertical="center" wrapText="1"/>
    </xf>
    <xf numFmtId="0" fontId="9" fillId="8" borderId="7" xfId="0" applyFont="1" applyFill="1" applyBorder="1" applyAlignment="1">
      <alignment horizontal="left" vertical="center" wrapText="1"/>
    </xf>
    <xf numFmtId="3" fontId="33" fillId="7" borderId="7" xfId="0" applyNumberFormat="1" applyFont="1" applyFill="1" applyBorder="1" applyAlignment="1">
      <alignment horizontal="center" vertical="center"/>
    </xf>
    <xf numFmtId="3" fontId="33" fillId="8" borderId="7" xfId="0" applyNumberFormat="1" applyFont="1" applyFill="1" applyBorder="1" applyAlignment="1">
      <alignment horizontal="center" vertical="center"/>
    </xf>
    <xf numFmtId="0" fontId="10" fillId="6" borderId="7" xfId="0" applyFont="1" applyFill="1" applyBorder="1" applyAlignment="1">
      <alignment horizontal="center" vertical="center"/>
    </xf>
    <xf numFmtId="0" fontId="10" fillId="6" borderId="7" xfId="0" applyFont="1" applyFill="1" applyBorder="1" applyAlignment="1">
      <alignment vertical="center" wrapText="1"/>
    </xf>
    <xf numFmtId="4" fontId="10" fillId="6" borderId="7" xfId="0" applyNumberFormat="1" applyFont="1" applyFill="1" applyBorder="1" applyAlignment="1">
      <alignment horizontal="center" vertical="center"/>
    </xf>
    <xf numFmtId="3" fontId="10" fillId="6" borderId="7" xfId="0" applyNumberFormat="1" applyFont="1" applyFill="1" applyBorder="1" applyAlignment="1">
      <alignment horizontal="center" vertical="center"/>
    </xf>
    <xf numFmtId="0" fontId="10" fillId="6" borderId="7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right" vertical="center"/>
    </xf>
    <xf numFmtId="4" fontId="33" fillId="2" borderId="7" xfId="0" applyNumberFormat="1" applyFont="1" applyFill="1" applyBorder="1" applyAlignment="1">
      <alignment horizontal="right" vertical="center"/>
    </xf>
    <xf numFmtId="0" fontId="4" fillId="7" borderId="7" xfId="0" applyFont="1" applyFill="1" applyBorder="1" applyAlignment="1">
      <alignment vertical="center"/>
    </xf>
    <xf numFmtId="0" fontId="4" fillId="6" borderId="7" xfId="0" applyFont="1" applyFill="1" applyBorder="1" applyAlignment="1">
      <alignment vertical="center"/>
    </xf>
    <xf numFmtId="0" fontId="35" fillId="6" borderId="7" xfId="0" applyFont="1" applyFill="1" applyBorder="1" applyAlignment="1">
      <alignment vertical="center"/>
    </xf>
    <xf numFmtId="4" fontId="35" fillId="6" borderId="7" xfId="0" applyNumberFormat="1" applyFont="1" applyFill="1" applyBorder="1" applyAlignment="1">
      <alignment horizontal="center" vertical="center" wrapText="1"/>
    </xf>
    <xf numFmtId="2" fontId="35" fillId="6" borderId="7" xfId="0" applyNumberFormat="1" applyFont="1" applyFill="1" applyBorder="1" applyAlignment="1">
      <alignment horizontal="center" vertical="center" wrapText="1"/>
    </xf>
    <xf numFmtId="0" fontId="35" fillId="6" borderId="7" xfId="0" applyFont="1" applyFill="1" applyBorder="1" applyAlignment="1">
      <alignment vertical="center" wrapText="1"/>
    </xf>
    <xf numFmtId="0" fontId="33" fillId="0" borderId="10" xfId="0" applyFont="1" applyFill="1" applyBorder="1" applyAlignment="1">
      <alignment horizontal="center" vertical="center" wrapText="1"/>
    </xf>
    <xf numFmtId="14" fontId="35" fillId="6" borderId="12" xfId="0" applyNumberFormat="1" applyFont="1" applyFill="1" applyBorder="1" applyAlignment="1">
      <alignment horizontal="center" vertical="center"/>
    </xf>
    <xf numFmtId="172" fontId="4" fillId="2" borderId="14" xfId="0" applyNumberFormat="1" applyFont="1" applyFill="1" applyBorder="1" applyAlignment="1">
      <alignment horizontal="center" vertical="center"/>
    </xf>
    <xf numFmtId="4" fontId="33" fillId="6" borderId="13" xfId="8" applyNumberFormat="1" applyFont="1" applyFill="1" applyBorder="1" applyAlignment="1">
      <alignment vertical="center"/>
    </xf>
    <xf numFmtId="4" fontId="35" fillId="6" borderId="13" xfId="0" applyNumberFormat="1" applyFont="1" applyFill="1" applyBorder="1" applyAlignment="1">
      <alignment horizontal="center" vertical="center"/>
    </xf>
    <xf numFmtId="0" fontId="35" fillId="7" borderId="7" xfId="0" applyFont="1" applyFill="1" applyBorder="1" applyAlignment="1">
      <alignment vertical="center"/>
    </xf>
    <xf numFmtId="4" fontId="35" fillId="7" borderId="7" xfId="0" applyNumberFormat="1" applyFont="1" applyFill="1" applyBorder="1" applyAlignment="1">
      <alignment horizontal="center" vertical="center" wrapText="1"/>
    </xf>
    <xf numFmtId="0" fontId="35" fillId="7" borderId="7" xfId="0" applyFont="1" applyFill="1" applyBorder="1" applyAlignment="1">
      <alignment vertical="center" wrapText="1"/>
    </xf>
    <xf numFmtId="0" fontId="35" fillId="8" borderId="7" xfId="0" applyFont="1" applyFill="1" applyBorder="1" applyAlignment="1">
      <alignment vertical="center"/>
    </xf>
    <xf numFmtId="4" fontId="35" fillId="8" borderId="7" xfId="0" applyNumberFormat="1" applyFont="1" applyFill="1" applyBorder="1" applyAlignment="1">
      <alignment horizontal="center" vertical="center" wrapText="1"/>
    </xf>
    <xf numFmtId="0" fontId="35" fillId="8" borderId="7" xfId="0" applyFont="1" applyFill="1" applyBorder="1" applyAlignment="1">
      <alignment vertical="center" wrapText="1"/>
    </xf>
    <xf numFmtId="14" fontId="35" fillId="7" borderId="12" xfId="0" applyNumberFormat="1" applyFont="1" applyFill="1" applyBorder="1" applyAlignment="1">
      <alignment horizontal="center" vertical="center"/>
    </xf>
    <xf numFmtId="4" fontId="35" fillId="7" borderId="13" xfId="0" applyNumberFormat="1" applyFont="1" applyFill="1" applyBorder="1" applyAlignment="1">
      <alignment horizontal="center" vertical="center"/>
    </xf>
    <xf numFmtId="14" fontId="35" fillId="8" borderId="12" xfId="0" applyNumberFormat="1" applyFont="1" applyFill="1" applyBorder="1" applyAlignment="1">
      <alignment horizontal="center" vertical="center"/>
    </xf>
    <xf numFmtId="4" fontId="33" fillId="8" borderId="13" xfId="8" applyNumberFormat="1" applyFont="1" applyFill="1" applyBorder="1" applyAlignment="1">
      <alignment vertical="center"/>
    </xf>
    <xf numFmtId="4" fontId="35" fillId="8" borderId="13" xfId="0" applyNumberFormat="1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172" fontId="35" fillId="2" borderId="14" xfId="0" applyNumberFormat="1" applyFont="1" applyFill="1" applyBorder="1" applyAlignment="1">
      <alignment horizontal="center" vertical="center"/>
    </xf>
    <xf numFmtId="0" fontId="35" fillId="6" borderId="13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35" fillId="2" borderId="10" xfId="0" applyFont="1" applyFill="1" applyBorder="1" applyAlignment="1">
      <alignment horizontal="center" vertical="center" wrapText="1"/>
    </xf>
    <xf numFmtId="0" fontId="35" fillId="7" borderId="13" xfId="0" applyFont="1" applyFill="1" applyBorder="1" applyAlignment="1">
      <alignment horizontal="left" vertical="center" wrapText="1"/>
    </xf>
    <xf numFmtId="0" fontId="35" fillId="7" borderId="13" xfId="0" applyFont="1" applyFill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/>
    </xf>
    <xf numFmtId="4" fontId="35" fillId="2" borderId="14" xfId="0" applyNumberFormat="1" applyFont="1" applyFill="1" applyBorder="1" applyAlignment="1">
      <alignment horizontal="right" vertical="center"/>
    </xf>
    <xf numFmtId="0" fontId="35" fillId="8" borderId="13" xfId="0" applyFont="1" applyFill="1" applyBorder="1" applyAlignment="1">
      <alignment horizontal="center" vertical="center"/>
    </xf>
    <xf numFmtId="0" fontId="4" fillId="8" borderId="13" xfId="0" applyFont="1" applyFill="1" applyBorder="1" applyAlignment="1">
      <alignment horizontal="center" vertical="center"/>
    </xf>
    <xf numFmtId="0" fontId="16" fillId="6" borderId="7" xfId="0" applyNumberFormat="1" applyFont="1" applyFill="1" applyBorder="1" applyAlignment="1">
      <alignment horizontal="center" vertical="center"/>
    </xf>
    <xf numFmtId="4" fontId="48" fillId="6" borderId="7" xfId="0" applyNumberFormat="1" applyFont="1" applyFill="1" applyBorder="1" applyAlignment="1">
      <alignment horizontal="center" vertical="center"/>
    </xf>
    <xf numFmtId="0" fontId="16" fillId="7" borderId="7" xfId="0" applyNumberFormat="1" applyFont="1" applyFill="1" applyBorder="1" applyAlignment="1">
      <alignment horizontal="center" vertical="center"/>
    </xf>
    <xf numFmtId="4" fontId="48" fillId="7" borderId="7" xfId="0" applyNumberFormat="1" applyFont="1" applyFill="1" applyBorder="1" applyAlignment="1">
      <alignment horizontal="center" vertical="center"/>
    </xf>
    <xf numFmtId="0" fontId="16" fillId="8" borderId="7" xfId="0" applyNumberFormat="1" applyFont="1" applyFill="1" applyBorder="1" applyAlignment="1">
      <alignment horizontal="center" vertical="center"/>
    </xf>
    <xf numFmtId="4" fontId="48" fillId="8" borderId="7" xfId="0" applyNumberFormat="1" applyFont="1" applyFill="1" applyBorder="1" applyAlignment="1">
      <alignment horizontal="center" vertical="center"/>
    </xf>
    <xf numFmtId="49" fontId="4" fillId="6" borderId="7" xfId="0" applyNumberFormat="1" applyFont="1" applyFill="1" applyBorder="1" applyAlignment="1">
      <alignment horizontal="center" vertical="center" wrapText="1"/>
    </xf>
    <xf numFmtId="49" fontId="4" fillId="7" borderId="7" xfId="0" applyNumberFormat="1" applyFont="1" applyFill="1" applyBorder="1" applyAlignment="1">
      <alignment horizontal="center" vertical="center" wrapText="1"/>
    </xf>
    <xf numFmtId="49" fontId="4" fillId="8" borderId="7" xfId="0" applyNumberFormat="1" applyFont="1" applyFill="1" applyBorder="1" applyAlignment="1">
      <alignment horizontal="center" vertical="center" wrapText="1"/>
    </xf>
    <xf numFmtId="0" fontId="20" fillId="6" borderId="7" xfId="0" applyNumberFormat="1" applyFont="1" applyFill="1" applyBorder="1" applyAlignment="1">
      <alignment horizontal="center" vertical="center" wrapText="1"/>
    </xf>
    <xf numFmtId="3" fontId="20" fillId="6" borderId="7" xfId="0" applyNumberFormat="1" applyFont="1" applyFill="1" applyBorder="1" applyAlignment="1">
      <alignment horizontal="center" vertical="center" wrapText="1"/>
    </xf>
    <xf numFmtId="0" fontId="20" fillId="7" borderId="7" xfId="0" applyNumberFormat="1" applyFont="1" applyFill="1" applyBorder="1" applyAlignment="1">
      <alignment horizontal="center" vertical="center" wrapText="1"/>
    </xf>
    <xf numFmtId="3" fontId="20" fillId="7" borderId="7" xfId="0" applyNumberFormat="1" applyFont="1" applyFill="1" applyBorder="1" applyAlignment="1">
      <alignment horizontal="center" vertical="center" wrapText="1"/>
    </xf>
    <xf numFmtId="0" fontId="20" fillId="8" borderId="7" xfId="0" applyNumberFormat="1" applyFont="1" applyFill="1" applyBorder="1" applyAlignment="1">
      <alignment horizontal="center" vertical="center" wrapText="1"/>
    </xf>
    <xf numFmtId="3" fontId="20" fillId="8" borderId="7" xfId="0" applyNumberFormat="1" applyFont="1" applyFill="1" applyBorder="1" applyAlignment="1">
      <alignment horizontal="center" vertical="center" wrapText="1"/>
    </xf>
    <xf numFmtId="167" fontId="33" fillId="6" borderId="7" xfId="0" applyNumberFormat="1" applyFont="1" applyFill="1" applyBorder="1" applyAlignment="1">
      <alignment horizontal="center" vertical="center"/>
    </xf>
    <xf numFmtId="0" fontId="33" fillId="6" borderId="7" xfId="0" applyFont="1" applyFill="1" applyBorder="1" applyAlignment="1">
      <alignment horizontal="left" vertical="center" wrapText="1"/>
    </xf>
    <xf numFmtId="4" fontId="33" fillId="2" borderId="12" xfId="8" applyNumberFormat="1" applyFont="1" applyFill="1" applyBorder="1" applyAlignment="1">
      <alignment vertical="center"/>
    </xf>
    <xf numFmtId="0" fontId="16" fillId="0" borderId="7" xfId="0" applyFont="1" applyFill="1" applyBorder="1" applyAlignment="1">
      <alignment horizontal="center" vertical="center"/>
    </xf>
    <xf numFmtId="3" fontId="4" fillId="2" borderId="14" xfId="0" applyNumberFormat="1" applyFont="1" applyFill="1" applyBorder="1" applyAlignment="1">
      <alignment horizontal="center" vertical="center"/>
    </xf>
    <xf numFmtId="4" fontId="33" fillId="2" borderId="14" xfId="8" applyNumberFormat="1" applyFont="1" applyFill="1" applyBorder="1" applyAlignment="1">
      <alignment vertical="center"/>
    </xf>
    <xf numFmtId="166" fontId="17" fillId="8" borderId="7" xfId="0" applyNumberFormat="1" applyFont="1" applyFill="1" applyBorder="1" applyAlignment="1">
      <alignment vertical="center" wrapText="1"/>
    </xf>
    <xf numFmtId="0" fontId="18" fillId="7" borderId="7" xfId="0" applyFont="1" applyFill="1" applyBorder="1" applyAlignment="1">
      <alignment vertical="center" wrapText="1"/>
    </xf>
    <xf numFmtId="166" fontId="17" fillId="7" borderId="7" xfId="0" applyNumberFormat="1" applyFont="1" applyFill="1" applyBorder="1" applyAlignment="1">
      <alignment vertical="center" wrapText="1"/>
    </xf>
    <xf numFmtId="166" fontId="17" fillId="6" borderId="7" xfId="0" applyNumberFormat="1" applyFont="1" applyFill="1" applyBorder="1" applyAlignment="1">
      <alignment vertical="center" wrapText="1"/>
    </xf>
    <xf numFmtId="2" fontId="35" fillId="7" borderId="7" xfId="0" applyNumberFormat="1" applyFont="1" applyFill="1" applyBorder="1" applyAlignment="1">
      <alignment horizontal="center" vertical="center"/>
    </xf>
    <xf numFmtId="2" fontId="35" fillId="8" borderId="7" xfId="0" applyNumberFormat="1" applyFont="1" applyFill="1" applyBorder="1" applyAlignment="1">
      <alignment horizontal="center" vertical="center"/>
    </xf>
    <xf numFmtId="0" fontId="36" fillId="6" borderId="7" xfId="0" applyFont="1" applyFill="1" applyBorder="1" applyAlignment="1">
      <alignment horizontal="left" vertical="center"/>
    </xf>
    <xf numFmtId="0" fontId="36" fillId="6" borderId="7" xfId="0" applyFont="1" applyFill="1" applyBorder="1" applyAlignment="1">
      <alignment horizontal="center" vertical="center"/>
    </xf>
    <xf numFmtId="172" fontId="36" fillId="6" borderId="7" xfId="0" applyNumberFormat="1" applyFont="1" applyFill="1" applyBorder="1" applyAlignment="1">
      <alignment horizontal="center" vertical="center"/>
    </xf>
    <xf numFmtId="4" fontId="36" fillId="6" borderId="7" xfId="0" applyNumberFormat="1" applyFont="1" applyFill="1" applyBorder="1" applyAlignment="1">
      <alignment horizontal="center" vertical="center"/>
    </xf>
    <xf numFmtId="3" fontId="36" fillId="6" borderId="7" xfId="0" applyNumberFormat="1" applyFont="1" applyFill="1" applyBorder="1" applyAlignment="1">
      <alignment horizontal="center" vertical="center"/>
    </xf>
    <xf numFmtId="4" fontId="4" fillId="6" borderId="7" xfId="0" applyNumberFormat="1" applyFont="1" applyFill="1" applyBorder="1" applyAlignment="1">
      <alignment horizontal="right" vertical="center"/>
    </xf>
    <xf numFmtId="0" fontId="36" fillId="7" borderId="7" xfId="0" applyFont="1" applyFill="1" applyBorder="1" applyAlignment="1">
      <alignment horizontal="center" vertical="center"/>
    </xf>
    <xf numFmtId="172" fontId="36" fillId="7" borderId="7" xfId="0" applyNumberFormat="1" applyFont="1" applyFill="1" applyBorder="1" applyAlignment="1">
      <alignment horizontal="center" vertical="center"/>
    </xf>
    <xf numFmtId="4" fontId="36" fillId="7" borderId="7" xfId="0" applyNumberFormat="1" applyFont="1" applyFill="1" applyBorder="1" applyAlignment="1">
      <alignment horizontal="center" vertical="center"/>
    </xf>
    <xf numFmtId="3" fontId="36" fillId="7" borderId="7" xfId="0" applyNumberFormat="1" applyFont="1" applyFill="1" applyBorder="1" applyAlignment="1">
      <alignment horizontal="center" vertical="center"/>
    </xf>
    <xf numFmtId="4" fontId="4" fillId="7" borderId="7" xfId="0" applyNumberFormat="1" applyFont="1" applyFill="1" applyBorder="1" applyAlignment="1">
      <alignment horizontal="right" vertical="center"/>
    </xf>
    <xf numFmtId="0" fontId="36" fillId="8" borderId="7" xfId="0" applyFont="1" applyFill="1" applyBorder="1" applyAlignment="1">
      <alignment horizontal="center" vertical="center"/>
    </xf>
    <xf numFmtId="172" fontId="36" fillId="8" borderId="7" xfId="0" applyNumberFormat="1" applyFont="1" applyFill="1" applyBorder="1" applyAlignment="1">
      <alignment horizontal="center" vertical="center"/>
    </xf>
    <xf numFmtId="4" fontId="36" fillId="8" borderId="7" xfId="0" applyNumberFormat="1" applyFont="1" applyFill="1" applyBorder="1" applyAlignment="1">
      <alignment horizontal="center" vertical="center"/>
    </xf>
    <xf numFmtId="3" fontId="36" fillId="8" borderId="7" xfId="0" applyNumberFormat="1" applyFont="1" applyFill="1" applyBorder="1" applyAlignment="1">
      <alignment horizontal="center" vertical="center"/>
    </xf>
    <xf numFmtId="172" fontId="4" fillId="8" borderId="7" xfId="0" applyNumberFormat="1" applyFont="1" applyFill="1" applyBorder="1" applyAlignment="1">
      <alignment horizontal="right" vertical="center"/>
    </xf>
    <xf numFmtId="172" fontId="4" fillId="6" borderId="14" xfId="0" applyNumberFormat="1" applyFont="1" applyFill="1" applyBorder="1" applyAlignment="1">
      <alignment horizontal="center" vertical="center" wrapText="1"/>
    </xf>
    <xf numFmtId="0" fontId="35" fillId="6" borderId="10" xfId="0" applyFont="1" applyFill="1" applyBorder="1" applyAlignment="1">
      <alignment horizontal="center" vertical="center" wrapText="1"/>
    </xf>
    <xf numFmtId="0" fontId="18" fillId="6" borderId="7" xfId="11" applyNumberFormat="1" applyFont="1" applyFill="1" applyBorder="1" applyAlignment="1">
      <alignment horizontal="left" vertical="center" wrapText="1"/>
    </xf>
    <xf numFmtId="0" fontId="4" fillId="6" borderId="12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wrapText="1"/>
    </xf>
    <xf numFmtId="4" fontId="18" fillId="6" borderId="7" xfId="0" applyNumberFormat="1" applyFont="1" applyFill="1" applyBorder="1" applyAlignment="1">
      <alignment horizontal="right" vertical="center" wrapText="1"/>
    </xf>
    <xf numFmtId="4" fontId="33" fillId="6" borderId="12" xfId="8" applyNumberFormat="1" applyFont="1" applyFill="1" applyBorder="1" applyAlignment="1">
      <alignment vertical="center"/>
    </xf>
    <xf numFmtId="0" fontId="33" fillId="6" borderId="13" xfId="11" applyNumberFormat="1" applyFont="1" applyFill="1" applyBorder="1" applyAlignment="1">
      <alignment horizontal="left" vertical="center" wrapText="1"/>
    </xf>
    <xf numFmtId="3" fontId="4" fillId="6" borderId="13" xfId="0" applyNumberFormat="1" applyFont="1" applyFill="1" applyBorder="1" applyAlignment="1">
      <alignment horizontal="center" vertical="center"/>
    </xf>
    <xf numFmtId="172" fontId="33" fillId="6" borderId="13" xfId="0" applyNumberFormat="1" applyFont="1" applyFill="1" applyBorder="1" applyAlignment="1">
      <alignment horizontal="center" vertical="center"/>
    </xf>
    <xf numFmtId="172" fontId="4" fillId="6" borderId="13" xfId="0" applyNumberFormat="1" applyFont="1" applyFill="1" applyBorder="1" applyAlignment="1">
      <alignment horizontal="center" vertical="center"/>
    </xf>
    <xf numFmtId="0" fontId="33" fillId="6" borderId="7" xfId="11" applyNumberFormat="1" applyFont="1" applyFill="1" applyBorder="1" applyAlignment="1">
      <alignment horizontal="left" vertical="center" wrapText="1"/>
    </xf>
    <xf numFmtId="4" fontId="4" fillId="6" borderId="14" xfId="0" applyNumberFormat="1" applyFont="1" applyFill="1" applyBorder="1" applyAlignment="1">
      <alignment horizontal="right" vertical="center" wrapText="1"/>
    </xf>
    <xf numFmtId="172" fontId="4" fillId="7" borderId="7" xfId="0" applyNumberFormat="1" applyFont="1" applyFill="1" applyBorder="1" applyAlignment="1">
      <alignment horizontal="center" vertical="center" wrapText="1"/>
    </xf>
    <xf numFmtId="0" fontId="33" fillId="7" borderId="7" xfId="11" applyNumberFormat="1" applyFont="1" applyFill="1" applyBorder="1" applyAlignment="1">
      <alignment horizontal="left" vertical="center" wrapText="1"/>
    </xf>
    <xf numFmtId="4" fontId="4" fillId="7" borderId="7" xfId="0" applyNumberFormat="1" applyFont="1" applyFill="1" applyBorder="1" applyAlignment="1">
      <alignment horizontal="right" vertical="center" wrapText="1"/>
    </xf>
    <xf numFmtId="4" fontId="4" fillId="8" borderId="7" xfId="0" applyNumberFormat="1" applyFont="1" applyFill="1" applyBorder="1" applyAlignment="1">
      <alignment horizontal="right" vertical="center" wrapText="1"/>
    </xf>
    <xf numFmtId="0" fontId="33" fillId="8" borderId="7" xfId="11" applyNumberFormat="1" applyFont="1" applyFill="1" applyBorder="1" applyAlignment="1">
      <alignment horizontal="left" vertical="center" wrapText="1"/>
    </xf>
    <xf numFmtId="0" fontId="18" fillId="8" borderId="7" xfId="11" applyNumberFormat="1" applyFont="1" applyFill="1" applyBorder="1" applyAlignment="1">
      <alignment horizontal="left" vertical="center" wrapText="1"/>
    </xf>
    <xf numFmtId="0" fontId="18" fillId="7" borderId="7" xfId="11" applyNumberFormat="1" applyFont="1" applyFill="1" applyBorder="1" applyAlignment="1">
      <alignment horizontal="left" vertical="center" wrapText="1"/>
    </xf>
    <xf numFmtId="4" fontId="17" fillId="6" borderId="0" xfId="0" applyNumberFormat="1" applyFont="1" applyFill="1"/>
    <xf numFmtId="4" fontId="17" fillId="7" borderId="0" xfId="0" applyNumberFormat="1" applyFont="1" applyFill="1"/>
    <xf numFmtId="4" fontId="17" fillId="8" borderId="7" xfId="0" applyNumberFormat="1" applyFont="1" applyFill="1" applyBorder="1" applyAlignment="1">
      <alignment horizontal="right" vertical="center"/>
    </xf>
    <xf numFmtId="4" fontId="17" fillId="8" borderId="0" xfId="0" applyNumberFormat="1" applyFont="1" applyFill="1"/>
    <xf numFmtId="0" fontId="4" fillId="8" borderId="7" xfId="0" applyFont="1" applyFill="1" applyBorder="1" applyAlignment="1">
      <alignment horizontal="left" vertical="center" wrapText="1"/>
    </xf>
    <xf numFmtId="0" fontId="4" fillId="7" borderId="7" xfId="0" applyFont="1" applyFill="1" applyBorder="1" applyAlignment="1">
      <alignment horizontal="left" vertical="center" wrapText="1"/>
    </xf>
    <xf numFmtId="0" fontId="4" fillId="6" borderId="7" xfId="0" applyFont="1" applyFill="1" applyBorder="1" applyAlignment="1">
      <alignment horizontal="left" vertical="center" wrapText="1"/>
    </xf>
    <xf numFmtId="4" fontId="4" fillId="8" borderId="7" xfId="0" applyNumberFormat="1" applyFont="1" applyFill="1" applyBorder="1" applyAlignment="1">
      <alignment horizontal="right" vertical="center"/>
    </xf>
    <xf numFmtId="4" fontId="35" fillId="6" borderId="7" xfId="0" applyNumberFormat="1" applyFont="1" applyFill="1" applyBorder="1" applyAlignment="1">
      <alignment horizontal="right" vertical="center"/>
    </xf>
    <xf numFmtId="0" fontId="35" fillId="6" borderId="10" xfId="0" applyFont="1" applyFill="1" applyBorder="1" applyAlignment="1">
      <alignment horizontal="left" vertical="center" wrapText="1"/>
    </xf>
    <xf numFmtId="167" fontId="4" fillId="6" borderId="7" xfId="0" applyNumberFormat="1" applyFont="1" applyFill="1" applyBorder="1" applyAlignment="1">
      <alignment horizontal="center" vertical="center" wrapText="1"/>
    </xf>
    <xf numFmtId="167" fontId="4" fillId="7" borderId="7" xfId="0" applyNumberFormat="1" applyFont="1" applyFill="1" applyBorder="1" applyAlignment="1">
      <alignment horizontal="center" vertical="center" wrapText="1"/>
    </xf>
    <xf numFmtId="167" fontId="4" fillId="8" borderId="7" xfId="0" applyNumberFormat="1" applyFont="1" applyFill="1" applyBorder="1" applyAlignment="1">
      <alignment horizontal="center" vertical="center" wrapText="1"/>
    </xf>
    <xf numFmtId="172" fontId="35" fillId="6" borderId="7" xfId="0" applyNumberFormat="1" applyFont="1" applyFill="1" applyBorder="1" applyAlignment="1">
      <alignment horizontal="right" vertical="center"/>
    </xf>
    <xf numFmtId="1" fontId="4" fillId="6" borderId="7" xfId="0" applyNumberFormat="1" applyFont="1" applyFill="1" applyBorder="1" applyAlignment="1">
      <alignment vertical="center" wrapText="1"/>
    </xf>
    <xf numFmtId="1" fontId="4" fillId="6" borderId="7" xfId="0" applyNumberFormat="1" applyFont="1" applyFill="1" applyBorder="1" applyAlignment="1">
      <alignment horizontal="center" vertical="center" wrapText="1"/>
    </xf>
    <xf numFmtId="1" fontId="4" fillId="6" borderId="7" xfId="0" applyNumberFormat="1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vertical="center"/>
    </xf>
    <xf numFmtId="1" fontId="4" fillId="7" borderId="7" xfId="0" applyNumberFormat="1" applyFont="1" applyFill="1" applyBorder="1" applyAlignment="1">
      <alignment vertical="center" wrapText="1"/>
    </xf>
    <xf numFmtId="1" fontId="4" fillId="7" borderId="7" xfId="0" applyNumberFormat="1" applyFont="1" applyFill="1" applyBorder="1" applyAlignment="1">
      <alignment horizontal="center" vertical="center" wrapText="1"/>
    </xf>
    <xf numFmtId="1" fontId="4" fillId="7" borderId="7" xfId="0" applyNumberFormat="1" applyFont="1" applyFill="1" applyBorder="1" applyAlignment="1">
      <alignment horizontal="center" vertical="center"/>
    </xf>
    <xf numFmtId="1" fontId="4" fillId="7" borderId="7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 wrapText="1"/>
    </xf>
    <xf numFmtId="1" fontId="4" fillId="8" borderId="7" xfId="0" applyNumberFormat="1" applyFont="1" applyFill="1" applyBorder="1" applyAlignment="1">
      <alignment horizontal="center" vertical="center"/>
    </xf>
    <xf numFmtId="1" fontId="4" fillId="8" borderId="7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horizontal="center" vertical="center" wrapText="1"/>
    </xf>
    <xf numFmtId="172" fontId="4" fillId="6" borderId="14" xfId="0" applyNumberFormat="1" applyFont="1" applyFill="1" applyBorder="1" applyAlignment="1">
      <alignment horizontal="center" vertical="center"/>
    </xf>
    <xf numFmtId="4" fontId="4" fillId="6" borderId="14" xfId="0" applyNumberFormat="1" applyFont="1" applyFill="1" applyBorder="1" applyAlignment="1">
      <alignment horizontal="right" vertical="center"/>
    </xf>
    <xf numFmtId="4" fontId="4" fillId="6" borderId="14" xfId="0" applyNumberFormat="1" applyFont="1" applyFill="1" applyBorder="1" applyAlignment="1">
      <alignment horizontal="center" vertical="center"/>
    </xf>
    <xf numFmtId="4" fontId="35" fillId="6" borderId="14" xfId="0" applyNumberFormat="1" applyFont="1" applyFill="1" applyBorder="1" applyAlignment="1">
      <alignment horizontal="center" vertical="center"/>
    </xf>
    <xf numFmtId="4" fontId="35" fillId="6" borderId="7" xfId="0" applyNumberFormat="1" applyFont="1" applyFill="1" applyBorder="1" applyAlignment="1">
      <alignment horizontal="right" vertical="center" wrapText="1"/>
    </xf>
    <xf numFmtId="0" fontId="35" fillId="6" borderId="7" xfId="0" applyFont="1" applyFill="1" applyBorder="1" applyAlignment="1">
      <alignment horizontal="justify" vertical="center" wrapText="1"/>
    </xf>
    <xf numFmtId="172" fontId="4" fillId="7" borderId="14" xfId="0" applyNumberFormat="1" applyFont="1" applyFill="1" applyBorder="1" applyAlignment="1">
      <alignment horizontal="center" vertical="center"/>
    </xf>
    <xf numFmtId="4" fontId="4" fillId="7" borderId="14" xfId="0" applyNumberFormat="1" applyFont="1" applyFill="1" applyBorder="1" applyAlignment="1">
      <alignment horizontal="right" vertical="center"/>
    </xf>
    <xf numFmtId="4" fontId="4" fillId="7" borderId="14" xfId="0" applyNumberFormat="1" applyFont="1" applyFill="1" applyBorder="1" applyAlignment="1">
      <alignment horizontal="center" vertical="center"/>
    </xf>
    <xf numFmtId="4" fontId="35" fillId="7" borderId="14" xfId="0" applyNumberFormat="1" applyFont="1" applyFill="1" applyBorder="1" applyAlignment="1">
      <alignment horizontal="center" vertical="center"/>
    </xf>
    <xf numFmtId="0" fontId="33" fillId="7" borderId="10" xfId="0" applyFont="1" applyFill="1" applyBorder="1" applyAlignment="1">
      <alignment horizontal="center" vertical="center" wrapText="1"/>
    </xf>
    <xf numFmtId="4" fontId="35" fillId="7" borderId="7" xfId="0" applyNumberFormat="1" applyFont="1" applyFill="1" applyBorder="1" applyAlignment="1">
      <alignment horizontal="right" vertical="center" wrapText="1"/>
    </xf>
    <xf numFmtId="0" fontId="35" fillId="7" borderId="7" xfId="0" applyFont="1" applyFill="1" applyBorder="1" applyAlignment="1">
      <alignment horizontal="justify" vertical="center" wrapText="1"/>
    </xf>
    <xf numFmtId="172" fontId="4" fillId="8" borderId="14" xfId="0" applyNumberFormat="1" applyFont="1" applyFill="1" applyBorder="1" applyAlignment="1">
      <alignment horizontal="center" vertical="center"/>
    </xf>
    <xf numFmtId="4" fontId="4" fillId="8" borderId="14" xfId="0" applyNumberFormat="1" applyFont="1" applyFill="1" applyBorder="1" applyAlignment="1">
      <alignment horizontal="right" vertical="center"/>
    </xf>
    <xf numFmtId="4" fontId="4" fillId="8" borderId="14" xfId="0" applyNumberFormat="1" applyFont="1" applyFill="1" applyBorder="1" applyAlignment="1">
      <alignment horizontal="center" vertical="center"/>
    </xf>
    <xf numFmtId="4" fontId="35" fillId="8" borderId="14" xfId="0" applyNumberFormat="1" applyFont="1" applyFill="1" applyBorder="1" applyAlignment="1">
      <alignment horizontal="center" vertical="center"/>
    </xf>
    <xf numFmtId="0" fontId="33" fillId="8" borderId="10" xfId="0" applyFont="1" applyFill="1" applyBorder="1" applyAlignment="1">
      <alignment horizontal="center" vertical="center" wrapText="1"/>
    </xf>
    <xf numFmtId="4" fontId="35" fillId="8" borderId="7" xfId="0" applyNumberFormat="1" applyFont="1" applyFill="1" applyBorder="1" applyAlignment="1">
      <alignment horizontal="right" vertical="center"/>
    </xf>
    <xf numFmtId="0" fontId="35" fillId="8" borderId="7" xfId="0" applyFont="1" applyFill="1" applyBorder="1" applyAlignment="1">
      <alignment horizontal="justify" vertical="center" wrapText="1"/>
    </xf>
    <xf numFmtId="0" fontId="16" fillId="6" borderId="7" xfId="0" applyFont="1" applyFill="1" applyBorder="1" applyAlignment="1">
      <alignment vertical="center" wrapText="1"/>
    </xf>
    <xf numFmtId="172" fontId="17" fillId="6" borderId="7" xfId="0" applyNumberFormat="1" applyFont="1" applyFill="1" applyBorder="1" applyAlignment="1">
      <alignment horizontal="center" vertical="center"/>
    </xf>
    <xf numFmtId="0" fontId="16" fillId="6" borderId="7" xfId="0" applyFont="1" applyFill="1" applyBorder="1" applyAlignment="1">
      <alignment horizontal="justify" vertical="center" wrapText="1"/>
    </xf>
    <xf numFmtId="0" fontId="16" fillId="6" borderId="7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 wrapText="1"/>
    </xf>
    <xf numFmtId="0" fontId="16" fillId="7" borderId="7" xfId="0" applyFont="1" applyFill="1" applyBorder="1" applyAlignment="1">
      <alignment vertical="center" wrapText="1"/>
    </xf>
    <xf numFmtId="0" fontId="16" fillId="7" borderId="7" xfId="0" applyFont="1" applyFill="1" applyBorder="1" applyAlignment="1">
      <alignment horizontal="justify" vertical="center" wrapText="1"/>
    </xf>
    <xf numFmtId="0" fontId="16" fillId="7" borderId="7" xfId="0" applyFont="1" applyFill="1" applyBorder="1" applyAlignment="1">
      <alignment vertical="center"/>
    </xf>
    <xf numFmtId="0" fontId="16" fillId="8" borderId="7" xfId="0" applyFont="1" applyFill="1" applyBorder="1" applyAlignment="1">
      <alignment vertical="center" wrapText="1"/>
    </xf>
    <xf numFmtId="0" fontId="16" fillId="8" borderId="7" xfId="0" applyFont="1" applyFill="1" applyBorder="1" applyAlignment="1">
      <alignment horizontal="justify" vertical="center" wrapText="1"/>
    </xf>
    <xf numFmtId="0" fontId="16" fillId="8" borderId="7" xfId="0" applyFont="1" applyFill="1" applyBorder="1" applyAlignment="1">
      <alignment vertical="center"/>
    </xf>
    <xf numFmtId="172" fontId="35" fillId="8" borderId="7" xfId="0" applyNumberFormat="1" applyFont="1" applyFill="1" applyBorder="1" applyAlignment="1">
      <alignment horizontal="center" vertical="center" wrapText="1"/>
    </xf>
    <xf numFmtId="172" fontId="35" fillId="6" borderId="7" xfId="0" applyNumberFormat="1" applyFont="1" applyFill="1" applyBorder="1" applyAlignment="1">
      <alignment horizontal="center" vertical="center" wrapText="1"/>
    </xf>
    <xf numFmtId="172" fontId="35" fillId="7" borderId="7" xfId="0" applyNumberFormat="1" applyFont="1" applyFill="1" applyBorder="1" applyAlignment="1">
      <alignment horizontal="center" vertical="center" wrapText="1"/>
    </xf>
    <xf numFmtId="0" fontId="35" fillId="2" borderId="12" xfId="0" applyFont="1" applyFill="1" applyBorder="1" applyAlignment="1">
      <alignment horizontal="center" vertical="center"/>
    </xf>
    <xf numFmtId="0" fontId="17" fillId="0" borderId="7" xfId="0" applyFont="1" applyBorder="1" applyAlignment="1">
      <alignment wrapText="1"/>
    </xf>
    <xf numFmtId="0" fontId="16" fillId="0" borderId="7" xfId="0" applyFont="1" applyFill="1" applyBorder="1" applyAlignment="1">
      <alignment horizontal="left" vertical="center" wrapText="1"/>
    </xf>
    <xf numFmtId="0" fontId="17" fillId="0" borderId="7" xfId="0" applyFont="1" applyBorder="1" applyAlignment="1">
      <alignment horizontal="center"/>
    </xf>
    <xf numFmtId="172" fontId="4" fillId="2" borderId="13" xfId="0" applyNumberFormat="1" applyFont="1" applyFill="1" applyBorder="1" applyAlignment="1">
      <alignment horizontal="center" vertical="center"/>
    </xf>
    <xf numFmtId="4" fontId="4" fillId="2" borderId="13" xfId="0" applyNumberFormat="1" applyFont="1" applyFill="1" applyBorder="1" applyAlignment="1">
      <alignment horizontal="center" vertical="center"/>
    </xf>
    <xf numFmtId="0" fontId="4" fillId="0" borderId="7" xfId="0" applyFont="1" applyBorder="1"/>
    <xf numFmtId="0" fontId="35" fillId="0" borderId="7" xfId="0" applyFont="1" applyFill="1" applyBorder="1" applyAlignment="1">
      <alignment horizontal="right" vertical="center"/>
    </xf>
    <xf numFmtId="0" fontId="4" fillId="0" borderId="7" xfId="0" applyFont="1" applyBorder="1" applyAlignment="1">
      <alignment horizontal="center"/>
    </xf>
    <xf numFmtId="3" fontId="35" fillId="2" borderId="11" xfId="0" applyNumberFormat="1" applyFont="1" applyFill="1" applyBorder="1" applyAlignment="1">
      <alignment horizontal="center" vertical="center"/>
    </xf>
    <xf numFmtId="4" fontId="33" fillId="2" borderId="13" xfId="8" applyNumberFormat="1" applyFont="1" applyFill="1" applyBorder="1" applyAlignment="1">
      <alignment vertical="center"/>
    </xf>
    <xf numFmtId="168" fontId="35" fillId="0" borderId="7" xfId="0" applyNumberFormat="1" applyFont="1" applyFill="1" applyBorder="1" applyAlignment="1">
      <alignment horizontal="right" vertical="center"/>
    </xf>
    <xf numFmtId="168" fontId="4" fillId="0" borderId="7" xfId="0" applyNumberFormat="1" applyFont="1" applyBorder="1" applyAlignment="1">
      <alignment horizontal="right"/>
    </xf>
    <xf numFmtId="0" fontId="4" fillId="0" borderId="7" xfId="0" applyFont="1" applyBorder="1" applyAlignment="1">
      <alignment horizontal="left" wrapText="1"/>
    </xf>
    <xf numFmtId="0" fontId="4" fillId="0" borderId="7" xfId="0" applyFont="1" applyBorder="1" applyAlignment="1">
      <alignment wrapText="1"/>
    </xf>
    <xf numFmtId="3" fontId="35" fillId="2" borderId="14" xfId="0" applyNumberFormat="1" applyFont="1" applyFill="1" applyBorder="1" applyAlignment="1">
      <alignment horizontal="center" vertical="center"/>
    </xf>
    <xf numFmtId="3" fontId="4" fillId="2" borderId="13" xfId="0" applyNumberFormat="1" applyFont="1" applyFill="1" applyBorder="1" applyAlignment="1">
      <alignment horizontal="center" vertical="center"/>
    </xf>
    <xf numFmtId="0" fontId="35" fillId="2" borderId="13" xfId="0" applyFont="1" applyFill="1" applyBorder="1" applyAlignment="1">
      <alignment horizontal="left" vertical="center" wrapText="1"/>
    </xf>
    <xf numFmtId="0" fontId="35" fillId="2" borderId="13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 wrapText="1"/>
    </xf>
    <xf numFmtId="3" fontId="35" fillId="2" borderId="13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vertical="center" wrapText="1"/>
    </xf>
    <xf numFmtId="168" fontId="4" fillId="0" borderId="7" xfId="0" applyNumberFormat="1" applyFont="1" applyFill="1" applyBorder="1" applyAlignment="1">
      <alignment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18" fillId="7" borderId="10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left" wrapText="1"/>
    </xf>
    <xf numFmtId="0" fontId="9" fillId="0" borderId="7" xfId="0" applyFont="1" applyBorder="1" applyAlignment="1">
      <alignment wrapText="1"/>
    </xf>
    <xf numFmtId="4" fontId="4" fillId="6" borderId="7" xfId="0" applyNumberFormat="1" applyFont="1" applyFill="1" applyBorder="1" applyAlignment="1">
      <alignment horizontal="right" vertical="center" wrapText="1"/>
    </xf>
    <xf numFmtId="170" fontId="35" fillId="2" borderId="10" xfId="8" applyNumberFormat="1" applyFont="1" applyFill="1" applyBorder="1" applyAlignment="1" applyProtection="1">
      <alignment horizontal="center" vertical="center"/>
    </xf>
    <xf numFmtId="0" fontId="4" fillId="2" borderId="13" xfId="0" applyNumberFormat="1" applyFont="1" applyFill="1" applyBorder="1" applyAlignment="1">
      <alignment horizontal="center" vertical="center"/>
    </xf>
    <xf numFmtId="2" fontId="4" fillId="0" borderId="7" xfId="0" applyNumberFormat="1" applyFont="1" applyBorder="1" applyAlignment="1">
      <alignment horizontal="center"/>
    </xf>
    <xf numFmtId="170" fontId="35" fillId="2" borderId="10" xfId="8" applyNumberFormat="1" applyFont="1" applyFill="1" applyBorder="1" applyAlignment="1" applyProtection="1">
      <alignment vertical="center"/>
    </xf>
    <xf numFmtId="0" fontId="38" fillId="0" borderId="7" xfId="8" applyNumberFormat="1" applyFont="1" applyFill="1" applyBorder="1" applyAlignment="1" applyProtection="1">
      <alignment horizontal="center" vertical="center"/>
    </xf>
    <xf numFmtId="0" fontId="35" fillId="0" borderId="7" xfId="8" applyNumberFormat="1" applyFont="1" applyFill="1" applyBorder="1" applyAlignment="1" applyProtection="1">
      <alignment horizontal="center" vertical="center"/>
    </xf>
    <xf numFmtId="172" fontId="35" fillId="6" borderId="14" xfId="0" applyNumberFormat="1" applyFont="1" applyFill="1" applyBorder="1" applyAlignment="1">
      <alignment horizontal="center" vertical="center"/>
    </xf>
    <xf numFmtId="4" fontId="35" fillId="6" borderId="14" xfId="0" applyNumberFormat="1" applyFont="1" applyFill="1" applyBorder="1" applyAlignment="1">
      <alignment horizontal="right" vertical="center"/>
    </xf>
    <xf numFmtId="0" fontId="20" fillId="6" borderId="7" xfId="0" applyFont="1" applyFill="1" applyBorder="1" applyAlignment="1">
      <alignment horizontal="center" vertical="center" wrapText="1"/>
    </xf>
    <xf numFmtId="172" fontId="17" fillId="6" borderId="7" xfId="0" applyNumberFormat="1" applyFont="1" applyFill="1" applyBorder="1" applyAlignment="1">
      <alignment horizontal="center" vertical="center" wrapText="1"/>
    </xf>
    <xf numFmtId="4" fontId="20" fillId="6" borderId="7" xfId="0" applyNumberFormat="1" applyFont="1" applyFill="1" applyBorder="1" applyAlignment="1">
      <alignment horizontal="right" vertical="center" wrapText="1"/>
    </xf>
    <xf numFmtId="172" fontId="35" fillId="7" borderId="14" xfId="0" applyNumberFormat="1" applyFont="1" applyFill="1" applyBorder="1" applyAlignment="1">
      <alignment horizontal="center" vertical="center"/>
    </xf>
    <xf numFmtId="4" fontId="35" fillId="7" borderId="14" xfId="0" applyNumberFormat="1" applyFont="1" applyFill="1" applyBorder="1" applyAlignment="1">
      <alignment horizontal="right" vertical="center"/>
    </xf>
    <xf numFmtId="0" fontId="35" fillId="7" borderId="10" xfId="0" applyFont="1" applyFill="1" applyBorder="1" applyAlignment="1">
      <alignment horizontal="center" vertical="center" wrapText="1"/>
    </xf>
    <xf numFmtId="0" fontId="20" fillId="7" borderId="7" xfId="0" applyFont="1" applyFill="1" applyBorder="1" applyAlignment="1">
      <alignment vertical="center" wrapText="1"/>
    </xf>
    <xf numFmtId="0" fontId="20" fillId="7" borderId="7" xfId="0" applyFont="1" applyFill="1" applyBorder="1" applyAlignment="1">
      <alignment horizontal="center" vertical="center" wrapText="1"/>
    </xf>
    <xf numFmtId="0" fontId="35" fillId="7" borderId="12" xfId="0" applyFont="1" applyFill="1" applyBorder="1" applyAlignment="1">
      <alignment horizontal="center" vertical="center"/>
    </xf>
    <xf numFmtId="172" fontId="17" fillId="7" borderId="7" xfId="0" applyNumberFormat="1" applyFont="1" applyFill="1" applyBorder="1" applyAlignment="1">
      <alignment horizontal="center" vertical="center" wrapText="1"/>
    </xf>
    <xf numFmtId="172" fontId="20" fillId="7" borderId="7" xfId="0" applyNumberFormat="1" applyFont="1" applyFill="1" applyBorder="1" applyAlignment="1">
      <alignment horizontal="center" vertical="center" wrapText="1"/>
    </xf>
    <xf numFmtId="4" fontId="20" fillId="7" borderId="7" xfId="0" applyNumberFormat="1" applyFont="1" applyFill="1" applyBorder="1" applyAlignment="1">
      <alignment horizontal="right" vertical="center" wrapText="1"/>
    </xf>
    <xf numFmtId="4" fontId="20" fillId="7" borderId="7" xfId="0" applyNumberFormat="1" applyFont="1" applyFill="1" applyBorder="1" applyAlignment="1">
      <alignment horizontal="center" vertical="center" wrapText="1"/>
    </xf>
    <xf numFmtId="172" fontId="35" fillId="8" borderId="14" xfId="0" applyNumberFormat="1" applyFont="1" applyFill="1" applyBorder="1" applyAlignment="1">
      <alignment horizontal="center" vertical="center"/>
    </xf>
    <xf numFmtId="4" fontId="35" fillId="8" borderId="14" xfId="0" applyNumberFormat="1" applyFont="1" applyFill="1" applyBorder="1" applyAlignment="1">
      <alignment horizontal="right" vertical="center"/>
    </xf>
    <xf numFmtId="0" fontId="20" fillId="8" borderId="7" xfId="0" applyFont="1" applyFill="1" applyBorder="1" applyAlignment="1">
      <alignment horizontal="center" vertical="center" wrapText="1"/>
    </xf>
    <xf numFmtId="172" fontId="17" fillId="8" borderId="7" xfId="0" applyNumberFormat="1" applyFont="1" applyFill="1" applyBorder="1" applyAlignment="1">
      <alignment horizontal="center" vertical="center" wrapText="1"/>
    </xf>
    <xf numFmtId="172" fontId="20" fillId="8" borderId="7" xfId="0" applyNumberFormat="1" applyFont="1" applyFill="1" applyBorder="1" applyAlignment="1">
      <alignment horizontal="center" vertical="center" wrapText="1"/>
    </xf>
    <xf numFmtId="4" fontId="20" fillId="8" borderId="7" xfId="0" applyNumberFormat="1" applyFont="1" applyFill="1" applyBorder="1" applyAlignment="1">
      <alignment horizontal="right" vertical="center" wrapText="1"/>
    </xf>
    <xf numFmtId="4" fontId="20" fillId="8" borderId="7" xfId="0" applyNumberFormat="1" applyFont="1" applyFill="1" applyBorder="1" applyAlignment="1">
      <alignment horizontal="center" vertical="center" wrapText="1"/>
    </xf>
    <xf numFmtId="4" fontId="35" fillId="8" borderId="12" xfId="0" applyNumberFormat="1" applyFont="1" applyFill="1" applyBorder="1" applyAlignment="1">
      <alignment horizontal="center" vertical="center"/>
    </xf>
    <xf numFmtId="172" fontId="17" fillId="7" borderId="7" xfId="0" applyNumberFormat="1" applyFont="1" applyFill="1" applyBorder="1" applyAlignment="1">
      <alignment horizontal="center" vertical="center"/>
    </xf>
    <xf numFmtId="172" fontId="4" fillId="6" borderId="7" xfId="0" applyNumberFormat="1" applyFont="1" applyFill="1" applyBorder="1" applyAlignment="1">
      <alignment horizontal="right" vertical="center"/>
    </xf>
    <xf numFmtId="172" fontId="4" fillId="7" borderId="7" xfId="0" applyNumberFormat="1" applyFont="1" applyFill="1" applyBorder="1" applyAlignment="1">
      <alignment horizontal="right" vertical="center"/>
    </xf>
    <xf numFmtId="2" fontId="18" fillId="6" borderId="7" xfId="0" applyNumberFormat="1" applyFont="1" applyFill="1" applyBorder="1" applyAlignment="1">
      <alignment horizontal="center" vertical="center" wrapText="1"/>
    </xf>
    <xf numFmtId="2" fontId="26" fillId="6" borderId="7" xfId="0" applyNumberFormat="1" applyFont="1" applyFill="1" applyBorder="1" applyAlignment="1">
      <alignment horizontal="center" vertical="center" wrapText="1"/>
    </xf>
    <xf numFmtId="0" fontId="18" fillId="7" borderId="7" xfId="0" applyFont="1" applyFill="1" applyBorder="1" applyAlignment="1">
      <alignment vertical="center"/>
    </xf>
    <xf numFmtId="0" fontId="8" fillId="6" borderId="7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left" vertical="center" wrapText="1"/>
    </xf>
    <xf numFmtId="4" fontId="8" fillId="6" borderId="7" xfId="0" applyNumberFormat="1" applyFont="1" applyFill="1" applyBorder="1" applyAlignment="1">
      <alignment horizontal="center" vertical="center"/>
    </xf>
    <xf numFmtId="4" fontId="8" fillId="6" borderId="7" xfId="0" applyNumberFormat="1" applyFont="1" applyFill="1" applyBorder="1" applyAlignment="1">
      <alignment horizontal="right" vertical="center"/>
    </xf>
    <xf numFmtId="3" fontId="8" fillId="6" borderId="7" xfId="0" applyNumberFormat="1" applyFont="1" applyFill="1" applyBorder="1" applyAlignment="1">
      <alignment horizontal="center" vertical="center"/>
    </xf>
    <xf numFmtId="0" fontId="8" fillId="6" borderId="7" xfId="0" applyNumberFormat="1" applyFont="1" applyFill="1" applyBorder="1" applyAlignment="1">
      <alignment horizontal="center" vertical="center"/>
    </xf>
    <xf numFmtId="0" fontId="8" fillId="7" borderId="7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left" vertical="center" wrapText="1"/>
    </xf>
    <xf numFmtId="4" fontId="8" fillId="7" borderId="7" xfId="0" applyNumberFormat="1" applyFont="1" applyFill="1" applyBorder="1" applyAlignment="1">
      <alignment horizontal="center" vertical="center"/>
    </xf>
    <xf numFmtId="3" fontId="8" fillId="7" borderId="7" xfId="0" applyNumberFormat="1" applyFont="1" applyFill="1" applyBorder="1" applyAlignment="1">
      <alignment horizontal="center" vertical="center"/>
    </xf>
    <xf numFmtId="4" fontId="8" fillId="7" borderId="7" xfId="0" applyNumberFormat="1" applyFont="1" applyFill="1" applyBorder="1" applyAlignment="1">
      <alignment horizontal="right" vertical="center"/>
    </xf>
    <xf numFmtId="0" fontId="8" fillId="7" borderId="7" xfId="0" applyNumberFormat="1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left" vertical="center" wrapText="1"/>
    </xf>
    <xf numFmtId="4" fontId="8" fillId="8" borderId="7" xfId="0" applyNumberFormat="1" applyFont="1" applyFill="1" applyBorder="1" applyAlignment="1">
      <alignment horizontal="center" vertical="center"/>
    </xf>
    <xf numFmtId="3" fontId="8" fillId="8" borderId="7" xfId="0" applyNumberFormat="1" applyFont="1" applyFill="1" applyBorder="1" applyAlignment="1">
      <alignment horizontal="center" vertical="center"/>
    </xf>
    <xf numFmtId="4" fontId="8" fillId="8" borderId="7" xfId="0" applyNumberFormat="1" applyFont="1" applyFill="1" applyBorder="1" applyAlignment="1">
      <alignment horizontal="right" vertical="center"/>
    </xf>
    <xf numFmtId="0" fontId="8" fillId="8" borderId="7" xfId="0" applyNumberFormat="1" applyFont="1" applyFill="1" applyBorder="1" applyAlignment="1">
      <alignment horizontal="center" vertical="center"/>
    </xf>
    <xf numFmtId="0" fontId="33" fillId="7" borderId="7" xfId="0" applyFont="1" applyFill="1" applyBorder="1" applyAlignment="1">
      <alignment horizontal="left" vertical="center" wrapText="1"/>
    </xf>
    <xf numFmtId="0" fontId="33" fillId="8" borderId="7" xfId="0" applyFont="1" applyFill="1" applyBorder="1" applyAlignment="1">
      <alignment horizontal="justify" vertical="center" wrapText="1"/>
    </xf>
    <xf numFmtId="0" fontId="33" fillId="6" borderId="10" xfId="0" applyFont="1" applyFill="1" applyBorder="1" applyAlignment="1">
      <alignment horizontal="center" vertical="center"/>
    </xf>
    <xf numFmtId="0" fontId="16" fillId="6" borderId="7" xfId="0" applyFont="1" applyFill="1" applyBorder="1" applyAlignment="1">
      <alignment horizontal="center" vertical="center"/>
    </xf>
    <xf numFmtId="4" fontId="16" fillId="6" borderId="7" xfId="0" applyNumberFormat="1" applyFont="1" applyFill="1" applyBorder="1" applyAlignment="1">
      <alignment horizontal="right" vertical="center"/>
    </xf>
    <xf numFmtId="4" fontId="33" fillId="6" borderId="12" xfId="8" applyNumberFormat="1" applyFont="1" applyFill="1" applyBorder="1" applyAlignment="1">
      <alignment horizontal="right" vertical="center"/>
    </xf>
    <xf numFmtId="4" fontId="33" fillId="6" borderId="7" xfId="8" applyNumberFormat="1" applyFont="1" applyFill="1" applyBorder="1" applyAlignment="1">
      <alignment horizontal="right" vertical="center"/>
    </xf>
    <xf numFmtId="0" fontId="0" fillId="6" borderId="7" xfId="0" applyFont="1" applyFill="1" applyBorder="1" applyAlignment="1">
      <alignment horizontal="center" wrapText="1"/>
    </xf>
    <xf numFmtId="0" fontId="33" fillId="7" borderId="7" xfId="0" applyFont="1" applyFill="1" applyBorder="1" applyAlignment="1">
      <alignment horizontal="justify" vertical="center" wrapText="1"/>
    </xf>
    <xf numFmtId="0" fontId="33" fillId="7" borderId="10" xfId="0" applyFont="1" applyFill="1" applyBorder="1" applyAlignment="1">
      <alignment horizontal="center" vertical="center"/>
    </xf>
    <xf numFmtId="4" fontId="4" fillId="7" borderId="7" xfId="0" applyNumberFormat="1" applyFont="1" applyFill="1" applyBorder="1" applyAlignment="1">
      <alignment horizontal="center" wrapText="1"/>
    </xf>
    <xf numFmtId="4" fontId="33" fillId="7" borderId="12" xfId="8" applyNumberFormat="1" applyFont="1" applyFill="1" applyBorder="1" applyAlignment="1">
      <alignment vertical="center"/>
    </xf>
    <xf numFmtId="4" fontId="35" fillId="7" borderId="7" xfId="0" applyNumberFormat="1" applyFont="1" applyFill="1" applyBorder="1" applyAlignment="1">
      <alignment horizontal="center"/>
    </xf>
    <xf numFmtId="4" fontId="39" fillId="7" borderId="7" xfId="0" applyNumberFormat="1" applyFont="1" applyFill="1" applyBorder="1" applyAlignment="1">
      <alignment horizontal="center" wrapText="1"/>
    </xf>
    <xf numFmtId="4" fontId="37" fillId="7" borderId="7" xfId="0" applyNumberFormat="1" applyFont="1" applyFill="1" applyBorder="1" applyAlignment="1">
      <alignment horizontal="center" wrapText="1"/>
    </xf>
    <xf numFmtId="4" fontId="4" fillId="8" borderId="7" xfId="0" applyNumberFormat="1" applyFont="1" applyFill="1" applyBorder="1" applyAlignment="1">
      <alignment horizontal="center" wrapText="1"/>
    </xf>
    <xf numFmtId="4" fontId="33" fillId="8" borderId="12" xfId="8" applyNumberFormat="1" applyFont="1" applyFill="1" applyBorder="1" applyAlignment="1">
      <alignment vertical="center"/>
    </xf>
    <xf numFmtId="4" fontId="16" fillId="8" borderId="7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4" fontId="16" fillId="7" borderId="7" xfId="0" applyNumberFormat="1" applyFont="1" applyFill="1" applyBorder="1" applyAlignment="1">
      <alignment horizontal="center" vertical="center" wrapText="1"/>
    </xf>
    <xf numFmtId="0" fontId="18" fillId="7" borderId="7" xfId="0" applyFont="1" applyFill="1" applyBorder="1" applyAlignment="1">
      <alignment horizontal="justify" vertical="center" wrapText="1"/>
    </xf>
    <xf numFmtId="4" fontId="16" fillId="6" borderId="7" xfId="0" applyNumberFormat="1" applyFont="1" applyFill="1" applyBorder="1" applyAlignment="1">
      <alignment horizontal="center" vertical="center" wrapText="1"/>
    </xf>
    <xf numFmtId="4" fontId="18" fillId="2" borderId="0" xfId="0" applyNumberFormat="1" applyFont="1" applyFill="1" applyBorder="1" applyAlignment="1">
      <alignment horizontal="center" vertical="center"/>
    </xf>
    <xf numFmtId="0" fontId="4" fillId="6" borderId="7" xfId="0" applyFont="1" applyFill="1" applyBorder="1" applyAlignment="1">
      <alignment vertical="center"/>
    </xf>
    <xf numFmtId="0" fontId="4" fillId="8" borderId="7" xfId="0" applyFont="1" applyFill="1" applyBorder="1" applyAlignment="1">
      <alignment vertical="center"/>
    </xf>
    <xf numFmtId="0" fontId="4" fillId="8" borderId="7" xfId="0" applyFont="1" applyFill="1" applyBorder="1" applyAlignment="1">
      <alignment horizontal="left" vertical="center" wrapText="1"/>
    </xf>
    <xf numFmtId="0" fontId="4" fillId="7" borderId="7" xfId="0" applyFont="1" applyFill="1" applyBorder="1" applyAlignment="1">
      <alignment horizontal="left" vertical="center" wrapText="1"/>
    </xf>
    <xf numFmtId="0" fontId="4" fillId="6" borderId="7" xfId="0" applyFont="1" applyFill="1" applyBorder="1" applyAlignment="1">
      <alignment horizontal="left" vertical="center" wrapText="1"/>
    </xf>
    <xf numFmtId="0" fontId="35" fillId="2" borderId="7" xfId="0" applyFont="1" applyFill="1" applyBorder="1" applyAlignment="1">
      <alignment horizontal="left" vertical="center" wrapText="1"/>
    </xf>
    <xf numFmtId="0" fontId="4" fillId="8" borderId="7" xfId="0" applyFont="1" applyFill="1" applyBorder="1" applyAlignment="1">
      <alignment horizontal="left" vertical="center" wrapText="1"/>
    </xf>
    <xf numFmtId="4" fontId="35" fillId="8" borderId="7" xfId="0" applyNumberFormat="1" applyFont="1" applyFill="1" applyBorder="1" applyAlignment="1">
      <alignment horizontal="right" vertical="center" wrapText="1"/>
    </xf>
    <xf numFmtId="0" fontId="35" fillId="2" borderId="7" xfId="0" applyFont="1" applyFill="1" applyBorder="1" applyAlignment="1">
      <alignment horizontal="left" vertical="center" wrapText="1"/>
    </xf>
    <xf numFmtId="0" fontId="4" fillId="6" borderId="7" xfId="0" applyFont="1" applyFill="1" applyBorder="1" applyAlignment="1">
      <alignment vertical="center"/>
    </xf>
    <xf numFmtId="0" fontId="4" fillId="7" borderId="7" xfId="0" applyFont="1" applyFill="1" applyBorder="1" applyAlignment="1">
      <alignment vertical="center"/>
    </xf>
    <xf numFmtId="0" fontId="4" fillId="8" borderId="7" xfId="0" applyFont="1" applyFill="1" applyBorder="1" applyAlignment="1">
      <alignment vertical="center"/>
    </xf>
    <xf numFmtId="0" fontId="33" fillId="7" borderId="7" xfId="0" applyFont="1" applyFill="1" applyBorder="1" applyAlignment="1">
      <alignment vertical="center" wrapText="1"/>
    </xf>
    <xf numFmtId="172" fontId="33" fillId="7" borderId="7" xfId="0" applyNumberFormat="1" applyFont="1" applyFill="1" applyBorder="1" applyAlignment="1">
      <alignment horizontal="center" vertical="center" wrapText="1"/>
    </xf>
    <xf numFmtId="0" fontId="12" fillId="6" borderId="7" xfId="0" applyNumberFormat="1" applyFont="1" applyFill="1" applyBorder="1" applyAlignment="1">
      <alignment horizontal="center" vertical="center"/>
    </xf>
    <xf numFmtId="0" fontId="12" fillId="7" borderId="7" xfId="0" applyNumberFormat="1" applyFont="1" applyFill="1" applyBorder="1" applyAlignment="1">
      <alignment horizontal="center" vertical="center"/>
    </xf>
    <xf numFmtId="0" fontId="12" fillId="8" borderId="7" xfId="0" applyNumberFormat="1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horizontal="left" vertical="center" indent="1"/>
    </xf>
    <xf numFmtId="0" fontId="29" fillId="9" borderId="5" xfId="0" applyFont="1" applyFill="1" applyBorder="1" applyAlignment="1">
      <alignment horizontal="left" vertical="center" indent="1"/>
    </xf>
    <xf numFmtId="172" fontId="35" fillId="2" borderId="13" xfId="0" applyNumberFormat="1" applyFont="1" applyFill="1" applyBorder="1" applyAlignment="1">
      <alignment horizontal="right" vertical="center"/>
    </xf>
    <xf numFmtId="0" fontId="35" fillId="2" borderId="13" xfId="0" applyFont="1" applyFill="1" applyBorder="1" applyAlignment="1">
      <alignment horizontal="right" vertical="center"/>
    </xf>
    <xf numFmtId="167" fontId="35" fillId="2" borderId="13" xfId="0" applyNumberFormat="1" applyFont="1" applyFill="1" applyBorder="1" applyAlignment="1">
      <alignment horizontal="right" vertical="center"/>
    </xf>
    <xf numFmtId="0" fontId="4" fillId="6" borderId="7" xfId="0" applyFont="1" applyFill="1" applyBorder="1" applyAlignment="1">
      <alignment vertical="center" wrapText="1"/>
    </xf>
    <xf numFmtId="0" fontId="35" fillId="2" borderId="7" xfId="0" applyFont="1" applyFill="1" applyBorder="1" applyAlignment="1">
      <alignment horizontal="left" vertical="center" wrapText="1"/>
    </xf>
    <xf numFmtId="0" fontId="4" fillId="7" borderId="7" xfId="0" applyFont="1" applyFill="1" applyBorder="1" applyAlignment="1">
      <alignment vertical="center" wrapText="1"/>
    </xf>
    <xf numFmtId="4" fontId="4" fillId="2" borderId="14" xfId="0" applyNumberFormat="1" applyFont="1" applyFill="1" applyBorder="1" applyAlignment="1">
      <alignment horizontal="center" vertical="center" wrapText="1"/>
    </xf>
    <xf numFmtId="3" fontId="4" fillId="2" borderId="14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/>
    </xf>
    <xf numFmtId="172" fontId="35" fillId="7" borderId="13" xfId="0" applyNumberFormat="1" applyFont="1" applyFill="1" applyBorder="1" applyAlignment="1">
      <alignment horizontal="center" vertical="center"/>
    </xf>
    <xf numFmtId="172" fontId="35" fillId="7" borderId="7" xfId="0" applyNumberFormat="1" applyFont="1" applyFill="1" applyBorder="1" applyAlignment="1">
      <alignment horizontal="right" vertical="center"/>
    </xf>
    <xf numFmtId="172" fontId="35" fillId="8" borderId="13" xfId="0" applyNumberFormat="1" applyFont="1" applyFill="1" applyBorder="1" applyAlignment="1">
      <alignment horizontal="center" vertical="center"/>
    </xf>
    <xf numFmtId="172" fontId="35" fillId="8" borderId="7" xfId="0" applyNumberFormat="1" applyFont="1" applyFill="1" applyBorder="1" applyAlignment="1">
      <alignment horizontal="right" vertical="center"/>
    </xf>
    <xf numFmtId="172" fontId="35" fillId="6" borderId="13" xfId="0" applyNumberFormat="1" applyFont="1" applyFill="1" applyBorder="1" applyAlignment="1">
      <alignment horizontal="center" vertical="center"/>
    </xf>
    <xf numFmtId="167" fontId="35" fillId="6" borderId="13" xfId="0" applyNumberFormat="1" applyFont="1" applyFill="1" applyBorder="1" applyAlignment="1">
      <alignment horizontal="center" vertical="center"/>
    </xf>
    <xf numFmtId="3" fontId="35" fillId="6" borderId="13" xfId="0" applyNumberFormat="1" applyFont="1" applyFill="1" applyBorder="1" applyAlignment="1">
      <alignment horizontal="center" vertical="center"/>
    </xf>
    <xf numFmtId="2" fontId="35" fillId="6" borderId="7" xfId="0" applyNumberFormat="1" applyFont="1" applyFill="1" applyBorder="1" applyAlignment="1">
      <alignment horizontal="center" vertical="center"/>
    </xf>
    <xf numFmtId="2" fontId="26" fillId="6" borderId="7" xfId="0" applyNumberFormat="1" applyFont="1" applyFill="1" applyBorder="1" applyAlignment="1">
      <alignment horizontal="center" vertical="center"/>
    </xf>
    <xf numFmtId="2" fontId="26" fillId="7" borderId="7" xfId="0" applyNumberFormat="1" applyFont="1" applyFill="1" applyBorder="1" applyAlignment="1">
      <alignment horizontal="center" vertical="center"/>
    </xf>
    <xf numFmtId="2" fontId="26" fillId="8" borderId="7" xfId="0" applyNumberFormat="1" applyFont="1" applyFill="1" applyBorder="1" applyAlignment="1">
      <alignment horizontal="center" vertical="center"/>
    </xf>
    <xf numFmtId="0" fontId="4" fillId="8" borderId="7" xfId="0" applyFont="1" applyFill="1" applyBorder="1" applyAlignment="1">
      <alignment vertical="center" wrapText="1"/>
    </xf>
    <xf numFmtId="0" fontId="33" fillId="10" borderId="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4" fillId="8" borderId="7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 wrapText="1"/>
    </xf>
    <xf numFmtId="0" fontId="35" fillId="8" borderId="7" xfId="0" applyFont="1" applyFill="1" applyBorder="1" applyAlignment="1">
      <alignment horizontal="left" vertical="center" wrapText="1"/>
    </xf>
    <xf numFmtId="0" fontId="4" fillId="7" borderId="7" xfId="0" applyFont="1" applyFill="1" applyBorder="1" applyAlignment="1">
      <alignment vertical="center"/>
    </xf>
    <xf numFmtId="0" fontId="35" fillId="6" borderId="7" xfId="0" applyFont="1" applyFill="1" applyBorder="1" applyAlignment="1">
      <alignment horizontal="left" vertical="center" wrapText="1"/>
    </xf>
    <xf numFmtId="0" fontId="4" fillId="6" borderId="7" xfId="0" applyFont="1" applyFill="1" applyBorder="1" applyAlignment="1">
      <alignment horizontal="left" vertical="center" wrapText="1"/>
    </xf>
    <xf numFmtId="0" fontId="4" fillId="6" borderId="7" xfId="0" applyFont="1" applyFill="1" applyBorder="1" applyAlignment="1">
      <alignment vertical="center"/>
    </xf>
    <xf numFmtId="0" fontId="17" fillId="6" borderId="7" xfId="0" applyNumberFormat="1" applyFont="1" applyFill="1" applyBorder="1" applyAlignment="1">
      <alignment horizontal="center" vertical="center" wrapText="1"/>
    </xf>
    <xf numFmtId="3" fontId="17" fillId="6" borderId="7" xfId="0" applyNumberFormat="1" applyFont="1" applyFill="1" applyBorder="1" applyAlignment="1">
      <alignment horizontal="center" vertical="center" wrapText="1"/>
    </xf>
    <xf numFmtId="2" fontId="0" fillId="6" borderId="7" xfId="0" applyNumberFormat="1" applyFont="1" applyFill="1" applyBorder="1" applyAlignment="1">
      <alignment horizontal="center" vertical="center" wrapText="1"/>
    </xf>
    <xf numFmtId="4" fontId="20" fillId="6" borderId="7" xfId="0" applyNumberFormat="1" applyFont="1" applyFill="1" applyBorder="1" applyAlignment="1">
      <alignment horizontal="center" vertical="center" wrapText="1"/>
    </xf>
    <xf numFmtId="2" fontId="17" fillId="6" borderId="7" xfId="0" applyNumberFormat="1" applyFont="1" applyFill="1" applyBorder="1" applyAlignment="1">
      <alignment horizontal="center" vertical="center" wrapText="1"/>
    </xf>
    <xf numFmtId="4" fontId="0" fillId="6" borderId="7" xfId="0" applyNumberFormat="1" applyFont="1" applyFill="1" applyBorder="1" applyAlignment="1">
      <alignment horizontal="center" vertical="center" wrapText="1"/>
    </xf>
    <xf numFmtId="2" fontId="20" fillId="6" borderId="7" xfId="0" applyNumberFormat="1" applyFont="1" applyFill="1" applyBorder="1" applyAlignment="1">
      <alignment horizontal="center" vertical="center" wrapText="1"/>
    </xf>
    <xf numFmtId="172" fontId="20" fillId="6" borderId="7" xfId="0" applyNumberFormat="1" applyFont="1" applyFill="1" applyBorder="1" applyAlignment="1">
      <alignment horizontal="center" vertical="center" wrapText="1"/>
    </xf>
    <xf numFmtId="4" fontId="35" fillId="7" borderId="7" xfId="0" applyNumberFormat="1" applyFont="1" applyFill="1" applyBorder="1" applyAlignment="1">
      <alignment horizontal="right" vertical="center"/>
    </xf>
    <xf numFmtId="0" fontId="17" fillId="7" borderId="7" xfId="0" applyNumberFormat="1" applyFont="1" applyFill="1" applyBorder="1" applyAlignment="1">
      <alignment horizontal="center" vertical="center" wrapText="1"/>
    </xf>
    <xf numFmtId="3" fontId="17" fillId="7" borderId="7" xfId="0" applyNumberFormat="1" applyFont="1" applyFill="1" applyBorder="1" applyAlignment="1">
      <alignment horizontal="center" vertical="center" wrapText="1"/>
    </xf>
    <xf numFmtId="4" fontId="0" fillId="7" borderId="7" xfId="0" applyNumberFormat="1" applyFont="1" applyFill="1" applyBorder="1" applyAlignment="1">
      <alignment horizontal="center" vertical="center" wrapText="1"/>
    </xf>
    <xf numFmtId="2" fontId="17" fillId="7" borderId="7" xfId="0" applyNumberFormat="1" applyFont="1" applyFill="1" applyBorder="1" applyAlignment="1">
      <alignment horizontal="center" vertical="center" wrapText="1"/>
    </xf>
    <xf numFmtId="0" fontId="17" fillId="8" borderId="7" xfId="0" applyNumberFormat="1" applyFont="1" applyFill="1" applyBorder="1" applyAlignment="1">
      <alignment horizontal="center" vertical="center" wrapText="1"/>
    </xf>
    <xf numFmtId="3" fontId="17" fillId="8" borderId="7" xfId="0" applyNumberFormat="1" applyFont="1" applyFill="1" applyBorder="1" applyAlignment="1">
      <alignment horizontal="center" vertical="center" wrapText="1"/>
    </xf>
    <xf numFmtId="4" fontId="0" fillId="8" borderId="7" xfId="0" applyNumberFormat="1" applyFont="1" applyFill="1" applyBorder="1" applyAlignment="1">
      <alignment horizontal="center" vertical="center" wrapText="1"/>
    </xf>
    <xf numFmtId="2" fontId="17" fillId="8" borderId="7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35" fillId="6" borderId="7" xfId="0" applyFont="1" applyFill="1" applyBorder="1" applyAlignment="1">
      <alignment horizontal="left" vertical="center" wrapText="1"/>
    </xf>
    <xf numFmtId="0" fontId="35" fillId="8" borderId="7" xfId="0" applyFont="1" applyFill="1" applyBorder="1" applyAlignment="1">
      <alignment horizontal="left" vertical="center" wrapText="1"/>
    </xf>
    <xf numFmtId="0" fontId="35" fillId="7" borderId="7" xfId="0" applyFont="1" applyFill="1" applyBorder="1" applyAlignment="1">
      <alignment horizontal="left" vertical="center" wrapText="1"/>
    </xf>
    <xf numFmtId="4" fontId="17" fillId="5" borderId="7" xfId="0" applyNumberFormat="1" applyFont="1" applyFill="1" applyBorder="1" applyAlignment="1">
      <alignment horizontal="center" vertical="center"/>
    </xf>
    <xf numFmtId="3" fontId="17" fillId="5" borderId="7" xfId="0" applyNumberFormat="1" applyFont="1" applyFill="1" applyBorder="1" applyAlignment="1">
      <alignment horizontal="center" vertical="center"/>
    </xf>
    <xf numFmtId="0" fontId="35" fillId="2" borderId="7" xfId="0" applyFont="1" applyFill="1" applyBorder="1" applyAlignment="1">
      <alignment horizontal="left" vertical="center" wrapText="1"/>
    </xf>
    <xf numFmtId="0" fontId="35" fillId="7" borderId="7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vertical="center"/>
    </xf>
    <xf numFmtId="0" fontId="4" fillId="7" borderId="7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vertical="center"/>
    </xf>
    <xf numFmtId="4" fontId="33" fillId="7" borderId="7" xfId="0" applyNumberFormat="1" applyFont="1" applyFill="1" applyBorder="1" applyAlignment="1">
      <alignment horizontal="right" vertical="center"/>
    </xf>
    <xf numFmtId="4" fontId="37" fillId="7" borderId="7" xfId="0" applyNumberFormat="1" applyFont="1" applyFill="1" applyBorder="1" applyAlignment="1">
      <alignment horizontal="center" vertical="center"/>
    </xf>
    <xf numFmtId="4" fontId="45" fillId="2" borderId="0" xfId="0" applyNumberFormat="1" applyFont="1" applyFill="1" applyBorder="1" applyAlignment="1">
      <alignment horizontal="center" vertical="center"/>
    </xf>
    <xf numFmtId="0" fontId="37" fillId="2" borderId="0" xfId="0" applyFont="1" applyFill="1"/>
    <xf numFmtId="0" fontId="4" fillId="2" borderId="14" xfId="0" applyNumberFormat="1" applyFont="1" applyFill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167" fontId="12" fillId="0" borderId="7" xfId="0" applyNumberFormat="1" applyFont="1" applyBorder="1" applyAlignment="1">
      <alignment horizontal="center" vertical="center"/>
    </xf>
    <xf numFmtId="167" fontId="12" fillId="0" borderId="7" xfId="0" applyNumberFormat="1" applyFont="1" applyFill="1" applyBorder="1" applyAlignment="1">
      <alignment horizontal="center" vertical="center"/>
    </xf>
    <xf numFmtId="167" fontId="13" fillId="0" borderId="7" xfId="0" applyNumberFormat="1" applyFont="1" applyFill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/>
    </xf>
    <xf numFmtId="167" fontId="4" fillId="0" borderId="7" xfId="0" applyNumberFormat="1" applyFont="1" applyBorder="1" applyAlignment="1">
      <alignment horizontal="center" vertical="center"/>
    </xf>
    <xf numFmtId="167" fontId="4" fillId="0" borderId="7" xfId="0" applyNumberFormat="1" applyFont="1" applyFill="1" applyBorder="1" applyAlignment="1">
      <alignment horizontal="center" vertical="center"/>
    </xf>
    <xf numFmtId="172" fontId="35" fillId="6" borderId="13" xfId="0" applyNumberFormat="1" applyFont="1" applyFill="1" applyBorder="1" applyAlignment="1">
      <alignment horizontal="center" vertical="center" wrapText="1" shrinkToFit="1"/>
    </xf>
    <xf numFmtId="4" fontId="35" fillId="6" borderId="7" xfId="0" applyNumberFormat="1" applyFont="1" applyFill="1" applyBorder="1" applyAlignment="1">
      <alignment horizontal="right" vertical="center" wrapText="1" shrinkToFit="1"/>
    </xf>
    <xf numFmtId="0" fontId="35" fillId="6" borderId="7" xfId="0" applyFont="1" applyFill="1" applyBorder="1" applyAlignment="1">
      <alignment horizontal="left" vertical="center" wrapText="1" shrinkToFit="1"/>
    </xf>
    <xf numFmtId="0" fontId="35" fillId="6" borderId="7" xfId="0" applyFont="1" applyFill="1" applyBorder="1" applyAlignment="1">
      <alignment horizontal="center" vertical="center" wrapText="1" shrinkToFit="1"/>
    </xf>
    <xf numFmtId="172" fontId="35" fillId="6" borderId="7" xfId="0" applyNumberFormat="1" applyFont="1" applyFill="1" applyBorder="1" applyAlignment="1">
      <alignment horizontal="center" vertical="center" wrapText="1" shrinkToFit="1"/>
    </xf>
    <xf numFmtId="3" fontId="35" fillId="6" borderId="7" xfId="0" applyNumberFormat="1" applyFont="1" applyFill="1" applyBorder="1" applyAlignment="1">
      <alignment horizontal="center" vertical="center" wrapText="1" shrinkToFit="1"/>
    </xf>
    <xf numFmtId="4" fontId="35" fillId="6" borderId="7" xfId="0" applyNumberFormat="1" applyFont="1" applyFill="1" applyBorder="1" applyAlignment="1">
      <alignment horizontal="center" vertical="center" wrapText="1" shrinkToFit="1"/>
    </xf>
    <xf numFmtId="0" fontId="4" fillId="0" borderId="7" xfId="0" applyFont="1" applyBorder="1" applyAlignment="1">
      <alignment horizontal="center" vertical="center"/>
    </xf>
    <xf numFmtId="172" fontId="35" fillId="7" borderId="13" xfId="0" applyNumberFormat="1" applyFont="1" applyFill="1" applyBorder="1" applyAlignment="1">
      <alignment horizontal="center" vertical="center" wrapText="1" shrinkToFit="1"/>
    </xf>
    <xf numFmtId="4" fontId="35" fillId="7" borderId="7" xfId="0" applyNumberFormat="1" applyFont="1" applyFill="1" applyBorder="1" applyAlignment="1">
      <alignment horizontal="right" vertical="center" wrapText="1" shrinkToFit="1"/>
    </xf>
    <xf numFmtId="0" fontId="35" fillId="7" borderId="7" xfId="0" applyFont="1" applyFill="1" applyBorder="1" applyAlignment="1">
      <alignment horizontal="left" vertical="center" wrapText="1" shrinkToFit="1"/>
    </xf>
    <xf numFmtId="0" fontId="35" fillId="7" borderId="7" xfId="0" applyFont="1" applyFill="1" applyBorder="1" applyAlignment="1">
      <alignment horizontal="center" vertical="center" wrapText="1" shrinkToFit="1"/>
    </xf>
    <xf numFmtId="172" fontId="35" fillId="7" borderId="7" xfId="0" applyNumberFormat="1" applyFont="1" applyFill="1" applyBorder="1" applyAlignment="1">
      <alignment horizontal="center" vertical="center" wrapText="1" shrinkToFit="1"/>
    </xf>
    <xf numFmtId="3" fontId="35" fillId="7" borderId="7" xfId="0" applyNumberFormat="1" applyFont="1" applyFill="1" applyBorder="1" applyAlignment="1">
      <alignment horizontal="center" vertical="center" wrapText="1" shrinkToFit="1"/>
    </xf>
    <xf numFmtId="4" fontId="35" fillId="7" borderId="7" xfId="0" applyNumberFormat="1" applyFont="1" applyFill="1" applyBorder="1" applyAlignment="1">
      <alignment horizontal="center" vertical="center" wrapText="1" shrinkToFit="1"/>
    </xf>
    <xf numFmtId="172" fontId="35" fillId="8" borderId="13" xfId="0" applyNumberFormat="1" applyFont="1" applyFill="1" applyBorder="1" applyAlignment="1">
      <alignment horizontal="center" vertical="center" wrapText="1" shrinkToFit="1"/>
    </xf>
    <xf numFmtId="1" fontId="35" fillId="8" borderId="13" xfId="0" applyNumberFormat="1" applyFont="1" applyFill="1" applyBorder="1" applyAlignment="1">
      <alignment horizontal="center" vertical="center" wrapText="1" shrinkToFit="1"/>
    </xf>
    <xf numFmtId="4" fontId="35" fillId="8" borderId="7" xfId="0" applyNumberFormat="1" applyFont="1" applyFill="1" applyBorder="1" applyAlignment="1">
      <alignment horizontal="right" vertical="center" wrapText="1" shrinkToFit="1"/>
    </xf>
    <xf numFmtId="0" fontId="35" fillId="8" borderId="7" xfId="0" applyFont="1" applyFill="1" applyBorder="1" applyAlignment="1">
      <alignment horizontal="left" vertical="center" wrapText="1" shrinkToFit="1"/>
    </xf>
    <xf numFmtId="0" fontId="35" fillId="8" borderId="7" xfId="0" applyFont="1" applyFill="1" applyBorder="1" applyAlignment="1">
      <alignment horizontal="center" vertical="center" wrapText="1" shrinkToFit="1"/>
    </xf>
    <xf numFmtId="172" fontId="35" fillId="8" borderId="7" xfId="0" applyNumberFormat="1" applyFont="1" applyFill="1" applyBorder="1" applyAlignment="1">
      <alignment horizontal="center" vertical="center" wrapText="1" shrinkToFit="1"/>
    </xf>
    <xf numFmtId="3" fontId="35" fillId="8" borderId="7" xfId="0" applyNumberFormat="1" applyFont="1" applyFill="1" applyBorder="1" applyAlignment="1">
      <alignment horizontal="center" vertical="center" wrapText="1" shrinkToFit="1"/>
    </xf>
    <xf numFmtId="4" fontId="35" fillId="8" borderId="7" xfId="0" applyNumberFormat="1" applyFont="1" applyFill="1" applyBorder="1" applyAlignment="1">
      <alignment horizontal="center" vertical="center" wrapText="1" shrinkToFit="1"/>
    </xf>
    <xf numFmtId="0" fontId="29" fillId="2" borderId="6" xfId="0" applyFont="1" applyFill="1" applyBorder="1"/>
    <xf numFmtId="4" fontId="51" fillId="2" borderId="1" xfId="0" applyNumberFormat="1" applyFont="1" applyFill="1" applyBorder="1" applyAlignment="1">
      <alignment horizontal="right" vertical="center"/>
    </xf>
    <xf numFmtId="3" fontId="51" fillId="2" borderId="1" xfId="0" applyNumberFormat="1" applyFont="1" applyFill="1" applyBorder="1" applyAlignment="1">
      <alignment horizontal="center" vertical="center" wrapText="1"/>
    </xf>
    <xf numFmtId="4" fontId="51" fillId="2" borderId="1" xfId="8" applyNumberFormat="1" applyFont="1" applyFill="1" applyBorder="1" applyAlignment="1">
      <alignment horizontal="right" vertical="center"/>
    </xf>
    <xf numFmtId="1" fontId="51" fillId="2" borderId="1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vertical="center" wrapText="1"/>
    </xf>
    <xf numFmtId="0" fontId="51" fillId="2" borderId="15" xfId="0" applyFont="1" applyFill="1" applyBorder="1" applyAlignment="1">
      <alignment horizontal="center" vertical="center"/>
    </xf>
    <xf numFmtId="17" fontId="51" fillId="2" borderId="15" xfId="0" applyNumberFormat="1" applyFont="1" applyFill="1" applyBorder="1" applyAlignment="1">
      <alignment horizontal="center" vertical="center"/>
    </xf>
    <xf numFmtId="0" fontId="51" fillId="2" borderId="15" xfId="0" applyFont="1" applyFill="1" applyBorder="1" applyAlignment="1">
      <alignment horizontal="center" vertical="center" wrapText="1"/>
    </xf>
    <xf numFmtId="0" fontId="51" fillId="2" borderId="16" xfId="0" applyFont="1" applyFill="1" applyBorder="1" applyAlignment="1">
      <alignment horizontal="center" vertical="center"/>
    </xf>
    <xf numFmtId="3" fontId="51" fillId="2" borderId="1" xfId="0" applyNumberFormat="1" applyFont="1" applyFill="1" applyBorder="1" applyAlignment="1">
      <alignment horizontal="center" vertical="center"/>
    </xf>
    <xf numFmtId="4" fontId="51" fillId="2" borderId="1" xfId="0" applyNumberFormat="1" applyFont="1" applyFill="1" applyBorder="1" applyAlignment="1">
      <alignment horizontal="center" vertical="center"/>
    </xf>
    <xf numFmtId="0" fontId="51" fillId="2" borderId="0" xfId="0" applyFont="1" applyFill="1" applyAlignment="1">
      <alignment vertical="center"/>
    </xf>
    <xf numFmtId="4" fontId="51" fillId="2" borderId="1" xfId="0" applyNumberFormat="1" applyFont="1" applyFill="1" applyBorder="1" applyAlignment="1">
      <alignment horizontal="right" vertical="center" wrapText="1"/>
    </xf>
    <xf numFmtId="0" fontId="51" fillId="2" borderId="0" xfId="0" applyFont="1" applyFill="1" applyAlignment="1">
      <alignment horizontal="center" vertical="center" wrapText="1"/>
    </xf>
    <xf numFmtId="0" fontId="50" fillId="2" borderId="0" xfId="0" applyFont="1" applyFill="1" applyAlignment="1">
      <alignment vertical="center" wrapText="1"/>
    </xf>
    <xf numFmtId="4" fontId="50" fillId="2" borderId="0" xfId="0" applyNumberFormat="1" applyFont="1" applyFill="1" applyAlignment="1">
      <alignment horizontal="right" vertical="center"/>
    </xf>
    <xf numFmtId="3" fontId="50" fillId="2" borderId="0" xfId="0" applyNumberFormat="1" applyFont="1" applyFill="1" applyAlignment="1">
      <alignment horizontal="center" vertical="center"/>
    </xf>
    <xf numFmtId="0" fontId="51" fillId="2" borderId="1" xfId="11" applyNumberFormat="1" applyFont="1" applyFill="1" applyBorder="1" applyAlignment="1">
      <alignment vertical="center" wrapText="1"/>
    </xf>
    <xf numFmtId="0" fontId="51" fillId="2" borderId="0" xfId="0" applyFont="1" applyFill="1" applyBorder="1" applyAlignment="1">
      <alignment vertical="center"/>
    </xf>
    <xf numFmtId="0" fontId="51" fillId="2" borderId="0" xfId="9" applyFont="1" applyFill="1" applyAlignment="1">
      <alignment horizontal="center" vertical="center"/>
    </xf>
    <xf numFmtId="0" fontId="51" fillId="2" borderId="0" xfId="9" applyFont="1" applyFill="1" applyAlignment="1">
      <alignment vertical="center"/>
    </xf>
    <xf numFmtId="0" fontId="51" fillId="2" borderId="0" xfId="0" applyFont="1" applyFill="1" applyAlignment="1">
      <alignment horizontal="left" vertical="center"/>
    </xf>
    <xf numFmtId="2" fontId="51" fillId="2" borderId="1" xfId="0" applyNumberFormat="1" applyFont="1" applyFill="1" applyBorder="1" applyAlignment="1">
      <alignment horizontal="right" vertical="center" wrapText="1"/>
    </xf>
    <xf numFmtId="0" fontId="51" fillId="2" borderId="0" xfId="0" applyFont="1" applyFill="1" applyAlignment="1">
      <alignment horizontal="center" vertical="center"/>
    </xf>
    <xf numFmtId="0" fontId="51" fillId="2" borderId="0" xfId="0" applyFont="1" applyFill="1" applyBorder="1" applyAlignment="1">
      <alignment horizontal="center" vertical="center" wrapText="1"/>
    </xf>
    <xf numFmtId="0" fontId="51" fillId="2" borderId="0" xfId="0" applyFont="1" applyFill="1" applyBorder="1" applyAlignment="1">
      <alignment horizontal="center" vertical="center"/>
    </xf>
    <xf numFmtId="17" fontId="51" fillId="2" borderId="0" xfId="0" applyNumberFormat="1" applyFont="1" applyFill="1" applyBorder="1" applyAlignment="1">
      <alignment horizontal="center" vertical="center"/>
    </xf>
    <xf numFmtId="0" fontId="51" fillId="2" borderId="0" xfId="0" applyFont="1" applyFill="1" applyAlignment="1">
      <alignment vertical="center" wrapText="1"/>
    </xf>
    <xf numFmtId="4" fontId="50" fillId="2" borderId="0" xfId="0" applyNumberFormat="1" applyFont="1" applyFill="1" applyAlignment="1">
      <alignment horizontal="center" vertical="center"/>
    </xf>
    <xf numFmtId="0" fontId="7" fillId="2" borderId="0" xfId="0" applyFont="1" applyFill="1"/>
    <xf numFmtId="2" fontId="51" fillId="2" borderId="1" xfId="0" applyNumberFormat="1" applyFont="1" applyFill="1" applyBorder="1" applyAlignment="1">
      <alignment horizontal="center" vertical="center" wrapText="1"/>
    </xf>
    <xf numFmtId="2" fontId="51" fillId="2" borderId="1" xfId="0" applyNumberFormat="1" applyFont="1" applyFill="1" applyBorder="1" applyAlignment="1">
      <alignment horizontal="center" vertical="center"/>
    </xf>
    <xf numFmtId="2" fontId="51" fillId="2" borderId="0" xfId="0" applyNumberFormat="1" applyFont="1" applyFill="1" applyAlignment="1">
      <alignment vertical="center"/>
    </xf>
    <xf numFmtId="0" fontId="51" fillId="2" borderId="1" xfId="11" applyNumberFormat="1" applyFont="1" applyFill="1" applyBorder="1" applyAlignment="1">
      <alignment horizontal="left" vertical="center" wrapText="1"/>
    </xf>
    <xf numFmtId="4" fontId="33" fillId="2" borderId="1" xfId="0" applyNumberFormat="1" applyFont="1" applyFill="1" applyBorder="1" applyAlignment="1">
      <alignment horizontal="right" vertical="center" wrapText="1"/>
    </xf>
    <xf numFmtId="4" fontId="6" fillId="2" borderId="16" xfId="0" applyNumberFormat="1" applyFont="1" applyFill="1" applyBorder="1" applyAlignment="1">
      <alignment horizontal="right" vertical="center"/>
    </xf>
    <xf numFmtId="1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4" fontId="7" fillId="2" borderId="1" xfId="12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51" fillId="2" borderId="0" xfId="0" applyFont="1" applyFill="1" applyBorder="1" applyAlignment="1">
      <alignment vertical="center" wrapText="1"/>
    </xf>
    <xf numFmtId="0" fontId="7" fillId="2" borderId="0" xfId="0" applyFont="1" applyFill="1" applyAlignment="1">
      <alignment vertical="center" wrapText="1"/>
    </xf>
    <xf numFmtId="0" fontId="7" fillId="2" borderId="0" xfId="0" applyFont="1" applyFill="1" applyBorder="1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51" fillId="2" borderId="0" xfId="9" applyFont="1" applyFill="1" applyAlignment="1">
      <alignment horizontal="center" vertical="center" wrapText="1"/>
    </xf>
    <xf numFmtId="0" fontId="51" fillId="2" borderId="0" xfId="9" applyFont="1" applyFill="1" applyAlignment="1">
      <alignment vertical="center" wrapText="1"/>
    </xf>
    <xf numFmtId="0" fontId="51" fillId="2" borderId="0" xfId="0" applyFont="1" applyFill="1" applyAlignment="1">
      <alignment horizontal="left" vertical="center" wrapText="1"/>
    </xf>
    <xf numFmtId="49" fontId="51" fillId="2" borderId="1" xfId="0" applyNumberFormat="1" applyFont="1" applyFill="1" applyBorder="1" applyAlignment="1">
      <alignment horizontal="center" vertical="center"/>
    </xf>
    <xf numFmtId="0" fontId="51" fillId="2" borderId="17" xfId="0" applyFont="1" applyFill="1" applyBorder="1" applyAlignment="1">
      <alignment horizontal="left" vertical="center" wrapText="1"/>
    </xf>
    <xf numFmtId="3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right" vertical="center"/>
    </xf>
    <xf numFmtId="3" fontId="7" fillId="2" borderId="1" xfId="0" applyNumberFormat="1" applyFont="1" applyFill="1" applyBorder="1" applyAlignment="1">
      <alignment horizontal="center" vertical="center"/>
    </xf>
    <xf numFmtId="4" fontId="51" fillId="2" borderId="1" xfId="12" applyNumberFormat="1" applyFont="1" applyFill="1" applyBorder="1" applyAlignment="1">
      <alignment horizontal="right" vertical="center"/>
    </xf>
    <xf numFmtId="0" fontId="7" fillId="2" borderId="0" xfId="0" applyFont="1" applyFill="1" applyAlignment="1">
      <alignment vertical="center"/>
    </xf>
    <xf numFmtId="49" fontId="7" fillId="2" borderId="1" xfId="0" applyNumberFormat="1" applyFont="1" applyFill="1" applyBorder="1" applyAlignment="1">
      <alignment horizontal="center" vertical="center"/>
    </xf>
    <xf numFmtId="0" fontId="55" fillId="2" borderId="0" xfId="0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63" fillId="2" borderId="0" xfId="0" applyFont="1" applyFill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4" fontId="7" fillId="2" borderId="16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4" fontId="7" fillId="2" borderId="18" xfId="0" applyNumberFormat="1" applyFont="1" applyFill="1" applyBorder="1" applyAlignment="1">
      <alignment horizontal="right" vertical="center"/>
    </xf>
    <xf numFmtId="3" fontId="7" fillId="2" borderId="18" xfId="0" applyNumberFormat="1" applyFont="1" applyFill="1" applyBorder="1" applyAlignment="1">
      <alignment horizontal="center" vertical="center"/>
    </xf>
    <xf numFmtId="0" fontId="58" fillId="2" borderId="0" xfId="0" applyFont="1" applyFill="1"/>
    <xf numFmtId="0" fontId="7" fillId="2" borderId="18" xfId="0" applyFont="1" applyFill="1" applyBorder="1" applyAlignment="1">
      <alignment horizontal="center" vertical="center" wrapText="1"/>
    </xf>
    <xf numFmtId="4" fontId="7" fillId="2" borderId="18" xfId="0" applyNumberFormat="1" applyFont="1" applyFill="1" applyBorder="1" applyAlignment="1">
      <alignment horizontal="right" vertical="center" wrapText="1"/>
    </xf>
    <xf numFmtId="3" fontId="7" fillId="2" borderId="18" xfId="0" applyNumberFormat="1" applyFont="1" applyFill="1" applyBorder="1" applyAlignment="1">
      <alignment horizontal="center" vertical="center" wrapText="1"/>
    </xf>
    <xf numFmtId="4" fontId="7" fillId="2" borderId="16" xfId="0" applyNumberFormat="1" applyFont="1" applyFill="1" applyBorder="1" applyAlignment="1">
      <alignment horizontal="right" vertical="center" wrapText="1"/>
    </xf>
    <xf numFmtId="4" fontId="7" fillId="2" borderId="1" xfId="0" applyNumberFormat="1" applyFont="1" applyFill="1" applyBorder="1" applyAlignment="1">
      <alignment horizontal="right" vertical="center" wrapText="1"/>
    </xf>
    <xf numFmtId="0" fontId="68" fillId="2" borderId="0" xfId="0" applyFont="1" applyFill="1"/>
    <xf numFmtId="4" fontId="51" fillId="2" borderId="0" xfId="0" applyNumberFormat="1" applyFont="1" applyFill="1" applyAlignment="1">
      <alignment horizontal="right" vertical="center"/>
    </xf>
    <xf numFmtId="4" fontId="51" fillId="2" borderId="1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horizontal="center"/>
    </xf>
    <xf numFmtId="2" fontId="7" fillId="2" borderId="8" xfId="0" applyNumberFormat="1" applyFont="1" applyFill="1" applyBorder="1" applyAlignment="1">
      <alignment horizontal="left" vertical="center"/>
    </xf>
    <xf numFmtId="1" fontId="6" fillId="2" borderId="18" xfId="0" applyNumberFormat="1" applyFont="1" applyFill="1" applyBorder="1" applyAlignment="1">
      <alignment horizontal="center" vertical="center"/>
    </xf>
    <xf numFmtId="2" fontId="6" fillId="2" borderId="18" xfId="0" applyNumberFormat="1" applyFont="1" applyFill="1" applyBorder="1" applyAlignment="1">
      <alignment horizontal="center" vertical="center"/>
    </xf>
    <xf numFmtId="4" fontId="6" fillId="2" borderId="18" xfId="0" applyNumberFormat="1" applyFont="1" applyFill="1" applyBorder="1" applyAlignment="1">
      <alignment horizontal="right" vertical="center"/>
    </xf>
    <xf numFmtId="3" fontId="6" fillId="2" borderId="18" xfId="0" applyNumberFormat="1" applyFont="1" applyFill="1" applyBorder="1" applyAlignment="1">
      <alignment horizontal="center" vertical="center"/>
    </xf>
    <xf numFmtId="4" fontId="6" fillId="2" borderId="1" xfId="0" applyNumberFormat="1" applyFont="1" applyFill="1" applyBorder="1" applyAlignment="1">
      <alignment horizontal="right" vertical="center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2" borderId="18" xfId="0" applyFont="1" applyFill="1" applyBorder="1" applyAlignment="1">
      <alignment vertical="center" wrapText="1"/>
    </xf>
    <xf numFmtId="0" fontId="51" fillId="2" borderId="17" xfId="0" applyFont="1" applyFill="1" applyBorder="1" applyAlignment="1">
      <alignment horizontal="center" vertical="center"/>
    </xf>
    <xf numFmtId="4" fontId="51" fillId="2" borderId="17" xfId="8" applyNumberFormat="1" applyFont="1" applyFill="1" applyBorder="1" applyAlignment="1">
      <alignment horizontal="right" vertical="center"/>
    </xf>
    <xf numFmtId="3" fontId="51" fillId="2" borderId="17" xfId="0" applyNumberFormat="1" applyFont="1" applyFill="1" applyBorder="1" applyAlignment="1">
      <alignment horizontal="center" vertical="center"/>
    </xf>
    <xf numFmtId="4" fontId="51" fillId="2" borderId="17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left" vertical="center" wrapText="1"/>
    </xf>
    <xf numFmtId="3" fontId="6" fillId="2" borderId="1" xfId="0" applyNumberFormat="1" applyFont="1" applyFill="1" applyBorder="1" applyAlignment="1">
      <alignment horizontal="center" vertical="center"/>
    </xf>
    <xf numFmtId="4" fontId="6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right" vertical="center"/>
    </xf>
    <xf numFmtId="4" fontId="7" fillId="2" borderId="1" xfId="0" applyNumberFormat="1" applyFont="1" applyFill="1" applyBorder="1" applyAlignment="1">
      <alignment vertical="center"/>
    </xf>
    <xf numFmtId="2" fontId="7" fillId="2" borderId="15" xfId="0" applyNumberFormat="1" applyFont="1" applyFill="1" applyBorder="1" applyAlignment="1">
      <alignment horizontal="right" vertical="center"/>
    </xf>
    <xf numFmtId="170" fontId="6" fillId="2" borderId="28" xfId="8" applyNumberFormat="1" applyFont="1" applyFill="1" applyBorder="1" applyAlignment="1" applyProtection="1">
      <alignment horizontal="center" vertical="center"/>
    </xf>
    <xf numFmtId="2" fontId="7" fillId="2" borderId="1" xfId="0" applyNumberFormat="1" applyFont="1" applyFill="1" applyBorder="1" applyAlignment="1">
      <alignment horizontal="right" vertical="center"/>
    </xf>
    <xf numFmtId="0" fontId="6" fillId="2" borderId="1" xfId="8" applyNumberFormat="1" applyFont="1" applyFill="1" applyBorder="1" applyAlignment="1" applyProtection="1">
      <alignment horizontal="center" vertical="center"/>
    </xf>
    <xf numFmtId="170" fontId="59" fillId="2" borderId="1" xfId="8" applyNumberFormat="1" applyFont="1" applyFill="1" applyBorder="1" applyAlignment="1" applyProtection="1">
      <alignment horizontal="center" vertical="center"/>
    </xf>
    <xf numFmtId="2" fontId="6" fillId="2" borderId="1" xfId="8" applyNumberFormat="1" applyFont="1" applyFill="1" applyBorder="1" applyAlignment="1" applyProtection="1">
      <alignment horizontal="right" vertical="center"/>
    </xf>
    <xf numFmtId="0" fontId="6" fillId="2" borderId="1" xfId="8" applyNumberFormat="1" applyFont="1" applyFill="1" applyBorder="1" applyAlignment="1" applyProtection="1">
      <alignment horizontal="right" vertical="center"/>
    </xf>
    <xf numFmtId="3" fontId="6" fillId="2" borderId="1" xfId="8" applyNumberFormat="1" applyFont="1" applyFill="1" applyBorder="1" applyAlignment="1" applyProtection="1">
      <alignment horizontal="center" vertical="center"/>
    </xf>
    <xf numFmtId="4" fontId="6" fillId="2" borderId="1" xfId="8" applyNumberFormat="1" applyFont="1" applyFill="1" applyBorder="1" applyAlignment="1" applyProtection="1">
      <alignment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right" vertical="center"/>
    </xf>
    <xf numFmtId="0" fontId="7" fillId="2" borderId="0" xfId="0" applyFont="1" applyFill="1" applyAlignment="1">
      <alignment horizontal="center" vertical="center"/>
    </xf>
    <xf numFmtId="4" fontId="51" fillId="2" borderId="1" xfId="0" applyNumberFormat="1" applyFont="1" applyFill="1" applyBorder="1" applyAlignment="1">
      <alignment horizontal="right" vertical="center" wrapText="1" shrinkToFit="1"/>
    </xf>
    <xf numFmtId="3" fontId="51" fillId="2" borderId="1" xfId="0" applyNumberFormat="1" applyFont="1" applyFill="1" applyBorder="1" applyAlignment="1">
      <alignment horizontal="center" vertical="center" wrapText="1" shrinkToFit="1"/>
    </xf>
    <xf numFmtId="0" fontId="51" fillId="2" borderId="1" xfId="0" applyFont="1" applyFill="1" applyBorder="1" applyAlignment="1">
      <alignment horizontal="left" vertical="top" wrapText="1"/>
    </xf>
    <xf numFmtId="49" fontId="6" fillId="2" borderId="1" xfId="0" applyNumberFormat="1" applyFont="1" applyFill="1" applyBorder="1" applyAlignment="1">
      <alignment horizontal="center" vertical="center"/>
    </xf>
    <xf numFmtId="49" fontId="7" fillId="2" borderId="18" xfId="0" applyNumberFormat="1" applyFont="1" applyFill="1" applyBorder="1" applyAlignment="1">
      <alignment horizontal="center" vertical="center"/>
    </xf>
    <xf numFmtId="49" fontId="6" fillId="2" borderId="18" xfId="0" applyNumberFormat="1" applyFont="1" applyFill="1" applyBorder="1" applyAlignment="1">
      <alignment horizontal="center" vertical="center"/>
    </xf>
    <xf numFmtId="0" fontId="51" fillId="2" borderId="0" xfId="0" applyFont="1" applyFill="1"/>
    <xf numFmtId="0" fontId="52" fillId="2" borderId="1" xfId="0" applyFont="1" applyFill="1" applyBorder="1" applyAlignment="1">
      <alignment horizontal="left" vertical="center" wrapText="1"/>
    </xf>
    <xf numFmtId="4" fontId="52" fillId="2" borderId="1" xfId="0" applyNumberFormat="1" applyFont="1" applyFill="1" applyBorder="1" applyAlignment="1">
      <alignment horizontal="right" vertical="center"/>
    </xf>
    <xf numFmtId="0" fontId="7" fillId="2" borderId="18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vertical="center" wrapText="1"/>
    </xf>
    <xf numFmtId="0" fontId="7" fillId="2" borderId="17" xfId="0" applyFont="1" applyFill="1" applyBorder="1" applyAlignment="1">
      <alignment horizontal="left" vertical="center" wrapText="1"/>
    </xf>
    <xf numFmtId="4" fontId="6" fillId="2" borderId="1" xfId="0" applyNumberFormat="1" applyFont="1" applyFill="1" applyBorder="1" applyAlignment="1">
      <alignment horizontal="right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vertical="center"/>
    </xf>
    <xf numFmtId="0" fontId="51" fillId="2" borderId="18" xfId="0" applyFont="1" applyFill="1" applyBorder="1" applyAlignment="1">
      <alignment horizontal="center" vertical="center"/>
    </xf>
    <xf numFmtId="4" fontId="51" fillId="2" borderId="18" xfId="0" applyNumberFormat="1" applyFont="1" applyFill="1" applyBorder="1" applyAlignment="1">
      <alignment horizontal="right" vertical="center"/>
    </xf>
    <xf numFmtId="3" fontId="51" fillId="2" borderId="18" xfId="0" applyNumberFormat="1" applyFont="1" applyFill="1" applyBorder="1" applyAlignment="1">
      <alignment horizontal="center" vertical="center"/>
    </xf>
    <xf numFmtId="4" fontId="51" fillId="11" borderId="1" xfId="0" applyNumberFormat="1" applyFont="1" applyFill="1" applyBorder="1" applyAlignment="1">
      <alignment vertical="center"/>
    </xf>
    <xf numFmtId="4" fontId="51" fillId="2" borderId="1" xfId="0" applyNumberFormat="1" applyFont="1" applyFill="1" applyBorder="1" applyAlignment="1">
      <alignment vertical="center" wrapText="1"/>
    </xf>
    <xf numFmtId="1" fontId="51" fillId="2" borderId="1" xfId="0" applyNumberFormat="1" applyFont="1" applyFill="1" applyBorder="1" applyAlignment="1">
      <alignment vertical="center" wrapText="1"/>
    </xf>
    <xf numFmtId="1" fontId="51" fillId="2" borderId="1" xfId="0" applyNumberFormat="1" applyFont="1" applyFill="1" applyBorder="1" applyAlignment="1">
      <alignment horizontal="center" vertical="center"/>
    </xf>
    <xf numFmtId="1" fontId="51" fillId="2" borderId="1" xfId="0" applyNumberFormat="1" applyFont="1" applyFill="1" applyBorder="1" applyAlignment="1">
      <alignment vertical="center"/>
    </xf>
    <xf numFmtId="1" fontId="51" fillId="2" borderId="8" xfId="0" applyNumberFormat="1" applyFont="1" applyFill="1" applyBorder="1" applyAlignment="1">
      <alignment vertical="center" wrapText="1"/>
    </xf>
    <xf numFmtId="1" fontId="51" fillId="2" borderId="15" xfId="0" applyNumberFormat="1" applyFont="1" applyFill="1" applyBorder="1" applyAlignment="1">
      <alignment horizontal="center" vertical="center"/>
    </xf>
    <xf numFmtId="1" fontId="51" fillId="2" borderId="15" xfId="0" applyNumberFormat="1" applyFont="1" applyFill="1" applyBorder="1" applyAlignment="1">
      <alignment vertical="center"/>
    </xf>
    <xf numFmtId="1" fontId="51" fillId="2" borderId="15" xfId="0" applyNumberFormat="1" applyFont="1" applyFill="1" applyBorder="1" applyAlignment="1">
      <alignment horizontal="center" vertical="center" wrapText="1"/>
    </xf>
    <xf numFmtId="1" fontId="51" fillId="2" borderId="16" xfId="0" applyNumberFormat="1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vertical="center"/>
    </xf>
    <xf numFmtId="17" fontId="6" fillId="2" borderId="1" xfId="0" applyNumberFormat="1" applyFont="1" applyFill="1" applyBorder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1" fontId="6" fillId="2" borderId="1" xfId="0" applyNumberFormat="1" applyFont="1" applyFill="1" applyBorder="1" applyAlignment="1">
      <alignment horizontal="center" vertical="center"/>
    </xf>
    <xf numFmtId="0" fontId="67" fillId="2" borderId="0" xfId="0" applyFont="1" applyFill="1" applyAlignment="1">
      <alignment horizontal="left" vertical="center"/>
    </xf>
    <xf numFmtId="4" fontId="51" fillId="2" borderId="1" xfId="12" applyNumberFormat="1" applyFont="1" applyFill="1" applyBorder="1" applyAlignment="1">
      <alignment horizontal="right" vertical="center" wrapText="1"/>
    </xf>
    <xf numFmtId="49" fontId="51" fillId="2" borderId="1" xfId="0" applyNumberFormat="1" applyFont="1" applyFill="1" applyBorder="1" applyAlignment="1">
      <alignment horizontal="center" vertical="center" wrapText="1"/>
    </xf>
    <xf numFmtId="0" fontId="67" fillId="2" borderId="1" xfId="0" applyFont="1" applyFill="1" applyBorder="1" applyAlignment="1">
      <alignment horizontal="center" vertical="center" wrapText="1"/>
    </xf>
    <xf numFmtId="0" fontId="7" fillId="2" borderId="0" xfId="0" applyFont="1" applyFill="1" applyBorder="1"/>
    <xf numFmtId="4" fontId="6" fillId="2" borderId="1" xfId="0" applyNumberFormat="1" applyFont="1" applyFill="1" applyBorder="1" applyAlignment="1">
      <alignment vertical="center"/>
    </xf>
    <xf numFmtId="4" fontId="7" fillId="2" borderId="18" xfId="0" applyNumberFormat="1" applyFont="1" applyFill="1" applyBorder="1" applyAlignment="1">
      <alignment vertical="center"/>
    </xf>
    <xf numFmtId="4" fontId="7" fillId="2" borderId="16" xfId="0" applyNumberFormat="1" applyFont="1" applyFill="1" applyBorder="1" applyAlignment="1">
      <alignment vertical="center"/>
    </xf>
    <xf numFmtId="0" fontId="51" fillId="2" borderId="17" xfId="0" applyFont="1" applyFill="1" applyBorder="1" applyAlignment="1">
      <alignment vertical="center"/>
    </xf>
    <xf numFmtId="2" fontId="51" fillId="2" borderId="1" xfId="11" applyNumberFormat="1" applyFont="1" applyFill="1" applyBorder="1" applyAlignment="1">
      <alignment horizontal="left" vertical="center" wrapText="1"/>
    </xf>
    <xf numFmtId="0" fontId="33" fillId="2" borderId="0" xfId="0" applyFont="1" applyFill="1"/>
    <xf numFmtId="168" fontId="51" fillId="2" borderId="1" xfId="0" applyNumberFormat="1" applyFont="1" applyFill="1" applyBorder="1" applyAlignment="1">
      <alignment horizontal="right" vertical="center"/>
    </xf>
    <xf numFmtId="2" fontId="51" fillId="2" borderId="1" xfId="0" applyNumberFormat="1" applyFont="1" applyFill="1" applyBorder="1" applyAlignment="1">
      <alignment horizontal="right" vertical="center"/>
    </xf>
    <xf numFmtId="2" fontId="51" fillId="2" borderId="16" xfId="0" applyNumberFormat="1" applyFont="1" applyFill="1" applyBorder="1" applyAlignment="1">
      <alignment horizontal="right" vertical="center"/>
    </xf>
    <xf numFmtId="4" fontId="51" fillId="2" borderId="16" xfId="0" applyNumberFormat="1" applyFont="1" applyFill="1" applyBorder="1" applyAlignment="1">
      <alignment horizontal="right" vertical="center"/>
    </xf>
    <xf numFmtId="3" fontId="51" fillId="2" borderId="16" xfId="0" applyNumberFormat="1" applyFont="1" applyFill="1" applyBorder="1" applyAlignment="1">
      <alignment horizontal="center" vertical="center"/>
    </xf>
    <xf numFmtId="0" fontId="51" fillId="2" borderId="17" xfId="0" applyNumberFormat="1" applyFont="1" applyFill="1" applyBorder="1" applyAlignment="1">
      <alignment vertical="center" wrapText="1"/>
    </xf>
    <xf numFmtId="4" fontId="51" fillId="2" borderId="18" xfId="8" applyNumberFormat="1" applyFont="1" applyFill="1" applyBorder="1" applyAlignment="1">
      <alignment horizontal="right" vertical="center"/>
    </xf>
    <xf numFmtId="2" fontId="6" fillId="2" borderId="1" xfId="0" applyNumberFormat="1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justify" vertical="center"/>
    </xf>
    <xf numFmtId="170" fontId="6" fillId="2" borderId="1" xfId="8" applyNumberFormat="1" applyFont="1" applyFill="1" applyBorder="1" applyAlignment="1" applyProtection="1">
      <alignment horizontal="center" vertical="center"/>
    </xf>
    <xf numFmtId="0" fontId="54" fillId="2" borderId="1" xfId="8" applyNumberFormat="1" applyFont="1" applyFill="1" applyBorder="1" applyAlignment="1" applyProtection="1">
      <alignment horizontal="right" vertical="center"/>
    </xf>
    <xf numFmtId="3" fontId="54" fillId="2" borderId="1" xfId="8" applyNumberFormat="1" applyFont="1" applyFill="1" applyBorder="1" applyAlignment="1" applyProtection="1">
      <alignment horizontal="center" vertical="center"/>
    </xf>
    <xf numFmtId="4" fontId="54" fillId="2" borderId="1" xfId="8" applyNumberFormat="1" applyFont="1" applyFill="1" applyBorder="1" applyAlignment="1" applyProtection="1">
      <alignment horizontal="right" vertical="center"/>
    </xf>
    <xf numFmtId="4" fontId="6" fillId="2" borderId="1" xfId="0" applyNumberFormat="1" applyFont="1" applyFill="1" applyBorder="1" applyAlignment="1">
      <alignment vertical="center" wrapText="1"/>
    </xf>
    <xf numFmtId="0" fontId="6" fillId="2" borderId="1" xfId="0" applyFont="1" applyFill="1" applyBorder="1" applyAlignment="1">
      <alignment wrapText="1"/>
    </xf>
    <xf numFmtId="4" fontId="51" fillId="11" borderId="1" xfId="0" applyNumberFormat="1" applyFont="1" applyFill="1" applyBorder="1" applyAlignment="1">
      <alignment horizontal="right" vertical="center"/>
    </xf>
    <xf numFmtId="0" fontId="51" fillId="2" borderId="8" xfId="0" applyFont="1" applyFill="1" applyBorder="1" applyAlignment="1">
      <alignment horizontal="center" vertical="center" wrapText="1"/>
    </xf>
    <xf numFmtId="0" fontId="51" fillId="2" borderId="23" xfId="0" applyFont="1" applyFill="1" applyBorder="1" applyAlignment="1">
      <alignment horizontal="center" vertical="center" wrapText="1"/>
    </xf>
    <xf numFmtId="0" fontId="51" fillId="2" borderId="18" xfId="0" applyFont="1" applyFill="1" applyBorder="1" applyAlignment="1">
      <alignment vertical="center" wrapText="1"/>
    </xf>
    <xf numFmtId="4" fontId="51" fillId="2" borderId="18" xfId="0" applyNumberFormat="1" applyFont="1" applyFill="1" applyBorder="1" applyAlignment="1">
      <alignment horizontal="right" vertical="center" wrapText="1"/>
    </xf>
    <xf numFmtId="3" fontId="51" fillId="2" borderId="18" xfId="0" applyNumberFormat="1" applyFont="1" applyFill="1" applyBorder="1" applyAlignment="1">
      <alignment horizontal="center" vertical="center" wrapText="1"/>
    </xf>
    <xf numFmtId="3" fontId="51" fillId="2" borderId="1" xfId="0" applyNumberFormat="1" applyFont="1" applyFill="1" applyBorder="1" applyAlignment="1">
      <alignment horizontal="right" vertical="center" wrapText="1"/>
    </xf>
    <xf numFmtId="4" fontId="51" fillId="2" borderId="1" xfId="8" applyNumberFormat="1" applyFont="1" applyFill="1" applyBorder="1" applyAlignment="1">
      <alignment horizontal="right" vertical="center" wrapText="1"/>
    </xf>
    <xf numFmtId="0" fontId="51" fillId="2" borderId="1" xfId="10" applyFont="1" applyFill="1" applyBorder="1" applyAlignment="1">
      <alignment horizontal="center" vertical="center" wrapText="1"/>
    </xf>
    <xf numFmtId="2" fontId="6" fillId="2" borderId="1" xfId="0" applyNumberFormat="1" applyFont="1" applyFill="1" applyBorder="1" applyAlignment="1">
      <alignment horizontal="right" vertical="center" wrapText="1"/>
    </xf>
    <xf numFmtId="4" fontId="51" fillId="2" borderId="1" xfId="8" applyNumberFormat="1" applyFont="1" applyFill="1" applyBorder="1" applyAlignment="1" applyProtection="1">
      <alignment horizontal="right" vertical="center"/>
    </xf>
    <xf numFmtId="0" fontId="7" fillId="2" borderId="1" xfId="0" applyFont="1" applyFill="1" applyBorder="1" applyAlignment="1">
      <alignment vertical="center"/>
    </xf>
    <xf numFmtId="172" fontId="51" fillId="2" borderId="1" xfId="0" applyNumberFormat="1" applyFont="1" applyFill="1" applyBorder="1" applyAlignment="1">
      <alignment horizontal="center" vertical="center"/>
    </xf>
    <xf numFmtId="3" fontId="51" fillId="2" borderId="0" xfId="0" applyNumberFormat="1" applyFont="1" applyFill="1" applyAlignment="1">
      <alignment horizontal="center" vertical="center"/>
    </xf>
    <xf numFmtId="164" fontId="6" fillId="2" borderId="1" xfId="0" applyNumberFormat="1" applyFont="1" applyFill="1" applyBorder="1" applyAlignment="1">
      <alignment horizontal="left" vertical="center" wrapText="1"/>
    </xf>
    <xf numFmtId="0" fontId="51" fillId="2" borderId="1" xfId="0" applyNumberFormat="1" applyFont="1" applyFill="1" applyBorder="1" applyAlignment="1">
      <alignment horizontal="center" vertical="center" wrapText="1"/>
    </xf>
    <xf numFmtId="2" fontId="51" fillId="2" borderId="1" xfId="0" applyNumberFormat="1" applyFont="1" applyFill="1" applyBorder="1" applyAlignment="1">
      <alignment vertical="center" wrapText="1"/>
    </xf>
    <xf numFmtId="0" fontId="7" fillId="2" borderId="27" xfId="0" applyFont="1" applyFill="1" applyBorder="1" applyAlignment="1">
      <alignment vertical="center" wrapText="1"/>
    </xf>
    <xf numFmtId="0" fontId="51" fillId="2" borderId="18" xfId="0" applyFont="1" applyFill="1" applyBorder="1" applyAlignment="1">
      <alignment horizontal="left" vertical="center" wrapText="1"/>
    </xf>
    <xf numFmtId="0" fontId="59" fillId="2" borderId="0" xfId="0" applyFont="1" applyFill="1" applyAlignment="1">
      <alignment vertical="center" wrapText="1"/>
    </xf>
    <xf numFmtId="4" fontId="51" fillId="2" borderId="15" xfId="0" applyNumberFormat="1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left" vertical="center" wrapText="1"/>
    </xf>
    <xf numFmtId="0" fontId="6" fillId="2" borderId="17" xfId="0" applyFont="1" applyFill="1" applyBorder="1" applyAlignment="1">
      <alignment vertical="center" wrapText="1"/>
    </xf>
    <xf numFmtId="168" fontId="51" fillId="2" borderId="1" xfId="0" applyNumberFormat="1" applyFont="1" applyFill="1" applyBorder="1" applyAlignment="1">
      <alignment vertical="center"/>
    </xf>
    <xf numFmtId="2" fontId="6" fillId="2" borderId="1" xfId="0" applyNumberFormat="1" applyFont="1" applyFill="1" applyBorder="1" applyAlignment="1">
      <alignment horizontal="right" vertical="center"/>
    </xf>
    <xf numFmtId="3" fontId="51" fillId="2" borderId="1" xfId="8" applyNumberFormat="1" applyFont="1" applyFill="1" applyBorder="1" applyAlignment="1">
      <alignment horizontal="center" vertical="center"/>
    </xf>
    <xf numFmtId="4" fontId="7" fillId="2" borderId="0" xfId="0" applyNumberFormat="1" applyFont="1" applyFill="1" applyAlignment="1">
      <alignment horizontal="right" vertical="center"/>
    </xf>
    <xf numFmtId="3" fontId="7" fillId="2" borderId="16" xfId="0" applyNumberFormat="1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51" fillId="2" borderId="8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/>
    </xf>
    <xf numFmtId="4" fontId="54" fillId="2" borderId="1" xfId="8" applyNumberFormat="1" applyFont="1" applyFill="1" applyBorder="1" applyAlignment="1" applyProtection="1">
      <alignment vertical="center"/>
    </xf>
    <xf numFmtId="169" fontId="54" fillId="2" borderId="28" xfId="8" applyNumberFormat="1" applyFont="1" applyFill="1" applyBorder="1" applyAlignment="1" applyProtection="1">
      <alignment vertical="center"/>
    </xf>
    <xf numFmtId="0" fontId="60" fillId="2" borderId="28" xfId="8" applyNumberFormat="1" applyFont="1" applyFill="1" applyBorder="1" applyAlignment="1" applyProtection="1">
      <alignment horizontal="center" vertical="center"/>
    </xf>
    <xf numFmtId="0" fontId="6" fillId="2" borderId="28" xfId="8" applyNumberFormat="1" applyFont="1" applyFill="1" applyBorder="1" applyAlignment="1" applyProtection="1">
      <alignment horizontal="center" vertical="center"/>
    </xf>
    <xf numFmtId="0" fontId="6" fillId="2" borderId="28" xfId="8" applyNumberFormat="1" applyFont="1" applyFill="1" applyBorder="1" applyAlignment="1" applyProtection="1">
      <alignment vertical="center"/>
    </xf>
    <xf numFmtId="0" fontId="54" fillId="2" borderId="28" xfId="8" applyNumberFormat="1" applyFont="1" applyFill="1" applyBorder="1" applyAlignment="1" applyProtection="1">
      <alignment horizontal="right" vertical="center"/>
    </xf>
    <xf numFmtId="0" fontId="54" fillId="2" borderId="28" xfId="8" applyNumberFormat="1" applyFont="1" applyFill="1" applyBorder="1" applyAlignment="1" applyProtection="1">
      <alignment vertical="center"/>
    </xf>
    <xf numFmtId="3" fontId="54" fillId="2" borderId="28" xfId="8" applyNumberFormat="1" applyFont="1" applyFill="1" applyBorder="1" applyAlignment="1" applyProtection="1">
      <alignment horizontal="center" vertical="center"/>
    </xf>
    <xf numFmtId="4" fontId="6" fillId="2" borderId="15" xfId="0" applyNumberFormat="1" applyFont="1" applyFill="1" applyBorder="1" applyAlignment="1">
      <alignment vertical="center" wrapText="1"/>
    </xf>
    <xf numFmtId="0" fontId="50" fillId="2" borderId="28" xfId="8" applyNumberFormat="1" applyFont="1" applyFill="1" applyBorder="1" applyAlignment="1" applyProtection="1">
      <alignment horizontal="center" vertical="center"/>
    </xf>
    <xf numFmtId="170" fontId="51" fillId="2" borderId="28" xfId="8" applyNumberFormat="1" applyFont="1" applyFill="1" applyBorder="1" applyAlignment="1" applyProtection="1">
      <alignment horizontal="center" vertical="center"/>
    </xf>
    <xf numFmtId="0" fontId="51" fillId="2" borderId="28" xfId="8" applyNumberFormat="1" applyFont="1" applyFill="1" applyBorder="1" applyAlignment="1" applyProtection="1">
      <alignment horizontal="center" vertical="center"/>
    </xf>
    <xf numFmtId="0" fontId="51" fillId="2" borderId="28" xfId="8" applyNumberFormat="1" applyFont="1" applyFill="1" applyBorder="1" applyAlignment="1" applyProtection="1">
      <alignment vertical="center"/>
    </xf>
    <xf numFmtId="0" fontId="61" fillId="2" borderId="28" xfId="8" applyNumberFormat="1" applyFont="1" applyFill="1" applyBorder="1" applyAlignment="1" applyProtection="1">
      <alignment vertical="center"/>
    </xf>
    <xf numFmtId="3" fontId="61" fillId="2" borderId="28" xfId="8" applyNumberFormat="1" applyFont="1" applyFill="1" applyBorder="1" applyAlignment="1" applyProtection="1">
      <alignment horizontal="center" vertical="center"/>
    </xf>
    <xf numFmtId="4" fontId="51" fillId="2" borderId="15" xfId="0" applyNumberFormat="1" applyFont="1" applyFill="1" applyBorder="1" applyAlignment="1">
      <alignment vertical="center" wrapText="1"/>
    </xf>
    <xf numFmtId="0" fontId="52" fillId="2" borderId="1" xfId="0" applyFont="1" applyFill="1" applyBorder="1" applyAlignment="1">
      <alignment horizontal="left" vertical="center" wrapText="1" shrinkToFit="1"/>
    </xf>
    <xf numFmtId="2" fontId="51" fillId="2" borderId="1" xfId="0" applyNumberFormat="1" applyFont="1" applyFill="1" applyBorder="1" applyAlignment="1">
      <alignment horizontal="left" vertical="center" wrapText="1"/>
    </xf>
    <xf numFmtId="0" fontId="51" fillId="2" borderId="1" xfId="0" applyFont="1" applyFill="1" applyBorder="1" applyAlignment="1">
      <alignment vertical="center" wrapText="1" shrinkToFit="1"/>
    </xf>
    <xf numFmtId="0" fontId="51" fillId="2" borderId="1" xfId="0" applyFont="1" applyFill="1" applyBorder="1" applyAlignment="1">
      <alignment horizontal="center" vertical="center" wrapText="1" shrinkToFit="1"/>
    </xf>
    <xf numFmtId="0" fontId="51" fillId="2" borderId="1" xfId="0" applyFont="1" applyFill="1" applyBorder="1" applyAlignment="1">
      <alignment horizontal="left" vertical="center" wrapText="1" shrinkToFit="1"/>
    </xf>
    <xf numFmtId="172" fontId="51" fillId="2" borderId="1" xfId="0" applyNumberFormat="1" applyFont="1" applyFill="1" applyBorder="1" applyAlignment="1">
      <alignment horizontal="right" vertical="center"/>
    </xf>
    <xf numFmtId="166" fontId="51" fillId="2" borderId="17" xfId="0" applyNumberFormat="1" applyFont="1" applyFill="1" applyBorder="1" applyAlignment="1">
      <alignment vertical="center" wrapText="1"/>
    </xf>
    <xf numFmtId="1" fontId="51" fillId="2" borderId="17" xfId="0" applyNumberFormat="1" applyFont="1" applyFill="1" applyBorder="1" applyAlignment="1">
      <alignment horizontal="center" vertical="center" wrapText="1"/>
    </xf>
    <xf numFmtId="0" fontId="51" fillId="2" borderId="17" xfId="0" applyFont="1" applyFill="1" applyBorder="1" applyAlignment="1">
      <alignment horizontal="right" vertical="center" wrapText="1"/>
    </xf>
    <xf numFmtId="3" fontId="51" fillId="2" borderId="17" xfId="0" applyNumberFormat="1" applyFont="1" applyFill="1" applyBorder="1" applyAlignment="1">
      <alignment horizontal="center" vertical="center" wrapText="1"/>
    </xf>
    <xf numFmtId="166" fontId="51" fillId="2" borderId="1" xfId="0" applyNumberFormat="1" applyFont="1" applyFill="1" applyBorder="1" applyAlignment="1">
      <alignment vertical="center" wrapText="1"/>
    </xf>
    <xf numFmtId="172" fontId="51" fillId="2" borderId="1" xfId="0" applyNumberFormat="1" applyFont="1" applyFill="1" applyBorder="1" applyAlignment="1">
      <alignment horizontal="right" vertical="center" wrapText="1"/>
    </xf>
    <xf numFmtId="0" fontId="51" fillId="2" borderId="1" xfId="0" applyFont="1" applyFill="1" applyBorder="1" applyAlignment="1">
      <alignment horizontal="right" vertical="center" wrapText="1"/>
    </xf>
    <xf numFmtId="0" fontId="51" fillId="2" borderId="1" xfId="0" applyFont="1" applyFill="1" applyBorder="1" applyAlignment="1">
      <alignment horizontal="justify" vertical="center" wrapText="1"/>
    </xf>
    <xf numFmtId="1" fontId="7" fillId="2" borderId="1" xfId="0" applyNumberFormat="1" applyFont="1" applyFill="1" applyBorder="1" applyAlignment="1">
      <alignment vertical="center" wrapText="1"/>
    </xf>
    <xf numFmtId="1" fontId="7" fillId="2" borderId="1" xfId="0" applyNumberFormat="1" applyFont="1" applyFill="1" applyBorder="1" applyAlignment="1">
      <alignment horizontal="center" vertical="center" wrapText="1"/>
    </xf>
    <xf numFmtId="1" fontId="51" fillId="2" borderId="8" xfId="0" applyNumberFormat="1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 wrapText="1"/>
    </xf>
    <xf numFmtId="172" fontId="10" fillId="2" borderId="1" xfId="0" applyNumberFormat="1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53" fillId="2" borderId="1" xfId="0" applyFont="1" applyFill="1" applyBorder="1" applyAlignment="1">
      <alignment horizontal="center" vertical="center"/>
    </xf>
    <xf numFmtId="0" fontId="53" fillId="2" borderId="1" xfId="0" applyNumberFormat="1" applyFont="1" applyFill="1" applyBorder="1" applyAlignment="1">
      <alignment horizontal="center" vertical="center"/>
    </xf>
    <xf numFmtId="3" fontId="53" fillId="2" borderId="1" xfId="0" applyNumberFormat="1" applyFont="1" applyFill="1" applyBorder="1" applyAlignment="1">
      <alignment horizontal="center" vertical="center"/>
    </xf>
    <xf numFmtId="0" fontId="10" fillId="2" borderId="0" xfId="0" applyFont="1" applyFill="1"/>
    <xf numFmtId="0" fontId="10" fillId="2" borderId="1" xfId="0" applyFont="1" applyFill="1" applyBorder="1" applyAlignment="1">
      <alignment horizontal="left" vertical="center" wrapText="1"/>
    </xf>
    <xf numFmtId="1" fontId="10" fillId="2" borderId="1" xfId="0" applyNumberFormat="1" applyFont="1" applyFill="1" applyBorder="1" applyAlignment="1">
      <alignment horizontal="center" vertical="center"/>
    </xf>
    <xf numFmtId="4" fontId="10" fillId="2" borderId="1" xfId="0" applyNumberFormat="1" applyFont="1" applyFill="1" applyBorder="1" applyAlignment="1">
      <alignment horizontal="right" vertical="center"/>
    </xf>
    <xf numFmtId="0" fontId="10" fillId="2" borderId="1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 wrapText="1"/>
    </xf>
    <xf numFmtId="1" fontId="10" fillId="2" borderId="0" xfId="0" applyNumberFormat="1" applyFont="1" applyFill="1" applyBorder="1" applyAlignment="1">
      <alignment horizontal="center" vertical="center"/>
    </xf>
    <xf numFmtId="4" fontId="10" fillId="2" borderId="0" xfId="0" applyNumberFormat="1" applyFont="1" applyFill="1" applyBorder="1" applyAlignment="1">
      <alignment horizontal="right" vertical="center"/>
    </xf>
    <xf numFmtId="4" fontId="9" fillId="2" borderId="1" xfId="0" applyNumberFormat="1" applyFont="1" applyFill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center" vertical="center"/>
    </xf>
    <xf numFmtId="4" fontId="9" fillId="2" borderId="1" xfId="0" applyNumberFormat="1" applyFont="1" applyFill="1" applyBorder="1" applyAlignment="1">
      <alignment horizontal="right" vertical="center"/>
    </xf>
    <xf numFmtId="0" fontId="18" fillId="2" borderId="0" xfId="0" applyFont="1" applyFill="1" applyAlignment="1">
      <alignment horizontal="center" vertical="center"/>
    </xf>
    <xf numFmtId="172" fontId="26" fillId="2" borderId="0" xfId="0" applyNumberFormat="1" applyFont="1" applyFill="1"/>
    <xf numFmtId="3" fontId="26" fillId="2" borderId="0" xfId="0" applyNumberFormat="1" applyFont="1" applyFill="1"/>
    <xf numFmtId="0" fontId="26" fillId="2" borderId="0" xfId="0" applyNumberFormat="1" applyFont="1" applyFill="1"/>
    <xf numFmtId="0" fontId="10" fillId="2" borderId="1" xfId="0" applyFont="1" applyFill="1" applyBorder="1" applyAlignment="1">
      <alignment horizontal="center" vertical="center"/>
    </xf>
    <xf numFmtId="0" fontId="51" fillId="2" borderId="8" xfId="0" applyFont="1" applyFill="1" applyBorder="1" applyAlignment="1">
      <alignment horizontal="left" vertical="center"/>
    </xf>
    <xf numFmtId="0" fontId="51" fillId="2" borderId="1" xfId="0" applyFont="1" applyFill="1" applyBorder="1" applyAlignment="1">
      <alignment vertical="center"/>
    </xf>
    <xf numFmtId="0" fontId="51" fillId="2" borderId="8" xfId="0" applyFont="1" applyFill="1" applyBorder="1" applyAlignment="1">
      <alignment vertical="center" wrapText="1"/>
    </xf>
    <xf numFmtId="0" fontId="51" fillId="2" borderId="16" xfId="0" applyFont="1" applyFill="1" applyBorder="1" applyAlignment="1">
      <alignment vertical="center" wrapText="1"/>
    </xf>
    <xf numFmtId="0" fontId="51" fillId="2" borderId="1" xfId="0" applyFont="1" applyFill="1" applyBorder="1" applyAlignment="1">
      <alignment horizontal="left"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50" fillId="2" borderId="0" xfId="0" applyFont="1" applyFill="1" applyAlignment="1">
      <alignment vertical="center"/>
    </xf>
    <xf numFmtId="0" fontId="50" fillId="2" borderId="0" xfId="0" applyFont="1" applyFill="1" applyAlignment="1">
      <alignment horizontal="center" vertical="center"/>
    </xf>
    <xf numFmtId="4" fontId="51" fillId="2" borderId="1" xfId="0" applyNumberFormat="1" applyFont="1" applyFill="1" applyBorder="1" applyAlignment="1">
      <alignment horizontal="center" vertical="center" textRotation="90" wrapText="1"/>
    </xf>
    <xf numFmtId="0" fontId="51" fillId="2" borderId="17" xfId="0" applyFont="1" applyFill="1" applyBorder="1" applyAlignment="1">
      <alignment horizontal="center" vertical="center" wrapText="1"/>
    </xf>
    <xf numFmtId="0" fontId="51" fillId="2" borderId="18" xfId="0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center" vertical="center"/>
    </xf>
    <xf numFmtId="4" fontId="51" fillId="2" borderId="1" xfId="0" applyNumberFormat="1" applyFont="1" applyFill="1" applyBorder="1" applyAlignment="1">
      <alignment horizontal="center" vertical="center" wrapText="1"/>
    </xf>
    <xf numFmtId="0" fontId="51" fillId="2" borderId="8" xfId="0" applyFont="1" applyFill="1" applyBorder="1" applyAlignment="1">
      <alignment horizontal="left" vertical="center" wrapText="1"/>
    </xf>
    <xf numFmtId="0" fontId="51" fillId="2" borderId="15" xfId="0" applyFont="1" applyFill="1" applyBorder="1" applyAlignment="1">
      <alignment horizontal="left" vertical="center" wrapText="1"/>
    </xf>
    <xf numFmtId="0" fontId="51" fillId="2" borderId="16" xfId="0" applyFont="1" applyFill="1" applyBorder="1" applyAlignment="1">
      <alignment horizontal="left" vertical="center" wrapText="1"/>
    </xf>
    <xf numFmtId="0" fontId="51" fillId="2" borderId="1" xfId="0" applyFont="1" applyFill="1" applyBorder="1" applyAlignment="1">
      <alignment vertical="center" wrapText="1"/>
    </xf>
    <xf numFmtId="0" fontId="51" fillId="2" borderId="8" xfId="0" applyFont="1" applyFill="1" applyBorder="1" applyAlignment="1">
      <alignment vertical="center"/>
    </xf>
    <xf numFmtId="0" fontId="51" fillId="2" borderId="15" xfId="0" applyFont="1" applyFill="1" applyBorder="1" applyAlignment="1">
      <alignment vertical="center"/>
    </xf>
    <xf numFmtId="0" fontId="51" fillId="2" borderId="16" xfId="0" applyFont="1" applyFill="1" applyBorder="1" applyAlignment="1">
      <alignment vertical="center"/>
    </xf>
    <xf numFmtId="0" fontId="7" fillId="2" borderId="8" xfId="0" applyFont="1" applyFill="1" applyBorder="1" applyAlignment="1">
      <alignment horizontal="left" vertical="center" wrapText="1"/>
    </xf>
    <xf numFmtId="0" fontId="51" fillId="2" borderId="1" xfId="0" applyFont="1" applyFill="1" applyBorder="1" applyAlignment="1">
      <alignment horizontal="left" vertical="center"/>
    </xf>
    <xf numFmtId="0" fontId="56" fillId="2" borderId="1" xfId="0" applyFont="1" applyFill="1" applyBorder="1" applyAlignment="1">
      <alignment horizontal="center" vertical="center"/>
    </xf>
    <xf numFmtId="0" fontId="70" fillId="2" borderId="1" xfId="0" applyFont="1" applyFill="1" applyBorder="1" applyAlignment="1">
      <alignment horizontal="left" vertical="center" wrapText="1"/>
    </xf>
    <xf numFmtId="4" fontId="70" fillId="2" borderId="1" xfId="0" applyNumberFormat="1" applyFont="1" applyFill="1" applyBorder="1" applyAlignment="1">
      <alignment horizontal="right" vertical="center" wrapText="1"/>
    </xf>
    <xf numFmtId="0" fontId="70" fillId="2" borderId="0" xfId="0" applyFont="1" applyFill="1" applyBorder="1" applyAlignment="1">
      <alignment horizontal="center" vertical="center"/>
    </xf>
    <xf numFmtId="0" fontId="70" fillId="2" borderId="0" xfId="0" applyFont="1" applyFill="1" applyBorder="1" applyAlignment="1">
      <alignment horizontal="right" vertical="center"/>
    </xf>
    <xf numFmtId="0" fontId="70" fillId="2" borderId="0" xfId="0" applyFont="1" applyFill="1" applyAlignment="1">
      <alignment horizontal="center" vertical="center"/>
    </xf>
    <xf numFmtId="0" fontId="70" fillId="2" borderId="0" xfId="0" applyFont="1" applyFill="1" applyAlignment="1">
      <alignment vertical="center"/>
    </xf>
    <xf numFmtId="0" fontId="70" fillId="2" borderId="1" xfId="0" applyFont="1" applyFill="1" applyBorder="1" applyAlignment="1">
      <alignment horizontal="center" vertical="center"/>
    </xf>
    <xf numFmtId="1" fontId="70" fillId="2" borderId="1" xfId="0" applyNumberFormat="1" applyFont="1" applyFill="1" applyBorder="1" applyAlignment="1">
      <alignment horizontal="right" vertical="center"/>
    </xf>
    <xf numFmtId="0" fontId="70" fillId="2" borderId="1" xfId="0" applyNumberFormat="1" applyFont="1" applyFill="1" applyBorder="1" applyAlignment="1">
      <alignment horizontal="center" vertical="center"/>
    </xf>
    <xf numFmtId="4" fontId="70" fillId="2" borderId="1" xfId="0" applyNumberFormat="1" applyFont="1" applyFill="1" applyBorder="1" applyAlignment="1">
      <alignment horizontal="center" vertical="center"/>
    </xf>
    <xf numFmtId="0" fontId="70" fillId="2" borderId="1" xfId="0" applyFont="1" applyFill="1" applyBorder="1" applyAlignment="1">
      <alignment vertical="center" wrapText="1"/>
    </xf>
    <xf numFmtId="1" fontId="70" fillId="2" borderId="1" xfId="0" applyNumberFormat="1" applyFont="1" applyFill="1" applyBorder="1" applyAlignment="1">
      <alignment horizontal="right" vertical="center" wrapText="1"/>
    </xf>
    <xf numFmtId="4" fontId="70" fillId="2" borderId="0" xfId="0" applyNumberFormat="1" applyFont="1" applyFill="1" applyAlignment="1">
      <alignment vertical="center" wrapText="1"/>
    </xf>
    <xf numFmtId="0" fontId="70" fillId="2" borderId="0" xfId="0" applyFont="1" applyFill="1" applyAlignment="1">
      <alignment vertical="center" wrapText="1"/>
    </xf>
    <xf numFmtId="0" fontId="70" fillId="2" borderId="1" xfId="0" applyFont="1" applyFill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left" vertical="center" wrapText="1"/>
    </xf>
    <xf numFmtId="4" fontId="70" fillId="2" borderId="1" xfId="12" applyNumberFormat="1" applyFont="1" applyFill="1" applyBorder="1" applyAlignment="1">
      <alignment horizontal="right" vertical="center" wrapText="1"/>
    </xf>
    <xf numFmtId="0" fontId="73" fillId="2" borderId="0" xfId="0" applyFont="1" applyFill="1" applyAlignment="1">
      <alignment vertical="center" wrapText="1"/>
    </xf>
    <xf numFmtId="0" fontId="74" fillId="2" borderId="0" xfId="0" applyFont="1" applyFill="1" applyAlignment="1">
      <alignment vertical="center" wrapText="1"/>
    </xf>
    <xf numFmtId="0" fontId="70" fillId="2" borderId="0" xfId="0" applyFont="1" applyFill="1" applyAlignment="1">
      <alignment horizontal="center" vertical="center" wrapText="1"/>
    </xf>
    <xf numFmtId="0" fontId="75" fillId="2" borderId="0" xfId="0" applyFont="1" applyFill="1" applyAlignment="1">
      <alignment vertical="center" wrapText="1"/>
    </xf>
    <xf numFmtId="4" fontId="70" fillId="2" borderId="1" xfId="0" applyNumberFormat="1" applyFont="1" applyFill="1" applyBorder="1" applyAlignment="1">
      <alignment vertical="center" wrapText="1"/>
    </xf>
    <xf numFmtId="4" fontId="72" fillId="2" borderId="1" xfId="0" applyNumberFormat="1" applyFont="1" applyFill="1" applyBorder="1" applyAlignment="1">
      <alignment vertical="center" wrapText="1"/>
    </xf>
    <xf numFmtId="4" fontId="76" fillId="2" borderId="1" xfId="0" applyNumberFormat="1" applyFont="1" applyFill="1" applyBorder="1" applyAlignment="1">
      <alignment vertical="center" wrapText="1"/>
    </xf>
    <xf numFmtId="0" fontId="72" fillId="2" borderId="0" xfId="0" applyFont="1" applyFill="1" applyAlignment="1">
      <alignment wrapText="1"/>
    </xf>
    <xf numFmtId="2" fontId="70" fillId="2" borderId="1" xfId="0" applyNumberFormat="1" applyFont="1" applyFill="1" applyBorder="1" applyAlignment="1">
      <alignment horizontal="right" vertical="center" wrapText="1"/>
    </xf>
    <xf numFmtId="0" fontId="70" fillId="2" borderId="1" xfId="11" applyNumberFormat="1" applyFont="1" applyFill="1" applyBorder="1" applyAlignment="1">
      <alignment horizontal="left" vertical="center" wrapText="1"/>
    </xf>
    <xf numFmtId="0" fontId="70" fillId="2" borderId="1" xfId="0" applyFont="1" applyFill="1" applyBorder="1" applyAlignment="1">
      <alignment horizontal="center" wrapText="1"/>
    </xf>
    <xf numFmtId="0" fontId="70" fillId="2" borderId="1" xfId="0" applyFont="1" applyFill="1" applyBorder="1" applyAlignment="1">
      <alignment wrapText="1"/>
    </xf>
    <xf numFmtId="0" fontId="70" fillId="2" borderId="1" xfId="0" applyFont="1" applyFill="1" applyBorder="1" applyAlignment="1">
      <alignment horizontal="left" wrapText="1"/>
    </xf>
    <xf numFmtId="2" fontId="70" fillId="2" borderId="8" xfId="0" applyNumberFormat="1" applyFont="1" applyFill="1" applyBorder="1" applyAlignment="1">
      <alignment horizontal="left" vertical="center" wrapText="1"/>
    </xf>
    <xf numFmtId="0" fontId="72" fillId="2" borderId="0" xfId="0" applyFont="1" applyFill="1" applyAlignment="1">
      <alignment vertical="center" wrapText="1"/>
    </xf>
    <xf numFmtId="0" fontId="70" fillId="2" borderId="18" xfId="0" applyFont="1" applyFill="1" applyBorder="1" applyAlignment="1">
      <alignment vertical="center" wrapText="1"/>
    </xf>
    <xf numFmtId="0" fontId="78" fillId="2" borderId="0" xfId="0" applyFont="1" applyFill="1" applyAlignment="1">
      <alignment wrapText="1"/>
    </xf>
    <xf numFmtId="4" fontId="70" fillId="2" borderId="1" xfId="8" applyNumberFormat="1" applyFont="1" applyFill="1" applyBorder="1" applyAlignment="1" applyProtection="1">
      <alignment vertical="center" wrapText="1"/>
    </xf>
    <xf numFmtId="4" fontId="70" fillId="2" borderId="0" xfId="0" applyNumberFormat="1" applyFont="1" applyFill="1" applyBorder="1" applyAlignment="1">
      <alignment horizontal="right" vertical="center" wrapText="1"/>
    </xf>
    <xf numFmtId="4" fontId="70" fillId="2" borderId="1" xfId="0" applyNumberFormat="1" applyFont="1" applyFill="1" applyBorder="1" applyAlignment="1">
      <alignment wrapText="1"/>
    </xf>
    <xf numFmtId="0" fontId="70" fillId="2" borderId="1" xfId="0" applyFont="1" applyFill="1" applyBorder="1" applyAlignment="1">
      <alignment horizontal="left" vertical="top" wrapText="1"/>
    </xf>
    <xf numFmtId="0" fontId="70" fillId="2" borderId="18" xfId="0" applyFont="1" applyFill="1" applyBorder="1" applyAlignment="1">
      <alignment horizontal="center" vertical="center" wrapText="1"/>
    </xf>
    <xf numFmtId="4" fontId="70" fillId="2" borderId="18" xfId="0" applyNumberFormat="1" applyFont="1" applyFill="1" applyBorder="1" applyAlignment="1">
      <alignment vertical="center" wrapText="1"/>
    </xf>
    <xf numFmtId="1" fontId="70" fillId="2" borderId="18" xfId="0" applyNumberFormat="1" applyFont="1" applyFill="1" applyBorder="1" applyAlignment="1">
      <alignment horizontal="right" vertical="center" wrapText="1"/>
    </xf>
    <xf numFmtId="0" fontId="70" fillId="2" borderId="18" xfId="0" applyFont="1" applyFill="1" applyBorder="1" applyAlignment="1">
      <alignment horizontal="left" vertical="center" wrapText="1"/>
    </xf>
    <xf numFmtId="4" fontId="70" fillId="2" borderId="18" xfId="0" applyNumberFormat="1" applyFont="1" applyFill="1" applyBorder="1" applyAlignment="1">
      <alignment horizontal="right" vertical="center" wrapText="1"/>
    </xf>
    <xf numFmtId="1" fontId="70" fillId="2" borderId="18" xfId="0" applyNumberFormat="1" applyFont="1" applyFill="1" applyBorder="1" applyAlignment="1">
      <alignment horizontal="right" wrapText="1"/>
    </xf>
    <xf numFmtId="4" fontId="70" fillId="2" borderId="1" xfId="0" applyNumberFormat="1" applyFont="1" applyFill="1" applyBorder="1" applyAlignment="1">
      <alignment horizontal="right" wrapText="1"/>
    </xf>
    <xf numFmtId="4" fontId="70" fillId="2" borderId="18" xfId="0" applyNumberFormat="1" applyFont="1" applyFill="1" applyBorder="1" applyAlignment="1">
      <alignment horizontal="right" wrapText="1"/>
    </xf>
    <xf numFmtId="1" fontId="70" fillId="2" borderId="1" xfId="0" applyNumberFormat="1" applyFont="1" applyFill="1" applyBorder="1" applyAlignment="1">
      <alignment horizontal="right" wrapText="1"/>
    </xf>
    <xf numFmtId="0" fontId="70" fillId="2" borderId="17" xfId="0" applyFont="1" applyFill="1" applyBorder="1" applyAlignment="1">
      <alignment horizontal="left" vertical="center" wrapText="1"/>
    </xf>
    <xf numFmtId="4" fontId="70" fillId="2" borderId="17" xfId="0" applyNumberFormat="1" applyFont="1" applyFill="1" applyBorder="1" applyAlignment="1">
      <alignment horizontal="right" vertical="center" wrapText="1"/>
    </xf>
    <xf numFmtId="1" fontId="70" fillId="2" borderId="17" xfId="0" applyNumberFormat="1" applyFont="1" applyFill="1" applyBorder="1" applyAlignment="1">
      <alignment horizontal="right" vertical="center" wrapText="1"/>
    </xf>
    <xf numFmtId="1" fontId="70" fillId="2" borderId="17" xfId="0" applyNumberFormat="1" applyFont="1" applyFill="1" applyBorder="1" applyAlignment="1">
      <alignment horizontal="right" wrapText="1"/>
    </xf>
    <xf numFmtId="4" fontId="70" fillId="2" borderId="17" xfId="0" applyNumberFormat="1" applyFont="1" applyFill="1" applyBorder="1" applyAlignment="1">
      <alignment horizontal="right" wrapText="1"/>
    </xf>
    <xf numFmtId="4" fontId="79" fillId="2" borderId="1" xfId="0" applyNumberFormat="1" applyFont="1" applyFill="1" applyBorder="1" applyAlignment="1">
      <alignment vertical="center" wrapText="1"/>
    </xf>
    <xf numFmtId="2" fontId="70" fillId="2" borderId="1" xfId="0" applyNumberFormat="1" applyFont="1" applyFill="1" applyBorder="1" applyAlignment="1">
      <alignment vertical="center" wrapText="1"/>
    </xf>
    <xf numFmtId="49" fontId="70" fillId="2" borderId="1" xfId="0" applyNumberFormat="1" applyFont="1" applyFill="1" applyBorder="1" applyAlignment="1">
      <alignment horizontal="right" vertical="center" wrapText="1"/>
    </xf>
    <xf numFmtId="4" fontId="70" fillId="11" borderId="1" xfId="0" applyNumberFormat="1" applyFont="1" applyFill="1" applyBorder="1" applyAlignment="1">
      <alignment horizontal="right" vertical="center" wrapText="1"/>
    </xf>
    <xf numFmtId="1" fontId="70" fillId="2" borderId="1" xfId="0" applyNumberFormat="1" applyFont="1" applyFill="1" applyBorder="1" applyAlignment="1">
      <alignment vertical="center" wrapText="1"/>
    </xf>
    <xf numFmtId="0" fontId="73" fillId="2" borderId="0" xfId="0" applyFont="1" applyFill="1" applyAlignment="1">
      <alignment wrapText="1"/>
    </xf>
    <xf numFmtId="0" fontId="72" fillId="2" borderId="0" xfId="0" applyFont="1" applyFill="1" applyAlignment="1">
      <alignment horizontal="center" vertical="center" wrapText="1"/>
    </xf>
    <xf numFmtId="165" fontId="70" fillId="2" borderId="1" xfId="0" applyNumberFormat="1" applyFont="1" applyFill="1" applyBorder="1" applyAlignment="1">
      <alignment horizontal="right" vertical="center" wrapText="1"/>
    </xf>
    <xf numFmtId="4" fontId="70" fillId="2" borderId="1" xfId="12" applyNumberFormat="1" applyFont="1" applyFill="1" applyBorder="1" applyAlignment="1">
      <alignment vertical="center" wrapText="1"/>
    </xf>
    <xf numFmtId="1" fontId="70" fillId="2" borderId="1" xfId="12" applyNumberFormat="1" applyFont="1" applyFill="1" applyBorder="1" applyAlignment="1">
      <alignment horizontal="right" vertical="center" wrapText="1"/>
    </xf>
    <xf numFmtId="4" fontId="70" fillId="2" borderId="2" xfId="12" applyNumberFormat="1" applyFont="1" applyFill="1" applyBorder="1" applyAlignment="1">
      <alignment vertical="center" wrapText="1"/>
    </xf>
    <xf numFmtId="1" fontId="70" fillId="2" borderId="2" xfId="12" applyNumberFormat="1" applyFont="1" applyFill="1" applyBorder="1" applyAlignment="1">
      <alignment horizontal="right" vertical="center" wrapText="1"/>
    </xf>
    <xf numFmtId="2" fontId="70" fillId="2" borderId="1" xfId="11" applyNumberFormat="1" applyFont="1" applyFill="1" applyBorder="1" applyAlignment="1">
      <alignment horizontal="left" vertical="center" wrapText="1"/>
    </xf>
    <xf numFmtId="4" fontId="70" fillId="2" borderId="8" xfId="0" applyNumberFormat="1" applyFont="1" applyFill="1" applyBorder="1" applyAlignment="1">
      <alignment horizontal="right" vertical="center" wrapText="1"/>
    </xf>
    <xf numFmtId="3" fontId="70" fillId="2" borderId="1" xfId="0" applyNumberFormat="1" applyFont="1" applyFill="1" applyBorder="1" applyAlignment="1">
      <alignment vertical="center" wrapText="1"/>
    </xf>
    <xf numFmtId="3" fontId="70" fillId="2" borderId="8" xfId="0" applyNumberFormat="1" applyFont="1" applyFill="1" applyBorder="1" applyAlignment="1">
      <alignment vertical="center" wrapText="1"/>
    </xf>
    <xf numFmtId="3" fontId="70" fillId="2" borderId="16" xfId="0" applyNumberFormat="1" applyFont="1" applyFill="1" applyBorder="1" applyAlignment="1">
      <alignment vertical="center" wrapText="1"/>
    </xf>
    <xf numFmtId="0" fontId="70" fillId="2" borderId="0" xfId="0" applyFont="1" applyFill="1" applyAlignment="1">
      <alignment wrapText="1"/>
    </xf>
    <xf numFmtId="0" fontId="70" fillId="2" borderId="15" xfId="0" applyFont="1" applyFill="1" applyBorder="1" applyAlignment="1">
      <alignment vertical="center" wrapText="1"/>
    </xf>
    <xf numFmtId="0" fontId="70" fillId="2" borderId="17" xfId="0" applyFont="1" applyFill="1" applyBorder="1" applyAlignment="1">
      <alignment vertical="center" wrapText="1"/>
    </xf>
    <xf numFmtId="0" fontId="70" fillId="2" borderId="17" xfId="0" applyNumberFormat="1" applyFont="1" applyFill="1" applyBorder="1" applyAlignment="1">
      <alignment vertical="center" wrapText="1"/>
    </xf>
    <xf numFmtId="0" fontId="70" fillId="2" borderId="1" xfId="0" applyFont="1" applyFill="1" applyBorder="1" applyAlignment="1">
      <alignment horizontal="justify" vertical="center" wrapText="1"/>
    </xf>
    <xf numFmtId="4" fontId="80" fillId="2" borderId="1" xfId="8" applyNumberFormat="1" applyFont="1" applyFill="1" applyBorder="1" applyAlignment="1" applyProtection="1">
      <alignment horizontal="right" vertical="center" wrapText="1"/>
    </xf>
    <xf numFmtId="4" fontId="70" fillId="2" borderId="23" xfId="0" applyNumberFormat="1" applyFont="1" applyFill="1" applyBorder="1" applyAlignment="1">
      <alignment vertical="center" wrapText="1"/>
    </xf>
    <xf numFmtId="4" fontId="70" fillId="2" borderId="29" xfId="0" applyNumberFormat="1" applyFont="1" applyFill="1" applyBorder="1" applyAlignment="1">
      <alignment vertical="center" wrapText="1"/>
    </xf>
    <xf numFmtId="4" fontId="70" fillId="2" borderId="8" xfId="0" applyNumberFormat="1" applyFont="1" applyFill="1" applyBorder="1" applyAlignment="1">
      <alignment vertical="center" wrapText="1"/>
    </xf>
    <xf numFmtId="4" fontId="70" fillId="2" borderId="30" xfId="0" applyNumberFormat="1" applyFont="1" applyFill="1" applyBorder="1" applyAlignment="1">
      <alignment vertical="center" wrapText="1"/>
    </xf>
    <xf numFmtId="4" fontId="70" fillId="11" borderId="1" xfId="0" applyNumberFormat="1" applyFont="1" applyFill="1" applyBorder="1" applyAlignment="1">
      <alignment vertical="center" wrapText="1"/>
    </xf>
    <xf numFmtId="0" fontId="74" fillId="2" borderId="0" xfId="0" applyFont="1" applyFill="1" applyAlignment="1">
      <alignment wrapText="1"/>
    </xf>
    <xf numFmtId="3" fontId="70" fillId="2" borderId="0" xfId="0" applyNumberFormat="1" applyFont="1" applyFill="1" applyBorder="1" applyAlignment="1">
      <alignment wrapText="1"/>
    </xf>
    <xf numFmtId="0" fontId="70" fillId="2" borderId="0" xfId="0" applyFont="1" applyFill="1" applyBorder="1" applyAlignment="1">
      <alignment vertical="center" wrapText="1"/>
    </xf>
    <xf numFmtId="4" fontId="70" fillId="2" borderId="1" xfId="9" applyNumberFormat="1" applyFont="1" applyFill="1" applyBorder="1" applyAlignment="1">
      <alignment horizontal="right" vertical="center" wrapText="1"/>
    </xf>
    <xf numFmtId="0" fontId="70" fillId="2" borderId="17" xfId="0" applyFont="1" applyFill="1" applyBorder="1" applyAlignment="1">
      <alignment horizontal="center" vertical="center" wrapText="1"/>
    </xf>
    <xf numFmtId="4" fontId="70" fillId="2" borderId="17" xfId="0" applyNumberFormat="1" applyFont="1" applyFill="1" applyBorder="1" applyAlignment="1">
      <alignment vertical="center" wrapText="1"/>
    </xf>
    <xf numFmtId="3" fontId="70" fillId="2" borderId="1" xfId="0" applyNumberFormat="1" applyFont="1" applyFill="1" applyBorder="1" applyAlignment="1">
      <alignment horizontal="right" vertical="center" wrapText="1"/>
    </xf>
    <xf numFmtId="4" fontId="70" fillId="2" borderId="1" xfId="0" applyNumberFormat="1" applyFont="1" applyFill="1" applyBorder="1" applyAlignment="1">
      <alignment horizontal="center" vertical="center" wrapText="1"/>
    </xf>
    <xf numFmtId="0" fontId="81" fillId="2" borderId="0" xfId="0" applyFont="1" applyFill="1" applyAlignment="1">
      <alignment vertical="center" wrapText="1"/>
    </xf>
    <xf numFmtId="0" fontId="70" fillId="2" borderId="8" xfId="0" applyFont="1" applyFill="1" applyBorder="1" applyAlignment="1">
      <alignment horizontal="left" vertical="center" wrapText="1"/>
    </xf>
    <xf numFmtId="0" fontId="70" fillId="2" borderId="1" xfId="11" applyNumberFormat="1" applyFont="1" applyFill="1" applyBorder="1" applyAlignment="1">
      <alignment vertical="center" wrapText="1"/>
    </xf>
    <xf numFmtId="0" fontId="70" fillId="2" borderId="16" xfId="0" applyFont="1" applyFill="1" applyBorder="1" applyAlignment="1">
      <alignment vertical="center" wrapText="1"/>
    </xf>
    <xf numFmtId="0" fontId="70" fillId="2" borderId="1" xfId="0" applyFont="1" applyFill="1" applyBorder="1" applyAlignment="1">
      <alignment horizontal="left" vertical="center" wrapText="1" shrinkToFit="1"/>
    </xf>
    <xf numFmtId="2" fontId="70" fillId="2" borderId="1" xfId="0" applyNumberFormat="1" applyFont="1" applyFill="1" applyBorder="1" applyAlignment="1">
      <alignment horizontal="left" vertical="center" wrapText="1"/>
    </xf>
    <xf numFmtId="167" fontId="70" fillId="2" borderId="1" xfId="0" applyNumberFormat="1" applyFont="1" applyFill="1" applyBorder="1" applyAlignment="1">
      <alignment vertical="center" wrapText="1"/>
    </xf>
    <xf numFmtId="166" fontId="70" fillId="2" borderId="1" xfId="0" applyNumberFormat="1" applyFont="1" applyFill="1" applyBorder="1" applyAlignment="1">
      <alignment vertical="center" wrapText="1"/>
    </xf>
    <xf numFmtId="0" fontId="78" fillId="0" borderId="0" xfId="0" applyFont="1" applyAlignment="1"/>
    <xf numFmtId="0" fontId="70" fillId="2" borderId="0" xfId="0" applyFont="1" applyFill="1" applyAlignment="1">
      <alignment horizontal="right" vertical="center"/>
    </xf>
    <xf numFmtId="1" fontId="70" fillId="2" borderId="0" xfId="0" applyNumberFormat="1" applyFont="1" applyFill="1" applyAlignment="1">
      <alignment horizontal="right" vertical="center"/>
    </xf>
    <xf numFmtId="0" fontId="70" fillId="2" borderId="0" xfId="0" applyNumberFormat="1" applyFont="1" applyFill="1" applyAlignment="1">
      <alignment horizontal="right" vertical="center"/>
    </xf>
    <xf numFmtId="4" fontId="70" fillId="2" borderId="0" xfId="0" applyNumberFormat="1" applyFont="1" applyFill="1" applyAlignment="1">
      <alignment horizontal="right" vertical="center"/>
    </xf>
    <xf numFmtId="0" fontId="51" fillId="2" borderId="8" xfId="0" applyFont="1" applyFill="1" applyBorder="1" applyAlignment="1">
      <alignment horizontal="left"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left" vertical="center" wrapText="1"/>
    </xf>
    <xf numFmtId="0" fontId="51" fillId="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vertical="center" wrapText="1"/>
    </xf>
    <xf numFmtId="0" fontId="51" fillId="2" borderId="1" xfId="0" applyFont="1" applyFill="1" applyBorder="1" applyAlignment="1">
      <alignment horizontal="left" vertical="center"/>
    </xf>
    <xf numFmtId="4" fontId="51" fillId="2" borderId="1" xfId="0" applyNumberFormat="1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left"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50" fillId="2" borderId="0" xfId="0" applyFont="1" applyFill="1" applyAlignment="1">
      <alignment vertical="center"/>
    </xf>
    <xf numFmtId="0" fontId="51" fillId="2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 wrapText="1"/>
    </xf>
    <xf numFmtId="4" fontId="51" fillId="2" borderId="0" xfId="0" applyNumberFormat="1" applyFont="1" applyFill="1" applyAlignment="1">
      <alignment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left" vertical="center" wrapText="1"/>
    </xf>
    <xf numFmtId="0" fontId="51" fillId="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vertical="center" wrapText="1"/>
    </xf>
    <xf numFmtId="0" fontId="51" fillId="2" borderId="8" xfId="0" applyFont="1" applyFill="1" applyBorder="1" applyAlignment="1">
      <alignment vertical="center" wrapText="1"/>
    </xf>
    <xf numFmtId="0" fontId="51" fillId="2" borderId="8" xfId="0" applyFont="1" applyFill="1" applyBorder="1" applyAlignment="1">
      <alignment vertical="center"/>
    </xf>
    <xf numFmtId="0" fontId="51" fillId="2" borderId="15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left" vertical="center"/>
    </xf>
    <xf numFmtId="0" fontId="51" fillId="2" borderId="17" xfId="0" applyFont="1" applyFill="1" applyBorder="1" applyAlignment="1">
      <alignment horizontal="center" vertical="center" wrapText="1"/>
    </xf>
    <xf numFmtId="0" fontId="51" fillId="2" borderId="18" xfId="0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center" vertical="center"/>
    </xf>
    <xf numFmtId="0" fontId="70" fillId="2" borderId="1" xfId="0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center" vertical="center"/>
    </xf>
    <xf numFmtId="0" fontId="70" fillId="2" borderId="1" xfId="0" applyFont="1" applyFill="1" applyBorder="1" applyAlignment="1">
      <alignment horizontal="center" vertical="center" wrapText="1"/>
    </xf>
    <xf numFmtId="0" fontId="70" fillId="2" borderId="17" xfId="0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right" vertical="center"/>
    </xf>
    <xf numFmtId="0" fontId="51" fillId="2" borderId="1" xfId="0" applyFont="1" applyFill="1" applyBorder="1" applyAlignment="1">
      <alignment horizontal="center"/>
    </xf>
    <xf numFmtId="0" fontId="51" fillId="2" borderId="1" xfId="0" applyFont="1" applyFill="1" applyBorder="1" applyAlignment="1">
      <alignment horizontal="center" wrapText="1"/>
    </xf>
    <xf numFmtId="3" fontId="51" fillId="2" borderId="1" xfId="0" applyNumberFormat="1" applyFont="1" applyFill="1" applyBorder="1" applyAlignment="1">
      <alignment horizontal="center"/>
    </xf>
    <xf numFmtId="169" fontId="70" fillId="2" borderId="1" xfId="8" applyNumberFormat="1" applyFont="1" applyFill="1" applyBorder="1" applyAlignment="1" applyProtection="1">
      <alignment vertical="center" wrapText="1"/>
    </xf>
    <xf numFmtId="172" fontId="70" fillId="2" borderId="1" xfId="0" applyNumberFormat="1" applyFont="1" applyFill="1" applyBorder="1" applyAlignment="1">
      <alignment vertical="center" wrapText="1"/>
    </xf>
    <xf numFmtId="0" fontId="51" fillId="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left" vertical="center" wrapText="1"/>
    </xf>
    <xf numFmtId="0" fontId="51" fillId="2" borderId="1" xfId="0" applyFont="1" applyFill="1" applyBorder="1" applyAlignment="1">
      <alignment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 wrapText="1"/>
    </xf>
    <xf numFmtId="0" fontId="70" fillId="2" borderId="1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vertical="center"/>
    </xf>
    <xf numFmtId="0" fontId="4" fillId="6" borderId="7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 wrapText="1"/>
    </xf>
    <xf numFmtId="0" fontId="4" fillId="6" borderId="10" xfId="0" applyFont="1" applyFill="1" applyBorder="1" applyAlignment="1">
      <alignment horizontal="left" vertical="center" wrapText="1"/>
    </xf>
    <xf numFmtId="0" fontId="4" fillId="6" borderId="11" xfId="0" applyFont="1" applyFill="1" applyBorder="1" applyAlignment="1">
      <alignment horizontal="left" vertical="center" wrapText="1"/>
    </xf>
    <xf numFmtId="0" fontId="4" fillId="6" borderId="12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left" vertical="center"/>
    </xf>
    <xf numFmtId="0" fontId="4" fillId="2" borderId="11" xfId="0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left" vertical="center"/>
    </xf>
    <xf numFmtId="1" fontId="4" fillId="6" borderId="10" xfId="0" applyNumberFormat="1" applyFont="1" applyFill="1" applyBorder="1" applyAlignment="1">
      <alignment horizontal="left" vertical="center" wrapText="1"/>
    </xf>
    <xf numFmtId="1" fontId="4" fillId="6" borderId="11" xfId="0" applyNumberFormat="1" applyFont="1" applyFill="1" applyBorder="1" applyAlignment="1">
      <alignment horizontal="left" vertical="center" wrapText="1"/>
    </xf>
    <xf numFmtId="1" fontId="4" fillId="6" borderId="12" xfId="0" applyNumberFormat="1" applyFont="1" applyFill="1" applyBorder="1" applyAlignment="1">
      <alignment horizontal="left" vertical="center" wrapText="1"/>
    </xf>
    <xf numFmtId="0" fontId="33" fillId="2" borderId="7" xfId="0" applyFont="1" applyFill="1" applyBorder="1" applyAlignment="1">
      <alignment horizontal="justify" vertical="center" wrapText="1"/>
    </xf>
    <xf numFmtId="0" fontId="35" fillId="2" borderId="7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vertical="center" wrapText="1"/>
    </xf>
    <xf numFmtId="0" fontId="4" fillId="6" borderId="14" xfId="0" applyFont="1" applyFill="1" applyBorder="1" applyAlignment="1">
      <alignment vertical="center" wrapText="1"/>
    </xf>
    <xf numFmtId="0" fontId="14" fillId="2" borderId="7" xfId="0" applyFont="1" applyFill="1" applyBorder="1" applyAlignment="1">
      <alignment horizontal="center" vertical="center" textRotation="90"/>
    </xf>
    <xf numFmtId="0" fontId="14" fillId="2" borderId="7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 textRotation="90" wrapText="1"/>
    </xf>
    <xf numFmtId="0" fontId="14" fillId="2" borderId="7" xfId="0" applyFont="1" applyFill="1" applyBorder="1" applyAlignment="1">
      <alignment horizontal="center" vertical="center" wrapText="1"/>
    </xf>
    <xf numFmtId="0" fontId="36" fillId="6" borderId="7" xfId="0" applyFont="1" applyFill="1" applyBorder="1" applyAlignment="1">
      <alignment vertical="center" wrapText="1"/>
    </xf>
    <xf numFmtId="0" fontId="35" fillId="6" borderId="7" xfId="0" applyFont="1" applyFill="1" applyBorder="1" applyAlignment="1">
      <alignment horizontal="left" vertical="center" wrapText="1"/>
    </xf>
    <xf numFmtId="0" fontId="35" fillId="6" borderId="13" xfId="0" applyFont="1" applyFill="1" applyBorder="1" applyAlignment="1">
      <alignment horizontal="left" vertical="center" wrapText="1"/>
    </xf>
    <xf numFmtId="4" fontId="14" fillId="2" borderId="7" xfId="0" applyNumberFormat="1" applyFont="1" applyFill="1" applyBorder="1" applyAlignment="1">
      <alignment horizontal="center" vertical="center" textRotation="90" wrapText="1"/>
    </xf>
    <xf numFmtId="3" fontId="14" fillId="2" borderId="7" xfId="0" applyNumberFormat="1" applyFont="1" applyFill="1" applyBorder="1" applyAlignment="1">
      <alignment horizontal="center" vertical="center" textRotation="90" wrapText="1"/>
    </xf>
    <xf numFmtId="0" fontId="4" fillId="6" borderId="7" xfId="0" applyFont="1" applyFill="1" applyBorder="1" applyAlignment="1">
      <alignment horizontal="left" vertical="center" wrapText="1"/>
    </xf>
    <xf numFmtId="0" fontId="4" fillId="6" borderId="14" xfId="0" applyFont="1" applyFill="1" applyBorder="1" applyAlignment="1">
      <alignment horizontal="left" vertical="center" wrapText="1"/>
    </xf>
    <xf numFmtId="4" fontId="7" fillId="2" borderId="0" xfId="0" applyNumberFormat="1" applyFont="1" applyFill="1" applyAlignment="1">
      <alignment horizontal="left" wrapText="1"/>
    </xf>
    <xf numFmtId="0" fontId="7" fillId="2" borderId="0" xfId="0" applyFont="1" applyFill="1" applyAlignment="1">
      <alignment horizontal="left" wrapText="1"/>
    </xf>
    <xf numFmtId="4" fontId="7" fillId="2" borderId="0" xfId="0" applyNumberFormat="1" applyFont="1" applyFill="1" applyAlignment="1">
      <alignment horizontal="left" vertical="center" wrapText="1"/>
    </xf>
    <xf numFmtId="0" fontId="7" fillId="2" borderId="0" xfId="0" applyFont="1" applyFill="1" applyAlignment="1">
      <alignment horizontal="left" vertical="center" wrapText="1"/>
    </xf>
    <xf numFmtId="4" fontId="14" fillId="2" borderId="7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wrapText="1"/>
    </xf>
    <xf numFmtId="4" fontId="7" fillId="2" borderId="0" xfId="0" applyNumberFormat="1" applyFont="1" applyFill="1" applyAlignment="1">
      <alignment horizontal="center" wrapText="1"/>
    </xf>
    <xf numFmtId="172" fontId="14" fillId="2" borderId="7" xfId="0" applyNumberFormat="1" applyFont="1" applyFill="1" applyBorder="1" applyAlignment="1">
      <alignment horizontal="center" vertical="center" textRotation="90" wrapText="1"/>
    </xf>
    <xf numFmtId="0" fontId="4" fillId="2" borderId="7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center" vertical="center" wrapText="1"/>
    </xf>
    <xf numFmtId="4" fontId="6" fillId="2" borderId="0" xfId="0" applyNumberFormat="1" applyFont="1" applyFill="1" applyBorder="1" applyAlignment="1">
      <alignment horizontal="center" vertical="center" wrapText="1"/>
    </xf>
    <xf numFmtId="0" fontId="35" fillId="2" borderId="7" xfId="0" applyFont="1" applyFill="1" applyBorder="1" applyAlignment="1">
      <alignment vertical="center" wrapText="1"/>
    </xf>
    <xf numFmtId="0" fontId="35" fillId="2" borderId="14" xfId="0" applyFont="1" applyFill="1" applyBorder="1" applyAlignment="1">
      <alignment vertical="center" wrapText="1"/>
    </xf>
    <xf numFmtId="0" fontId="4" fillId="2" borderId="13" xfId="0" applyFont="1" applyFill="1" applyBorder="1" applyAlignment="1">
      <alignment vertical="center"/>
    </xf>
    <xf numFmtId="0" fontId="33" fillId="2" borderId="7" xfId="0" applyFont="1" applyFill="1" applyBorder="1" applyAlignment="1">
      <alignment horizontal="left" vertical="center" wrapText="1"/>
    </xf>
    <xf numFmtId="0" fontId="4" fillId="2" borderId="14" xfId="0" applyFont="1" applyFill="1" applyBorder="1" applyAlignment="1">
      <alignment vertical="center"/>
    </xf>
    <xf numFmtId="0" fontId="35" fillId="6" borderId="10" xfId="0" applyFont="1" applyFill="1" applyBorder="1" applyAlignment="1">
      <alignment horizontal="left" vertical="center" wrapText="1"/>
    </xf>
    <xf numFmtId="0" fontId="35" fillId="6" borderId="11" xfId="0" applyFont="1" applyFill="1" applyBorder="1" applyAlignment="1">
      <alignment horizontal="left" vertical="center" wrapText="1"/>
    </xf>
    <xf numFmtId="0" fontId="35" fillId="6" borderId="12" xfId="0" applyFont="1" applyFill="1" applyBorder="1" applyAlignment="1">
      <alignment horizontal="left" vertical="center" wrapText="1"/>
    </xf>
    <xf numFmtId="0" fontId="4" fillId="6" borderId="13" xfId="0" applyFont="1" applyFill="1" applyBorder="1" applyAlignment="1">
      <alignment vertical="center"/>
    </xf>
    <xf numFmtId="0" fontId="4" fillId="6" borderId="7" xfId="0" applyFont="1" applyFill="1" applyBorder="1" applyAlignment="1">
      <alignment horizontal="left" vertical="center"/>
    </xf>
    <xf numFmtId="0" fontId="4" fillId="7" borderId="7" xfId="0" applyFont="1" applyFill="1" applyBorder="1" applyAlignment="1">
      <alignment horizontal="left" vertical="center" wrapText="1"/>
    </xf>
    <xf numFmtId="0" fontId="35" fillId="7" borderId="13" xfId="0" applyFont="1" applyFill="1" applyBorder="1" applyAlignment="1">
      <alignment horizontal="left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vertical="center"/>
    </xf>
    <xf numFmtId="0" fontId="36" fillId="7" borderId="7" xfId="0" applyFont="1" applyFill="1" applyBorder="1" applyAlignment="1">
      <alignment vertical="center" wrapText="1"/>
    </xf>
    <xf numFmtId="0" fontId="33" fillId="7" borderId="7" xfId="0" applyFont="1" applyFill="1" applyBorder="1" applyAlignment="1">
      <alignment vertical="center" wrapText="1"/>
    </xf>
    <xf numFmtId="0" fontId="4" fillId="7" borderId="7" xfId="0" applyFont="1" applyFill="1" applyBorder="1" applyAlignment="1">
      <alignment vertical="center" wrapText="1"/>
    </xf>
    <xf numFmtId="0" fontId="33" fillId="2" borderId="7" xfId="0" applyFont="1" applyFill="1" applyBorder="1" applyAlignment="1">
      <alignment vertical="center"/>
    </xf>
    <xf numFmtId="0" fontId="4" fillId="7" borderId="13" xfId="0" applyFont="1" applyFill="1" applyBorder="1" applyAlignment="1">
      <alignment vertical="center"/>
    </xf>
    <xf numFmtId="0" fontId="4" fillId="7" borderId="14" xfId="0" applyFont="1" applyFill="1" applyBorder="1" applyAlignment="1">
      <alignment horizontal="left" vertical="center" wrapText="1"/>
    </xf>
    <xf numFmtId="0" fontId="35" fillId="0" borderId="10" xfId="0" applyFont="1" applyFill="1" applyBorder="1" applyAlignment="1">
      <alignment horizontal="left" vertical="center" wrapText="1"/>
    </xf>
    <xf numFmtId="0" fontId="35" fillId="0" borderId="11" xfId="0" applyFont="1" applyFill="1" applyBorder="1" applyAlignment="1">
      <alignment horizontal="left" vertical="center" wrapText="1"/>
    </xf>
    <xf numFmtId="0" fontId="35" fillId="0" borderId="12" xfId="0" applyFont="1" applyFill="1" applyBorder="1" applyAlignment="1">
      <alignment horizontal="left" vertical="center" wrapText="1"/>
    </xf>
    <xf numFmtId="0" fontId="4" fillId="7" borderId="14" xfId="0" applyFont="1" applyFill="1" applyBorder="1" applyAlignment="1">
      <alignment vertical="center" wrapText="1"/>
    </xf>
    <xf numFmtId="0" fontId="4" fillId="2" borderId="10" xfId="0" applyFont="1" applyFill="1" applyBorder="1" applyAlignment="1">
      <alignment vertical="center"/>
    </xf>
    <xf numFmtId="0" fontId="4" fillId="2" borderId="11" xfId="0" applyFont="1" applyFill="1" applyBorder="1" applyAlignment="1">
      <alignment vertical="center"/>
    </xf>
    <xf numFmtId="0" fontId="4" fillId="2" borderId="12" xfId="0" applyFont="1" applyFill="1" applyBorder="1" applyAlignment="1">
      <alignment vertical="center"/>
    </xf>
    <xf numFmtId="0" fontId="4" fillId="7" borderId="7" xfId="0" applyFont="1" applyFill="1" applyBorder="1" applyAlignment="1">
      <alignment horizontal="left" vertical="center"/>
    </xf>
    <xf numFmtId="0" fontId="4" fillId="8" borderId="10" xfId="0" applyFont="1" applyFill="1" applyBorder="1" applyAlignment="1">
      <alignment horizontal="center" vertical="center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left" vertical="center" wrapText="1"/>
    </xf>
    <xf numFmtId="0" fontId="4" fillId="8" borderId="14" xfId="0" applyFont="1" applyFill="1" applyBorder="1" applyAlignment="1">
      <alignment horizontal="left" vertical="center" wrapText="1"/>
    </xf>
    <xf numFmtId="0" fontId="35" fillId="8" borderId="7" xfId="0" applyFont="1" applyFill="1" applyBorder="1" applyAlignment="1">
      <alignment horizontal="left" vertical="center" wrapText="1"/>
    </xf>
    <xf numFmtId="0" fontId="35" fillId="8" borderId="13" xfId="0" applyFont="1" applyFill="1" applyBorder="1" applyAlignment="1">
      <alignment horizontal="left" vertical="center" wrapText="1"/>
    </xf>
    <xf numFmtId="0" fontId="35" fillId="7" borderId="7" xfId="0" applyFont="1" applyFill="1" applyBorder="1" applyAlignment="1">
      <alignment horizontal="left" vertical="center" wrapText="1"/>
    </xf>
    <xf numFmtId="0" fontId="4" fillId="8" borderId="7" xfId="0" applyFont="1" applyFill="1" applyBorder="1" applyAlignment="1">
      <alignment vertical="center"/>
    </xf>
    <xf numFmtId="0" fontId="36" fillId="8" borderId="7" xfId="0" applyFont="1" applyFill="1" applyBorder="1" applyAlignment="1">
      <alignment vertical="center" wrapText="1"/>
    </xf>
    <xf numFmtId="0" fontId="4" fillId="8" borderId="7" xfId="0" applyFont="1" applyFill="1" applyBorder="1" applyAlignment="1">
      <alignment vertical="center" wrapText="1"/>
    </xf>
    <xf numFmtId="0" fontId="4" fillId="8" borderId="13" xfId="0" applyFont="1" applyFill="1" applyBorder="1" applyAlignment="1">
      <alignment vertical="center"/>
    </xf>
    <xf numFmtId="0" fontId="4" fillId="8" borderId="14" xfId="0" applyFont="1" applyFill="1" applyBorder="1" applyAlignment="1">
      <alignment vertical="center" wrapText="1"/>
    </xf>
    <xf numFmtId="1" fontId="4" fillId="8" borderId="10" xfId="0" applyNumberFormat="1" applyFont="1" applyFill="1" applyBorder="1" applyAlignment="1">
      <alignment horizontal="left" vertical="center" wrapText="1"/>
    </xf>
    <xf numFmtId="1" fontId="4" fillId="8" borderId="11" xfId="0" applyNumberFormat="1" applyFont="1" applyFill="1" applyBorder="1" applyAlignment="1">
      <alignment horizontal="left" vertical="center" wrapText="1"/>
    </xf>
    <xf numFmtId="1" fontId="4" fillId="8" borderId="12" xfId="0" applyNumberFormat="1" applyFont="1" applyFill="1" applyBorder="1" applyAlignment="1">
      <alignment horizontal="left" vertical="center" wrapText="1"/>
    </xf>
    <xf numFmtId="0" fontId="4" fillId="8" borderId="7" xfId="0" applyFont="1" applyFill="1" applyBorder="1" applyAlignment="1">
      <alignment horizontal="left" vertical="center"/>
    </xf>
    <xf numFmtId="0" fontId="10" fillId="0" borderId="7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wrapText="1"/>
    </xf>
    <xf numFmtId="172" fontId="9" fillId="2" borderId="7" xfId="0" applyNumberFormat="1" applyFont="1" applyFill="1" applyBorder="1" applyAlignment="1">
      <alignment horizontal="center" vertical="center" wrapText="1"/>
    </xf>
    <xf numFmtId="3" fontId="9" fillId="2" borderId="7" xfId="0" applyNumberFormat="1" applyFont="1" applyFill="1" applyBorder="1" applyAlignment="1">
      <alignment horizontal="center" vertical="center" wrapText="1"/>
    </xf>
    <xf numFmtId="0" fontId="8" fillId="2" borderId="7" xfId="0" applyNumberFormat="1" applyFont="1" applyFill="1" applyBorder="1" applyAlignment="1">
      <alignment horizontal="center" vertical="center" wrapText="1"/>
    </xf>
    <xf numFmtId="0" fontId="32" fillId="2" borderId="0" xfId="0" applyFont="1" applyFill="1" applyBorder="1" applyAlignment="1">
      <alignment horizontal="center" vertical="center" wrapText="1"/>
    </xf>
    <xf numFmtId="0" fontId="51" fillId="2" borderId="31" xfId="0" applyFont="1" applyFill="1" applyBorder="1" applyAlignment="1">
      <alignment horizontal="left" vertical="center" wrapText="1"/>
    </xf>
    <xf numFmtId="4" fontId="56" fillId="2" borderId="0" xfId="0" applyNumberFormat="1" applyFont="1" applyFill="1" applyAlignment="1">
      <alignment horizontal="left" vertical="center" wrapText="1"/>
    </xf>
    <xf numFmtId="0" fontId="51" fillId="2" borderId="8" xfId="0" applyFont="1" applyFill="1" applyBorder="1" applyAlignment="1">
      <alignment horizontal="left" vertical="center"/>
    </xf>
    <xf numFmtId="0" fontId="51" fillId="2" borderId="15" xfId="0" applyFont="1" applyFill="1" applyBorder="1" applyAlignment="1">
      <alignment horizontal="left" vertical="center"/>
    </xf>
    <xf numFmtId="0" fontId="51" fillId="2" borderId="16" xfId="0" applyFont="1" applyFill="1" applyBorder="1" applyAlignment="1">
      <alignment horizontal="left" vertical="center"/>
    </xf>
    <xf numFmtId="0" fontId="51" fillId="2" borderId="1" xfId="0" applyFont="1" applyFill="1" applyBorder="1" applyAlignment="1">
      <alignment vertical="center"/>
    </xf>
    <xf numFmtId="0" fontId="51" fillId="2" borderId="8" xfId="0" applyFont="1" applyFill="1" applyBorder="1" applyAlignment="1">
      <alignment vertical="center" wrapText="1"/>
    </xf>
    <xf numFmtId="0" fontId="51" fillId="2" borderId="15" xfId="0" applyFont="1" applyFill="1" applyBorder="1" applyAlignment="1">
      <alignment vertical="center" wrapText="1"/>
    </xf>
    <xf numFmtId="0" fontId="51" fillId="2" borderId="16" xfId="0" applyFont="1" applyFill="1" applyBorder="1" applyAlignment="1">
      <alignment vertical="center" wrapText="1"/>
    </xf>
    <xf numFmtId="0" fontId="51" fillId="2" borderId="1" xfId="0" applyFont="1" applyFill="1" applyBorder="1" applyAlignment="1">
      <alignment horizontal="left" vertical="center" wrapText="1"/>
    </xf>
    <xf numFmtId="0" fontId="51" fillId="2" borderId="8" xfId="11" applyNumberFormat="1" applyFont="1" applyFill="1" applyBorder="1" applyAlignment="1">
      <alignment horizontal="left" vertical="center" wrapText="1"/>
    </xf>
    <xf numFmtId="0" fontId="51" fillId="2" borderId="15" xfId="11" applyNumberFormat="1" applyFont="1" applyFill="1" applyBorder="1" applyAlignment="1">
      <alignment horizontal="left" vertical="center" wrapText="1"/>
    </xf>
    <xf numFmtId="0" fontId="51" fillId="2" borderId="16" xfId="11" applyNumberFormat="1" applyFont="1" applyFill="1" applyBorder="1" applyAlignment="1">
      <alignment horizontal="left" vertical="center" wrapText="1"/>
    </xf>
    <xf numFmtId="0" fontId="56" fillId="2" borderId="0" xfId="0" applyFont="1" applyFill="1" applyAlignment="1">
      <alignment horizontal="center" vertical="center" wrapText="1"/>
    </xf>
    <xf numFmtId="0" fontId="57" fillId="2" borderId="0" xfId="0" applyFont="1" applyFill="1" applyAlignment="1">
      <alignment vertical="center"/>
    </xf>
    <xf numFmtId="0" fontId="57" fillId="2" borderId="0" xfId="0" applyFont="1" applyFill="1" applyAlignment="1">
      <alignment horizontal="center" vertical="center"/>
    </xf>
    <xf numFmtId="0" fontId="51" fillId="2" borderId="1" xfId="0" applyFont="1" applyFill="1" applyBorder="1" applyAlignment="1">
      <alignment horizontal="center" vertical="center" textRotation="90" wrapText="1"/>
    </xf>
    <xf numFmtId="4" fontId="51" fillId="2" borderId="1" xfId="0" applyNumberFormat="1" applyFont="1" applyFill="1" applyBorder="1" applyAlignment="1">
      <alignment horizontal="center" vertical="center" textRotation="90" wrapText="1"/>
    </xf>
    <xf numFmtId="0" fontId="56" fillId="2" borderId="0" xfId="0" applyFont="1" applyFill="1" applyBorder="1" applyAlignment="1">
      <alignment horizontal="center" vertical="center" wrapText="1"/>
    </xf>
    <xf numFmtId="0" fontId="57" fillId="2" borderId="0" xfId="0" applyFont="1" applyFill="1" applyBorder="1" applyAlignment="1">
      <alignment vertical="center"/>
    </xf>
    <xf numFmtId="0" fontId="57" fillId="2" borderId="0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 wrapText="1"/>
    </xf>
    <xf numFmtId="0" fontId="51" fillId="2" borderId="17" xfId="0" applyFont="1" applyFill="1" applyBorder="1" applyAlignment="1">
      <alignment horizontal="center" vertical="center" wrapText="1"/>
    </xf>
    <xf numFmtId="0" fontId="51" fillId="2" borderId="24" xfId="0" applyFont="1" applyFill="1" applyBorder="1" applyAlignment="1">
      <alignment horizontal="center" vertical="center" wrapText="1"/>
    </xf>
    <xf numFmtId="0" fontId="51" fillId="2" borderId="18" xfId="0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 textRotation="90"/>
    </xf>
    <xf numFmtId="3" fontId="51" fillId="2" borderId="1" xfId="0" applyNumberFormat="1" applyFont="1" applyFill="1" applyBorder="1" applyAlignment="1">
      <alignment horizontal="center" vertical="center" textRotation="90" wrapText="1"/>
    </xf>
    <xf numFmtId="4" fontId="51" fillId="2" borderId="1" xfId="0" applyNumberFormat="1" applyFont="1" applyFill="1" applyBorder="1" applyAlignment="1">
      <alignment horizontal="center" vertical="center" wrapText="1"/>
    </xf>
    <xf numFmtId="4" fontId="50" fillId="2" borderId="1" xfId="0" applyNumberFormat="1" applyFont="1" applyFill="1" applyBorder="1" applyAlignment="1">
      <alignment horizontal="center" vertical="center"/>
    </xf>
    <xf numFmtId="0" fontId="50" fillId="2" borderId="1" xfId="0" applyFont="1" applyFill="1" applyBorder="1" applyAlignment="1">
      <alignment vertical="center"/>
    </xf>
    <xf numFmtId="0" fontId="51" fillId="2" borderId="8" xfId="0" applyFont="1" applyFill="1" applyBorder="1" applyAlignment="1">
      <alignment horizontal="left" vertical="center" wrapText="1"/>
    </xf>
    <xf numFmtId="0" fontId="51" fillId="2" borderId="15" xfId="0" applyFont="1" applyFill="1" applyBorder="1" applyAlignment="1">
      <alignment horizontal="left" vertical="center" wrapText="1"/>
    </xf>
    <xf numFmtId="0" fontId="51" fillId="2" borderId="16" xfId="0" applyFont="1" applyFill="1" applyBorder="1" applyAlignment="1">
      <alignment horizontal="left" vertical="center" wrapText="1"/>
    </xf>
    <xf numFmtId="0" fontId="51" fillId="2" borderId="1" xfId="0" applyFont="1" applyFill="1" applyBorder="1" applyAlignment="1">
      <alignment vertical="center" wrapText="1"/>
    </xf>
    <xf numFmtId="0" fontId="51" fillId="2" borderId="8" xfId="0" applyFont="1" applyFill="1" applyBorder="1" applyAlignment="1">
      <alignment vertical="center"/>
    </xf>
    <xf numFmtId="0" fontId="51" fillId="2" borderId="15" xfId="0" applyFont="1" applyFill="1" applyBorder="1" applyAlignment="1">
      <alignment vertical="center"/>
    </xf>
    <xf numFmtId="0" fontId="51" fillId="2" borderId="16" xfId="0" applyFont="1" applyFill="1" applyBorder="1" applyAlignment="1">
      <alignment vertical="center"/>
    </xf>
    <xf numFmtId="0" fontId="7" fillId="2" borderId="8" xfId="0" applyFont="1" applyFill="1" applyBorder="1" applyAlignment="1">
      <alignment horizontal="left" vertical="center" wrapText="1"/>
    </xf>
    <xf numFmtId="0" fontId="7" fillId="2" borderId="15" xfId="0" applyFont="1" applyFill="1" applyBorder="1" applyAlignment="1">
      <alignment horizontal="left" vertical="center" wrapText="1"/>
    </xf>
    <xf numFmtId="0" fontId="7" fillId="2" borderId="16" xfId="0" applyFont="1" applyFill="1" applyBorder="1" applyAlignment="1">
      <alignment horizontal="left" vertical="center" wrapText="1"/>
    </xf>
    <xf numFmtId="0" fontId="51" fillId="2" borderId="1" xfId="0" applyFont="1" applyFill="1" applyBorder="1" applyAlignment="1">
      <alignment horizontal="left" vertical="center"/>
    </xf>
    <xf numFmtId="1" fontId="51" fillId="2" borderId="1" xfId="0" applyNumberFormat="1" applyFont="1" applyFill="1" applyBorder="1" applyAlignment="1">
      <alignment horizontal="left" vertical="center" wrapText="1"/>
    </xf>
    <xf numFmtId="2" fontId="51" fillId="2" borderId="8" xfId="0" applyNumberFormat="1" applyFont="1" applyFill="1" applyBorder="1" applyAlignment="1">
      <alignment horizontal="left" vertical="center" wrapText="1"/>
    </xf>
    <xf numFmtId="2" fontId="51" fillId="2" borderId="15" xfId="0" applyNumberFormat="1" applyFont="1" applyFill="1" applyBorder="1" applyAlignment="1">
      <alignment horizontal="left" vertical="center" wrapText="1"/>
    </xf>
    <xf numFmtId="2" fontId="51" fillId="2" borderId="16" xfId="0" applyNumberFormat="1" applyFont="1" applyFill="1" applyBorder="1" applyAlignment="1">
      <alignment horizontal="left" vertical="center" wrapText="1"/>
    </xf>
    <xf numFmtId="0" fontId="70" fillId="2" borderId="17" xfId="0" applyFont="1" applyFill="1" applyBorder="1" applyAlignment="1">
      <alignment horizontal="center" vertical="center"/>
    </xf>
    <xf numFmtId="0" fontId="70" fillId="2" borderId="18" xfId="0" applyFont="1" applyFill="1" applyBorder="1" applyAlignment="1">
      <alignment horizontal="center" vertical="center"/>
    </xf>
    <xf numFmtId="0" fontId="70" fillId="2" borderId="1" xfId="0" applyFont="1" applyFill="1" applyBorder="1" applyAlignment="1">
      <alignment horizontal="center" vertical="center" wrapText="1"/>
    </xf>
    <xf numFmtId="0" fontId="70" fillId="2" borderId="17" xfId="0" applyFont="1" applyFill="1" applyBorder="1" applyAlignment="1">
      <alignment horizontal="center" vertical="center" textRotation="90"/>
    </xf>
    <xf numFmtId="0" fontId="70" fillId="2" borderId="18" xfId="0" applyFont="1" applyFill="1" applyBorder="1" applyAlignment="1">
      <alignment horizontal="center" vertical="center" textRotation="90"/>
    </xf>
    <xf numFmtId="0" fontId="70" fillId="2" borderId="8" xfId="0" applyFont="1" applyFill="1" applyBorder="1" applyAlignment="1">
      <alignment horizontal="center" vertical="center"/>
    </xf>
    <xf numFmtId="0" fontId="70" fillId="2" borderId="15" xfId="0" applyFont="1" applyFill="1" applyBorder="1" applyAlignment="1">
      <alignment horizontal="center" vertical="center"/>
    </xf>
    <xf numFmtId="0" fontId="70" fillId="2" borderId="16" xfId="0" applyFont="1" applyFill="1" applyBorder="1" applyAlignment="1">
      <alignment horizontal="center" vertical="center"/>
    </xf>
    <xf numFmtId="0" fontId="70" fillId="2" borderId="8" xfId="0" applyFont="1" applyFill="1" applyBorder="1" applyAlignment="1">
      <alignment horizontal="center" vertical="center" wrapText="1"/>
    </xf>
    <xf numFmtId="0" fontId="70" fillId="2" borderId="15" xfId="0" applyFont="1" applyFill="1" applyBorder="1" applyAlignment="1">
      <alignment horizontal="center" vertical="center" wrapText="1"/>
    </xf>
    <xf numFmtId="0" fontId="70" fillId="2" borderId="16" xfId="0" applyFont="1" applyFill="1" applyBorder="1" applyAlignment="1">
      <alignment horizontal="center" vertical="center" wrapText="1"/>
    </xf>
    <xf numFmtId="0" fontId="70" fillId="2" borderId="0" xfId="0" applyFont="1" applyFill="1" applyBorder="1" applyAlignment="1">
      <alignment horizontal="center" vertical="center"/>
    </xf>
    <xf numFmtId="0" fontId="70" fillId="2" borderId="1" xfId="0" applyFont="1" applyFill="1" applyBorder="1" applyAlignment="1">
      <alignment horizontal="center" vertical="center"/>
    </xf>
    <xf numFmtId="0" fontId="70" fillId="2" borderId="17" xfId="0" applyFont="1" applyFill="1" applyBorder="1" applyAlignment="1">
      <alignment horizontal="center" vertical="center" wrapText="1"/>
    </xf>
    <xf numFmtId="0" fontId="70" fillId="2" borderId="24" xfId="0" applyFont="1" applyFill="1" applyBorder="1" applyAlignment="1">
      <alignment horizontal="center" vertical="center" wrapText="1"/>
    </xf>
    <xf numFmtId="0" fontId="70" fillId="2" borderId="18" xfId="0" applyFont="1" applyFill="1" applyBorder="1" applyAlignment="1">
      <alignment horizontal="center" vertical="center" wrapText="1"/>
    </xf>
    <xf numFmtId="0" fontId="70" fillId="2" borderId="22" xfId="0" applyFont="1" applyFill="1" applyBorder="1" applyAlignment="1">
      <alignment horizontal="center" vertical="center" wrapText="1"/>
    </xf>
    <xf numFmtId="0" fontId="70" fillId="2" borderId="20" xfId="0" applyFont="1" applyFill="1" applyBorder="1" applyAlignment="1">
      <alignment horizontal="center" vertical="center" wrapText="1"/>
    </xf>
    <xf numFmtId="0" fontId="70" fillId="2" borderId="25" xfId="0" applyFont="1" applyFill="1" applyBorder="1" applyAlignment="1">
      <alignment horizontal="center" vertical="center" wrapText="1"/>
    </xf>
    <xf numFmtId="0" fontId="70" fillId="2" borderId="26" xfId="0" applyFont="1" applyFill="1" applyBorder="1" applyAlignment="1">
      <alignment horizontal="center" vertical="center" wrapText="1"/>
    </xf>
    <xf numFmtId="0" fontId="70" fillId="2" borderId="23" xfId="0" applyFont="1" applyFill="1" applyBorder="1" applyAlignment="1">
      <alignment horizontal="center" vertical="center" wrapText="1"/>
    </xf>
    <xf numFmtId="0" fontId="70" fillId="2" borderId="21" xfId="0" applyFont="1" applyFill="1" applyBorder="1" applyAlignment="1">
      <alignment horizontal="center" vertical="center" wrapText="1"/>
    </xf>
    <xf numFmtId="0" fontId="70" fillId="0" borderId="0" xfId="0" applyFont="1" applyBorder="1" applyAlignment="1">
      <alignment vertical="top"/>
    </xf>
    <xf numFmtId="0" fontId="70" fillId="2" borderId="0" xfId="0" applyFont="1" applyFill="1" applyAlignment="1">
      <alignment horizontal="left" vertical="center"/>
    </xf>
    <xf numFmtId="0" fontId="70" fillId="0" borderId="0" xfId="0" applyFont="1" applyBorder="1" applyAlignment="1">
      <alignment vertical="top" wrapText="1"/>
    </xf>
    <xf numFmtId="0" fontId="70" fillId="2" borderId="0" xfId="0" applyFont="1" applyFill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0" fontId="33" fillId="2" borderId="19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172" fontId="10" fillId="2" borderId="1" xfId="0" applyNumberFormat="1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center" vertical="center" wrapText="1"/>
    </xf>
    <xf numFmtId="0" fontId="10" fillId="2" borderId="17" xfId="0" applyNumberFormat="1" applyFont="1" applyFill="1" applyBorder="1" applyAlignment="1">
      <alignment horizontal="center" vertical="center" wrapText="1"/>
    </xf>
    <xf numFmtId="0" fontId="10" fillId="2" borderId="18" xfId="0" applyNumberFormat="1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53" fillId="2" borderId="8" xfId="0" applyFont="1" applyFill="1" applyBorder="1" applyAlignment="1">
      <alignment horizontal="center" vertical="center"/>
    </xf>
    <xf numFmtId="0" fontId="53" fillId="2" borderId="15" xfId="0" applyFont="1" applyFill="1" applyBorder="1" applyAlignment="1">
      <alignment horizontal="center" vertical="center"/>
    </xf>
    <xf numFmtId="0" fontId="53" fillId="2" borderId="16" xfId="0" applyFont="1" applyFill="1" applyBorder="1" applyAlignment="1">
      <alignment horizontal="center" vertical="center"/>
    </xf>
  </cellXfs>
  <cellStyles count="14">
    <cellStyle name="Excel Built-in Normal 1" xfId="9"/>
    <cellStyle name="TableStyleLight1" xfId="10"/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  <cellStyle name="Обычный 8" xfId="13"/>
    <cellStyle name="Обычный_Лист1" xfId="11"/>
    <cellStyle name="Финансовый" xfId="8" builtinId="3"/>
    <cellStyle name="Финансовый 2" xfId="12"/>
  </cellStyles>
  <dxfs count="0"/>
  <tableStyles count="0" defaultTableStyle="TableStyleMedium2" defaultPivotStyle="PivotStyleLight16"/>
  <colors>
    <mruColors>
      <color rgb="FFCCFF99"/>
      <color rgb="FFFF3300"/>
      <color rgb="FF99FFCC"/>
      <color rgb="FFFF99FF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33.100\Users\&#1064;&#1083;&#1103;&#1087;&#1080;&#1085;&#1072;&#1057;&#1070;\Downloads\&#1050;&#1086;&#1087;&#1080;&#1103;%20&#1080;&#1079;&#1084;&#1077;&#1085;&#1077;&#1085;&#1080;&#1103;%20&#1074;%2062-&#1087;&#1087;%20&#1087;&#1088;&#1080;&#1083;%20%20-%2024%2012%202018%201111%20&#1055;&#1069;&#1054;.xls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асть 1"/>
      <sheetName val="часть 2"/>
      <sheetName val="часть 3"/>
      <sheetName val="№ п-п"/>
      <sheetName val="2-51"/>
      <sheetName val="52-87"/>
      <sheetName val="86-97"/>
      <sheetName val="база"/>
      <sheetName val="Копия изменения в 62-пп прил  -"/>
      <sheetName val="2-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0">
          <cell r="E10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</row>
        <row r="263"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</row>
        <row r="264"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</row>
        <row r="267"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</row>
        <row r="316"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L316">
            <v>0</v>
          </cell>
          <cell r="P316">
            <v>0</v>
          </cell>
          <cell r="R316">
            <v>0</v>
          </cell>
          <cell r="T316">
            <v>0</v>
          </cell>
        </row>
        <row r="339">
          <cell r="E339">
            <v>0</v>
          </cell>
          <cell r="F339">
            <v>0</v>
          </cell>
          <cell r="G339">
            <v>0</v>
          </cell>
          <cell r="I339">
            <v>0</v>
          </cell>
          <cell r="J339">
            <v>0</v>
          </cell>
          <cell r="L339">
            <v>0</v>
          </cell>
          <cell r="P339">
            <v>0</v>
          </cell>
          <cell r="R339">
            <v>0</v>
          </cell>
          <cell r="T339">
            <v>0</v>
          </cell>
        </row>
        <row r="351"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P351">
            <v>0</v>
          </cell>
          <cell r="R351">
            <v>0</v>
          </cell>
          <cell r="T351">
            <v>0</v>
          </cell>
        </row>
        <row r="352"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L352">
            <v>0</v>
          </cell>
          <cell r="P352">
            <v>0</v>
          </cell>
          <cell r="R352">
            <v>0</v>
          </cell>
          <cell r="T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P353">
            <v>0</v>
          </cell>
          <cell r="R353">
            <v>0</v>
          </cell>
          <cell r="T353">
            <v>0</v>
          </cell>
        </row>
      </sheetData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.bin"/><Relationship Id="rId3" Type="http://schemas.openxmlformats.org/officeDocument/2006/relationships/printerSettings" Target="../printerSettings/printerSettings14.bin"/><Relationship Id="rId7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6" Type="http://schemas.openxmlformats.org/officeDocument/2006/relationships/printerSettings" Target="../printerSettings/printerSettings17.bin"/><Relationship Id="rId11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16.bin"/><Relationship Id="rId10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15.bin"/><Relationship Id="rId9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3" Type="http://schemas.openxmlformats.org/officeDocument/2006/relationships/printerSettings" Target="../printerSettings/printerSettings36.bin"/><Relationship Id="rId7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11" Type="http://schemas.openxmlformats.org/officeDocument/2006/relationships/printerSettings" Target="../printerSettings/printerSettings44.bin"/><Relationship Id="rId5" Type="http://schemas.openxmlformats.org/officeDocument/2006/relationships/printerSettings" Target="../printerSettings/printerSettings38.bin"/><Relationship Id="rId10" Type="http://schemas.openxmlformats.org/officeDocument/2006/relationships/printerSettings" Target="../printerSettings/printerSettings43.bin"/><Relationship Id="rId4" Type="http://schemas.openxmlformats.org/officeDocument/2006/relationships/printerSettings" Target="../printerSettings/printerSettings37.bin"/><Relationship Id="rId9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2.bin"/><Relationship Id="rId13" Type="http://schemas.openxmlformats.org/officeDocument/2006/relationships/comments" Target="../comments1.xml"/><Relationship Id="rId3" Type="http://schemas.openxmlformats.org/officeDocument/2006/relationships/printerSettings" Target="../printerSettings/printerSettings47.bin"/><Relationship Id="rId7" Type="http://schemas.openxmlformats.org/officeDocument/2006/relationships/printerSettings" Target="../printerSettings/printerSettings51.bin"/><Relationship Id="rId12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6" Type="http://schemas.openxmlformats.org/officeDocument/2006/relationships/printerSettings" Target="../printerSettings/printerSettings50.bin"/><Relationship Id="rId11" Type="http://schemas.openxmlformats.org/officeDocument/2006/relationships/printerSettings" Target="../printerSettings/printerSettings55.bin"/><Relationship Id="rId5" Type="http://schemas.openxmlformats.org/officeDocument/2006/relationships/printerSettings" Target="../printerSettings/printerSettings49.bin"/><Relationship Id="rId10" Type="http://schemas.openxmlformats.org/officeDocument/2006/relationships/printerSettings" Target="../printerSettings/printerSettings54.bin"/><Relationship Id="rId4" Type="http://schemas.openxmlformats.org/officeDocument/2006/relationships/printerSettings" Target="../printerSettings/printerSettings48.bin"/><Relationship Id="rId9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.bin"/><Relationship Id="rId13" Type="http://schemas.openxmlformats.org/officeDocument/2006/relationships/comments" Target="../comments2.xml"/><Relationship Id="rId3" Type="http://schemas.openxmlformats.org/officeDocument/2006/relationships/printerSettings" Target="../printerSettings/printerSettings58.bin"/><Relationship Id="rId7" Type="http://schemas.openxmlformats.org/officeDocument/2006/relationships/printerSettings" Target="../printerSettings/printerSettings62.bin"/><Relationship Id="rId12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1.bin"/><Relationship Id="rId11" Type="http://schemas.openxmlformats.org/officeDocument/2006/relationships/printerSettings" Target="../printerSettings/printerSettings66.bin"/><Relationship Id="rId5" Type="http://schemas.openxmlformats.org/officeDocument/2006/relationships/printerSettings" Target="../printerSettings/printerSettings60.bin"/><Relationship Id="rId10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59.bin"/><Relationship Id="rId9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4.bin"/><Relationship Id="rId3" Type="http://schemas.openxmlformats.org/officeDocument/2006/relationships/printerSettings" Target="../printerSettings/printerSettings69.bin"/><Relationship Id="rId7" Type="http://schemas.openxmlformats.org/officeDocument/2006/relationships/printerSettings" Target="../printerSettings/printerSettings73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printerSettings" Target="../printerSettings/printerSettings72.bin"/><Relationship Id="rId11" Type="http://schemas.openxmlformats.org/officeDocument/2006/relationships/printerSettings" Target="../printerSettings/printerSettings77.bin"/><Relationship Id="rId5" Type="http://schemas.openxmlformats.org/officeDocument/2006/relationships/printerSettings" Target="../printerSettings/printerSettings71.bin"/><Relationship Id="rId10" Type="http://schemas.openxmlformats.org/officeDocument/2006/relationships/printerSettings" Target="../printerSettings/printerSettings76.bin"/><Relationship Id="rId4" Type="http://schemas.openxmlformats.org/officeDocument/2006/relationships/printerSettings" Target="../printerSettings/printerSettings70.bin"/><Relationship Id="rId9" Type="http://schemas.openxmlformats.org/officeDocument/2006/relationships/printerSettings" Target="../printerSettings/printerSettings7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BJ1580"/>
  <sheetViews>
    <sheetView view="pageBreakPreview" topLeftCell="A10" zoomScale="62" zoomScaleNormal="45" zoomScaleSheetLayoutView="62" workbookViewId="0">
      <pane xSplit="2" ySplit="8" topLeftCell="C818" activePane="bottomRight" state="frozen"/>
      <selection activeCell="A10" sqref="A10"/>
      <selection pane="topRight" activeCell="C10" sqref="C10"/>
      <selection pane="bottomLeft" activeCell="A18" sqref="A18"/>
      <selection pane="bottomRight" activeCell="A10" sqref="A1:XFD1048576"/>
    </sheetView>
  </sheetViews>
  <sheetFormatPr defaultColWidth="8.88671875" defaultRowHeight="18"/>
  <cols>
    <col min="1" max="1" width="10.88671875" style="14" customWidth="1"/>
    <col min="2" max="2" width="34.88671875" style="85" customWidth="1"/>
    <col min="3" max="3" width="9.33203125" style="2" customWidth="1"/>
    <col min="4" max="4" width="7.5546875" style="2" customWidth="1"/>
    <col min="5" max="5" width="14" style="2" customWidth="1"/>
    <col min="6" max="6" width="6.5546875" style="2" customWidth="1"/>
    <col min="7" max="7" width="6.6640625" style="2" customWidth="1"/>
    <col min="8" max="8" width="14.6640625" style="55" customWidth="1"/>
    <col min="9" max="9" width="13.44140625" style="2" customWidth="1"/>
    <col min="10" max="10" width="12.44140625" style="2" customWidth="1"/>
    <col min="11" max="11" width="12.44140625" style="57" customWidth="1"/>
    <col min="12" max="12" width="17.44140625" style="38" customWidth="1"/>
    <col min="13" max="13" width="11.33203125" style="2" customWidth="1"/>
    <col min="14" max="14" width="14.33203125" style="38" customWidth="1"/>
    <col min="15" max="15" width="16.6640625" style="38" customWidth="1"/>
    <col min="16" max="16" width="11.33203125" style="2" customWidth="1"/>
    <col min="17" max="17" width="10.6640625" style="38" customWidth="1"/>
    <col min="18" max="18" width="10.88671875" style="38" customWidth="1"/>
    <col min="19" max="19" width="12" style="2" customWidth="1"/>
    <col min="20" max="16384" width="8.88671875" style="2"/>
  </cols>
  <sheetData>
    <row r="1" spans="1:21">
      <c r="O1" s="1439" t="s">
        <v>31</v>
      </c>
      <c r="P1" s="1440"/>
      <c r="Q1" s="1439"/>
      <c r="R1" s="1439"/>
      <c r="S1" s="1440"/>
    </row>
    <row r="2" spans="1:21">
      <c r="O2" s="1439" t="s">
        <v>214</v>
      </c>
      <c r="P2" s="1440"/>
      <c r="Q2" s="1439"/>
      <c r="R2" s="1439"/>
      <c r="S2" s="1440"/>
    </row>
    <row r="3" spans="1:21">
      <c r="O3" s="1439" t="s">
        <v>437</v>
      </c>
      <c r="P3" s="1440"/>
      <c r="Q3" s="1439"/>
      <c r="R3" s="1439"/>
      <c r="S3" s="1440"/>
    </row>
    <row r="4" spans="1:21">
      <c r="J4" s="34"/>
      <c r="K4" s="58"/>
      <c r="L4" s="86"/>
      <c r="M4" s="34"/>
      <c r="N4" s="87"/>
      <c r="O4" s="1441"/>
      <c r="P4" s="1442"/>
      <c r="Q4" s="1441"/>
      <c r="R4" s="1441"/>
      <c r="S4" s="1442"/>
    </row>
    <row r="5" spans="1:21">
      <c r="J5" s="34"/>
      <c r="K5" s="58"/>
      <c r="L5" s="86"/>
      <c r="M5" s="34"/>
      <c r="N5" s="88"/>
      <c r="O5" s="1439"/>
      <c r="P5" s="1440"/>
      <c r="Q5" s="1439"/>
      <c r="R5" s="1439"/>
      <c r="S5" s="1440"/>
    </row>
    <row r="6" spans="1:21">
      <c r="A6" s="1444" t="s">
        <v>438</v>
      </c>
      <c r="B6" s="1444"/>
      <c r="C6" s="1444"/>
      <c r="D6" s="1444"/>
      <c r="E6" s="1444"/>
      <c r="F6" s="1444"/>
      <c r="G6" s="1444"/>
      <c r="H6" s="1444"/>
      <c r="I6" s="1444"/>
      <c r="J6" s="1444"/>
      <c r="K6" s="1444"/>
      <c r="L6" s="1445"/>
      <c r="M6" s="1444"/>
      <c r="N6" s="1445"/>
      <c r="O6" s="1445"/>
      <c r="P6" s="1444"/>
      <c r="Q6" s="1445"/>
      <c r="R6" s="1445"/>
      <c r="S6" s="1444"/>
    </row>
    <row r="7" spans="1:21">
      <c r="A7" s="1444" t="s">
        <v>465</v>
      </c>
      <c r="B7" s="1444"/>
      <c r="C7" s="1444"/>
      <c r="D7" s="1444"/>
      <c r="E7" s="1444"/>
      <c r="F7" s="1444"/>
      <c r="G7" s="1444"/>
      <c r="H7" s="1444"/>
      <c r="I7" s="1444"/>
      <c r="J7" s="1444"/>
      <c r="K7" s="1444"/>
      <c r="L7" s="1445"/>
      <c r="M7" s="1444"/>
      <c r="N7" s="1445"/>
      <c r="O7" s="1445"/>
      <c r="P7" s="1444"/>
      <c r="Q7" s="1445"/>
      <c r="R7" s="1445"/>
      <c r="S7" s="1444"/>
    </row>
    <row r="8" spans="1:21">
      <c r="A8" s="1444" t="s">
        <v>466</v>
      </c>
      <c r="B8" s="1444"/>
      <c r="C8" s="1444"/>
      <c r="D8" s="1444"/>
      <c r="E8" s="1444"/>
      <c r="F8" s="1444"/>
      <c r="G8" s="1444"/>
      <c r="H8" s="1444"/>
      <c r="I8" s="1444"/>
      <c r="J8" s="1444"/>
      <c r="K8" s="1444"/>
      <c r="L8" s="1445"/>
      <c r="M8" s="1444"/>
      <c r="N8" s="1445"/>
      <c r="O8" s="1445"/>
      <c r="P8" s="1444"/>
      <c r="Q8" s="1445"/>
      <c r="R8" s="1445"/>
      <c r="S8" s="1444"/>
    </row>
    <row r="9" spans="1:21">
      <c r="A9" s="1444"/>
      <c r="B9" s="1444"/>
      <c r="C9" s="1444"/>
      <c r="D9" s="1444"/>
      <c r="E9" s="1444"/>
      <c r="F9" s="1444"/>
      <c r="G9" s="1444"/>
      <c r="H9" s="1444"/>
      <c r="I9" s="1444"/>
      <c r="J9" s="1444"/>
      <c r="K9" s="1444"/>
      <c r="L9" s="1445"/>
      <c r="M9" s="1444"/>
      <c r="N9" s="1445"/>
      <c r="O9" s="1445"/>
      <c r="P9" s="1444"/>
      <c r="Q9" s="1445"/>
      <c r="R9" s="1445"/>
      <c r="S9" s="1444"/>
    </row>
    <row r="10" spans="1:21">
      <c r="A10" s="1448" t="s">
        <v>38</v>
      </c>
      <c r="B10" s="1448"/>
      <c r="C10" s="1448"/>
      <c r="D10" s="1448"/>
      <c r="E10" s="1448"/>
      <c r="F10" s="1448"/>
      <c r="G10" s="1448"/>
      <c r="H10" s="1448"/>
      <c r="I10" s="1448"/>
      <c r="J10" s="1448"/>
      <c r="K10" s="1448"/>
      <c r="L10" s="1449"/>
      <c r="M10" s="1448"/>
      <c r="N10" s="1449"/>
      <c r="O10" s="1449"/>
      <c r="P10" s="1448"/>
      <c r="Q10" s="1449"/>
      <c r="R10" s="1449"/>
      <c r="S10" s="1448"/>
    </row>
    <row r="11" spans="1:21" ht="38.25" customHeight="1">
      <c r="A11" s="1431" t="s">
        <v>0</v>
      </c>
      <c r="B11" s="1431" t="s">
        <v>442</v>
      </c>
      <c r="C11" s="1429" t="s">
        <v>1</v>
      </c>
      <c r="D11" s="1429"/>
      <c r="E11" s="1428" t="s">
        <v>2</v>
      </c>
      <c r="F11" s="1428" t="s">
        <v>3</v>
      </c>
      <c r="G11" s="1428" t="s">
        <v>4</v>
      </c>
      <c r="H11" s="1446" t="s">
        <v>33</v>
      </c>
      <c r="I11" s="1431" t="s">
        <v>5</v>
      </c>
      <c r="J11" s="1431"/>
      <c r="K11" s="1436" t="s">
        <v>441</v>
      </c>
      <c r="L11" s="1443" t="s">
        <v>36</v>
      </c>
      <c r="M11" s="1431"/>
      <c r="N11" s="1443"/>
      <c r="O11" s="1443"/>
      <c r="P11" s="1431"/>
      <c r="Q11" s="1435" t="s">
        <v>8</v>
      </c>
      <c r="R11" s="1435" t="s">
        <v>9</v>
      </c>
      <c r="S11" s="1430" t="s">
        <v>10</v>
      </c>
    </row>
    <row r="12" spans="1:21" ht="24.75" customHeight="1">
      <c r="A12" s="1431"/>
      <c r="B12" s="1431"/>
      <c r="C12" s="1430" t="s">
        <v>11</v>
      </c>
      <c r="D12" s="1430" t="s">
        <v>32</v>
      </c>
      <c r="E12" s="1428"/>
      <c r="F12" s="1428"/>
      <c r="G12" s="1428"/>
      <c r="H12" s="1446"/>
      <c r="I12" s="1430" t="s">
        <v>12</v>
      </c>
      <c r="J12" s="1430" t="s">
        <v>13</v>
      </c>
      <c r="K12" s="1436"/>
      <c r="L12" s="1435" t="s">
        <v>12</v>
      </c>
      <c r="M12" s="1431" t="s">
        <v>18</v>
      </c>
      <c r="N12" s="1443"/>
      <c r="O12" s="1443"/>
      <c r="P12" s="1431"/>
      <c r="Q12" s="1435"/>
      <c r="R12" s="1435"/>
      <c r="S12" s="1430"/>
    </row>
    <row r="13" spans="1:21" ht="150.75" customHeight="1">
      <c r="A13" s="1431"/>
      <c r="B13" s="1431"/>
      <c r="C13" s="1430"/>
      <c r="D13" s="1430"/>
      <c r="E13" s="1428"/>
      <c r="F13" s="1428"/>
      <c r="G13" s="1428"/>
      <c r="H13" s="1446"/>
      <c r="I13" s="1430"/>
      <c r="J13" s="1430"/>
      <c r="K13" s="1436"/>
      <c r="L13" s="1435"/>
      <c r="M13" s="306" t="s">
        <v>471</v>
      </c>
      <c r="N13" s="268" t="s">
        <v>14</v>
      </c>
      <c r="O13" s="268" t="s">
        <v>15</v>
      </c>
      <c r="P13" s="265" t="s">
        <v>19</v>
      </c>
      <c r="Q13" s="1435"/>
      <c r="R13" s="1435"/>
      <c r="S13" s="1430"/>
    </row>
    <row r="14" spans="1:21">
      <c r="A14" s="1431"/>
      <c r="B14" s="1431"/>
      <c r="C14" s="1430"/>
      <c r="D14" s="1430"/>
      <c r="E14" s="1428"/>
      <c r="F14" s="1428"/>
      <c r="G14" s="1428"/>
      <c r="H14" s="93" t="s">
        <v>21</v>
      </c>
      <c r="I14" s="267" t="s">
        <v>21</v>
      </c>
      <c r="J14" s="267" t="s">
        <v>21</v>
      </c>
      <c r="K14" s="94" t="s">
        <v>16</v>
      </c>
      <c r="L14" s="266" t="s">
        <v>17</v>
      </c>
      <c r="M14" s="267" t="s">
        <v>17</v>
      </c>
      <c r="N14" s="266" t="s">
        <v>17</v>
      </c>
      <c r="O14" s="266" t="s">
        <v>17</v>
      </c>
      <c r="P14" s="267" t="s">
        <v>17</v>
      </c>
      <c r="Q14" s="266" t="s">
        <v>439</v>
      </c>
      <c r="R14" s="266" t="s">
        <v>439</v>
      </c>
      <c r="S14" s="1430"/>
    </row>
    <row r="15" spans="1:21" s="63" customFormat="1">
      <c r="A15" s="95">
        <v>1</v>
      </c>
      <c r="B15" s="95">
        <v>2</v>
      </c>
      <c r="C15" s="96">
        <v>3</v>
      </c>
      <c r="D15" s="96">
        <v>4</v>
      </c>
      <c r="E15" s="96">
        <v>5</v>
      </c>
      <c r="F15" s="96">
        <v>6</v>
      </c>
      <c r="G15" s="96">
        <v>7</v>
      </c>
      <c r="H15" s="97">
        <v>8</v>
      </c>
      <c r="I15" s="96">
        <v>9</v>
      </c>
      <c r="J15" s="96">
        <v>10</v>
      </c>
      <c r="K15" s="98">
        <v>11</v>
      </c>
      <c r="L15" s="96">
        <v>12</v>
      </c>
      <c r="M15" s="96">
        <v>13</v>
      </c>
      <c r="N15" s="96">
        <v>14</v>
      </c>
      <c r="O15" s="96">
        <v>15</v>
      </c>
      <c r="P15" s="96">
        <v>16</v>
      </c>
      <c r="Q15" s="97">
        <v>17</v>
      </c>
      <c r="R15" s="96">
        <v>18</v>
      </c>
      <c r="S15" s="96">
        <v>19</v>
      </c>
      <c r="U15" s="5"/>
    </row>
    <row r="16" spans="1:21" s="5" customFormat="1" ht="15.75" customHeight="1">
      <c r="A16" s="99"/>
      <c r="B16" s="1453" t="s">
        <v>42</v>
      </c>
      <c r="C16" s="1453"/>
      <c r="D16" s="1453"/>
      <c r="E16" s="1453"/>
      <c r="F16" s="1453"/>
      <c r="G16" s="1453"/>
      <c r="H16" s="100">
        <f t="shared" ref="H16:O16" si="0">H18+H521</f>
        <v>479481.46999999986</v>
      </c>
      <c r="I16" s="100">
        <f t="shared" si="0"/>
        <v>398294.75</v>
      </c>
      <c r="J16" s="100">
        <f t="shared" si="0"/>
        <v>358677.09000000008</v>
      </c>
      <c r="K16" s="101">
        <f t="shared" si="0"/>
        <v>15980</v>
      </c>
      <c r="L16" s="113">
        <f t="shared" si="0"/>
        <v>699893215.88999999</v>
      </c>
      <c r="M16" s="113">
        <f t="shared" si="0"/>
        <v>0</v>
      </c>
      <c r="N16" s="113">
        <f t="shared" si="0"/>
        <v>8635753.959999999</v>
      </c>
      <c r="O16" s="113">
        <f t="shared" si="0"/>
        <v>691001542.92999995</v>
      </c>
      <c r="P16" s="113">
        <f>P188+P205+P207+P231+P244+P260+P269+P281++P284+P303+P307+P320+P324+P331+P338+P352+P363+P376+P384+P429+P434+P445+P424+P449+P460+P469+P476+P479+P485+P496+P503+P536+P19+P515</f>
        <v>255919</v>
      </c>
      <c r="Q16" s="102" t="s">
        <v>40</v>
      </c>
      <c r="R16" s="102" t="s">
        <v>40</v>
      </c>
      <c r="S16" s="103" t="s">
        <v>40</v>
      </c>
      <c r="U16" s="2"/>
    </row>
    <row r="17" spans="1:48">
      <c r="A17" s="1425" t="s">
        <v>34</v>
      </c>
      <c r="B17" s="1425"/>
      <c r="C17" s="1425"/>
      <c r="D17" s="1425"/>
      <c r="E17" s="1425"/>
      <c r="F17" s="1425"/>
      <c r="G17" s="1425"/>
      <c r="H17" s="1425"/>
      <c r="I17" s="1425"/>
      <c r="J17" s="1425"/>
      <c r="K17" s="1425"/>
      <c r="L17" s="1425"/>
      <c r="M17" s="1425"/>
      <c r="N17" s="1425"/>
      <c r="O17" s="1425"/>
      <c r="P17" s="1425"/>
      <c r="Q17" s="1425"/>
      <c r="R17" s="1425"/>
      <c r="S17" s="1425"/>
    </row>
    <row r="18" spans="1:48" ht="18.75" customHeight="1">
      <c r="A18" s="269"/>
      <c r="B18" s="1447" t="s">
        <v>205</v>
      </c>
      <c r="C18" s="1447"/>
      <c r="D18" s="1447"/>
      <c r="E18" s="1447"/>
      <c r="F18" s="1447"/>
      <c r="G18" s="1447"/>
      <c r="H18" s="104">
        <f t="shared" ref="H18:O18" si="1">H19+H188+H205+H207+H231+H244+H260+H269+H281+H284+H303+H307+H320+H324+H331+H338+H352+H363+H376+H384+H424+H429+H434+H445+H449+H466+H460+H469+H476+H479+H485+H491+H496+H503+H515</f>
        <v>426694.56999999989</v>
      </c>
      <c r="I18" s="104">
        <f t="shared" si="1"/>
        <v>351421.05</v>
      </c>
      <c r="J18" s="104">
        <f t="shared" si="1"/>
        <v>312616.09000000008</v>
      </c>
      <c r="K18" s="105">
        <f t="shared" si="1"/>
        <v>14351</v>
      </c>
      <c r="L18" s="113">
        <f t="shared" si="1"/>
        <v>692506037.25</v>
      </c>
      <c r="M18" s="113">
        <f t="shared" si="1"/>
        <v>0</v>
      </c>
      <c r="N18" s="113">
        <f t="shared" si="1"/>
        <v>7269861.959999999</v>
      </c>
      <c r="O18" s="113">
        <f t="shared" si="1"/>
        <v>684980256.28999996</v>
      </c>
      <c r="P18" s="113">
        <f>P19+P188+P205+P207+P231+P244+P260+P269+P281+P284+P303+P307+P320+P324+P331+P338+P352+P363+P376+P384+P424+P429+P434+P445+P449+P466+P460+P469+P476+P479+P485+P496+P503+P515</f>
        <v>255919</v>
      </c>
      <c r="Q18" s="106" t="s">
        <v>40</v>
      </c>
      <c r="R18" s="106" t="s">
        <v>40</v>
      </c>
      <c r="S18" s="106" t="s">
        <v>40</v>
      </c>
    </row>
    <row r="19" spans="1:48" s="1" customFormat="1" ht="15.75" customHeight="1">
      <c r="A19" s="269"/>
      <c r="B19" s="1447" t="s">
        <v>89</v>
      </c>
      <c r="C19" s="1447"/>
      <c r="D19" s="1447"/>
      <c r="E19" s="1447"/>
      <c r="F19" s="1447"/>
      <c r="G19" s="1447"/>
      <c r="H19" s="104">
        <f>SUM(H20:H187)</f>
        <v>0</v>
      </c>
      <c r="I19" s="104">
        <f t="shared" ref="I19" si="2">SUM(I20:I187)</f>
        <v>0</v>
      </c>
      <c r="J19" s="104">
        <f>SUM(J20:J187)</f>
        <v>0</v>
      </c>
      <c r="K19" s="105">
        <f>SUM(K20:K187)</f>
        <v>0</v>
      </c>
      <c r="L19" s="113">
        <v>336230870.63</v>
      </c>
      <c r="M19" s="113">
        <f t="shared" ref="M19:P19" si="3">SUM(M20:M187)</f>
        <v>0</v>
      </c>
      <c r="N19" s="113">
        <f t="shared" si="3"/>
        <v>0</v>
      </c>
      <c r="O19" s="113">
        <f>SUM(O20:O187)</f>
        <v>336230870.63</v>
      </c>
      <c r="P19" s="113">
        <f t="shared" si="3"/>
        <v>0</v>
      </c>
      <c r="Q19" s="106" t="s">
        <v>40</v>
      </c>
      <c r="R19" s="106" t="s">
        <v>40</v>
      </c>
      <c r="S19" s="106" t="s">
        <v>40</v>
      </c>
    </row>
    <row r="20" spans="1:48" s="3" customFormat="1" ht="15.6">
      <c r="A20" s="107">
        <v>1</v>
      </c>
      <c r="B20" s="262" t="s">
        <v>324</v>
      </c>
      <c r="C20" s="108">
        <v>1975</v>
      </c>
      <c r="D20" s="108"/>
      <c r="E20" s="109" t="s">
        <v>219</v>
      </c>
      <c r="F20" s="110">
        <v>5</v>
      </c>
      <c r="G20" s="110">
        <v>10</v>
      </c>
      <c r="H20" s="111"/>
      <c r="I20" s="111"/>
      <c r="J20" s="111"/>
      <c r="K20" s="112"/>
      <c r="L20" s="113">
        <v>5982216</v>
      </c>
      <c r="M20" s="113">
        <v>0</v>
      </c>
      <c r="N20" s="113">
        <v>0</v>
      </c>
      <c r="O20" s="113">
        <f t="shared" ref="O20:O51" si="4">L20</f>
        <v>5982216</v>
      </c>
      <c r="P20" s="113">
        <v>0</v>
      </c>
      <c r="Q20" s="114" t="e">
        <f t="shared" ref="Q20:Q51" si="5">L20/I20</f>
        <v>#DIV/0!</v>
      </c>
      <c r="R20" s="115"/>
      <c r="S20" s="316">
        <v>43100</v>
      </c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</row>
    <row r="21" spans="1:48" customFormat="1" ht="15.6">
      <c r="A21" s="107">
        <f>A20+1</f>
        <v>2</v>
      </c>
      <c r="B21" s="262" t="s">
        <v>325</v>
      </c>
      <c r="C21" s="108">
        <v>1978</v>
      </c>
      <c r="D21" s="108"/>
      <c r="E21" s="109" t="s">
        <v>219</v>
      </c>
      <c r="F21" s="110">
        <v>9</v>
      </c>
      <c r="G21" s="110">
        <v>5</v>
      </c>
      <c r="H21" s="111"/>
      <c r="I21" s="111"/>
      <c r="J21" s="111"/>
      <c r="K21" s="112"/>
      <c r="L21" s="113">
        <v>9379653</v>
      </c>
      <c r="M21" s="113">
        <v>0</v>
      </c>
      <c r="N21" s="113">
        <v>0</v>
      </c>
      <c r="O21" s="113">
        <f t="shared" si="4"/>
        <v>9379653</v>
      </c>
      <c r="P21" s="113">
        <v>0</v>
      </c>
      <c r="Q21" s="114" t="e">
        <f t="shared" si="5"/>
        <v>#DIV/0!</v>
      </c>
      <c r="R21" s="115"/>
      <c r="S21" s="316">
        <v>43100</v>
      </c>
    </row>
    <row r="22" spans="1:48" customFormat="1" ht="15.6">
      <c r="A22" s="107">
        <f t="shared" ref="A22:A85" si="6">A21+1</f>
        <v>3</v>
      </c>
      <c r="B22" s="276" t="s">
        <v>321</v>
      </c>
      <c r="C22" s="108">
        <v>1982</v>
      </c>
      <c r="D22" s="108"/>
      <c r="E22" s="109" t="s">
        <v>219</v>
      </c>
      <c r="F22" s="110">
        <v>9</v>
      </c>
      <c r="G22" s="110">
        <v>2</v>
      </c>
      <c r="H22" s="111"/>
      <c r="I22" s="111"/>
      <c r="J22" s="111"/>
      <c r="K22" s="112"/>
      <c r="L22" s="113">
        <v>3763756</v>
      </c>
      <c r="M22" s="113">
        <v>0</v>
      </c>
      <c r="N22" s="113">
        <v>0</v>
      </c>
      <c r="O22" s="113">
        <f t="shared" si="4"/>
        <v>3763756</v>
      </c>
      <c r="P22" s="113">
        <v>0</v>
      </c>
      <c r="Q22" s="114" t="e">
        <f t="shared" si="5"/>
        <v>#DIV/0!</v>
      </c>
      <c r="R22" s="115"/>
      <c r="S22" s="316">
        <v>43100</v>
      </c>
    </row>
    <row r="23" spans="1:48" customFormat="1" ht="15.6">
      <c r="A23" s="107">
        <f t="shared" si="6"/>
        <v>4</v>
      </c>
      <c r="B23" s="276" t="s">
        <v>346</v>
      </c>
      <c r="C23" s="108">
        <v>1982</v>
      </c>
      <c r="D23" s="108"/>
      <c r="E23" s="109" t="s">
        <v>219</v>
      </c>
      <c r="F23" s="110">
        <v>9</v>
      </c>
      <c r="G23" s="110">
        <v>1</v>
      </c>
      <c r="H23" s="111"/>
      <c r="I23" s="111"/>
      <c r="J23" s="111"/>
      <c r="K23" s="112"/>
      <c r="L23" s="113">
        <v>1095812</v>
      </c>
      <c r="M23" s="113">
        <v>0</v>
      </c>
      <c r="N23" s="113">
        <v>0</v>
      </c>
      <c r="O23" s="113">
        <f t="shared" si="4"/>
        <v>1095812</v>
      </c>
      <c r="P23" s="113">
        <v>0</v>
      </c>
      <c r="Q23" s="114" t="e">
        <f t="shared" si="5"/>
        <v>#DIV/0!</v>
      </c>
      <c r="R23" s="115"/>
      <c r="S23" s="316">
        <v>43100</v>
      </c>
    </row>
    <row r="24" spans="1:48" customFormat="1" ht="15.6">
      <c r="A24" s="107">
        <f t="shared" si="6"/>
        <v>5</v>
      </c>
      <c r="B24" s="276" t="s">
        <v>322</v>
      </c>
      <c r="C24" s="108">
        <v>1976</v>
      </c>
      <c r="D24" s="108"/>
      <c r="E24" s="109" t="s">
        <v>219</v>
      </c>
      <c r="F24" s="110">
        <v>9</v>
      </c>
      <c r="G24" s="110">
        <v>3</v>
      </c>
      <c r="H24" s="111"/>
      <c r="I24" s="111"/>
      <c r="J24" s="111"/>
      <c r="K24" s="112"/>
      <c r="L24" s="113">
        <v>5619141</v>
      </c>
      <c r="M24" s="113">
        <v>0</v>
      </c>
      <c r="N24" s="113">
        <v>0</v>
      </c>
      <c r="O24" s="113">
        <f t="shared" si="4"/>
        <v>5619141</v>
      </c>
      <c r="P24" s="113">
        <v>0</v>
      </c>
      <c r="Q24" s="114" t="e">
        <f t="shared" si="5"/>
        <v>#DIV/0!</v>
      </c>
      <c r="R24" s="115"/>
      <c r="S24" s="316">
        <v>43100</v>
      </c>
    </row>
    <row r="25" spans="1:48" customFormat="1" ht="15.6">
      <c r="A25" s="107">
        <f t="shared" si="6"/>
        <v>6</v>
      </c>
      <c r="B25" s="276" t="s">
        <v>320</v>
      </c>
      <c r="C25" s="107">
        <v>1982</v>
      </c>
      <c r="D25" s="108"/>
      <c r="E25" s="109" t="s">
        <v>219</v>
      </c>
      <c r="F25" s="108">
        <v>9</v>
      </c>
      <c r="G25" s="108">
        <v>2</v>
      </c>
      <c r="H25" s="117"/>
      <c r="I25" s="117"/>
      <c r="J25" s="117"/>
      <c r="K25" s="101"/>
      <c r="L25" s="113">
        <v>3748388</v>
      </c>
      <c r="M25" s="113">
        <v>0</v>
      </c>
      <c r="N25" s="113">
        <v>0</v>
      </c>
      <c r="O25" s="113">
        <f t="shared" si="4"/>
        <v>3748388</v>
      </c>
      <c r="P25" s="113">
        <v>0</v>
      </c>
      <c r="Q25" s="114" t="e">
        <f t="shared" si="5"/>
        <v>#DIV/0!</v>
      </c>
      <c r="R25" s="115"/>
      <c r="S25" s="316">
        <v>43100</v>
      </c>
    </row>
    <row r="26" spans="1:48" customFormat="1" ht="15.6">
      <c r="A26" s="107">
        <f t="shared" si="6"/>
        <v>7</v>
      </c>
      <c r="B26" s="275" t="s">
        <v>327</v>
      </c>
      <c r="C26" s="108">
        <v>1981</v>
      </c>
      <c r="D26" s="108"/>
      <c r="E26" s="109" t="s">
        <v>219</v>
      </c>
      <c r="F26" s="110">
        <v>9</v>
      </c>
      <c r="G26" s="110">
        <v>8</v>
      </c>
      <c r="H26" s="111"/>
      <c r="I26" s="111"/>
      <c r="J26" s="111"/>
      <c r="K26" s="112"/>
      <c r="L26" s="113">
        <v>15157748</v>
      </c>
      <c r="M26" s="113">
        <v>0</v>
      </c>
      <c r="N26" s="113">
        <v>0</v>
      </c>
      <c r="O26" s="113">
        <f t="shared" si="4"/>
        <v>15157748</v>
      </c>
      <c r="P26" s="113">
        <v>0</v>
      </c>
      <c r="Q26" s="114" t="e">
        <f t="shared" si="5"/>
        <v>#DIV/0!</v>
      </c>
      <c r="R26" s="115"/>
      <c r="S26" s="316">
        <v>43100</v>
      </c>
    </row>
    <row r="27" spans="1:48" customFormat="1" ht="31.2">
      <c r="A27" s="107">
        <f t="shared" si="6"/>
        <v>8</v>
      </c>
      <c r="B27" s="275" t="s">
        <v>323</v>
      </c>
      <c r="C27" s="108">
        <v>1954</v>
      </c>
      <c r="D27" s="108"/>
      <c r="E27" s="109" t="s">
        <v>218</v>
      </c>
      <c r="F27" s="110">
        <v>2</v>
      </c>
      <c r="G27" s="110">
        <v>2</v>
      </c>
      <c r="H27" s="111"/>
      <c r="I27" s="111"/>
      <c r="J27" s="111"/>
      <c r="K27" s="112"/>
      <c r="L27" s="113">
        <v>1030213</v>
      </c>
      <c r="M27" s="113">
        <v>0</v>
      </c>
      <c r="N27" s="113">
        <v>0</v>
      </c>
      <c r="O27" s="113">
        <f t="shared" si="4"/>
        <v>1030213</v>
      </c>
      <c r="P27" s="113">
        <v>0</v>
      </c>
      <c r="Q27" s="114" t="e">
        <f t="shared" si="5"/>
        <v>#DIV/0!</v>
      </c>
      <c r="R27" s="115"/>
      <c r="S27" s="316">
        <v>43100</v>
      </c>
    </row>
    <row r="28" spans="1:48" customFormat="1" ht="31.2">
      <c r="A28" s="107">
        <f t="shared" si="6"/>
        <v>9</v>
      </c>
      <c r="B28" s="276" t="s">
        <v>319</v>
      </c>
      <c r="C28" s="118">
        <v>1860</v>
      </c>
      <c r="D28" s="118"/>
      <c r="E28" s="109" t="s">
        <v>218</v>
      </c>
      <c r="F28" s="118">
        <v>3</v>
      </c>
      <c r="G28" s="118">
        <v>1</v>
      </c>
      <c r="H28" s="118"/>
      <c r="I28" s="118"/>
      <c r="J28" s="118"/>
      <c r="K28" s="119"/>
      <c r="L28" s="113">
        <v>530465</v>
      </c>
      <c r="M28" s="113">
        <v>0</v>
      </c>
      <c r="N28" s="113">
        <v>0</v>
      </c>
      <c r="O28" s="113">
        <f t="shared" si="4"/>
        <v>530465</v>
      </c>
      <c r="P28" s="113">
        <v>0</v>
      </c>
      <c r="Q28" s="114" t="e">
        <f t="shared" si="5"/>
        <v>#DIV/0!</v>
      </c>
      <c r="R28" s="115"/>
      <c r="S28" s="316">
        <v>43100</v>
      </c>
    </row>
    <row r="29" spans="1:48" customFormat="1" ht="31.2">
      <c r="A29" s="107">
        <f t="shared" si="6"/>
        <v>10</v>
      </c>
      <c r="B29" s="276" t="s">
        <v>326</v>
      </c>
      <c r="C29" s="108">
        <v>1958</v>
      </c>
      <c r="D29" s="108"/>
      <c r="E29" s="109" t="s">
        <v>218</v>
      </c>
      <c r="F29" s="110">
        <v>2</v>
      </c>
      <c r="G29" s="110">
        <v>2</v>
      </c>
      <c r="H29" s="111"/>
      <c r="I29" s="111"/>
      <c r="J29" s="111"/>
      <c r="K29" s="112"/>
      <c r="L29" s="113">
        <v>1983854</v>
      </c>
      <c r="M29" s="113">
        <v>0</v>
      </c>
      <c r="N29" s="113">
        <v>0</v>
      </c>
      <c r="O29" s="113">
        <f t="shared" si="4"/>
        <v>1983854</v>
      </c>
      <c r="P29" s="113">
        <v>0</v>
      </c>
      <c r="Q29" s="114" t="e">
        <f t="shared" si="5"/>
        <v>#DIV/0!</v>
      </c>
      <c r="R29" s="115"/>
      <c r="S29" s="316">
        <v>43100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</row>
    <row r="30" spans="1:48" customFormat="1" ht="31.2">
      <c r="A30" s="107">
        <f t="shared" si="6"/>
        <v>11</v>
      </c>
      <c r="B30" s="276" t="s">
        <v>388</v>
      </c>
      <c r="C30" s="108">
        <v>1961</v>
      </c>
      <c r="D30" s="108"/>
      <c r="E30" s="109" t="s">
        <v>218</v>
      </c>
      <c r="F30" s="110">
        <v>5</v>
      </c>
      <c r="G30" s="110">
        <v>2</v>
      </c>
      <c r="H30" s="111"/>
      <c r="I30" s="111"/>
      <c r="J30" s="111"/>
      <c r="K30" s="112"/>
      <c r="L30" s="113">
        <v>1206304</v>
      </c>
      <c r="M30" s="113">
        <v>0</v>
      </c>
      <c r="N30" s="113">
        <v>0</v>
      </c>
      <c r="O30" s="113">
        <f t="shared" si="4"/>
        <v>1206304</v>
      </c>
      <c r="P30" s="113">
        <v>0</v>
      </c>
      <c r="Q30" s="114" t="e">
        <f t="shared" si="5"/>
        <v>#DIV/0!</v>
      </c>
      <c r="R30" s="115"/>
      <c r="S30" s="316">
        <v>43100</v>
      </c>
    </row>
    <row r="31" spans="1:48" customFormat="1" ht="31.2">
      <c r="A31" s="107">
        <f t="shared" si="6"/>
        <v>12</v>
      </c>
      <c r="B31" s="275" t="s">
        <v>419</v>
      </c>
      <c r="C31" s="108">
        <v>1961</v>
      </c>
      <c r="D31" s="116"/>
      <c r="E31" s="109" t="s">
        <v>218</v>
      </c>
      <c r="F31" s="110">
        <v>5</v>
      </c>
      <c r="G31" s="110">
        <v>3</v>
      </c>
      <c r="H31" s="111"/>
      <c r="I31" s="111"/>
      <c r="J31" s="111"/>
      <c r="K31" s="112"/>
      <c r="L31" s="113">
        <v>402530.2</v>
      </c>
      <c r="M31" s="113">
        <v>0</v>
      </c>
      <c r="N31" s="113">
        <v>0</v>
      </c>
      <c r="O31" s="113">
        <f t="shared" si="4"/>
        <v>402530.2</v>
      </c>
      <c r="P31" s="113">
        <v>0</v>
      </c>
      <c r="Q31" s="114" t="e">
        <f t="shared" si="5"/>
        <v>#DIV/0!</v>
      </c>
      <c r="R31" s="115"/>
      <c r="S31" s="316">
        <v>43100</v>
      </c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</row>
    <row r="32" spans="1:48" customFormat="1" ht="31.2">
      <c r="A32" s="107">
        <f t="shared" si="6"/>
        <v>13</v>
      </c>
      <c r="B32" s="275" t="s">
        <v>387</v>
      </c>
      <c r="C32" s="118">
        <v>1967</v>
      </c>
      <c r="D32" s="118"/>
      <c r="E32" s="109" t="s">
        <v>218</v>
      </c>
      <c r="F32" s="118">
        <v>5</v>
      </c>
      <c r="G32" s="118">
        <v>8</v>
      </c>
      <c r="H32" s="111"/>
      <c r="I32" s="111"/>
      <c r="J32" s="111"/>
      <c r="K32" s="112"/>
      <c r="L32" s="113">
        <v>2861497</v>
      </c>
      <c r="M32" s="113">
        <v>0</v>
      </c>
      <c r="N32" s="113">
        <v>0</v>
      </c>
      <c r="O32" s="113">
        <f t="shared" si="4"/>
        <v>2861497</v>
      </c>
      <c r="P32" s="113">
        <v>0</v>
      </c>
      <c r="Q32" s="114" t="e">
        <f t="shared" si="5"/>
        <v>#DIV/0!</v>
      </c>
      <c r="R32" s="115"/>
      <c r="S32" s="316">
        <v>43100</v>
      </c>
    </row>
    <row r="33" spans="1:19" customFormat="1" ht="15.6">
      <c r="A33" s="107">
        <f t="shared" si="6"/>
        <v>14</v>
      </c>
      <c r="B33" s="276" t="s">
        <v>334</v>
      </c>
      <c r="C33" s="108">
        <v>1974</v>
      </c>
      <c r="D33" s="108"/>
      <c r="E33" s="109" t="s">
        <v>219</v>
      </c>
      <c r="F33" s="110">
        <v>5</v>
      </c>
      <c r="G33" s="110">
        <v>4</v>
      </c>
      <c r="H33" s="111"/>
      <c r="I33" s="111"/>
      <c r="J33" s="111"/>
      <c r="K33" s="112"/>
      <c r="L33" s="113">
        <v>1535065.47</v>
      </c>
      <c r="M33" s="113">
        <v>0</v>
      </c>
      <c r="N33" s="113">
        <v>0</v>
      </c>
      <c r="O33" s="113">
        <f t="shared" si="4"/>
        <v>1535065.47</v>
      </c>
      <c r="P33" s="113">
        <v>0</v>
      </c>
      <c r="Q33" s="114" t="e">
        <f t="shared" si="5"/>
        <v>#DIV/0!</v>
      </c>
      <c r="R33" s="115"/>
      <c r="S33" s="316">
        <v>43100</v>
      </c>
    </row>
    <row r="34" spans="1:19" customFormat="1" ht="15.6">
      <c r="A34" s="107">
        <f t="shared" si="6"/>
        <v>15</v>
      </c>
      <c r="B34" s="276" t="s">
        <v>330</v>
      </c>
      <c r="C34" s="118">
        <v>1966</v>
      </c>
      <c r="D34" s="118"/>
      <c r="E34" s="109" t="s">
        <v>219</v>
      </c>
      <c r="F34" s="118">
        <v>5</v>
      </c>
      <c r="G34" s="118">
        <v>4</v>
      </c>
      <c r="H34" s="111"/>
      <c r="I34" s="111"/>
      <c r="J34" s="111"/>
      <c r="K34" s="112"/>
      <c r="L34" s="113">
        <v>930534</v>
      </c>
      <c r="M34" s="113">
        <v>0</v>
      </c>
      <c r="N34" s="113">
        <v>0</v>
      </c>
      <c r="O34" s="113">
        <f t="shared" si="4"/>
        <v>930534</v>
      </c>
      <c r="P34" s="113">
        <v>0</v>
      </c>
      <c r="Q34" s="114" t="e">
        <f t="shared" si="5"/>
        <v>#DIV/0!</v>
      </c>
      <c r="R34" s="115"/>
      <c r="S34" s="316">
        <v>43100</v>
      </c>
    </row>
    <row r="35" spans="1:19" customFormat="1" ht="15.6">
      <c r="A35" s="107">
        <f t="shared" si="6"/>
        <v>16</v>
      </c>
      <c r="B35" s="276" t="s">
        <v>328</v>
      </c>
      <c r="C35" s="118">
        <v>1970</v>
      </c>
      <c r="D35" s="118"/>
      <c r="E35" s="109" t="s">
        <v>219</v>
      </c>
      <c r="F35" s="118">
        <v>5</v>
      </c>
      <c r="G35" s="118">
        <v>4</v>
      </c>
      <c r="H35" s="111"/>
      <c r="I35" s="111"/>
      <c r="J35" s="111"/>
      <c r="K35" s="112"/>
      <c r="L35" s="113">
        <v>662518</v>
      </c>
      <c r="M35" s="113">
        <v>0</v>
      </c>
      <c r="N35" s="113">
        <v>0</v>
      </c>
      <c r="O35" s="113">
        <f t="shared" si="4"/>
        <v>662518</v>
      </c>
      <c r="P35" s="113">
        <v>0</v>
      </c>
      <c r="Q35" s="114" t="e">
        <f t="shared" si="5"/>
        <v>#DIV/0!</v>
      </c>
      <c r="R35" s="115"/>
      <c r="S35" s="316">
        <v>43100</v>
      </c>
    </row>
    <row r="36" spans="1:19" customFormat="1" ht="31.2">
      <c r="A36" s="107">
        <f t="shared" si="6"/>
        <v>17</v>
      </c>
      <c r="B36" s="276" t="s">
        <v>333</v>
      </c>
      <c r="C36" s="108">
        <v>1979</v>
      </c>
      <c r="D36" s="108"/>
      <c r="E36" s="109" t="s">
        <v>218</v>
      </c>
      <c r="F36" s="110">
        <v>5</v>
      </c>
      <c r="G36" s="110">
        <v>4</v>
      </c>
      <c r="H36" s="111"/>
      <c r="I36" s="111"/>
      <c r="J36" s="111"/>
      <c r="K36" s="112"/>
      <c r="L36" s="113">
        <v>2346663</v>
      </c>
      <c r="M36" s="113">
        <v>0</v>
      </c>
      <c r="N36" s="113">
        <v>0</v>
      </c>
      <c r="O36" s="113">
        <f t="shared" si="4"/>
        <v>2346663</v>
      </c>
      <c r="P36" s="113">
        <v>0</v>
      </c>
      <c r="Q36" s="114" t="e">
        <f t="shared" si="5"/>
        <v>#DIV/0!</v>
      </c>
      <c r="R36" s="115"/>
      <c r="S36" s="316">
        <v>43100</v>
      </c>
    </row>
    <row r="37" spans="1:19" customFormat="1" ht="15.6">
      <c r="A37" s="107">
        <f t="shared" si="6"/>
        <v>18</v>
      </c>
      <c r="B37" s="276" t="s">
        <v>331</v>
      </c>
      <c r="C37" s="118">
        <v>1972</v>
      </c>
      <c r="D37" s="118"/>
      <c r="E37" s="109" t="s">
        <v>219</v>
      </c>
      <c r="F37" s="118">
        <v>5</v>
      </c>
      <c r="G37" s="118">
        <v>4</v>
      </c>
      <c r="H37" s="111"/>
      <c r="I37" s="111"/>
      <c r="J37" s="111"/>
      <c r="K37" s="112"/>
      <c r="L37" s="113">
        <v>727019</v>
      </c>
      <c r="M37" s="113">
        <v>0</v>
      </c>
      <c r="N37" s="113">
        <v>0</v>
      </c>
      <c r="O37" s="113">
        <f t="shared" si="4"/>
        <v>727019</v>
      </c>
      <c r="P37" s="113">
        <v>0</v>
      </c>
      <c r="Q37" s="114" t="e">
        <f t="shared" si="5"/>
        <v>#DIV/0!</v>
      </c>
      <c r="R37" s="115"/>
      <c r="S37" s="316">
        <v>43100</v>
      </c>
    </row>
    <row r="38" spans="1:19" customFormat="1" ht="31.2">
      <c r="A38" s="107">
        <f t="shared" si="6"/>
        <v>19</v>
      </c>
      <c r="B38" s="276" t="s">
        <v>329</v>
      </c>
      <c r="C38" s="118">
        <v>1963</v>
      </c>
      <c r="D38" s="118"/>
      <c r="E38" s="109" t="s">
        <v>218</v>
      </c>
      <c r="F38" s="118">
        <v>4</v>
      </c>
      <c r="G38" s="118">
        <v>3</v>
      </c>
      <c r="H38" s="118"/>
      <c r="I38" s="118"/>
      <c r="J38" s="118"/>
      <c r="K38" s="119"/>
      <c r="L38" s="113">
        <v>538121</v>
      </c>
      <c r="M38" s="113">
        <v>0</v>
      </c>
      <c r="N38" s="113">
        <v>0</v>
      </c>
      <c r="O38" s="113">
        <f t="shared" si="4"/>
        <v>538121</v>
      </c>
      <c r="P38" s="113">
        <v>0</v>
      </c>
      <c r="Q38" s="114" t="e">
        <f t="shared" si="5"/>
        <v>#DIV/0!</v>
      </c>
      <c r="R38" s="115"/>
      <c r="S38" s="316">
        <v>43100</v>
      </c>
    </row>
    <row r="39" spans="1:19" customFormat="1" ht="31.2">
      <c r="A39" s="107">
        <f t="shared" si="6"/>
        <v>20</v>
      </c>
      <c r="B39" s="276" t="s">
        <v>332</v>
      </c>
      <c r="C39" s="118">
        <v>1963</v>
      </c>
      <c r="D39" s="118"/>
      <c r="E39" s="109" t="s">
        <v>218</v>
      </c>
      <c r="F39" s="118">
        <v>4</v>
      </c>
      <c r="G39" s="118">
        <v>3</v>
      </c>
      <c r="H39" s="118"/>
      <c r="I39" s="118"/>
      <c r="J39" s="118"/>
      <c r="K39" s="119"/>
      <c r="L39" s="113">
        <v>1756852</v>
      </c>
      <c r="M39" s="113">
        <v>0</v>
      </c>
      <c r="N39" s="113">
        <v>0</v>
      </c>
      <c r="O39" s="113">
        <f t="shared" si="4"/>
        <v>1756852</v>
      </c>
      <c r="P39" s="113">
        <v>0</v>
      </c>
      <c r="Q39" s="114" t="e">
        <f t="shared" si="5"/>
        <v>#DIV/0!</v>
      </c>
      <c r="R39" s="115"/>
      <c r="S39" s="316">
        <v>43100</v>
      </c>
    </row>
    <row r="40" spans="1:19" customFormat="1" ht="15.6">
      <c r="A40" s="107">
        <f t="shared" si="6"/>
        <v>21</v>
      </c>
      <c r="B40" s="276" t="s">
        <v>316</v>
      </c>
      <c r="C40" s="108">
        <v>1974</v>
      </c>
      <c r="D40" s="108"/>
      <c r="E40" s="109" t="s">
        <v>219</v>
      </c>
      <c r="F40" s="110">
        <v>5</v>
      </c>
      <c r="G40" s="110">
        <v>4</v>
      </c>
      <c r="H40" s="111"/>
      <c r="I40" s="111"/>
      <c r="J40" s="111"/>
      <c r="K40" s="112"/>
      <c r="L40" s="113">
        <v>676398.28</v>
      </c>
      <c r="M40" s="113">
        <v>0</v>
      </c>
      <c r="N40" s="113">
        <v>0</v>
      </c>
      <c r="O40" s="113">
        <f t="shared" si="4"/>
        <v>676398.28</v>
      </c>
      <c r="P40" s="113">
        <v>0</v>
      </c>
      <c r="Q40" s="114" t="e">
        <f t="shared" si="5"/>
        <v>#DIV/0!</v>
      </c>
      <c r="R40" s="115"/>
      <c r="S40" s="316">
        <v>43100</v>
      </c>
    </row>
    <row r="41" spans="1:19" customFormat="1" ht="31.2">
      <c r="A41" s="107">
        <f t="shared" si="6"/>
        <v>22</v>
      </c>
      <c r="B41" s="275" t="s">
        <v>313</v>
      </c>
      <c r="C41" s="108">
        <v>1951</v>
      </c>
      <c r="D41" s="108"/>
      <c r="E41" s="109" t="s">
        <v>218</v>
      </c>
      <c r="F41" s="110">
        <v>2</v>
      </c>
      <c r="G41" s="110">
        <v>1</v>
      </c>
      <c r="H41" s="111"/>
      <c r="I41" s="111"/>
      <c r="J41" s="111"/>
      <c r="K41" s="112"/>
      <c r="L41" s="113">
        <v>766539</v>
      </c>
      <c r="M41" s="113">
        <v>0</v>
      </c>
      <c r="N41" s="113">
        <v>0</v>
      </c>
      <c r="O41" s="113">
        <f t="shared" si="4"/>
        <v>766539</v>
      </c>
      <c r="P41" s="113">
        <v>0</v>
      </c>
      <c r="Q41" s="114" t="e">
        <f t="shared" si="5"/>
        <v>#DIV/0!</v>
      </c>
      <c r="R41" s="115"/>
      <c r="S41" s="316">
        <v>43100</v>
      </c>
    </row>
    <row r="42" spans="1:19" customFormat="1" ht="31.2">
      <c r="A42" s="107">
        <f t="shared" si="6"/>
        <v>23</v>
      </c>
      <c r="B42" s="276" t="s">
        <v>312</v>
      </c>
      <c r="C42" s="118">
        <v>1983</v>
      </c>
      <c r="D42" s="118"/>
      <c r="E42" s="109" t="s">
        <v>218</v>
      </c>
      <c r="F42" s="118">
        <v>9</v>
      </c>
      <c r="G42" s="118">
        <v>2</v>
      </c>
      <c r="H42" s="118"/>
      <c r="I42" s="118"/>
      <c r="J42" s="118"/>
      <c r="K42" s="119"/>
      <c r="L42" s="113">
        <v>1186114</v>
      </c>
      <c r="M42" s="113">
        <v>0</v>
      </c>
      <c r="N42" s="113">
        <v>0</v>
      </c>
      <c r="O42" s="113">
        <f t="shared" si="4"/>
        <v>1186114</v>
      </c>
      <c r="P42" s="113">
        <v>0</v>
      </c>
      <c r="Q42" s="114" t="e">
        <f t="shared" si="5"/>
        <v>#DIV/0!</v>
      </c>
      <c r="R42" s="115"/>
      <c r="S42" s="316">
        <v>43100</v>
      </c>
    </row>
    <row r="43" spans="1:19" customFormat="1" ht="31.2">
      <c r="A43" s="107">
        <f t="shared" si="6"/>
        <v>24</v>
      </c>
      <c r="B43" s="275" t="s">
        <v>311</v>
      </c>
      <c r="C43" s="118">
        <v>1958</v>
      </c>
      <c r="D43" s="118"/>
      <c r="E43" s="109" t="s">
        <v>218</v>
      </c>
      <c r="F43" s="118">
        <v>3</v>
      </c>
      <c r="G43" s="118">
        <v>2</v>
      </c>
      <c r="H43" s="118"/>
      <c r="I43" s="118"/>
      <c r="J43" s="118"/>
      <c r="K43" s="119"/>
      <c r="L43" s="113">
        <v>178272.59</v>
      </c>
      <c r="M43" s="113">
        <v>0</v>
      </c>
      <c r="N43" s="113">
        <v>0</v>
      </c>
      <c r="O43" s="113">
        <f t="shared" si="4"/>
        <v>178272.59</v>
      </c>
      <c r="P43" s="113">
        <v>0</v>
      </c>
      <c r="Q43" s="114" t="e">
        <f t="shared" si="5"/>
        <v>#DIV/0!</v>
      </c>
      <c r="R43" s="115"/>
      <c r="S43" s="316">
        <v>43100</v>
      </c>
    </row>
    <row r="44" spans="1:19" customFormat="1" ht="31.2">
      <c r="A44" s="107">
        <f t="shared" si="6"/>
        <v>25</v>
      </c>
      <c r="B44" s="276" t="s">
        <v>315</v>
      </c>
      <c r="C44" s="108">
        <v>1963</v>
      </c>
      <c r="D44" s="108"/>
      <c r="E44" s="109" t="s">
        <v>218</v>
      </c>
      <c r="F44" s="110">
        <v>4</v>
      </c>
      <c r="G44" s="110">
        <v>2</v>
      </c>
      <c r="H44" s="111"/>
      <c r="I44" s="111"/>
      <c r="J44" s="111"/>
      <c r="K44" s="112"/>
      <c r="L44" s="113">
        <v>1087116</v>
      </c>
      <c r="M44" s="113">
        <v>0</v>
      </c>
      <c r="N44" s="113">
        <v>0</v>
      </c>
      <c r="O44" s="113">
        <f t="shared" si="4"/>
        <v>1087116</v>
      </c>
      <c r="P44" s="113">
        <v>0</v>
      </c>
      <c r="Q44" s="114" t="e">
        <f t="shared" si="5"/>
        <v>#DIV/0!</v>
      </c>
      <c r="R44" s="115"/>
      <c r="S44" s="316">
        <v>43100</v>
      </c>
    </row>
    <row r="45" spans="1:19" customFormat="1" ht="31.2">
      <c r="A45" s="107">
        <f t="shared" si="6"/>
        <v>26</v>
      </c>
      <c r="B45" s="276" t="s">
        <v>351</v>
      </c>
      <c r="C45" s="108">
        <v>1984</v>
      </c>
      <c r="D45" s="108"/>
      <c r="E45" s="109" t="s">
        <v>218</v>
      </c>
      <c r="F45" s="110">
        <v>9</v>
      </c>
      <c r="G45" s="110">
        <v>2</v>
      </c>
      <c r="H45" s="111"/>
      <c r="I45" s="111"/>
      <c r="J45" s="111"/>
      <c r="K45" s="112"/>
      <c r="L45" s="113">
        <v>1411363</v>
      </c>
      <c r="M45" s="113">
        <v>0</v>
      </c>
      <c r="N45" s="113">
        <v>0</v>
      </c>
      <c r="O45" s="113">
        <f t="shared" si="4"/>
        <v>1411363</v>
      </c>
      <c r="P45" s="113">
        <v>0</v>
      </c>
      <c r="Q45" s="114" t="e">
        <f t="shared" si="5"/>
        <v>#DIV/0!</v>
      </c>
      <c r="R45" s="115"/>
      <c r="S45" s="316">
        <v>43100</v>
      </c>
    </row>
    <row r="46" spans="1:19" customFormat="1" ht="31.2">
      <c r="A46" s="107">
        <f t="shared" si="6"/>
        <v>27</v>
      </c>
      <c r="B46" s="276" t="s">
        <v>314</v>
      </c>
      <c r="C46" s="108">
        <v>1964</v>
      </c>
      <c r="D46" s="108"/>
      <c r="E46" s="109" t="s">
        <v>218</v>
      </c>
      <c r="F46" s="110">
        <v>4</v>
      </c>
      <c r="G46" s="110">
        <v>2</v>
      </c>
      <c r="H46" s="111"/>
      <c r="I46" s="111"/>
      <c r="J46" s="111"/>
      <c r="K46" s="112"/>
      <c r="L46" s="113">
        <v>1136666</v>
      </c>
      <c r="M46" s="113">
        <v>0</v>
      </c>
      <c r="N46" s="113">
        <v>0</v>
      </c>
      <c r="O46" s="113">
        <f t="shared" si="4"/>
        <v>1136666</v>
      </c>
      <c r="P46" s="113">
        <v>0</v>
      </c>
      <c r="Q46" s="114" t="e">
        <f t="shared" si="5"/>
        <v>#DIV/0!</v>
      </c>
      <c r="R46" s="115"/>
      <c r="S46" s="316">
        <v>43100</v>
      </c>
    </row>
    <row r="47" spans="1:19" customFormat="1" ht="31.2">
      <c r="A47" s="107">
        <f t="shared" si="6"/>
        <v>28</v>
      </c>
      <c r="B47" s="276" t="s">
        <v>369</v>
      </c>
      <c r="C47" s="118">
        <v>1959</v>
      </c>
      <c r="D47" s="118"/>
      <c r="E47" s="109" t="s">
        <v>218</v>
      </c>
      <c r="F47" s="118">
        <v>4</v>
      </c>
      <c r="G47" s="118">
        <v>6</v>
      </c>
      <c r="H47" s="118"/>
      <c r="I47" s="118"/>
      <c r="J47" s="118"/>
      <c r="K47" s="119"/>
      <c r="L47" s="113">
        <v>1385674</v>
      </c>
      <c r="M47" s="113">
        <v>0</v>
      </c>
      <c r="N47" s="113">
        <v>0</v>
      </c>
      <c r="O47" s="113">
        <f t="shared" si="4"/>
        <v>1385674</v>
      </c>
      <c r="P47" s="113">
        <v>0</v>
      </c>
      <c r="Q47" s="114" t="e">
        <f t="shared" si="5"/>
        <v>#DIV/0!</v>
      </c>
      <c r="R47" s="115"/>
      <c r="S47" s="316">
        <v>43100</v>
      </c>
    </row>
    <row r="48" spans="1:19" customFormat="1" ht="31.2">
      <c r="A48" s="107">
        <f t="shared" si="6"/>
        <v>29</v>
      </c>
      <c r="B48" s="276" t="s">
        <v>370</v>
      </c>
      <c r="C48" s="118">
        <v>1937</v>
      </c>
      <c r="D48" s="118"/>
      <c r="E48" s="109" t="s">
        <v>218</v>
      </c>
      <c r="F48" s="118">
        <v>4</v>
      </c>
      <c r="G48" s="118">
        <v>9</v>
      </c>
      <c r="H48" s="118"/>
      <c r="I48" s="118"/>
      <c r="J48" s="118"/>
      <c r="K48" s="119"/>
      <c r="L48" s="113">
        <v>4619990</v>
      </c>
      <c r="M48" s="113">
        <v>0</v>
      </c>
      <c r="N48" s="113">
        <v>0</v>
      </c>
      <c r="O48" s="113">
        <f t="shared" si="4"/>
        <v>4619990</v>
      </c>
      <c r="P48" s="113">
        <v>0</v>
      </c>
      <c r="Q48" s="114" t="e">
        <f t="shared" si="5"/>
        <v>#DIV/0!</v>
      </c>
      <c r="R48" s="115"/>
      <c r="S48" s="316">
        <v>43100</v>
      </c>
    </row>
    <row r="49" spans="1:48" customFormat="1" ht="31.2">
      <c r="A49" s="107">
        <f t="shared" si="6"/>
        <v>30</v>
      </c>
      <c r="B49" s="276" t="s">
        <v>373</v>
      </c>
      <c r="C49" s="118">
        <v>1960</v>
      </c>
      <c r="D49" s="118"/>
      <c r="E49" s="109" t="s">
        <v>218</v>
      </c>
      <c r="F49" s="118">
        <v>4</v>
      </c>
      <c r="G49" s="118">
        <v>3</v>
      </c>
      <c r="H49" s="118"/>
      <c r="I49" s="118"/>
      <c r="J49" s="118"/>
      <c r="K49" s="119"/>
      <c r="L49" s="113">
        <v>1865304</v>
      </c>
      <c r="M49" s="113">
        <v>0</v>
      </c>
      <c r="N49" s="113">
        <v>0</v>
      </c>
      <c r="O49" s="113">
        <f t="shared" si="4"/>
        <v>1865304</v>
      </c>
      <c r="P49" s="113">
        <v>0</v>
      </c>
      <c r="Q49" s="114" t="e">
        <f t="shared" si="5"/>
        <v>#DIV/0!</v>
      </c>
      <c r="R49" s="115"/>
      <c r="S49" s="316">
        <v>43100</v>
      </c>
    </row>
    <row r="50" spans="1:48" customFormat="1" ht="31.2">
      <c r="A50" s="107">
        <f t="shared" si="6"/>
        <v>31</v>
      </c>
      <c r="B50" s="276" t="s">
        <v>381</v>
      </c>
      <c r="C50" s="108">
        <v>1961</v>
      </c>
      <c r="D50" s="108"/>
      <c r="E50" s="109" t="s">
        <v>218</v>
      </c>
      <c r="F50" s="110">
        <v>5</v>
      </c>
      <c r="G50" s="110">
        <v>4</v>
      </c>
      <c r="H50" s="111"/>
      <c r="I50" s="111"/>
      <c r="J50" s="111"/>
      <c r="K50" s="112"/>
      <c r="L50" s="113">
        <v>1870910</v>
      </c>
      <c r="M50" s="113">
        <v>0</v>
      </c>
      <c r="N50" s="113">
        <v>0</v>
      </c>
      <c r="O50" s="113">
        <f t="shared" si="4"/>
        <v>1870910</v>
      </c>
      <c r="P50" s="113">
        <v>0</v>
      </c>
      <c r="Q50" s="114" t="e">
        <f t="shared" si="5"/>
        <v>#DIV/0!</v>
      </c>
      <c r="R50" s="115"/>
      <c r="S50" s="316">
        <v>43100</v>
      </c>
    </row>
    <row r="51" spans="1:48" customFormat="1" ht="31.2">
      <c r="A51" s="107">
        <f t="shared" si="6"/>
        <v>32</v>
      </c>
      <c r="B51" s="276" t="s">
        <v>382</v>
      </c>
      <c r="C51" s="108">
        <v>1960</v>
      </c>
      <c r="D51" s="108"/>
      <c r="E51" s="109" t="s">
        <v>218</v>
      </c>
      <c r="F51" s="110">
        <v>5</v>
      </c>
      <c r="G51" s="110">
        <v>4</v>
      </c>
      <c r="H51" s="111"/>
      <c r="I51" s="111"/>
      <c r="J51" s="111"/>
      <c r="K51" s="112"/>
      <c r="L51" s="113">
        <v>1533757</v>
      </c>
      <c r="M51" s="113">
        <v>0</v>
      </c>
      <c r="N51" s="113">
        <v>0</v>
      </c>
      <c r="O51" s="113">
        <f t="shared" si="4"/>
        <v>1533757</v>
      </c>
      <c r="P51" s="113">
        <v>0</v>
      </c>
      <c r="Q51" s="114" t="e">
        <f t="shared" si="5"/>
        <v>#DIV/0!</v>
      </c>
      <c r="R51" s="115"/>
      <c r="S51" s="316">
        <v>43100</v>
      </c>
    </row>
    <row r="52" spans="1:48" customFormat="1" ht="31.2">
      <c r="A52" s="107">
        <f t="shared" si="6"/>
        <v>33</v>
      </c>
      <c r="B52" s="276" t="s">
        <v>371</v>
      </c>
      <c r="C52" s="118">
        <v>1960</v>
      </c>
      <c r="D52" s="118"/>
      <c r="E52" s="109" t="s">
        <v>218</v>
      </c>
      <c r="F52" s="118">
        <v>5</v>
      </c>
      <c r="G52" s="118">
        <v>4</v>
      </c>
      <c r="H52" s="118"/>
      <c r="I52" s="118"/>
      <c r="J52" s="118"/>
      <c r="K52" s="119"/>
      <c r="L52" s="113">
        <v>939858</v>
      </c>
      <c r="M52" s="113">
        <v>0</v>
      </c>
      <c r="N52" s="113">
        <v>0</v>
      </c>
      <c r="O52" s="113">
        <f t="shared" ref="O52:O83" si="7">L52</f>
        <v>939858</v>
      </c>
      <c r="P52" s="113">
        <v>0</v>
      </c>
      <c r="Q52" s="114" t="e">
        <f t="shared" ref="Q52:Q83" si="8">L52/I52</f>
        <v>#DIV/0!</v>
      </c>
      <c r="R52" s="115"/>
      <c r="S52" s="316">
        <v>43100</v>
      </c>
    </row>
    <row r="53" spans="1:48" customFormat="1" ht="15.6">
      <c r="A53" s="107">
        <f t="shared" si="6"/>
        <v>34</v>
      </c>
      <c r="B53" s="275" t="s">
        <v>377</v>
      </c>
      <c r="C53" s="108">
        <v>1973</v>
      </c>
      <c r="D53" s="108"/>
      <c r="E53" s="109" t="s">
        <v>219</v>
      </c>
      <c r="F53" s="110">
        <v>5</v>
      </c>
      <c r="G53" s="110">
        <v>6</v>
      </c>
      <c r="H53" s="111"/>
      <c r="I53" s="111"/>
      <c r="J53" s="111"/>
      <c r="K53" s="112"/>
      <c r="L53" s="113">
        <v>2368392</v>
      </c>
      <c r="M53" s="113">
        <v>0</v>
      </c>
      <c r="N53" s="113">
        <v>0</v>
      </c>
      <c r="O53" s="113">
        <f t="shared" si="7"/>
        <v>2368392</v>
      </c>
      <c r="P53" s="113">
        <v>0</v>
      </c>
      <c r="Q53" s="114" t="e">
        <f t="shared" si="8"/>
        <v>#DIV/0!</v>
      </c>
      <c r="R53" s="115"/>
      <c r="S53" s="316">
        <v>43100</v>
      </c>
    </row>
    <row r="54" spans="1:48" customFormat="1" ht="31.2">
      <c r="A54" s="107">
        <f t="shared" si="6"/>
        <v>35</v>
      </c>
      <c r="B54" s="275" t="s">
        <v>378</v>
      </c>
      <c r="C54" s="108">
        <v>1961</v>
      </c>
      <c r="D54" s="108"/>
      <c r="E54" s="109" t="s">
        <v>218</v>
      </c>
      <c r="F54" s="110">
        <v>5</v>
      </c>
      <c r="G54" s="110">
        <v>2</v>
      </c>
      <c r="H54" s="111"/>
      <c r="I54" s="111"/>
      <c r="J54" s="111"/>
      <c r="K54" s="112"/>
      <c r="L54" s="113">
        <v>2433930.91</v>
      </c>
      <c r="M54" s="113">
        <v>0</v>
      </c>
      <c r="N54" s="113">
        <v>0</v>
      </c>
      <c r="O54" s="113">
        <f t="shared" si="7"/>
        <v>2433930.91</v>
      </c>
      <c r="P54" s="113">
        <v>0</v>
      </c>
      <c r="Q54" s="114" t="e">
        <f t="shared" si="8"/>
        <v>#DIV/0!</v>
      </c>
      <c r="R54" s="115"/>
      <c r="S54" s="316">
        <v>43100</v>
      </c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</row>
    <row r="55" spans="1:48" customFormat="1" ht="31.2">
      <c r="A55" s="107">
        <f t="shared" si="6"/>
        <v>36</v>
      </c>
      <c r="B55" s="276" t="s">
        <v>383</v>
      </c>
      <c r="C55" s="108">
        <v>1964</v>
      </c>
      <c r="D55" s="108"/>
      <c r="E55" s="109" t="s">
        <v>218</v>
      </c>
      <c r="F55" s="110">
        <v>5</v>
      </c>
      <c r="G55" s="110">
        <v>4</v>
      </c>
      <c r="H55" s="111"/>
      <c r="I55" s="111"/>
      <c r="J55" s="111"/>
      <c r="K55" s="112"/>
      <c r="L55" s="113">
        <v>1721850</v>
      </c>
      <c r="M55" s="113">
        <v>0</v>
      </c>
      <c r="N55" s="113">
        <v>0</v>
      </c>
      <c r="O55" s="113">
        <f t="shared" si="7"/>
        <v>1721850</v>
      </c>
      <c r="P55" s="113">
        <v>0</v>
      </c>
      <c r="Q55" s="114" t="e">
        <f t="shared" si="8"/>
        <v>#DIV/0!</v>
      </c>
      <c r="R55" s="115"/>
      <c r="S55" s="316">
        <v>43100</v>
      </c>
    </row>
    <row r="56" spans="1:48" s="3" customFormat="1" ht="31.2">
      <c r="A56" s="107">
        <f t="shared" si="6"/>
        <v>37</v>
      </c>
      <c r="B56" s="276" t="s">
        <v>368</v>
      </c>
      <c r="C56" s="118">
        <v>1957</v>
      </c>
      <c r="D56" s="118"/>
      <c r="E56" s="109" t="s">
        <v>218</v>
      </c>
      <c r="F56" s="118">
        <v>4</v>
      </c>
      <c r="G56" s="118">
        <v>4</v>
      </c>
      <c r="H56" s="118"/>
      <c r="I56" s="118"/>
      <c r="J56" s="118"/>
      <c r="K56" s="119"/>
      <c r="L56" s="113">
        <v>814117</v>
      </c>
      <c r="M56" s="113">
        <v>0</v>
      </c>
      <c r="N56" s="113">
        <v>0</v>
      </c>
      <c r="O56" s="113">
        <f t="shared" si="7"/>
        <v>814117</v>
      </c>
      <c r="P56" s="113">
        <v>0</v>
      </c>
      <c r="Q56" s="114" t="e">
        <f t="shared" si="8"/>
        <v>#DIV/0!</v>
      </c>
      <c r="R56" s="115"/>
      <c r="S56" s="316">
        <v>43100</v>
      </c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</row>
    <row r="57" spans="1:48" customFormat="1" ht="31.2">
      <c r="A57" s="107">
        <f t="shared" si="6"/>
        <v>38</v>
      </c>
      <c r="B57" s="276" t="s">
        <v>375</v>
      </c>
      <c r="C57" s="108">
        <v>1957</v>
      </c>
      <c r="D57" s="108"/>
      <c r="E57" s="109" t="s">
        <v>218</v>
      </c>
      <c r="F57" s="110">
        <v>4</v>
      </c>
      <c r="G57" s="110">
        <v>4</v>
      </c>
      <c r="H57" s="111"/>
      <c r="I57" s="111"/>
      <c r="J57" s="111"/>
      <c r="K57" s="112"/>
      <c r="L57" s="113">
        <v>3045081</v>
      </c>
      <c r="M57" s="113">
        <v>0</v>
      </c>
      <c r="N57" s="113">
        <v>0</v>
      </c>
      <c r="O57" s="113">
        <f t="shared" si="7"/>
        <v>3045081</v>
      </c>
      <c r="P57" s="113">
        <v>0</v>
      </c>
      <c r="Q57" s="114" t="e">
        <f t="shared" si="8"/>
        <v>#DIV/0!</v>
      </c>
      <c r="R57" s="115"/>
      <c r="S57" s="316">
        <v>43100</v>
      </c>
    </row>
    <row r="58" spans="1:48" customFormat="1" ht="31.2">
      <c r="A58" s="107">
        <f t="shared" si="6"/>
        <v>39</v>
      </c>
      <c r="B58" s="276" t="s">
        <v>380</v>
      </c>
      <c r="C58" s="108">
        <v>1954</v>
      </c>
      <c r="D58" s="108"/>
      <c r="E58" s="109" t="s">
        <v>218</v>
      </c>
      <c r="F58" s="110">
        <v>3</v>
      </c>
      <c r="G58" s="110">
        <v>3</v>
      </c>
      <c r="H58" s="111"/>
      <c r="I58" s="111"/>
      <c r="J58" s="111"/>
      <c r="K58" s="112"/>
      <c r="L58" s="113">
        <v>2244806</v>
      </c>
      <c r="M58" s="113">
        <v>0</v>
      </c>
      <c r="N58" s="113">
        <v>0</v>
      </c>
      <c r="O58" s="113">
        <f t="shared" si="7"/>
        <v>2244806</v>
      </c>
      <c r="P58" s="113">
        <v>0</v>
      </c>
      <c r="Q58" s="114" t="e">
        <f t="shared" si="8"/>
        <v>#DIV/0!</v>
      </c>
      <c r="R58" s="115"/>
      <c r="S58" s="316">
        <v>43100</v>
      </c>
    </row>
    <row r="59" spans="1:48" customFormat="1" ht="31.2">
      <c r="A59" s="107">
        <f t="shared" si="6"/>
        <v>40</v>
      </c>
      <c r="B59" s="276" t="s">
        <v>374</v>
      </c>
      <c r="C59" s="108">
        <v>1963</v>
      </c>
      <c r="D59" s="108"/>
      <c r="E59" s="109" t="s">
        <v>218</v>
      </c>
      <c r="F59" s="110">
        <v>4</v>
      </c>
      <c r="G59" s="110">
        <v>2</v>
      </c>
      <c r="H59" s="111"/>
      <c r="I59" s="111"/>
      <c r="J59" s="111"/>
      <c r="K59" s="112"/>
      <c r="L59" s="113">
        <v>1361273</v>
      </c>
      <c r="M59" s="113">
        <v>0</v>
      </c>
      <c r="N59" s="113">
        <v>0</v>
      </c>
      <c r="O59" s="113">
        <f t="shared" si="7"/>
        <v>1361273</v>
      </c>
      <c r="P59" s="113">
        <v>0</v>
      </c>
      <c r="Q59" s="114" t="e">
        <f t="shared" si="8"/>
        <v>#DIV/0!</v>
      </c>
      <c r="R59" s="115"/>
      <c r="S59" s="316">
        <v>43100</v>
      </c>
    </row>
    <row r="60" spans="1:48" customFormat="1" ht="31.2">
      <c r="A60" s="107">
        <f t="shared" si="6"/>
        <v>41</v>
      </c>
      <c r="B60" s="276" t="s">
        <v>469</v>
      </c>
      <c r="C60" s="108">
        <v>1959</v>
      </c>
      <c r="D60" s="108"/>
      <c r="E60" s="109" t="s">
        <v>218</v>
      </c>
      <c r="F60" s="110">
        <v>4</v>
      </c>
      <c r="G60" s="110">
        <v>4</v>
      </c>
      <c r="H60" s="111"/>
      <c r="I60" s="111"/>
      <c r="J60" s="111"/>
      <c r="K60" s="112"/>
      <c r="L60" s="113">
        <v>2421596</v>
      </c>
      <c r="M60" s="113">
        <v>0</v>
      </c>
      <c r="N60" s="113">
        <v>0</v>
      </c>
      <c r="O60" s="113">
        <f t="shared" si="7"/>
        <v>2421596</v>
      </c>
      <c r="P60" s="113">
        <v>0</v>
      </c>
      <c r="Q60" s="114" t="e">
        <f t="shared" si="8"/>
        <v>#DIV/0!</v>
      </c>
      <c r="R60" s="115"/>
      <c r="S60" s="316">
        <v>43100</v>
      </c>
    </row>
    <row r="61" spans="1:48" customFormat="1" ht="31.2">
      <c r="A61" s="107">
        <f t="shared" si="6"/>
        <v>42</v>
      </c>
      <c r="B61" s="276" t="s">
        <v>379</v>
      </c>
      <c r="C61" s="108">
        <v>1967</v>
      </c>
      <c r="D61" s="108"/>
      <c r="E61" s="109" t="s">
        <v>218</v>
      </c>
      <c r="F61" s="110">
        <v>6</v>
      </c>
      <c r="G61" s="110">
        <v>5</v>
      </c>
      <c r="H61" s="111"/>
      <c r="I61" s="111"/>
      <c r="J61" s="111"/>
      <c r="K61" s="112"/>
      <c r="L61" s="113">
        <v>2056315</v>
      </c>
      <c r="M61" s="113">
        <v>0</v>
      </c>
      <c r="N61" s="113">
        <v>0</v>
      </c>
      <c r="O61" s="113">
        <f t="shared" si="7"/>
        <v>2056315</v>
      </c>
      <c r="P61" s="113">
        <v>0</v>
      </c>
      <c r="Q61" s="114" t="e">
        <f t="shared" si="8"/>
        <v>#DIV/0!</v>
      </c>
      <c r="R61" s="115"/>
      <c r="S61" s="316">
        <v>43100</v>
      </c>
    </row>
    <row r="62" spans="1:48" customFormat="1" ht="31.2">
      <c r="A62" s="107">
        <f t="shared" si="6"/>
        <v>43</v>
      </c>
      <c r="B62" s="276" t="s">
        <v>372</v>
      </c>
      <c r="C62" s="118">
        <v>1975</v>
      </c>
      <c r="D62" s="118"/>
      <c r="E62" s="109" t="s">
        <v>218</v>
      </c>
      <c r="F62" s="118">
        <v>9</v>
      </c>
      <c r="G62" s="118">
        <v>5</v>
      </c>
      <c r="H62" s="118"/>
      <c r="I62" s="118"/>
      <c r="J62" s="118"/>
      <c r="K62" s="119"/>
      <c r="L62" s="113">
        <v>9473593</v>
      </c>
      <c r="M62" s="113">
        <v>0</v>
      </c>
      <c r="N62" s="113">
        <v>0</v>
      </c>
      <c r="O62" s="113">
        <f t="shared" si="7"/>
        <v>9473593</v>
      </c>
      <c r="P62" s="113">
        <v>0</v>
      </c>
      <c r="Q62" s="114" t="e">
        <f t="shared" si="8"/>
        <v>#DIV/0!</v>
      </c>
      <c r="R62" s="115"/>
      <c r="S62" s="316">
        <v>43100</v>
      </c>
    </row>
    <row r="63" spans="1:48" customFormat="1" ht="31.2">
      <c r="A63" s="107">
        <f t="shared" si="6"/>
        <v>44</v>
      </c>
      <c r="B63" s="275" t="s">
        <v>344</v>
      </c>
      <c r="C63" s="107">
        <v>1968</v>
      </c>
      <c r="D63" s="108"/>
      <c r="E63" s="109" t="s">
        <v>218</v>
      </c>
      <c r="F63" s="108">
        <v>5</v>
      </c>
      <c r="G63" s="108">
        <v>6</v>
      </c>
      <c r="H63" s="117"/>
      <c r="I63" s="117"/>
      <c r="J63" s="102"/>
      <c r="K63" s="101"/>
      <c r="L63" s="113">
        <v>4441828</v>
      </c>
      <c r="M63" s="113">
        <v>0</v>
      </c>
      <c r="N63" s="113">
        <v>0</v>
      </c>
      <c r="O63" s="113">
        <f t="shared" si="7"/>
        <v>4441828</v>
      </c>
      <c r="P63" s="113">
        <v>0</v>
      </c>
      <c r="Q63" s="114" t="e">
        <f t="shared" si="8"/>
        <v>#DIV/0!</v>
      </c>
      <c r="R63" s="115"/>
      <c r="S63" s="316">
        <v>43100</v>
      </c>
    </row>
    <row r="64" spans="1:48" customFormat="1" ht="15.6">
      <c r="A64" s="107">
        <f t="shared" si="6"/>
        <v>45</v>
      </c>
      <c r="B64" s="276" t="s">
        <v>348</v>
      </c>
      <c r="C64" s="108">
        <v>1977</v>
      </c>
      <c r="D64" s="108"/>
      <c r="E64" s="109" t="s">
        <v>219</v>
      </c>
      <c r="F64" s="110">
        <v>5</v>
      </c>
      <c r="G64" s="110">
        <v>8</v>
      </c>
      <c r="H64" s="111"/>
      <c r="I64" s="111"/>
      <c r="J64" s="111"/>
      <c r="K64" s="112"/>
      <c r="L64" s="113">
        <v>3051089</v>
      </c>
      <c r="M64" s="113">
        <v>0</v>
      </c>
      <c r="N64" s="113">
        <v>0</v>
      </c>
      <c r="O64" s="113">
        <f t="shared" si="7"/>
        <v>3051089</v>
      </c>
      <c r="P64" s="113">
        <v>0</v>
      </c>
      <c r="Q64" s="114" t="e">
        <f t="shared" si="8"/>
        <v>#DIV/0!</v>
      </c>
      <c r="R64" s="115"/>
      <c r="S64" s="316">
        <v>43100</v>
      </c>
    </row>
    <row r="65" spans="1:48" customFormat="1" ht="31.2">
      <c r="A65" s="107">
        <f t="shared" si="6"/>
        <v>46</v>
      </c>
      <c r="B65" s="275" t="s">
        <v>386</v>
      </c>
      <c r="C65" s="118">
        <v>1956</v>
      </c>
      <c r="D65" s="118"/>
      <c r="E65" s="109" t="s">
        <v>218</v>
      </c>
      <c r="F65" s="118">
        <v>2</v>
      </c>
      <c r="G65" s="118">
        <v>2</v>
      </c>
      <c r="H65" s="118"/>
      <c r="I65" s="118"/>
      <c r="J65" s="118"/>
      <c r="K65" s="119"/>
      <c r="L65" s="113">
        <v>869749</v>
      </c>
      <c r="M65" s="113">
        <v>0</v>
      </c>
      <c r="N65" s="113">
        <v>0</v>
      </c>
      <c r="O65" s="113">
        <f t="shared" si="7"/>
        <v>869749</v>
      </c>
      <c r="P65" s="113">
        <v>0</v>
      </c>
      <c r="Q65" s="114" t="e">
        <f t="shared" si="8"/>
        <v>#DIV/0!</v>
      </c>
      <c r="R65" s="115"/>
      <c r="S65" s="316">
        <v>43100</v>
      </c>
    </row>
    <row r="66" spans="1:48" customFormat="1" ht="31.2">
      <c r="A66" s="107">
        <f t="shared" si="6"/>
        <v>47</v>
      </c>
      <c r="B66" s="275" t="s">
        <v>461</v>
      </c>
      <c r="C66" s="108">
        <v>1956</v>
      </c>
      <c r="D66" s="108"/>
      <c r="E66" s="109" t="s">
        <v>218</v>
      </c>
      <c r="F66" s="110">
        <v>2</v>
      </c>
      <c r="G66" s="110">
        <v>2</v>
      </c>
      <c r="H66" s="111"/>
      <c r="I66" s="111"/>
      <c r="J66" s="111"/>
      <c r="K66" s="112"/>
      <c r="L66" s="113">
        <v>869880</v>
      </c>
      <c r="M66" s="113">
        <v>0</v>
      </c>
      <c r="N66" s="113">
        <v>0</v>
      </c>
      <c r="O66" s="113">
        <f t="shared" si="7"/>
        <v>869880</v>
      </c>
      <c r="P66" s="113">
        <v>0</v>
      </c>
      <c r="Q66" s="114" t="e">
        <f t="shared" si="8"/>
        <v>#DIV/0!</v>
      </c>
      <c r="R66" s="115"/>
      <c r="S66" s="316">
        <v>43100</v>
      </c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</row>
    <row r="67" spans="1:48" customFormat="1" ht="31.2">
      <c r="A67" s="107">
        <f t="shared" si="6"/>
        <v>48</v>
      </c>
      <c r="B67" s="276" t="s">
        <v>462</v>
      </c>
      <c r="C67" s="108">
        <v>1959</v>
      </c>
      <c r="D67" s="116"/>
      <c r="E67" s="109" t="s">
        <v>218</v>
      </c>
      <c r="F67" s="110">
        <v>2</v>
      </c>
      <c r="G67" s="110">
        <v>2</v>
      </c>
      <c r="H67" s="111"/>
      <c r="I67" s="111"/>
      <c r="J67" s="111"/>
      <c r="K67" s="112"/>
      <c r="L67" s="113">
        <v>172302</v>
      </c>
      <c r="M67" s="113">
        <v>0</v>
      </c>
      <c r="N67" s="113">
        <v>0</v>
      </c>
      <c r="O67" s="113">
        <f t="shared" si="7"/>
        <v>172302</v>
      </c>
      <c r="P67" s="113">
        <v>0</v>
      </c>
      <c r="Q67" s="114" t="e">
        <f t="shared" si="8"/>
        <v>#DIV/0!</v>
      </c>
      <c r="R67" s="115"/>
      <c r="S67" s="316">
        <v>43100</v>
      </c>
    </row>
    <row r="68" spans="1:48" customFormat="1" ht="31.2">
      <c r="A68" s="107">
        <f t="shared" si="6"/>
        <v>49</v>
      </c>
      <c r="B68" s="276" t="s">
        <v>389</v>
      </c>
      <c r="C68" s="108">
        <v>1910</v>
      </c>
      <c r="D68" s="108"/>
      <c r="E68" s="109" t="s">
        <v>218</v>
      </c>
      <c r="F68" s="110">
        <v>4</v>
      </c>
      <c r="G68" s="110">
        <v>1</v>
      </c>
      <c r="H68" s="111"/>
      <c r="I68" s="111"/>
      <c r="J68" s="111"/>
      <c r="K68" s="112"/>
      <c r="L68" s="113">
        <v>3706393</v>
      </c>
      <c r="M68" s="113">
        <v>0</v>
      </c>
      <c r="N68" s="113">
        <v>0</v>
      </c>
      <c r="O68" s="113">
        <f t="shared" si="7"/>
        <v>3706393</v>
      </c>
      <c r="P68" s="113">
        <v>0</v>
      </c>
      <c r="Q68" s="114" t="e">
        <f t="shared" si="8"/>
        <v>#DIV/0!</v>
      </c>
      <c r="R68" s="115"/>
      <c r="S68" s="316">
        <v>43100</v>
      </c>
    </row>
    <row r="69" spans="1:48" customFormat="1" ht="31.2">
      <c r="A69" s="107">
        <f t="shared" si="6"/>
        <v>50</v>
      </c>
      <c r="B69" s="276" t="s">
        <v>317</v>
      </c>
      <c r="C69" s="118">
        <v>1914</v>
      </c>
      <c r="D69" s="118"/>
      <c r="E69" s="109" t="s">
        <v>218</v>
      </c>
      <c r="F69" s="118">
        <v>4</v>
      </c>
      <c r="G69" s="118">
        <v>5</v>
      </c>
      <c r="H69" s="118"/>
      <c r="I69" s="118"/>
      <c r="J69" s="118"/>
      <c r="K69" s="119"/>
      <c r="L69" s="113">
        <v>698585</v>
      </c>
      <c r="M69" s="113">
        <v>0</v>
      </c>
      <c r="N69" s="113">
        <v>0</v>
      </c>
      <c r="O69" s="113">
        <f t="shared" si="7"/>
        <v>698585</v>
      </c>
      <c r="P69" s="113">
        <v>0</v>
      </c>
      <c r="Q69" s="114" t="e">
        <f t="shared" si="8"/>
        <v>#DIV/0!</v>
      </c>
      <c r="R69" s="115"/>
      <c r="S69" s="316">
        <v>43100</v>
      </c>
    </row>
    <row r="70" spans="1:48" customFormat="1" ht="31.2">
      <c r="A70" s="107">
        <f t="shared" si="6"/>
        <v>51</v>
      </c>
      <c r="B70" s="276" t="s">
        <v>384</v>
      </c>
      <c r="C70" s="118" t="s">
        <v>190</v>
      </c>
      <c r="D70" s="118"/>
      <c r="E70" s="109" t="s">
        <v>218</v>
      </c>
      <c r="F70" s="118">
        <v>2</v>
      </c>
      <c r="G70" s="118">
        <v>3</v>
      </c>
      <c r="H70" s="118"/>
      <c r="I70" s="118"/>
      <c r="J70" s="118"/>
      <c r="K70" s="119"/>
      <c r="L70" s="113">
        <v>951740</v>
      </c>
      <c r="M70" s="113">
        <v>0</v>
      </c>
      <c r="N70" s="113">
        <v>0</v>
      </c>
      <c r="O70" s="113">
        <f t="shared" si="7"/>
        <v>951740</v>
      </c>
      <c r="P70" s="113">
        <v>0</v>
      </c>
      <c r="Q70" s="114" t="e">
        <f t="shared" si="8"/>
        <v>#DIV/0!</v>
      </c>
      <c r="R70" s="115"/>
      <c r="S70" s="316">
        <v>43100</v>
      </c>
    </row>
    <row r="71" spans="1:48" customFormat="1" ht="31.2">
      <c r="A71" s="107">
        <f t="shared" si="6"/>
        <v>52</v>
      </c>
      <c r="B71" s="275" t="s">
        <v>247</v>
      </c>
      <c r="C71" s="118">
        <v>1953</v>
      </c>
      <c r="D71" s="118"/>
      <c r="E71" s="109" t="s">
        <v>218</v>
      </c>
      <c r="F71" s="118">
        <v>3</v>
      </c>
      <c r="G71" s="118">
        <v>3</v>
      </c>
      <c r="H71" s="118"/>
      <c r="I71" s="118"/>
      <c r="J71" s="118"/>
      <c r="K71" s="119"/>
      <c r="L71" s="113">
        <v>2056139</v>
      </c>
      <c r="M71" s="113">
        <v>0</v>
      </c>
      <c r="N71" s="113">
        <v>0</v>
      </c>
      <c r="O71" s="113">
        <f t="shared" si="7"/>
        <v>2056139</v>
      </c>
      <c r="P71" s="113">
        <v>0</v>
      </c>
      <c r="Q71" s="114" t="e">
        <f t="shared" si="8"/>
        <v>#DIV/0!</v>
      </c>
      <c r="R71" s="115"/>
      <c r="S71" s="316">
        <v>43100</v>
      </c>
    </row>
    <row r="72" spans="1:48" customFormat="1" ht="31.2">
      <c r="A72" s="107">
        <f t="shared" si="6"/>
        <v>53</v>
      </c>
      <c r="B72" s="276" t="s">
        <v>274</v>
      </c>
      <c r="C72" s="107">
        <v>1958</v>
      </c>
      <c r="D72" s="108"/>
      <c r="E72" s="109" t="s">
        <v>218</v>
      </c>
      <c r="F72" s="108">
        <v>2</v>
      </c>
      <c r="G72" s="108">
        <v>2</v>
      </c>
      <c r="H72" s="117"/>
      <c r="I72" s="117"/>
      <c r="J72" s="117"/>
      <c r="K72" s="101"/>
      <c r="L72" s="113">
        <v>1321356</v>
      </c>
      <c r="M72" s="113">
        <v>0</v>
      </c>
      <c r="N72" s="113">
        <v>0</v>
      </c>
      <c r="O72" s="113">
        <f t="shared" si="7"/>
        <v>1321356</v>
      </c>
      <c r="P72" s="113">
        <v>0</v>
      </c>
      <c r="Q72" s="114" t="e">
        <f t="shared" si="8"/>
        <v>#DIV/0!</v>
      </c>
      <c r="R72" s="115"/>
      <c r="S72" s="316">
        <v>43100</v>
      </c>
    </row>
    <row r="73" spans="1:48" customFormat="1" ht="31.2">
      <c r="A73" s="107">
        <f t="shared" si="6"/>
        <v>54</v>
      </c>
      <c r="B73" s="276" t="s">
        <v>338</v>
      </c>
      <c r="C73" s="118">
        <v>1959</v>
      </c>
      <c r="D73" s="118"/>
      <c r="E73" s="109" t="s">
        <v>218</v>
      </c>
      <c r="F73" s="118">
        <v>2</v>
      </c>
      <c r="G73" s="118">
        <v>2</v>
      </c>
      <c r="H73" s="118"/>
      <c r="I73" s="118"/>
      <c r="J73" s="118"/>
      <c r="K73" s="119"/>
      <c r="L73" s="113">
        <v>1679278</v>
      </c>
      <c r="M73" s="113">
        <v>0</v>
      </c>
      <c r="N73" s="113">
        <v>0</v>
      </c>
      <c r="O73" s="113">
        <f t="shared" si="7"/>
        <v>1679278</v>
      </c>
      <c r="P73" s="113">
        <v>0</v>
      </c>
      <c r="Q73" s="114" t="e">
        <f t="shared" si="8"/>
        <v>#DIV/0!</v>
      </c>
      <c r="R73" s="115"/>
      <c r="S73" s="316">
        <v>43100</v>
      </c>
    </row>
    <row r="74" spans="1:48" customFormat="1" ht="31.2">
      <c r="A74" s="107">
        <f t="shared" si="6"/>
        <v>55</v>
      </c>
      <c r="B74" s="276" t="s">
        <v>272</v>
      </c>
      <c r="C74" s="118">
        <v>1959</v>
      </c>
      <c r="D74" s="118"/>
      <c r="E74" s="109" t="s">
        <v>218</v>
      </c>
      <c r="F74" s="118">
        <v>2</v>
      </c>
      <c r="G74" s="118">
        <v>2</v>
      </c>
      <c r="H74" s="118"/>
      <c r="I74" s="118"/>
      <c r="J74" s="118"/>
      <c r="K74" s="119"/>
      <c r="L74" s="113">
        <v>1100896</v>
      </c>
      <c r="M74" s="113">
        <v>0</v>
      </c>
      <c r="N74" s="113">
        <v>0</v>
      </c>
      <c r="O74" s="113">
        <f t="shared" si="7"/>
        <v>1100896</v>
      </c>
      <c r="P74" s="113">
        <v>0</v>
      </c>
      <c r="Q74" s="114" t="e">
        <f t="shared" si="8"/>
        <v>#DIV/0!</v>
      </c>
      <c r="R74" s="115"/>
      <c r="S74" s="316">
        <v>43100</v>
      </c>
    </row>
    <row r="75" spans="1:48" customFormat="1" ht="31.2">
      <c r="A75" s="107">
        <f t="shared" si="6"/>
        <v>56</v>
      </c>
      <c r="B75" s="276" t="s">
        <v>337</v>
      </c>
      <c r="C75" s="118">
        <v>1959</v>
      </c>
      <c r="D75" s="118"/>
      <c r="E75" s="109" t="s">
        <v>218</v>
      </c>
      <c r="F75" s="118">
        <v>2</v>
      </c>
      <c r="G75" s="118">
        <v>2</v>
      </c>
      <c r="H75" s="118"/>
      <c r="I75" s="118"/>
      <c r="J75" s="118"/>
      <c r="K75" s="119"/>
      <c r="L75" s="113">
        <v>1729707</v>
      </c>
      <c r="M75" s="113">
        <v>0</v>
      </c>
      <c r="N75" s="113">
        <v>0</v>
      </c>
      <c r="O75" s="113">
        <f t="shared" si="7"/>
        <v>1729707</v>
      </c>
      <c r="P75" s="113">
        <v>0</v>
      </c>
      <c r="Q75" s="114" t="e">
        <f t="shared" si="8"/>
        <v>#DIV/0!</v>
      </c>
      <c r="R75" s="115"/>
      <c r="S75" s="316">
        <v>43100</v>
      </c>
    </row>
    <row r="76" spans="1:48" customFormat="1" ht="31.2">
      <c r="A76" s="107">
        <f t="shared" si="6"/>
        <v>57</v>
      </c>
      <c r="B76" s="275" t="s">
        <v>257</v>
      </c>
      <c r="C76" s="118">
        <v>1959</v>
      </c>
      <c r="D76" s="118"/>
      <c r="E76" s="109" t="s">
        <v>218</v>
      </c>
      <c r="F76" s="118">
        <v>2</v>
      </c>
      <c r="G76" s="118">
        <v>2</v>
      </c>
      <c r="H76" s="118"/>
      <c r="I76" s="118"/>
      <c r="J76" s="118"/>
      <c r="K76" s="119"/>
      <c r="L76" s="113">
        <v>451222.57</v>
      </c>
      <c r="M76" s="113">
        <v>0</v>
      </c>
      <c r="N76" s="113">
        <v>0</v>
      </c>
      <c r="O76" s="113">
        <f t="shared" si="7"/>
        <v>451222.57</v>
      </c>
      <c r="P76" s="113">
        <v>0</v>
      </c>
      <c r="Q76" s="114" t="e">
        <f t="shared" si="8"/>
        <v>#DIV/0!</v>
      </c>
      <c r="R76" s="115"/>
      <c r="S76" s="316">
        <v>43100</v>
      </c>
    </row>
    <row r="77" spans="1:48" customFormat="1" ht="31.2">
      <c r="A77" s="107">
        <f t="shared" si="6"/>
        <v>58</v>
      </c>
      <c r="B77" s="276" t="s">
        <v>307</v>
      </c>
      <c r="C77" s="108">
        <v>1959</v>
      </c>
      <c r="D77" s="108"/>
      <c r="E77" s="109" t="s">
        <v>218</v>
      </c>
      <c r="F77" s="110">
        <v>2</v>
      </c>
      <c r="G77" s="110">
        <v>1</v>
      </c>
      <c r="H77" s="111"/>
      <c r="I77" s="111"/>
      <c r="J77" s="111"/>
      <c r="K77" s="112"/>
      <c r="L77" s="113">
        <v>703675.57</v>
      </c>
      <c r="M77" s="113">
        <v>0</v>
      </c>
      <c r="N77" s="113">
        <v>0</v>
      </c>
      <c r="O77" s="113">
        <f t="shared" si="7"/>
        <v>703675.57</v>
      </c>
      <c r="P77" s="113">
        <v>0</v>
      </c>
      <c r="Q77" s="114" t="e">
        <f t="shared" si="8"/>
        <v>#DIV/0!</v>
      </c>
      <c r="R77" s="115"/>
      <c r="S77" s="316">
        <v>43100</v>
      </c>
    </row>
    <row r="78" spans="1:48" customFormat="1" ht="31.2">
      <c r="A78" s="107">
        <f t="shared" si="6"/>
        <v>59</v>
      </c>
      <c r="B78" s="276" t="s">
        <v>268</v>
      </c>
      <c r="C78" s="118">
        <v>1959</v>
      </c>
      <c r="D78" s="118"/>
      <c r="E78" s="109" t="s">
        <v>218</v>
      </c>
      <c r="F78" s="118">
        <v>4</v>
      </c>
      <c r="G78" s="118">
        <v>3</v>
      </c>
      <c r="H78" s="118"/>
      <c r="I78" s="118"/>
      <c r="J78" s="118"/>
      <c r="K78" s="119"/>
      <c r="L78" s="113">
        <v>1053533.22</v>
      </c>
      <c r="M78" s="113">
        <v>0</v>
      </c>
      <c r="N78" s="113">
        <v>0</v>
      </c>
      <c r="O78" s="113">
        <f t="shared" si="7"/>
        <v>1053533.22</v>
      </c>
      <c r="P78" s="113">
        <v>0</v>
      </c>
      <c r="Q78" s="114" t="e">
        <f t="shared" si="8"/>
        <v>#DIV/0!</v>
      </c>
      <c r="R78" s="115"/>
      <c r="S78" s="316">
        <v>43100</v>
      </c>
    </row>
    <row r="79" spans="1:48" customFormat="1" ht="31.2">
      <c r="A79" s="107">
        <f t="shared" si="6"/>
        <v>60</v>
      </c>
      <c r="B79" s="275" t="s">
        <v>246</v>
      </c>
      <c r="C79" s="118">
        <v>1979</v>
      </c>
      <c r="D79" s="118"/>
      <c r="E79" s="109" t="s">
        <v>218</v>
      </c>
      <c r="F79" s="118">
        <v>9</v>
      </c>
      <c r="G79" s="118">
        <v>1</v>
      </c>
      <c r="H79" s="118"/>
      <c r="I79" s="118"/>
      <c r="J79" s="118"/>
      <c r="K79" s="119"/>
      <c r="L79" s="113">
        <v>1253738</v>
      </c>
      <c r="M79" s="113">
        <v>0</v>
      </c>
      <c r="N79" s="113">
        <v>0</v>
      </c>
      <c r="O79" s="113">
        <f t="shared" si="7"/>
        <v>1253738</v>
      </c>
      <c r="P79" s="113">
        <v>0</v>
      </c>
      <c r="Q79" s="114" t="e">
        <f t="shared" si="8"/>
        <v>#DIV/0!</v>
      </c>
      <c r="R79" s="115"/>
      <c r="S79" s="316">
        <v>43100</v>
      </c>
    </row>
    <row r="80" spans="1:48" customFormat="1" ht="15.6">
      <c r="A80" s="107">
        <f t="shared" si="6"/>
        <v>61</v>
      </c>
      <c r="B80" s="284" t="s">
        <v>470</v>
      </c>
      <c r="C80" s="108">
        <v>1984</v>
      </c>
      <c r="D80" s="108"/>
      <c r="E80" s="109" t="s">
        <v>219</v>
      </c>
      <c r="F80" s="110">
        <v>9</v>
      </c>
      <c r="G80" s="110">
        <v>1</v>
      </c>
      <c r="H80" s="111"/>
      <c r="I80" s="111"/>
      <c r="J80" s="111"/>
      <c r="K80" s="112"/>
      <c r="L80" s="113">
        <v>1870046</v>
      </c>
      <c r="M80" s="113">
        <v>0</v>
      </c>
      <c r="N80" s="113">
        <v>0</v>
      </c>
      <c r="O80" s="113">
        <f t="shared" si="7"/>
        <v>1870046</v>
      </c>
      <c r="P80" s="113">
        <v>0</v>
      </c>
      <c r="Q80" s="114" t="e">
        <f t="shared" si="8"/>
        <v>#DIV/0!</v>
      </c>
      <c r="R80" s="115"/>
      <c r="S80" s="316">
        <v>43100</v>
      </c>
    </row>
    <row r="81" spans="1:19" customFormat="1" ht="15.6">
      <c r="A81" s="107">
        <f t="shared" si="6"/>
        <v>62</v>
      </c>
      <c r="B81" s="276" t="s">
        <v>350</v>
      </c>
      <c r="C81" s="108">
        <v>1984</v>
      </c>
      <c r="D81" s="108"/>
      <c r="E81" s="109" t="s">
        <v>219</v>
      </c>
      <c r="F81" s="110">
        <v>9</v>
      </c>
      <c r="G81" s="110">
        <v>2</v>
      </c>
      <c r="H81" s="111"/>
      <c r="I81" s="111"/>
      <c r="J81" s="111"/>
      <c r="K81" s="112"/>
      <c r="L81" s="113">
        <v>3720676</v>
      </c>
      <c r="M81" s="113">
        <v>0</v>
      </c>
      <c r="N81" s="113">
        <v>0</v>
      </c>
      <c r="O81" s="113">
        <f t="shared" si="7"/>
        <v>3720676</v>
      </c>
      <c r="P81" s="113">
        <v>0</v>
      </c>
      <c r="Q81" s="114" t="e">
        <f t="shared" si="8"/>
        <v>#DIV/0!</v>
      </c>
      <c r="R81" s="115"/>
      <c r="S81" s="316">
        <v>43100</v>
      </c>
    </row>
    <row r="82" spans="1:19" customFormat="1" ht="31.2">
      <c r="A82" s="107">
        <f t="shared" si="6"/>
        <v>63</v>
      </c>
      <c r="B82" s="276" t="s">
        <v>251</v>
      </c>
      <c r="C82" s="118">
        <v>1977</v>
      </c>
      <c r="D82" s="118"/>
      <c r="E82" s="109" t="s">
        <v>218</v>
      </c>
      <c r="F82" s="118">
        <v>5</v>
      </c>
      <c r="G82" s="118">
        <v>6</v>
      </c>
      <c r="H82" s="118"/>
      <c r="I82" s="118"/>
      <c r="J82" s="118"/>
      <c r="K82" s="119"/>
      <c r="L82" s="113">
        <v>3687908</v>
      </c>
      <c r="M82" s="113">
        <v>0</v>
      </c>
      <c r="N82" s="113">
        <v>0</v>
      </c>
      <c r="O82" s="113">
        <f t="shared" si="7"/>
        <v>3687908</v>
      </c>
      <c r="P82" s="113">
        <v>0</v>
      </c>
      <c r="Q82" s="114" t="e">
        <f t="shared" si="8"/>
        <v>#DIV/0!</v>
      </c>
      <c r="R82" s="115"/>
      <c r="S82" s="316">
        <v>43100</v>
      </c>
    </row>
    <row r="83" spans="1:19" customFormat="1" ht="31.2">
      <c r="A83" s="107">
        <f t="shared" si="6"/>
        <v>64</v>
      </c>
      <c r="B83" s="276" t="s">
        <v>226</v>
      </c>
      <c r="C83" s="118">
        <v>1933</v>
      </c>
      <c r="D83" s="118"/>
      <c r="E83" s="109" t="s">
        <v>218</v>
      </c>
      <c r="F83" s="118">
        <v>4</v>
      </c>
      <c r="G83" s="118">
        <v>5</v>
      </c>
      <c r="H83" s="118"/>
      <c r="I83" s="118"/>
      <c r="J83" s="118"/>
      <c r="K83" s="119"/>
      <c r="L83" s="113">
        <v>1760967.35</v>
      </c>
      <c r="M83" s="113">
        <v>0</v>
      </c>
      <c r="N83" s="113">
        <v>0</v>
      </c>
      <c r="O83" s="113">
        <f t="shared" si="7"/>
        <v>1760967.35</v>
      </c>
      <c r="P83" s="113">
        <v>0</v>
      </c>
      <c r="Q83" s="114" t="e">
        <f t="shared" si="8"/>
        <v>#DIV/0!</v>
      </c>
      <c r="R83" s="115"/>
      <c r="S83" s="316">
        <v>43100</v>
      </c>
    </row>
    <row r="84" spans="1:19" customFormat="1" ht="31.2">
      <c r="A84" s="107">
        <f t="shared" si="6"/>
        <v>65</v>
      </c>
      <c r="B84" s="276" t="s">
        <v>271</v>
      </c>
      <c r="C84" s="118">
        <v>1961</v>
      </c>
      <c r="D84" s="118"/>
      <c r="E84" s="109" t="s">
        <v>218</v>
      </c>
      <c r="F84" s="118">
        <v>5</v>
      </c>
      <c r="G84" s="118">
        <v>4</v>
      </c>
      <c r="H84" s="118"/>
      <c r="I84" s="118"/>
      <c r="J84" s="118"/>
      <c r="K84" s="119"/>
      <c r="L84" s="113">
        <v>881947</v>
      </c>
      <c r="M84" s="113">
        <v>0</v>
      </c>
      <c r="N84" s="113">
        <v>0</v>
      </c>
      <c r="O84" s="113">
        <f t="shared" ref="O84:O115" si="9">L84</f>
        <v>881947</v>
      </c>
      <c r="P84" s="113">
        <v>0</v>
      </c>
      <c r="Q84" s="114" t="e">
        <f t="shared" ref="Q84:Q115" si="10">L84/I84</f>
        <v>#DIV/0!</v>
      </c>
      <c r="R84" s="115"/>
      <c r="S84" s="316">
        <v>43100</v>
      </c>
    </row>
    <row r="85" spans="1:19" customFormat="1" ht="31.2">
      <c r="A85" s="107">
        <f t="shared" si="6"/>
        <v>66</v>
      </c>
      <c r="B85" s="276" t="s">
        <v>287</v>
      </c>
      <c r="C85" s="108">
        <v>1960</v>
      </c>
      <c r="D85" s="108"/>
      <c r="E85" s="109" t="s">
        <v>218</v>
      </c>
      <c r="F85" s="110">
        <v>2</v>
      </c>
      <c r="G85" s="110">
        <v>2</v>
      </c>
      <c r="H85" s="111"/>
      <c r="I85" s="111"/>
      <c r="J85" s="111"/>
      <c r="K85" s="112"/>
      <c r="L85" s="113">
        <v>517739</v>
      </c>
      <c r="M85" s="113">
        <v>0</v>
      </c>
      <c r="N85" s="113">
        <v>0</v>
      </c>
      <c r="O85" s="113">
        <f t="shared" si="9"/>
        <v>517739</v>
      </c>
      <c r="P85" s="113">
        <v>0</v>
      </c>
      <c r="Q85" s="114" t="e">
        <f t="shared" si="10"/>
        <v>#DIV/0!</v>
      </c>
      <c r="R85" s="115"/>
      <c r="S85" s="316">
        <v>43100</v>
      </c>
    </row>
    <row r="86" spans="1:19" customFormat="1" ht="31.2">
      <c r="A86" s="107">
        <f t="shared" ref="A86:A149" si="11">A85+1</f>
        <v>67</v>
      </c>
      <c r="B86" s="275" t="s">
        <v>289</v>
      </c>
      <c r="C86" s="108">
        <v>1966</v>
      </c>
      <c r="D86" s="108"/>
      <c r="E86" s="109" t="s">
        <v>218</v>
      </c>
      <c r="F86" s="110">
        <v>5</v>
      </c>
      <c r="G86" s="110">
        <v>4</v>
      </c>
      <c r="H86" s="111"/>
      <c r="I86" s="111"/>
      <c r="J86" s="111"/>
      <c r="K86" s="112"/>
      <c r="L86" s="113">
        <v>1728895</v>
      </c>
      <c r="M86" s="113">
        <v>0</v>
      </c>
      <c r="N86" s="113">
        <v>0</v>
      </c>
      <c r="O86" s="113">
        <f t="shared" si="9"/>
        <v>1728895</v>
      </c>
      <c r="P86" s="113">
        <v>0</v>
      </c>
      <c r="Q86" s="114" t="e">
        <f t="shared" si="10"/>
        <v>#DIV/0!</v>
      </c>
      <c r="R86" s="115"/>
      <c r="S86" s="316">
        <v>43100</v>
      </c>
    </row>
    <row r="87" spans="1:19" customFormat="1" ht="15.6">
      <c r="A87" s="107">
        <f t="shared" si="11"/>
        <v>68</v>
      </c>
      <c r="B87" s="276" t="s">
        <v>259</v>
      </c>
      <c r="C87" s="118">
        <v>1925</v>
      </c>
      <c r="D87" s="118"/>
      <c r="E87" s="109" t="s">
        <v>221</v>
      </c>
      <c r="F87" s="118">
        <v>2</v>
      </c>
      <c r="G87" s="118">
        <v>2</v>
      </c>
      <c r="H87" s="118"/>
      <c r="I87" s="118"/>
      <c r="J87" s="118"/>
      <c r="K87" s="119"/>
      <c r="L87" s="113">
        <v>682529</v>
      </c>
      <c r="M87" s="113">
        <v>0</v>
      </c>
      <c r="N87" s="113">
        <v>0</v>
      </c>
      <c r="O87" s="113">
        <f t="shared" si="9"/>
        <v>682529</v>
      </c>
      <c r="P87" s="113">
        <v>0</v>
      </c>
      <c r="Q87" s="114" t="e">
        <f t="shared" si="10"/>
        <v>#DIV/0!</v>
      </c>
      <c r="R87" s="115"/>
      <c r="S87" s="316">
        <v>43100</v>
      </c>
    </row>
    <row r="88" spans="1:19" customFormat="1" ht="15.6">
      <c r="A88" s="107">
        <f t="shared" si="11"/>
        <v>69</v>
      </c>
      <c r="B88" s="276" t="s">
        <v>291</v>
      </c>
      <c r="C88" s="108">
        <v>1900</v>
      </c>
      <c r="D88" s="108"/>
      <c r="E88" s="109" t="s">
        <v>221</v>
      </c>
      <c r="F88" s="110">
        <v>2</v>
      </c>
      <c r="G88" s="110">
        <v>2</v>
      </c>
      <c r="H88" s="111"/>
      <c r="I88" s="111"/>
      <c r="J88" s="111"/>
      <c r="K88" s="112"/>
      <c r="L88" s="113">
        <v>582157</v>
      </c>
      <c r="M88" s="113">
        <v>0</v>
      </c>
      <c r="N88" s="113">
        <v>0</v>
      </c>
      <c r="O88" s="113">
        <f t="shared" si="9"/>
        <v>582157</v>
      </c>
      <c r="P88" s="113">
        <v>0</v>
      </c>
      <c r="Q88" s="114" t="e">
        <f t="shared" si="10"/>
        <v>#DIV/0!</v>
      </c>
      <c r="R88" s="115"/>
      <c r="S88" s="316">
        <v>43100</v>
      </c>
    </row>
    <row r="89" spans="1:19" customFormat="1" ht="31.2">
      <c r="A89" s="107">
        <f t="shared" si="11"/>
        <v>70</v>
      </c>
      <c r="B89" s="276" t="s">
        <v>224</v>
      </c>
      <c r="C89" s="118">
        <v>1934</v>
      </c>
      <c r="D89" s="118"/>
      <c r="E89" s="109" t="s">
        <v>218</v>
      </c>
      <c r="F89" s="118">
        <v>3</v>
      </c>
      <c r="G89" s="118">
        <v>5</v>
      </c>
      <c r="H89" s="118"/>
      <c r="I89" s="118"/>
      <c r="J89" s="118"/>
      <c r="K89" s="119"/>
      <c r="L89" s="113">
        <v>701704</v>
      </c>
      <c r="M89" s="113">
        <v>0</v>
      </c>
      <c r="N89" s="113">
        <v>0</v>
      </c>
      <c r="O89" s="113">
        <f t="shared" si="9"/>
        <v>701704</v>
      </c>
      <c r="P89" s="113">
        <v>0</v>
      </c>
      <c r="Q89" s="114" t="e">
        <f t="shared" si="10"/>
        <v>#DIV/0!</v>
      </c>
      <c r="R89" s="115"/>
      <c r="S89" s="316">
        <v>43100</v>
      </c>
    </row>
    <row r="90" spans="1:19" customFormat="1" ht="15.6">
      <c r="A90" s="107">
        <f t="shared" si="11"/>
        <v>71</v>
      </c>
      <c r="B90" s="276" t="s">
        <v>261</v>
      </c>
      <c r="C90" s="118">
        <v>1970</v>
      </c>
      <c r="D90" s="118"/>
      <c r="E90" s="109" t="s">
        <v>219</v>
      </c>
      <c r="F90" s="118">
        <v>5</v>
      </c>
      <c r="G90" s="118">
        <v>6</v>
      </c>
      <c r="H90" s="118"/>
      <c r="I90" s="118"/>
      <c r="J90" s="118"/>
      <c r="K90" s="119"/>
      <c r="L90" s="113">
        <v>1969149</v>
      </c>
      <c r="M90" s="113">
        <v>0</v>
      </c>
      <c r="N90" s="113">
        <v>0</v>
      </c>
      <c r="O90" s="113">
        <f t="shared" si="9"/>
        <v>1969149</v>
      </c>
      <c r="P90" s="113">
        <v>0</v>
      </c>
      <c r="Q90" s="114" t="e">
        <f t="shared" si="10"/>
        <v>#DIV/0!</v>
      </c>
      <c r="R90" s="115"/>
      <c r="S90" s="316">
        <v>43100</v>
      </c>
    </row>
    <row r="91" spans="1:19" customFormat="1" ht="31.2">
      <c r="A91" s="107">
        <f t="shared" si="11"/>
        <v>72</v>
      </c>
      <c r="B91" s="276" t="s">
        <v>239</v>
      </c>
      <c r="C91" s="118">
        <v>1956</v>
      </c>
      <c r="D91" s="118"/>
      <c r="E91" s="109" t="s">
        <v>218</v>
      </c>
      <c r="F91" s="118">
        <v>3</v>
      </c>
      <c r="G91" s="118">
        <v>3</v>
      </c>
      <c r="H91" s="118"/>
      <c r="I91" s="118"/>
      <c r="J91" s="118"/>
      <c r="K91" s="119"/>
      <c r="L91" s="113">
        <v>1023088</v>
      </c>
      <c r="M91" s="113">
        <v>0</v>
      </c>
      <c r="N91" s="113">
        <v>0</v>
      </c>
      <c r="O91" s="113">
        <f t="shared" si="9"/>
        <v>1023088</v>
      </c>
      <c r="P91" s="113">
        <v>0</v>
      </c>
      <c r="Q91" s="114" t="e">
        <f t="shared" si="10"/>
        <v>#DIV/0!</v>
      </c>
      <c r="R91" s="115"/>
      <c r="S91" s="316">
        <v>43100</v>
      </c>
    </row>
    <row r="92" spans="1:19" customFormat="1" ht="31.2">
      <c r="A92" s="107">
        <f t="shared" si="11"/>
        <v>73</v>
      </c>
      <c r="B92" s="276" t="s">
        <v>336</v>
      </c>
      <c r="C92" s="118">
        <v>1957</v>
      </c>
      <c r="D92" s="118"/>
      <c r="E92" s="109" t="s">
        <v>218</v>
      </c>
      <c r="F92" s="118">
        <v>3</v>
      </c>
      <c r="G92" s="118">
        <v>3</v>
      </c>
      <c r="H92" s="118"/>
      <c r="I92" s="118"/>
      <c r="J92" s="118"/>
      <c r="K92" s="119"/>
      <c r="L92" s="113">
        <v>3334570</v>
      </c>
      <c r="M92" s="113">
        <v>0</v>
      </c>
      <c r="N92" s="113">
        <v>0</v>
      </c>
      <c r="O92" s="113">
        <f t="shared" si="9"/>
        <v>3334570</v>
      </c>
      <c r="P92" s="113">
        <v>0</v>
      </c>
      <c r="Q92" s="114" t="e">
        <f t="shared" si="10"/>
        <v>#DIV/0!</v>
      </c>
      <c r="R92" s="115"/>
      <c r="S92" s="316">
        <v>43100</v>
      </c>
    </row>
    <row r="93" spans="1:19" customFormat="1" ht="31.2">
      <c r="A93" s="107">
        <f t="shared" si="11"/>
        <v>74</v>
      </c>
      <c r="B93" s="276" t="s">
        <v>306</v>
      </c>
      <c r="C93" s="108">
        <v>1970</v>
      </c>
      <c r="D93" s="108"/>
      <c r="E93" s="109" t="s">
        <v>218</v>
      </c>
      <c r="F93" s="110">
        <v>5</v>
      </c>
      <c r="G93" s="110">
        <v>2</v>
      </c>
      <c r="H93" s="111"/>
      <c r="I93" s="111"/>
      <c r="J93" s="111"/>
      <c r="K93" s="112"/>
      <c r="L93" s="113">
        <v>1127374.33</v>
      </c>
      <c r="M93" s="113">
        <v>0</v>
      </c>
      <c r="N93" s="113">
        <v>0</v>
      </c>
      <c r="O93" s="113">
        <f t="shared" si="9"/>
        <v>1127374.33</v>
      </c>
      <c r="P93" s="113">
        <v>0</v>
      </c>
      <c r="Q93" s="114" t="e">
        <f t="shared" si="10"/>
        <v>#DIV/0!</v>
      </c>
      <c r="R93" s="115"/>
      <c r="S93" s="316">
        <v>43100</v>
      </c>
    </row>
    <row r="94" spans="1:19" customFormat="1" ht="15.6">
      <c r="A94" s="107">
        <f t="shared" si="11"/>
        <v>75</v>
      </c>
      <c r="B94" s="275" t="s">
        <v>234</v>
      </c>
      <c r="C94" s="118">
        <v>1968</v>
      </c>
      <c r="D94" s="118"/>
      <c r="E94" s="109" t="s">
        <v>219</v>
      </c>
      <c r="F94" s="118">
        <v>5</v>
      </c>
      <c r="G94" s="118">
        <v>6</v>
      </c>
      <c r="H94" s="111"/>
      <c r="I94" s="118"/>
      <c r="J94" s="118"/>
      <c r="K94" s="119"/>
      <c r="L94" s="113">
        <v>1161456</v>
      </c>
      <c r="M94" s="113">
        <v>0</v>
      </c>
      <c r="N94" s="113">
        <v>0</v>
      </c>
      <c r="O94" s="113">
        <f t="shared" si="9"/>
        <v>1161456</v>
      </c>
      <c r="P94" s="113">
        <v>0</v>
      </c>
      <c r="Q94" s="114" t="e">
        <f t="shared" si="10"/>
        <v>#DIV/0!</v>
      </c>
      <c r="R94" s="115"/>
      <c r="S94" s="316">
        <v>43100</v>
      </c>
    </row>
    <row r="95" spans="1:19" customFormat="1" ht="31.2">
      <c r="A95" s="107">
        <f t="shared" si="11"/>
        <v>76</v>
      </c>
      <c r="B95" s="275" t="s">
        <v>277</v>
      </c>
      <c r="C95" s="107">
        <v>1971</v>
      </c>
      <c r="D95" s="108"/>
      <c r="E95" s="109" t="s">
        <v>218</v>
      </c>
      <c r="F95" s="108">
        <v>5</v>
      </c>
      <c r="G95" s="108">
        <v>4</v>
      </c>
      <c r="H95" s="117"/>
      <c r="I95" s="117"/>
      <c r="J95" s="117"/>
      <c r="K95" s="101"/>
      <c r="L95" s="113">
        <v>1197250.23</v>
      </c>
      <c r="M95" s="113">
        <v>0</v>
      </c>
      <c r="N95" s="113">
        <v>0</v>
      </c>
      <c r="O95" s="113">
        <f t="shared" si="9"/>
        <v>1197250.23</v>
      </c>
      <c r="P95" s="113">
        <v>0</v>
      </c>
      <c r="Q95" s="114" t="e">
        <f t="shared" si="10"/>
        <v>#DIV/0!</v>
      </c>
      <c r="R95" s="115"/>
      <c r="S95" s="316">
        <v>43100</v>
      </c>
    </row>
    <row r="96" spans="1:19" customFormat="1" ht="31.2">
      <c r="A96" s="107">
        <f t="shared" si="11"/>
        <v>77</v>
      </c>
      <c r="B96" s="276" t="s">
        <v>303</v>
      </c>
      <c r="C96" s="108">
        <v>1954</v>
      </c>
      <c r="D96" s="108"/>
      <c r="E96" s="109" t="s">
        <v>218</v>
      </c>
      <c r="F96" s="110">
        <v>4</v>
      </c>
      <c r="G96" s="110">
        <v>3</v>
      </c>
      <c r="H96" s="111"/>
      <c r="I96" s="111"/>
      <c r="J96" s="111"/>
      <c r="K96" s="112"/>
      <c r="L96" s="113">
        <v>2784233</v>
      </c>
      <c r="M96" s="113">
        <v>0</v>
      </c>
      <c r="N96" s="113">
        <v>0</v>
      </c>
      <c r="O96" s="113">
        <f t="shared" si="9"/>
        <v>2784233</v>
      </c>
      <c r="P96" s="113">
        <v>0</v>
      </c>
      <c r="Q96" s="114" t="e">
        <f t="shared" si="10"/>
        <v>#DIV/0!</v>
      </c>
      <c r="R96" s="115"/>
      <c r="S96" s="316">
        <v>43100</v>
      </c>
    </row>
    <row r="97" spans="1:30" customFormat="1" ht="31.2">
      <c r="A97" s="107">
        <f t="shared" si="11"/>
        <v>78</v>
      </c>
      <c r="B97" s="276" t="s">
        <v>293</v>
      </c>
      <c r="C97" s="108">
        <v>1968</v>
      </c>
      <c r="D97" s="108"/>
      <c r="E97" s="109" t="s">
        <v>218</v>
      </c>
      <c r="F97" s="110">
        <v>5</v>
      </c>
      <c r="G97" s="110">
        <v>4</v>
      </c>
      <c r="H97" s="111"/>
      <c r="I97" s="111"/>
      <c r="J97" s="111"/>
      <c r="K97" s="112"/>
      <c r="L97" s="113">
        <v>2369961</v>
      </c>
      <c r="M97" s="113">
        <v>0</v>
      </c>
      <c r="N97" s="113">
        <v>0</v>
      </c>
      <c r="O97" s="113">
        <f t="shared" si="9"/>
        <v>2369961</v>
      </c>
      <c r="P97" s="113">
        <v>0</v>
      </c>
      <c r="Q97" s="114" t="e">
        <f t="shared" si="10"/>
        <v>#DIV/0!</v>
      </c>
      <c r="R97" s="115"/>
      <c r="S97" s="316">
        <v>43100</v>
      </c>
    </row>
    <row r="98" spans="1:30" customFormat="1" ht="31.2">
      <c r="A98" s="107">
        <f t="shared" si="11"/>
        <v>79</v>
      </c>
      <c r="B98" s="275" t="s">
        <v>463</v>
      </c>
      <c r="C98" s="107">
        <v>1959</v>
      </c>
      <c r="D98" s="108"/>
      <c r="E98" s="109" t="s">
        <v>218</v>
      </c>
      <c r="F98" s="108">
        <v>2</v>
      </c>
      <c r="G98" s="108">
        <v>1</v>
      </c>
      <c r="H98" s="117"/>
      <c r="I98" s="117"/>
      <c r="J98" s="117"/>
      <c r="K98" s="101"/>
      <c r="L98" s="113">
        <v>672819</v>
      </c>
      <c r="M98" s="113">
        <v>0</v>
      </c>
      <c r="N98" s="113">
        <v>0</v>
      </c>
      <c r="O98" s="113">
        <f t="shared" si="9"/>
        <v>672819</v>
      </c>
      <c r="P98" s="113">
        <v>0</v>
      </c>
      <c r="Q98" s="114" t="e">
        <f t="shared" si="10"/>
        <v>#DIV/0!</v>
      </c>
      <c r="R98" s="115"/>
      <c r="S98" s="316">
        <v>43100</v>
      </c>
    </row>
    <row r="99" spans="1:30" customFormat="1" ht="15.6">
      <c r="A99" s="107">
        <f t="shared" si="11"/>
        <v>80</v>
      </c>
      <c r="B99" s="276" t="s">
        <v>340</v>
      </c>
      <c r="C99" s="107">
        <v>1968</v>
      </c>
      <c r="D99" s="108"/>
      <c r="E99" s="109" t="s">
        <v>219</v>
      </c>
      <c r="F99" s="108">
        <v>5</v>
      </c>
      <c r="G99" s="108">
        <v>5</v>
      </c>
      <c r="H99" s="117"/>
      <c r="I99" s="117"/>
      <c r="J99" s="117"/>
      <c r="K99" s="101"/>
      <c r="L99" s="113">
        <v>1651491</v>
      </c>
      <c r="M99" s="113">
        <v>0</v>
      </c>
      <c r="N99" s="113">
        <v>0</v>
      </c>
      <c r="O99" s="113">
        <f t="shared" si="9"/>
        <v>1651491</v>
      </c>
      <c r="P99" s="113">
        <v>0</v>
      </c>
      <c r="Q99" s="114" t="e">
        <f t="shared" si="10"/>
        <v>#DIV/0!</v>
      </c>
      <c r="R99" s="115"/>
      <c r="S99" s="316">
        <v>43100</v>
      </c>
    </row>
    <row r="100" spans="1:30" customFormat="1" ht="31.2">
      <c r="A100" s="107">
        <f t="shared" si="11"/>
        <v>81</v>
      </c>
      <c r="B100" s="275" t="s">
        <v>254</v>
      </c>
      <c r="C100" s="118">
        <v>1962</v>
      </c>
      <c r="D100" s="118"/>
      <c r="E100" s="109" t="s">
        <v>218</v>
      </c>
      <c r="F100" s="118">
        <v>3</v>
      </c>
      <c r="G100" s="118">
        <v>3</v>
      </c>
      <c r="H100" s="118"/>
      <c r="I100" s="118"/>
      <c r="J100" s="118"/>
      <c r="K100" s="119"/>
      <c r="L100" s="113">
        <v>1432926</v>
      </c>
      <c r="M100" s="113">
        <v>0</v>
      </c>
      <c r="N100" s="113">
        <v>0</v>
      </c>
      <c r="O100" s="113">
        <f t="shared" si="9"/>
        <v>1432926</v>
      </c>
      <c r="P100" s="113">
        <v>0</v>
      </c>
      <c r="Q100" s="114" t="e">
        <f t="shared" si="10"/>
        <v>#DIV/0!</v>
      </c>
      <c r="R100" s="115"/>
      <c r="S100" s="316">
        <v>43100</v>
      </c>
    </row>
    <row r="101" spans="1:30" customFormat="1" ht="31.2">
      <c r="A101" s="107">
        <f t="shared" si="11"/>
        <v>82</v>
      </c>
      <c r="B101" s="275" t="s">
        <v>343</v>
      </c>
      <c r="C101" s="107">
        <v>1955</v>
      </c>
      <c r="D101" s="108"/>
      <c r="E101" s="109" t="s">
        <v>218</v>
      </c>
      <c r="F101" s="108">
        <v>2</v>
      </c>
      <c r="G101" s="108">
        <v>2</v>
      </c>
      <c r="H101" s="117"/>
      <c r="I101" s="117"/>
      <c r="J101" s="117"/>
      <c r="K101" s="101"/>
      <c r="L101" s="113">
        <v>1137886</v>
      </c>
      <c r="M101" s="113">
        <v>0</v>
      </c>
      <c r="N101" s="113">
        <v>0</v>
      </c>
      <c r="O101" s="113">
        <f t="shared" si="9"/>
        <v>1137886</v>
      </c>
      <c r="P101" s="113">
        <v>0</v>
      </c>
      <c r="Q101" s="114" t="e">
        <f t="shared" si="10"/>
        <v>#DIV/0!</v>
      </c>
      <c r="R101" s="115"/>
      <c r="S101" s="316">
        <v>43100</v>
      </c>
    </row>
    <row r="102" spans="1:30" customFormat="1" ht="31.2">
      <c r="A102" s="107">
        <f t="shared" si="11"/>
        <v>83</v>
      </c>
      <c r="B102" s="276" t="s">
        <v>305</v>
      </c>
      <c r="C102" s="108">
        <v>1971</v>
      </c>
      <c r="D102" s="108"/>
      <c r="E102" s="109" t="s">
        <v>218</v>
      </c>
      <c r="F102" s="110">
        <v>5</v>
      </c>
      <c r="G102" s="110">
        <v>4</v>
      </c>
      <c r="H102" s="111"/>
      <c r="I102" s="111"/>
      <c r="J102" s="111"/>
      <c r="K102" s="112"/>
      <c r="L102" s="113">
        <v>1814838</v>
      </c>
      <c r="M102" s="113">
        <v>0</v>
      </c>
      <c r="N102" s="113">
        <v>0</v>
      </c>
      <c r="O102" s="113">
        <f t="shared" si="9"/>
        <v>1814838</v>
      </c>
      <c r="P102" s="113">
        <v>0</v>
      </c>
      <c r="Q102" s="114" t="e">
        <f t="shared" si="10"/>
        <v>#DIV/0!</v>
      </c>
      <c r="R102" s="115"/>
      <c r="S102" s="316">
        <v>43100</v>
      </c>
    </row>
    <row r="103" spans="1:30" customFormat="1" ht="31.2">
      <c r="A103" s="107">
        <f t="shared" si="11"/>
        <v>84</v>
      </c>
      <c r="B103" s="276" t="s">
        <v>345</v>
      </c>
      <c r="C103" s="108">
        <v>1970</v>
      </c>
      <c r="D103" s="108"/>
      <c r="E103" s="109" t="s">
        <v>218</v>
      </c>
      <c r="F103" s="110">
        <v>5</v>
      </c>
      <c r="G103" s="110">
        <v>4</v>
      </c>
      <c r="H103" s="111"/>
      <c r="I103" s="111"/>
      <c r="J103" s="111"/>
      <c r="K103" s="112"/>
      <c r="L103" s="113">
        <v>1544359.54</v>
      </c>
      <c r="M103" s="113">
        <v>0</v>
      </c>
      <c r="N103" s="113">
        <v>0</v>
      </c>
      <c r="O103" s="113">
        <f t="shared" si="9"/>
        <v>1544359.54</v>
      </c>
      <c r="P103" s="113">
        <v>0</v>
      </c>
      <c r="Q103" s="114" t="e">
        <f t="shared" si="10"/>
        <v>#DIV/0!</v>
      </c>
      <c r="R103" s="115"/>
      <c r="S103" s="316">
        <v>43100</v>
      </c>
    </row>
    <row r="104" spans="1:30" customFormat="1" ht="31.2">
      <c r="A104" s="107">
        <f t="shared" si="11"/>
        <v>85</v>
      </c>
      <c r="B104" s="275" t="s">
        <v>447</v>
      </c>
      <c r="C104" s="108">
        <v>1987</v>
      </c>
      <c r="D104" s="108"/>
      <c r="E104" s="109" t="s">
        <v>219</v>
      </c>
      <c r="F104" s="110">
        <v>9</v>
      </c>
      <c r="G104" s="110">
        <v>1</v>
      </c>
      <c r="H104" s="111"/>
      <c r="I104" s="111"/>
      <c r="J104" s="111"/>
      <c r="K104" s="112"/>
      <c r="L104" s="113">
        <v>1787034</v>
      </c>
      <c r="M104" s="113">
        <v>0</v>
      </c>
      <c r="N104" s="113">
        <v>0</v>
      </c>
      <c r="O104" s="113">
        <f t="shared" si="9"/>
        <v>1787034</v>
      </c>
      <c r="P104" s="113">
        <v>0</v>
      </c>
      <c r="Q104" s="114" t="e">
        <f t="shared" si="10"/>
        <v>#DIV/0!</v>
      </c>
      <c r="R104" s="115"/>
      <c r="S104" s="316">
        <v>43100</v>
      </c>
    </row>
    <row r="105" spans="1:30" customFormat="1" ht="15.6">
      <c r="A105" s="107">
        <f t="shared" si="11"/>
        <v>86</v>
      </c>
      <c r="B105" s="275" t="s">
        <v>223</v>
      </c>
      <c r="C105" s="118">
        <v>1983</v>
      </c>
      <c r="D105" s="118"/>
      <c r="E105" s="109" t="s">
        <v>219</v>
      </c>
      <c r="F105" s="118">
        <v>9</v>
      </c>
      <c r="G105" s="118">
        <v>4</v>
      </c>
      <c r="H105" s="118"/>
      <c r="I105" s="118"/>
      <c r="J105" s="118"/>
      <c r="K105" s="119"/>
      <c r="L105" s="113">
        <v>437998.57</v>
      </c>
      <c r="M105" s="113">
        <v>0</v>
      </c>
      <c r="N105" s="113">
        <v>0</v>
      </c>
      <c r="O105" s="113">
        <f t="shared" si="9"/>
        <v>437998.57</v>
      </c>
      <c r="P105" s="113">
        <v>0</v>
      </c>
      <c r="Q105" s="114" t="e">
        <f t="shared" si="10"/>
        <v>#DIV/0!</v>
      </c>
      <c r="R105" s="115"/>
      <c r="S105" s="316">
        <v>43100</v>
      </c>
      <c r="T105" s="3"/>
      <c r="U105" s="3"/>
      <c r="V105" s="3"/>
      <c r="W105" s="3"/>
      <c r="X105" s="3"/>
      <c r="Y105" s="3"/>
    </row>
    <row r="106" spans="1:30" customFormat="1" ht="31.2">
      <c r="A106" s="107">
        <f t="shared" si="11"/>
        <v>87</v>
      </c>
      <c r="B106" s="275" t="s">
        <v>446</v>
      </c>
      <c r="C106" s="108">
        <v>1976</v>
      </c>
      <c r="D106" s="108"/>
      <c r="E106" s="109" t="s">
        <v>219</v>
      </c>
      <c r="F106" s="110">
        <v>5</v>
      </c>
      <c r="G106" s="110">
        <v>4</v>
      </c>
      <c r="H106" s="111"/>
      <c r="I106" s="111"/>
      <c r="J106" s="111"/>
      <c r="K106" s="112"/>
      <c r="L106" s="113">
        <v>1116228</v>
      </c>
      <c r="M106" s="113">
        <v>0</v>
      </c>
      <c r="N106" s="113">
        <v>0</v>
      </c>
      <c r="O106" s="113">
        <f t="shared" si="9"/>
        <v>1116228</v>
      </c>
      <c r="P106" s="113">
        <v>0</v>
      </c>
      <c r="Q106" s="114" t="e">
        <f t="shared" si="10"/>
        <v>#DIV/0!</v>
      </c>
      <c r="R106" s="115"/>
      <c r="S106" s="316">
        <v>43100</v>
      </c>
      <c r="Z106" s="3"/>
      <c r="AA106" s="3"/>
      <c r="AB106" s="3"/>
      <c r="AC106" s="3"/>
      <c r="AD106" s="3"/>
    </row>
    <row r="107" spans="1:30" customFormat="1" ht="31.2">
      <c r="A107" s="107">
        <f t="shared" si="11"/>
        <v>88</v>
      </c>
      <c r="B107" s="275" t="s">
        <v>448</v>
      </c>
      <c r="C107" s="108">
        <v>1983</v>
      </c>
      <c r="D107" s="108"/>
      <c r="E107" s="109" t="s">
        <v>219</v>
      </c>
      <c r="F107" s="110">
        <v>5</v>
      </c>
      <c r="G107" s="110">
        <v>3</v>
      </c>
      <c r="H107" s="111"/>
      <c r="I107" s="111"/>
      <c r="J107" s="111"/>
      <c r="K107" s="112"/>
      <c r="L107" s="113">
        <v>1313728</v>
      </c>
      <c r="M107" s="113">
        <v>0</v>
      </c>
      <c r="N107" s="113">
        <v>0</v>
      </c>
      <c r="O107" s="113">
        <f t="shared" si="9"/>
        <v>1313728</v>
      </c>
      <c r="P107" s="113">
        <v>0</v>
      </c>
      <c r="Q107" s="114" t="e">
        <f t="shared" si="10"/>
        <v>#DIV/0!</v>
      </c>
      <c r="R107" s="115"/>
      <c r="S107" s="316">
        <v>43100</v>
      </c>
      <c r="T107" s="62"/>
      <c r="U107" s="62"/>
      <c r="V107" s="62"/>
      <c r="W107" s="62"/>
      <c r="X107" s="62"/>
      <c r="Y107" s="62"/>
    </row>
    <row r="108" spans="1:30" customFormat="1" ht="31.2">
      <c r="A108" s="107">
        <f t="shared" si="11"/>
        <v>89</v>
      </c>
      <c r="B108" s="276" t="s">
        <v>241</v>
      </c>
      <c r="C108" s="118">
        <v>1958</v>
      </c>
      <c r="D108" s="118"/>
      <c r="E108" s="109" t="s">
        <v>218</v>
      </c>
      <c r="F108" s="118">
        <v>2</v>
      </c>
      <c r="G108" s="118">
        <v>1</v>
      </c>
      <c r="H108" s="118"/>
      <c r="I108" s="118"/>
      <c r="J108" s="118"/>
      <c r="K108" s="119"/>
      <c r="L108" s="113">
        <v>359651</v>
      </c>
      <c r="M108" s="113">
        <v>0</v>
      </c>
      <c r="N108" s="113">
        <v>0</v>
      </c>
      <c r="O108" s="113">
        <f t="shared" si="9"/>
        <v>359651</v>
      </c>
      <c r="P108" s="113">
        <v>0</v>
      </c>
      <c r="Q108" s="114" t="e">
        <f t="shared" si="10"/>
        <v>#DIV/0!</v>
      </c>
      <c r="R108" s="115"/>
      <c r="S108" s="316">
        <v>43100</v>
      </c>
      <c r="Z108" s="62"/>
      <c r="AA108" s="62"/>
      <c r="AB108" s="62"/>
      <c r="AC108" s="62"/>
      <c r="AD108" s="62"/>
    </row>
    <row r="109" spans="1:30" customFormat="1" ht="15.6">
      <c r="A109" s="107">
        <f t="shared" si="11"/>
        <v>90</v>
      </c>
      <c r="B109" s="276" t="s">
        <v>233</v>
      </c>
      <c r="C109" s="118">
        <v>1965</v>
      </c>
      <c r="D109" s="118"/>
      <c r="E109" s="109" t="s">
        <v>219</v>
      </c>
      <c r="F109" s="118">
        <v>5</v>
      </c>
      <c r="G109" s="118">
        <v>5</v>
      </c>
      <c r="H109" s="118"/>
      <c r="I109" s="118"/>
      <c r="J109" s="118"/>
      <c r="K109" s="119"/>
      <c r="L109" s="113">
        <v>906779</v>
      </c>
      <c r="M109" s="113">
        <v>0</v>
      </c>
      <c r="N109" s="113">
        <v>0</v>
      </c>
      <c r="O109" s="113">
        <f t="shared" si="9"/>
        <v>906779</v>
      </c>
      <c r="P109" s="113">
        <v>0</v>
      </c>
      <c r="Q109" s="114" t="e">
        <f t="shared" si="10"/>
        <v>#DIV/0!</v>
      </c>
      <c r="R109" s="115"/>
      <c r="S109" s="316">
        <v>43100</v>
      </c>
    </row>
    <row r="110" spans="1:30" customFormat="1" ht="31.2">
      <c r="A110" s="107">
        <f t="shared" si="11"/>
        <v>91</v>
      </c>
      <c r="B110" s="276" t="s">
        <v>278</v>
      </c>
      <c r="C110" s="107">
        <v>1958</v>
      </c>
      <c r="D110" s="108"/>
      <c r="E110" s="109" t="s">
        <v>218</v>
      </c>
      <c r="F110" s="108">
        <v>2</v>
      </c>
      <c r="G110" s="108">
        <v>1</v>
      </c>
      <c r="H110" s="117"/>
      <c r="I110" s="117"/>
      <c r="J110" s="117"/>
      <c r="K110" s="101"/>
      <c r="L110" s="113">
        <v>886559</v>
      </c>
      <c r="M110" s="113">
        <v>0</v>
      </c>
      <c r="N110" s="113">
        <v>0</v>
      </c>
      <c r="O110" s="113">
        <f t="shared" si="9"/>
        <v>886559</v>
      </c>
      <c r="P110" s="113">
        <v>0</v>
      </c>
      <c r="Q110" s="114" t="e">
        <f t="shared" si="10"/>
        <v>#DIV/0!</v>
      </c>
      <c r="R110" s="115"/>
      <c r="S110" s="316">
        <v>43100</v>
      </c>
    </row>
    <row r="111" spans="1:30" customFormat="1" ht="31.2">
      <c r="A111" s="107">
        <f t="shared" si="11"/>
        <v>92</v>
      </c>
      <c r="B111" s="276" t="s">
        <v>347</v>
      </c>
      <c r="C111" s="108">
        <v>1959</v>
      </c>
      <c r="D111" s="108"/>
      <c r="E111" s="109" t="s">
        <v>218</v>
      </c>
      <c r="F111" s="110">
        <v>2</v>
      </c>
      <c r="G111" s="110">
        <v>1</v>
      </c>
      <c r="H111" s="111"/>
      <c r="I111" s="111"/>
      <c r="J111" s="111"/>
      <c r="K111" s="112"/>
      <c r="L111" s="113">
        <v>642210</v>
      </c>
      <c r="M111" s="113">
        <v>0</v>
      </c>
      <c r="N111" s="113">
        <v>0</v>
      </c>
      <c r="O111" s="113">
        <f t="shared" si="9"/>
        <v>642210</v>
      </c>
      <c r="P111" s="113">
        <v>0</v>
      </c>
      <c r="Q111" s="114" t="e">
        <f t="shared" si="10"/>
        <v>#DIV/0!</v>
      </c>
      <c r="R111" s="115"/>
      <c r="S111" s="316">
        <v>43100</v>
      </c>
    </row>
    <row r="112" spans="1:30" customFormat="1" ht="31.2">
      <c r="A112" s="107">
        <f t="shared" si="11"/>
        <v>93</v>
      </c>
      <c r="B112" s="275" t="s">
        <v>266</v>
      </c>
      <c r="C112" s="118">
        <v>1957</v>
      </c>
      <c r="D112" s="118"/>
      <c r="E112" s="109" t="s">
        <v>218</v>
      </c>
      <c r="F112" s="118">
        <v>4</v>
      </c>
      <c r="G112" s="118">
        <v>3</v>
      </c>
      <c r="H112" s="118"/>
      <c r="I112" s="118"/>
      <c r="J112" s="118"/>
      <c r="K112" s="119"/>
      <c r="L112" s="113">
        <v>1952489</v>
      </c>
      <c r="M112" s="113">
        <v>0</v>
      </c>
      <c r="N112" s="113">
        <v>0</v>
      </c>
      <c r="O112" s="113">
        <f t="shared" si="9"/>
        <v>1952489</v>
      </c>
      <c r="P112" s="113">
        <v>0</v>
      </c>
      <c r="Q112" s="114" t="e">
        <f t="shared" si="10"/>
        <v>#DIV/0!</v>
      </c>
      <c r="R112" s="115"/>
      <c r="S112" s="316">
        <v>43100</v>
      </c>
    </row>
    <row r="113" spans="1:30" customFormat="1" ht="15.6">
      <c r="A113" s="107">
        <f t="shared" si="11"/>
        <v>94</v>
      </c>
      <c r="B113" s="275" t="s">
        <v>310</v>
      </c>
      <c r="C113" s="108">
        <v>1983</v>
      </c>
      <c r="D113" s="108"/>
      <c r="E113" s="109" t="s">
        <v>219</v>
      </c>
      <c r="F113" s="110">
        <v>9</v>
      </c>
      <c r="G113" s="110">
        <v>8</v>
      </c>
      <c r="H113" s="111"/>
      <c r="I113" s="111"/>
      <c r="J113" s="111"/>
      <c r="K113" s="112"/>
      <c r="L113" s="113">
        <v>15157748</v>
      </c>
      <c r="M113" s="113">
        <v>0</v>
      </c>
      <c r="N113" s="113">
        <v>0</v>
      </c>
      <c r="O113" s="113">
        <f t="shared" si="9"/>
        <v>15157748</v>
      </c>
      <c r="P113" s="113">
        <v>0</v>
      </c>
      <c r="Q113" s="114" t="e">
        <f t="shared" si="10"/>
        <v>#DIV/0!</v>
      </c>
      <c r="R113" s="115"/>
      <c r="S113" s="316">
        <v>43100</v>
      </c>
    </row>
    <row r="114" spans="1:30" customFormat="1" ht="31.2">
      <c r="A114" s="107">
        <f t="shared" si="11"/>
        <v>95</v>
      </c>
      <c r="B114" s="276" t="s">
        <v>281</v>
      </c>
      <c r="C114" s="107">
        <v>1959</v>
      </c>
      <c r="D114" s="108"/>
      <c r="E114" s="109" t="s">
        <v>218</v>
      </c>
      <c r="F114" s="108">
        <v>4</v>
      </c>
      <c r="G114" s="108">
        <v>5</v>
      </c>
      <c r="H114" s="117"/>
      <c r="I114" s="117"/>
      <c r="J114" s="117"/>
      <c r="K114" s="101"/>
      <c r="L114" s="113">
        <v>2542298.37</v>
      </c>
      <c r="M114" s="113">
        <v>0</v>
      </c>
      <c r="N114" s="113">
        <v>0</v>
      </c>
      <c r="O114" s="113">
        <f t="shared" si="9"/>
        <v>2542298.37</v>
      </c>
      <c r="P114" s="113">
        <v>0</v>
      </c>
      <c r="Q114" s="114" t="e">
        <f t="shared" si="10"/>
        <v>#DIV/0!</v>
      </c>
      <c r="R114" s="115"/>
      <c r="S114" s="316">
        <v>43100</v>
      </c>
    </row>
    <row r="115" spans="1:30" customFormat="1" ht="15.6">
      <c r="A115" s="107">
        <f t="shared" si="11"/>
        <v>96</v>
      </c>
      <c r="B115" s="275" t="s">
        <v>248</v>
      </c>
      <c r="C115" s="118">
        <v>1983</v>
      </c>
      <c r="D115" s="118"/>
      <c r="E115" s="109" t="s">
        <v>219</v>
      </c>
      <c r="F115" s="118">
        <v>9</v>
      </c>
      <c r="G115" s="118">
        <v>1</v>
      </c>
      <c r="H115" s="118"/>
      <c r="I115" s="118"/>
      <c r="J115" s="118"/>
      <c r="K115" s="119"/>
      <c r="L115" s="113">
        <v>1114586</v>
      </c>
      <c r="M115" s="113">
        <v>0</v>
      </c>
      <c r="N115" s="113">
        <v>0</v>
      </c>
      <c r="O115" s="113">
        <f t="shared" si="9"/>
        <v>1114586</v>
      </c>
      <c r="P115" s="113">
        <v>0</v>
      </c>
      <c r="Q115" s="114" t="e">
        <f t="shared" si="10"/>
        <v>#DIV/0!</v>
      </c>
      <c r="R115" s="115"/>
      <c r="S115" s="316">
        <v>43100</v>
      </c>
      <c r="T115" s="3"/>
      <c r="U115" s="3"/>
      <c r="V115" s="3"/>
      <c r="W115" s="3"/>
      <c r="X115" s="3"/>
      <c r="Y115" s="3"/>
    </row>
    <row r="116" spans="1:30" customFormat="1" ht="15.6">
      <c r="A116" s="107">
        <f t="shared" si="11"/>
        <v>97</v>
      </c>
      <c r="B116" s="275" t="s">
        <v>301</v>
      </c>
      <c r="C116" s="108">
        <v>1975</v>
      </c>
      <c r="D116" s="108"/>
      <c r="E116" s="109" t="s">
        <v>219</v>
      </c>
      <c r="F116" s="110">
        <v>9</v>
      </c>
      <c r="G116" s="110">
        <v>3</v>
      </c>
      <c r="H116" s="111"/>
      <c r="I116" s="111"/>
      <c r="J116" s="111"/>
      <c r="K116" s="112"/>
      <c r="L116" s="113">
        <v>5623853</v>
      </c>
      <c r="M116" s="113">
        <v>0</v>
      </c>
      <c r="N116" s="113">
        <v>0</v>
      </c>
      <c r="O116" s="113">
        <f t="shared" ref="O116:O147" si="12">L116</f>
        <v>5623853</v>
      </c>
      <c r="P116" s="113">
        <v>0</v>
      </c>
      <c r="Q116" s="114" t="e">
        <f t="shared" ref="Q116:Q147" si="13">L116/I116</f>
        <v>#DIV/0!</v>
      </c>
      <c r="R116" s="115"/>
      <c r="S116" s="316">
        <v>43100</v>
      </c>
      <c r="Z116" s="3"/>
      <c r="AA116" s="3"/>
      <c r="AB116" s="3"/>
      <c r="AC116" s="3"/>
      <c r="AD116" s="3"/>
    </row>
    <row r="117" spans="1:30" customFormat="1" ht="15.6">
      <c r="A117" s="107">
        <f t="shared" si="11"/>
        <v>98</v>
      </c>
      <c r="B117" s="275" t="s">
        <v>244</v>
      </c>
      <c r="C117" s="118">
        <v>1976</v>
      </c>
      <c r="D117" s="118"/>
      <c r="E117" s="109" t="s">
        <v>219</v>
      </c>
      <c r="F117" s="118">
        <v>9</v>
      </c>
      <c r="G117" s="118">
        <v>4</v>
      </c>
      <c r="H117" s="118"/>
      <c r="I117" s="118"/>
      <c r="J117" s="118"/>
      <c r="K117" s="119"/>
      <c r="L117" s="113">
        <v>2721106</v>
      </c>
      <c r="M117" s="113">
        <v>0</v>
      </c>
      <c r="N117" s="113">
        <v>0</v>
      </c>
      <c r="O117" s="113">
        <f t="shared" si="12"/>
        <v>2721106</v>
      </c>
      <c r="P117" s="113">
        <v>0</v>
      </c>
      <c r="Q117" s="114" t="e">
        <f t="shared" si="13"/>
        <v>#DIV/0!</v>
      </c>
      <c r="R117" s="115"/>
      <c r="S117" s="316">
        <v>43100</v>
      </c>
    </row>
    <row r="118" spans="1:30" customFormat="1" ht="15.6">
      <c r="A118" s="107">
        <f t="shared" si="11"/>
        <v>99</v>
      </c>
      <c r="B118" s="276" t="s">
        <v>288</v>
      </c>
      <c r="C118" s="107">
        <v>1973</v>
      </c>
      <c r="D118" s="108"/>
      <c r="E118" s="109" t="s">
        <v>219</v>
      </c>
      <c r="F118" s="108">
        <v>9</v>
      </c>
      <c r="G118" s="108">
        <v>6</v>
      </c>
      <c r="H118" s="117"/>
      <c r="I118" s="117"/>
      <c r="J118" s="117"/>
      <c r="K118" s="101"/>
      <c r="L118" s="113">
        <v>9789326.5500000007</v>
      </c>
      <c r="M118" s="113">
        <v>0</v>
      </c>
      <c r="N118" s="113">
        <v>0</v>
      </c>
      <c r="O118" s="113">
        <f t="shared" si="12"/>
        <v>9789326.5500000007</v>
      </c>
      <c r="P118" s="113">
        <v>0</v>
      </c>
      <c r="Q118" s="114" t="e">
        <f t="shared" si="13"/>
        <v>#DIV/0!</v>
      </c>
      <c r="R118" s="115"/>
      <c r="S118" s="316">
        <v>43100</v>
      </c>
    </row>
    <row r="119" spans="1:30" customFormat="1" ht="31.2">
      <c r="A119" s="107">
        <f t="shared" si="11"/>
        <v>100</v>
      </c>
      <c r="B119" s="276" t="s">
        <v>249</v>
      </c>
      <c r="C119" s="118" t="s">
        <v>190</v>
      </c>
      <c r="D119" s="118"/>
      <c r="E119" s="109" t="s">
        <v>218</v>
      </c>
      <c r="F119" s="118">
        <v>3</v>
      </c>
      <c r="G119" s="118">
        <v>3</v>
      </c>
      <c r="H119" s="118"/>
      <c r="I119" s="118"/>
      <c r="J119" s="118"/>
      <c r="K119" s="119"/>
      <c r="L119" s="113">
        <v>1615074</v>
      </c>
      <c r="M119" s="113">
        <v>0</v>
      </c>
      <c r="N119" s="113">
        <v>0</v>
      </c>
      <c r="O119" s="113">
        <f t="shared" si="12"/>
        <v>1615074</v>
      </c>
      <c r="P119" s="113">
        <v>0</v>
      </c>
      <c r="Q119" s="114" t="e">
        <f t="shared" si="13"/>
        <v>#DIV/0!</v>
      </c>
      <c r="R119" s="115"/>
      <c r="S119" s="316">
        <v>43100</v>
      </c>
    </row>
    <row r="120" spans="1:30" customFormat="1" ht="31.2">
      <c r="A120" s="107">
        <f t="shared" si="11"/>
        <v>101</v>
      </c>
      <c r="B120" s="275" t="s">
        <v>265</v>
      </c>
      <c r="C120" s="118">
        <v>1953</v>
      </c>
      <c r="D120" s="118"/>
      <c r="E120" s="109" t="s">
        <v>218</v>
      </c>
      <c r="F120" s="118">
        <v>2</v>
      </c>
      <c r="G120" s="118">
        <v>2</v>
      </c>
      <c r="H120" s="118"/>
      <c r="I120" s="118"/>
      <c r="J120" s="118"/>
      <c r="K120" s="119"/>
      <c r="L120" s="113">
        <v>824390</v>
      </c>
      <c r="M120" s="113">
        <v>0</v>
      </c>
      <c r="N120" s="113">
        <v>0</v>
      </c>
      <c r="O120" s="113">
        <f t="shared" si="12"/>
        <v>824390</v>
      </c>
      <c r="P120" s="113">
        <v>0</v>
      </c>
      <c r="Q120" s="114" t="e">
        <f t="shared" si="13"/>
        <v>#DIV/0!</v>
      </c>
      <c r="R120" s="115"/>
      <c r="S120" s="316">
        <v>43100</v>
      </c>
    </row>
    <row r="121" spans="1:30" customFormat="1" ht="15.6">
      <c r="A121" s="107">
        <f t="shared" si="11"/>
        <v>102</v>
      </c>
      <c r="B121" s="276" t="s">
        <v>292</v>
      </c>
      <c r="C121" s="108">
        <v>1951</v>
      </c>
      <c r="D121" s="108"/>
      <c r="E121" s="109" t="s">
        <v>220</v>
      </c>
      <c r="F121" s="110">
        <v>2</v>
      </c>
      <c r="G121" s="110">
        <v>3</v>
      </c>
      <c r="H121" s="111"/>
      <c r="I121" s="111"/>
      <c r="J121" s="111"/>
      <c r="K121" s="112"/>
      <c r="L121" s="113">
        <v>2661189</v>
      </c>
      <c r="M121" s="113">
        <v>0</v>
      </c>
      <c r="N121" s="113">
        <v>0</v>
      </c>
      <c r="O121" s="113">
        <f t="shared" si="12"/>
        <v>2661189</v>
      </c>
      <c r="P121" s="113">
        <v>0</v>
      </c>
      <c r="Q121" s="114" t="e">
        <f t="shared" si="13"/>
        <v>#DIV/0!</v>
      </c>
      <c r="R121" s="115"/>
      <c r="S121" s="316">
        <v>43100</v>
      </c>
    </row>
    <row r="122" spans="1:30" s="62" customFormat="1" ht="31.2">
      <c r="A122" s="107">
        <f t="shared" si="11"/>
        <v>103</v>
      </c>
      <c r="B122" s="276" t="s">
        <v>276</v>
      </c>
      <c r="C122" s="107">
        <v>1959</v>
      </c>
      <c r="D122" s="108"/>
      <c r="E122" s="109" t="s">
        <v>218</v>
      </c>
      <c r="F122" s="108">
        <v>2</v>
      </c>
      <c r="G122" s="108">
        <v>1</v>
      </c>
      <c r="H122" s="117"/>
      <c r="I122" s="117"/>
      <c r="J122" s="117"/>
      <c r="K122" s="101"/>
      <c r="L122" s="113">
        <v>278220</v>
      </c>
      <c r="M122" s="113">
        <v>0</v>
      </c>
      <c r="N122" s="113">
        <v>0</v>
      </c>
      <c r="O122" s="113">
        <f t="shared" si="12"/>
        <v>278220</v>
      </c>
      <c r="P122" s="113">
        <v>0</v>
      </c>
      <c r="Q122" s="114" t="e">
        <f t="shared" si="13"/>
        <v>#DIV/0!</v>
      </c>
      <c r="R122" s="115"/>
      <c r="S122" s="316">
        <v>43100</v>
      </c>
      <c r="T122"/>
      <c r="U122"/>
      <c r="V122"/>
      <c r="W122"/>
      <c r="X122"/>
      <c r="Y122"/>
      <c r="Z122"/>
      <c r="AA122"/>
      <c r="AB122"/>
      <c r="AC122"/>
      <c r="AD122"/>
    </row>
    <row r="123" spans="1:30" customFormat="1" ht="31.2">
      <c r="A123" s="107">
        <f t="shared" si="11"/>
        <v>104</v>
      </c>
      <c r="B123" s="275" t="s">
        <v>229</v>
      </c>
      <c r="C123" s="118">
        <v>1928</v>
      </c>
      <c r="D123" s="118"/>
      <c r="E123" s="109" t="s">
        <v>218</v>
      </c>
      <c r="F123" s="118">
        <v>3</v>
      </c>
      <c r="G123" s="118">
        <v>6</v>
      </c>
      <c r="H123" s="118"/>
      <c r="I123" s="118"/>
      <c r="J123" s="118"/>
      <c r="K123" s="119"/>
      <c r="L123" s="113">
        <v>2511472</v>
      </c>
      <c r="M123" s="113">
        <v>0</v>
      </c>
      <c r="N123" s="113">
        <v>0</v>
      </c>
      <c r="O123" s="113">
        <f t="shared" si="12"/>
        <v>2511472</v>
      </c>
      <c r="P123" s="113">
        <v>0</v>
      </c>
      <c r="Q123" s="114" t="e">
        <f t="shared" si="13"/>
        <v>#DIV/0!</v>
      </c>
      <c r="R123" s="115"/>
      <c r="S123" s="316">
        <v>43100</v>
      </c>
    </row>
    <row r="124" spans="1:30" customFormat="1" ht="31.2">
      <c r="A124" s="107">
        <f t="shared" si="11"/>
        <v>105</v>
      </c>
      <c r="B124" s="275" t="s">
        <v>309</v>
      </c>
      <c r="C124" s="108">
        <v>1964</v>
      </c>
      <c r="D124" s="108"/>
      <c r="E124" s="109" t="s">
        <v>218</v>
      </c>
      <c r="F124" s="110">
        <v>4</v>
      </c>
      <c r="G124" s="110">
        <v>2</v>
      </c>
      <c r="H124" s="111"/>
      <c r="I124" s="111"/>
      <c r="J124" s="111"/>
      <c r="K124" s="112"/>
      <c r="L124" s="113">
        <v>871988</v>
      </c>
      <c r="M124" s="113">
        <v>0</v>
      </c>
      <c r="N124" s="113">
        <v>0</v>
      </c>
      <c r="O124" s="113">
        <f t="shared" si="12"/>
        <v>871988</v>
      </c>
      <c r="P124" s="113">
        <v>0</v>
      </c>
      <c r="Q124" s="114" t="e">
        <f t="shared" si="13"/>
        <v>#DIV/0!</v>
      </c>
      <c r="R124" s="115"/>
      <c r="S124" s="316">
        <v>43100</v>
      </c>
    </row>
    <row r="125" spans="1:30" customFormat="1" ht="31.2">
      <c r="A125" s="107">
        <f t="shared" si="11"/>
        <v>106</v>
      </c>
      <c r="B125" s="275" t="s">
        <v>308</v>
      </c>
      <c r="C125" s="108">
        <v>1966</v>
      </c>
      <c r="D125" s="108"/>
      <c r="E125" s="109" t="s">
        <v>218</v>
      </c>
      <c r="F125" s="110">
        <v>4</v>
      </c>
      <c r="G125" s="110">
        <v>4</v>
      </c>
      <c r="H125" s="111"/>
      <c r="I125" s="111"/>
      <c r="J125" s="111"/>
      <c r="K125" s="112"/>
      <c r="L125" s="113">
        <v>2113335</v>
      </c>
      <c r="M125" s="113">
        <v>0</v>
      </c>
      <c r="N125" s="113">
        <v>0</v>
      </c>
      <c r="O125" s="113">
        <f t="shared" si="12"/>
        <v>2113335</v>
      </c>
      <c r="P125" s="113">
        <v>0</v>
      </c>
      <c r="Q125" s="114" t="e">
        <f t="shared" si="13"/>
        <v>#DIV/0!</v>
      </c>
      <c r="R125" s="115"/>
      <c r="S125" s="316">
        <v>43100</v>
      </c>
    </row>
    <row r="126" spans="1:30" customFormat="1" ht="31.2">
      <c r="A126" s="107">
        <f t="shared" si="11"/>
        <v>107</v>
      </c>
      <c r="B126" s="276" t="s">
        <v>296</v>
      </c>
      <c r="C126" s="108">
        <v>1960</v>
      </c>
      <c r="D126" s="108"/>
      <c r="E126" s="109" t="s">
        <v>218</v>
      </c>
      <c r="F126" s="110">
        <v>2</v>
      </c>
      <c r="G126" s="110">
        <v>2</v>
      </c>
      <c r="H126" s="111"/>
      <c r="I126" s="111"/>
      <c r="J126" s="111"/>
      <c r="K126" s="112"/>
      <c r="L126" s="113">
        <v>996585</v>
      </c>
      <c r="M126" s="113">
        <v>0</v>
      </c>
      <c r="N126" s="113">
        <v>0</v>
      </c>
      <c r="O126" s="113">
        <f t="shared" si="12"/>
        <v>996585</v>
      </c>
      <c r="P126" s="113">
        <v>0</v>
      </c>
      <c r="Q126" s="114" t="e">
        <f t="shared" si="13"/>
        <v>#DIV/0!</v>
      </c>
      <c r="R126" s="115"/>
      <c r="S126" s="316">
        <v>43100</v>
      </c>
    </row>
    <row r="127" spans="1:30" customFormat="1" ht="31.2">
      <c r="A127" s="107">
        <f t="shared" si="11"/>
        <v>108</v>
      </c>
      <c r="B127" s="276" t="s">
        <v>240</v>
      </c>
      <c r="C127" s="118">
        <v>1955</v>
      </c>
      <c r="D127" s="118"/>
      <c r="E127" s="109" t="s">
        <v>218</v>
      </c>
      <c r="F127" s="118">
        <v>2</v>
      </c>
      <c r="G127" s="118">
        <v>2</v>
      </c>
      <c r="H127" s="118"/>
      <c r="I127" s="118"/>
      <c r="J127" s="118"/>
      <c r="K127" s="119"/>
      <c r="L127" s="113">
        <v>637739</v>
      </c>
      <c r="M127" s="113">
        <v>0</v>
      </c>
      <c r="N127" s="113">
        <v>0</v>
      </c>
      <c r="O127" s="113">
        <f t="shared" si="12"/>
        <v>637739</v>
      </c>
      <c r="P127" s="113">
        <v>0</v>
      </c>
      <c r="Q127" s="114" t="e">
        <f t="shared" si="13"/>
        <v>#DIV/0!</v>
      </c>
      <c r="R127" s="115"/>
      <c r="S127" s="316">
        <v>43100</v>
      </c>
    </row>
    <row r="128" spans="1:30" customFormat="1" ht="15.6">
      <c r="A128" s="107">
        <f t="shared" si="11"/>
        <v>109</v>
      </c>
      <c r="B128" s="275" t="s">
        <v>243</v>
      </c>
      <c r="C128" s="118">
        <v>1976</v>
      </c>
      <c r="D128" s="118"/>
      <c r="E128" s="109" t="s">
        <v>219</v>
      </c>
      <c r="F128" s="118">
        <v>9</v>
      </c>
      <c r="G128" s="118">
        <v>2</v>
      </c>
      <c r="H128" s="118"/>
      <c r="I128" s="118"/>
      <c r="J128" s="118"/>
      <c r="K128" s="119"/>
      <c r="L128" s="113">
        <v>1357217</v>
      </c>
      <c r="M128" s="113">
        <v>0</v>
      </c>
      <c r="N128" s="113">
        <v>0</v>
      </c>
      <c r="O128" s="113">
        <f t="shared" si="12"/>
        <v>1357217</v>
      </c>
      <c r="P128" s="113">
        <v>0</v>
      </c>
      <c r="Q128" s="114" t="e">
        <f t="shared" si="13"/>
        <v>#DIV/0!</v>
      </c>
      <c r="R128" s="115"/>
      <c r="S128" s="316">
        <v>43100</v>
      </c>
    </row>
    <row r="129" spans="1:30" customFormat="1" ht="31.2">
      <c r="A129" s="107">
        <f t="shared" si="11"/>
        <v>110</v>
      </c>
      <c r="B129" s="276" t="s">
        <v>269</v>
      </c>
      <c r="C129" s="118">
        <v>1952</v>
      </c>
      <c r="D129" s="118"/>
      <c r="E129" s="109" t="s">
        <v>218</v>
      </c>
      <c r="F129" s="118">
        <v>2</v>
      </c>
      <c r="G129" s="118">
        <v>2</v>
      </c>
      <c r="H129" s="118"/>
      <c r="I129" s="118"/>
      <c r="J129" s="118"/>
      <c r="K129" s="119"/>
      <c r="L129" s="113">
        <v>836226</v>
      </c>
      <c r="M129" s="113">
        <v>0</v>
      </c>
      <c r="N129" s="113">
        <v>0</v>
      </c>
      <c r="O129" s="113">
        <f t="shared" si="12"/>
        <v>836226</v>
      </c>
      <c r="P129" s="113">
        <v>0</v>
      </c>
      <c r="Q129" s="114" t="e">
        <f t="shared" si="13"/>
        <v>#DIV/0!</v>
      </c>
      <c r="R129" s="115"/>
      <c r="S129" s="316">
        <v>43100</v>
      </c>
    </row>
    <row r="130" spans="1:30" customFormat="1" ht="31.2">
      <c r="A130" s="107">
        <f t="shared" si="11"/>
        <v>111</v>
      </c>
      <c r="B130" s="276" t="s">
        <v>299</v>
      </c>
      <c r="C130" s="108">
        <v>1952</v>
      </c>
      <c r="D130" s="108"/>
      <c r="E130" s="109" t="s">
        <v>218</v>
      </c>
      <c r="F130" s="110">
        <v>2</v>
      </c>
      <c r="G130" s="110">
        <v>2</v>
      </c>
      <c r="H130" s="111"/>
      <c r="I130" s="111"/>
      <c r="J130" s="111"/>
      <c r="K130" s="112"/>
      <c r="L130" s="113">
        <v>640078</v>
      </c>
      <c r="M130" s="113">
        <v>0</v>
      </c>
      <c r="N130" s="113">
        <v>0</v>
      </c>
      <c r="O130" s="113">
        <f t="shared" si="12"/>
        <v>640078</v>
      </c>
      <c r="P130" s="113">
        <v>0</v>
      </c>
      <c r="Q130" s="114" t="e">
        <f t="shared" si="13"/>
        <v>#DIV/0!</v>
      </c>
      <c r="R130" s="115"/>
      <c r="S130" s="316">
        <v>43100</v>
      </c>
    </row>
    <row r="131" spans="1:30" customFormat="1" ht="31.2">
      <c r="A131" s="107">
        <f t="shared" si="11"/>
        <v>112</v>
      </c>
      <c r="B131" s="275" t="s">
        <v>236</v>
      </c>
      <c r="C131" s="118">
        <v>1959</v>
      </c>
      <c r="D131" s="118"/>
      <c r="E131" s="109" t="s">
        <v>218</v>
      </c>
      <c r="F131" s="118">
        <v>2</v>
      </c>
      <c r="G131" s="118">
        <v>2</v>
      </c>
      <c r="H131" s="118"/>
      <c r="I131" s="118"/>
      <c r="J131" s="118"/>
      <c r="K131" s="119"/>
      <c r="L131" s="113">
        <v>202649</v>
      </c>
      <c r="M131" s="113">
        <v>0</v>
      </c>
      <c r="N131" s="113">
        <v>0</v>
      </c>
      <c r="O131" s="113">
        <f t="shared" si="12"/>
        <v>202649</v>
      </c>
      <c r="P131" s="113">
        <v>0</v>
      </c>
      <c r="Q131" s="114" t="e">
        <f t="shared" si="13"/>
        <v>#DIV/0!</v>
      </c>
      <c r="R131" s="115"/>
      <c r="S131" s="316">
        <v>43100</v>
      </c>
    </row>
    <row r="132" spans="1:30" customFormat="1" ht="31.2">
      <c r="A132" s="107">
        <f t="shared" si="11"/>
        <v>113</v>
      </c>
      <c r="B132" s="276" t="s">
        <v>285</v>
      </c>
      <c r="C132" s="108">
        <v>1954</v>
      </c>
      <c r="D132" s="108"/>
      <c r="E132" s="109" t="s">
        <v>218</v>
      </c>
      <c r="F132" s="121" t="s">
        <v>191</v>
      </c>
      <c r="G132" s="110">
        <v>10</v>
      </c>
      <c r="H132" s="111"/>
      <c r="I132" s="111"/>
      <c r="J132" s="111"/>
      <c r="K132" s="112"/>
      <c r="L132" s="113">
        <v>7892437</v>
      </c>
      <c r="M132" s="113">
        <v>0</v>
      </c>
      <c r="N132" s="113">
        <v>0</v>
      </c>
      <c r="O132" s="113">
        <f t="shared" si="12"/>
        <v>7892437</v>
      </c>
      <c r="P132" s="113">
        <v>0</v>
      </c>
      <c r="Q132" s="114" t="e">
        <f t="shared" si="13"/>
        <v>#DIV/0!</v>
      </c>
      <c r="R132" s="115"/>
      <c r="S132" s="316">
        <v>43100</v>
      </c>
    </row>
    <row r="133" spans="1:30" customFormat="1" ht="31.2">
      <c r="A133" s="107">
        <f t="shared" si="11"/>
        <v>114</v>
      </c>
      <c r="B133" s="276" t="s">
        <v>237</v>
      </c>
      <c r="C133" s="118">
        <v>1950</v>
      </c>
      <c r="D133" s="118"/>
      <c r="E133" s="109" t="s">
        <v>218</v>
      </c>
      <c r="F133" s="118">
        <v>2</v>
      </c>
      <c r="G133" s="118">
        <v>1</v>
      </c>
      <c r="H133" s="118"/>
      <c r="I133" s="118"/>
      <c r="J133" s="118"/>
      <c r="K133" s="119"/>
      <c r="L133" s="113">
        <v>523389</v>
      </c>
      <c r="M133" s="113">
        <v>0</v>
      </c>
      <c r="N133" s="113">
        <v>0</v>
      </c>
      <c r="O133" s="113">
        <f t="shared" si="12"/>
        <v>523389</v>
      </c>
      <c r="P133" s="113">
        <v>0</v>
      </c>
      <c r="Q133" s="114" t="e">
        <f t="shared" si="13"/>
        <v>#DIV/0!</v>
      </c>
      <c r="R133" s="115"/>
      <c r="S133" s="316">
        <v>43100</v>
      </c>
    </row>
    <row r="134" spans="1:30" customFormat="1" ht="15.6">
      <c r="A134" s="107">
        <f t="shared" si="11"/>
        <v>115</v>
      </c>
      <c r="B134" s="276" t="s">
        <v>264</v>
      </c>
      <c r="C134" s="118">
        <v>1950</v>
      </c>
      <c r="D134" s="118"/>
      <c r="E134" s="109" t="s">
        <v>220</v>
      </c>
      <c r="F134" s="118">
        <v>2</v>
      </c>
      <c r="G134" s="118">
        <v>3</v>
      </c>
      <c r="H134" s="118"/>
      <c r="I134" s="118"/>
      <c r="J134" s="118"/>
      <c r="K134" s="119"/>
      <c r="L134" s="113">
        <v>1038920</v>
      </c>
      <c r="M134" s="113">
        <v>0</v>
      </c>
      <c r="N134" s="113">
        <v>0</v>
      </c>
      <c r="O134" s="113">
        <f t="shared" si="12"/>
        <v>1038920</v>
      </c>
      <c r="P134" s="113">
        <v>0</v>
      </c>
      <c r="Q134" s="114" t="e">
        <f t="shared" si="13"/>
        <v>#DIV/0!</v>
      </c>
      <c r="R134" s="115"/>
      <c r="S134" s="316">
        <v>43100</v>
      </c>
    </row>
    <row r="135" spans="1:30" s="3" customFormat="1" ht="15.6">
      <c r="A135" s="107">
        <f t="shared" si="11"/>
        <v>116</v>
      </c>
      <c r="B135" s="276" t="s">
        <v>258</v>
      </c>
      <c r="C135" s="118">
        <v>1950</v>
      </c>
      <c r="D135" s="118"/>
      <c r="E135" s="109" t="s">
        <v>220</v>
      </c>
      <c r="F135" s="118">
        <v>2</v>
      </c>
      <c r="G135" s="118">
        <v>2</v>
      </c>
      <c r="H135" s="118"/>
      <c r="I135" s="118"/>
      <c r="J135" s="118"/>
      <c r="K135" s="119"/>
      <c r="L135" s="113">
        <v>1742553</v>
      </c>
      <c r="M135" s="113">
        <v>0</v>
      </c>
      <c r="N135" s="113">
        <v>0</v>
      </c>
      <c r="O135" s="113">
        <f t="shared" si="12"/>
        <v>1742553</v>
      </c>
      <c r="P135" s="113">
        <v>0</v>
      </c>
      <c r="Q135" s="114" t="e">
        <f t="shared" si="13"/>
        <v>#DIV/0!</v>
      </c>
      <c r="R135" s="115"/>
      <c r="S135" s="316">
        <v>43100</v>
      </c>
      <c r="T135"/>
      <c r="U135"/>
      <c r="V135"/>
      <c r="W135"/>
      <c r="X135"/>
      <c r="Y135"/>
      <c r="Z135"/>
      <c r="AA135"/>
      <c r="AB135"/>
      <c r="AC135"/>
      <c r="AD135"/>
    </row>
    <row r="136" spans="1:30" customFormat="1" ht="31.2">
      <c r="A136" s="107">
        <f t="shared" si="11"/>
        <v>117</v>
      </c>
      <c r="B136" s="276" t="s">
        <v>250</v>
      </c>
      <c r="C136" s="118">
        <v>1948</v>
      </c>
      <c r="D136" s="118"/>
      <c r="E136" s="109" t="s">
        <v>218</v>
      </c>
      <c r="F136" s="118">
        <v>2</v>
      </c>
      <c r="G136" s="118">
        <v>3</v>
      </c>
      <c r="H136" s="118"/>
      <c r="I136" s="118"/>
      <c r="J136" s="118"/>
      <c r="K136" s="119"/>
      <c r="L136" s="113">
        <v>2124581</v>
      </c>
      <c r="M136" s="113">
        <v>0</v>
      </c>
      <c r="N136" s="113">
        <v>0</v>
      </c>
      <c r="O136" s="113">
        <f t="shared" si="12"/>
        <v>2124581</v>
      </c>
      <c r="P136" s="113">
        <v>0</v>
      </c>
      <c r="Q136" s="114" t="e">
        <f t="shared" si="13"/>
        <v>#DIV/0!</v>
      </c>
      <c r="R136" s="115"/>
      <c r="S136" s="316">
        <v>43100</v>
      </c>
    </row>
    <row r="137" spans="1:30" customFormat="1" ht="15.6">
      <c r="A137" s="107">
        <f t="shared" si="11"/>
        <v>118</v>
      </c>
      <c r="B137" s="276" t="s">
        <v>282</v>
      </c>
      <c r="C137" s="107">
        <v>1948</v>
      </c>
      <c r="D137" s="108"/>
      <c r="E137" s="109" t="s">
        <v>220</v>
      </c>
      <c r="F137" s="108">
        <v>2</v>
      </c>
      <c r="G137" s="108">
        <v>3</v>
      </c>
      <c r="H137" s="117"/>
      <c r="I137" s="117"/>
      <c r="J137" s="117"/>
      <c r="K137" s="101"/>
      <c r="L137" s="113">
        <v>2347478</v>
      </c>
      <c r="M137" s="113">
        <v>0</v>
      </c>
      <c r="N137" s="113">
        <v>0</v>
      </c>
      <c r="O137" s="113">
        <f t="shared" si="12"/>
        <v>2347478</v>
      </c>
      <c r="P137" s="113">
        <v>0</v>
      </c>
      <c r="Q137" s="114" t="e">
        <f t="shared" si="13"/>
        <v>#DIV/0!</v>
      </c>
      <c r="R137" s="115"/>
      <c r="S137" s="316">
        <v>43100</v>
      </c>
    </row>
    <row r="138" spans="1:30" customFormat="1" ht="31.2">
      <c r="A138" s="107">
        <f t="shared" si="11"/>
        <v>119</v>
      </c>
      <c r="B138" s="275" t="s">
        <v>267</v>
      </c>
      <c r="C138" s="118">
        <v>1948</v>
      </c>
      <c r="D138" s="118"/>
      <c r="E138" s="109" t="s">
        <v>218</v>
      </c>
      <c r="F138" s="118">
        <v>2</v>
      </c>
      <c r="G138" s="118">
        <v>3</v>
      </c>
      <c r="H138" s="118"/>
      <c r="I138" s="118"/>
      <c r="J138" s="118"/>
      <c r="K138" s="119"/>
      <c r="L138" s="113">
        <v>2468472</v>
      </c>
      <c r="M138" s="113">
        <v>0</v>
      </c>
      <c r="N138" s="113">
        <v>0</v>
      </c>
      <c r="O138" s="113">
        <f t="shared" si="12"/>
        <v>2468472</v>
      </c>
      <c r="P138" s="113">
        <v>0</v>
      </c>
      <c r="Q138" s="114" t="e">
        <f t="shared" si="13"/>
        <v>#DIV/0!</v>
      </c>
      <c r="R138" s="115"/>
      <c r="S138" s="316">
        <v>43100</v>
      </c>
    </row>
    <row r="139" spans="1:30" customFormat="1" ht="31.2">
      <c r="A139" s="107">
        <f t="shared" si="11"/>
        <v>120</v>
      </c>
      <c r="B139" s="276" t="s">
        <v>284</v>
      </c>
      <c r="C139" s="108">
        <v>1950</v>
      </c>
      <c r="D139" s="116"/>
      <c r="E139" s="109" t="s">
        <v>218</v>
      </c>
      <c r="F139" s="110">
        <v>2</v>
      </c>
      <c r="G139" s="110">
        <v>2</v>
      </c>
      <c r="H139" s="111"/>
      <c r="I139" s="111"/>
      <c r="J139" s="111"/>
      <c r="K139" s="112"/>
      <c r="L139" s="113">
        <v>1612780</v>
      </c>
      <c r="M139" s="113">
        <v>0</v>
      </c>
      <c r="N139" s="113">
        <v>0</v>
      </c>
      <c r="O139" s="113">
        <f t="shared" si="12"/>
        <v>1612780</v>
      </c>
      <c r="P139" s="113">
        <v>0</v>
      </c>
      <c r="Q139" s="114" t="e">
        <f t="shared" si="13"/>
        <v>#DIV/0!</v>
      </c>
      <c r="R139" s="115"/>
      <c r="S139" s="316">
        <v>43100</v>
      </c>
    </row>
    <row r="140" spans="1:30" customFormat="1" ht="31.2">
      <c r="A140" s="107">
        <f t="shared" si="11"/>
        <v>121</v>
      </c>
      <c r="B140" s="276" t="s">
        <v>256</v>
      </c>
      <c r="C140" s="118">
        <v>1947</v>
      </c>
      <c r="D140" s="118"/>
      <c r="E140" s="109" t="s">
        <v>218</v>
      </c>
      <c r="F140" s="118">
        <v>2</v>
      </c>
      <c r="G140" s="118">
        <v>2</v>
      </c>
      <c r="H140" s="118"/>
      <c r="I140" s="118"/>
      <c r="J140" s="118"/>
      <c r="K140" s="119"/>
      <c r="L140" s="113">
        <v>2580419</v>
      </c>
      <c r="M140" s="113">
        <v>0</v>
      </c>
      <c r="N140" s="113">
        <v>0</v>
      </c>
      <c r="O140" s="113">
        <f t="shared" si="12"/>
        <v>2580419</v>
      </c>
      <c r="P140" s="113">
        <v>0</v>
      </c>
      <c r="Q140" s="114" t="e">
        <f t="shared" si="13"/>
        <v>#DIV/0!</v>
      </c>
      <c r="R140" s="115"/>
      <c r="S140" s="316">
        <v>43100</v>
      </c>
    </row>
    <row r="141" spans="1:30" customFormat="1" ht="15.6">
      <c r="A141" s="107">
        <f t="shared" si="11"/>
        <v>122</v>
      </c>
      <c r="B141" s="275" t="s">
        <v>335</v>
      </c>
      <c r="C141" s="118">
        <v>1963</v>
      </c>
      <c r="D141" s="118"/>
      <c r="E141" s="109" t="s">
        <v>219</v>
      </c>
      <c r="F141" s="118">
        <v>5</v>
      </c>
      <c r="G141" s="118">
        <v>4</v>
      </c>
      <c r="H141" s="118"/>
      <c r="I141" s="118"/>
      <c r="J141" s="118"/>
      <c r="K141" s="119"/>
      <c r="L141" s="113">
        <v>1681645</v>
      </c>
      <c r="M141" s="113">
        <v>0</v>
      </c>
      <c r="N141" s="113">
        <v>0</v>
      </c>
      <c r="O141" s="113">
        <f t="shared" si="12"/>
        <v>1681645</v>
      </c>
      <c r="P141" s="113">
        <v>0</v>
      </c>
      <c r="Q141" s="114" t="e">
        <f t="shared" si="13"/>
        <v>#DIV/0!</v>
      </c>
      <c r="R141" s="115"/>
      <c r="S141" s="316">
        <v>43100</v>
      </c>
    </row>
    <row r="142" spans="1:30" customFormat="1" ht="31.2">
      <c r="A142" s="107">
        <f t="shared" si="11"/>
        <v>123</v>
      </c>
      <c r="B142" s="276" t="s">
        <v>255</v>
      </c>
      <c r="C142" s="118">
        <v>1950</v>
      </c>
      <c r="D142" s="118"/>
      <c r="E142" s="109" t="s">
        <v>218</v>
      </c>
      <c r="F142" s="118">
        <v>2</v>
      </c>
      <c r="G142" s="118">
        <v>2</v>
      </c>
      <c r="H142" s="118"/>
      <c r="I142" s="118"/>
      <c r="J142" s="118"/>
      <c r="K142" s="119"/>
      <c r="L142" s="113">
        <v>1318880</v>
      </c>
      <c r="M142" s="113">
        <v>0</v>
      </c>
      <c r="N142" s="113">
        <v>0</v>
      </c>
      <c r="O142" s="113">
        <f t="shared" si="12"/>
        <v>1318880</v>
      </c>
      <c r="P142" s="113">
        <v>0</v>
      </c>
      <c r="Q142" s="114" t="e">
        <f t="shared" si="13"/>
        <v>#DIV/0!</v>
      </c>
      <c r="R142" s="115"/>
      <c r="S142" s="316">
        <v>43100</v>
      </c>
    </row>
    <row r="143" spans="1:30" customFormat="1" ht="15.6">
      <c r="A143" s="107">
        <f t="shared" si="11"/>
        <v>124</v>
      </c>
      <c r="B143" s="276" t="s">
        <v>245</v>
      </c>
      <c r="C143" s="118">
        <v>1949</v>
      </c>
      <c r="D143" s="118"/>
      <c r="E143" s="109" t="s">
        <v>220</v>
      </c>
      <c r="F143" s="118">
        <v>2</v>
      </c>
      <c r="G143" s="118">
        <v>1</v>
      </c>
      <c r="H143" s="118"/>
      <c r="I143" s="118"/>
      <c r="J143" s="118"/>
      <c r="K143" s="119"/>
      <c r="L143" s="113">
        <v>1566345</v>
      </c>
      <c r="M143" s="113">
        <v>0</v>
      </c>
      <c r="N143" s="113">
        <v>0</v>
      </c>
      <c r="O143" s="113">
        <f t="shared" si="12"/>
        <v>1566345</v>
      </c>
      <c r="P143" s="113">
        <v>0</v>
      </c>
      <c r="Q143" s="114" t="e">
        <f t="shared" si="13"/>
        <v>#DIV/0!</v>
      </c>
      <c r="R143" s="115"/>
      <c r="S143" s="316">
        <v>43100</v>
      </c>
    </row>
    <row r="144" spans="1:30" customFormat="1" ht="31.2">
      <c r="A144" s="107">
        <f t="shared" si="11"/>
        <v>125</v>
      </c>
      <c r="B144" s="275" t="s">
        <v>449</v>
      </c>
      <c r="C144" s="108">
        <v>1984</v>
      </c>
      <c r="D144" s="108"/>
      <c r="E144" s="109" t="s">
        <v>219</v>
      </c>
      <c r="F144" s="110">
        <v>9</v>
      </c>
      <c r="G144" s="110">
        <v>1</v>
      </c>
      <c r="H144" s="111"/>
      <c r="I144" s="111"/>
      <c r="J144" s="111"/>
      <c r="K144" s="112"/>
      <c r="L144" s="113">
        <v>1910088</v>
      </c>
      <c r="M144" s="113">
        <v>0</v>
      </c>
      <c r="N144" s="113">
        <v>0</v>
      </c>
      <c r="O144" s="113">
        <f t="shared" si="12"/>
        <v>1910088</v>
      </c>
      <c r="P144" s="113">
        <v>0</v>
      </c>
      <c r="Q144" s="114" t="e">
        <f t="shared" si="13"/>
        <v>#DIV/0!</v>
      </c>
      <c r="R144" s="115"/>
      <c r="S144" s="316">
        <v>43100</v>
      </c>
    </row>
    <row r="145" spans="1:19" customFormat="1" ht="31.2">
      <c r="A145" s="107">
        <f t="shared" si="11"/>
        <v>126</v>
      </c>
      <c r="B145" s="276" t="s">
        <v>280</v>
      </c>
      <c r="C145" s="107">
        <v>1966</v>
      </c>
      <c r="D145" s="108"/>
      <c r="E145" s="109" t="s">
        <v>218</v>
      </c>
      <c r="F145" s="108">
        <v>5</v>
      </c>
      <c r="G145" s="108">
        <v>3</v>
      </c>
      <c r="H145" s="117"/>
      <c r="I145" s="117"/>
      <c r="J145" s="117"/>
      <c r="K145" s="101"/>
      <c r="L145" s="113">
        <v>2694957</v>
      </c>
      <c r="M145" s="113">
        <v>0</v>
      </c>
      <c r="N145" s="113">
        <v>0</v>
      </c>
      <c r="O145" s="113">
        <f t="shared" si="12"/>
        <v>2694957</v>
      </c>
      <c r="P145" s="113">
        <v>0</v>
      </c>
      <c r="Q145" s="114" t="e">
        <f t="shared" si="13"/>
        <v>#DIV/0!</v>
      </c>
      <c r="R145" s="115"/>
      <c r="S145" s="316">
        <v>43100</v>
      </c>
    </row>
    <row r="146" spans="1:19" customFormat="1" ht="31.2">
      <c r="A146" s="107">
        <f t="shared" si="11"/>
        <v>127</v>
      </c>
      <c r="B146" s="276" t="s">
        <v>367</v>
      </c>
      <c r="C146" s="118">
        <v>1958</v>
      </c>
      <c r="D146" s="118"/>
      <c r="E146" s="109" t="s">
        <v>218</v>
      </c>
      <c r="F146" s="118">
        <v>2</v>
      </c>
      <c r="G146" s="118">
        <v>1</v>
      </c>
      <c r="H146" s="118"/>
      <c r="I146" s="118"/>
      <c r="J146" s="118"/>
      <c r="K146" s="119"/>
      <c r="L146" s="113">
        <v>580578</v>
      </c>
      <c r="M146" s="113">
        <v>0</v>
      </c>
      <c r="N146" s="113">
        <v>0</v>
      </c>
      <c r="O146" s="113">
        <f t="shared" si="12"/>
        <v>580578</v>
      </c>
      <c r="P146" s="113">
        <v>0</v>
      </c>
      <c r="Q146" s="114" t="e">
        <f t="shared" si="13"/>
        <v>#DIV/0!</v>
      </c>
      <c r="R146" s="115"/>
      <c r="S146" s="316">
        <v>43100</v>
      </c>
    </row>
    <row r="147" spans="1:19" customFormat="1" ht="31.2">
      <c r="A147" s="107">
        <f t="shared" si="11"/>
        <v>128</v>
      </c>
      <c r="B147" s="276" t="s">
        <v>464</v>
      </c>
      <c r="C147" s="118">
        <v>1971</v>
      </c>
      <c r="D147" s="118"/>
      <c r="E147" s="109" t="s">
        <v>218</v>
      </c>
      <c r="F147" s="118">
        <v>2</v>
      </c>
      <c r="G147" s="118">
        <v>1</v>
      </c>
      <c r="H147" s="118"/>
      <c r="I147" s="118"/>
      <c r="J147" s="118"/>
      <c r="K147" s="119"/>
      <c r="L147" s="113">
        <v>615357</v>
      </c>
      <c r="M147" s="113">
        <v>0</v>
      </c>
      <c r="N147" s="113">
        <v>0</v>
      </c>
      <c r="O147" s="113">
        <f t="shared" si="12"/>
        <v>615357</v>
      </c>
      <c r="P147" s="113">
        <v>0</v>
      </c>
      <c r="Q147" s="114" t="e">
        <f t="shared" si="13"/>
        <v>#DIV/0!</v>
      </c>
      <c r="R147" s="115"/>
      <c r="S147" s="316">
        <v>43100</v>
      </c>
    </row>
    <row r="148" spans="1:19" customFormat="1" ht="31.2">
      <c r="A148" s="107">
        <f t="shared" si="11"/>
        <v>129</v>
      </c>
      <c r="B148" s="276" t="s">
        <v>385</v>
      </c>
      <c r="C148" s="118">
        <v>1957</v>
      </c>
      <c r="D148" s="118"/>
      <c r="E148" s="109" t="s">
        <v>218</v>
      </c>
      <c r="F148" s="118">
        <v>2</v>
      </c>
      <c r="G148" s="118">
        <v>1</v>
      </c>
      <c r="H148" s="118"/>
      <c r="I148" s="118"/>
      <c r="J148" s="118"/>
      <c r="K148" s="119"/>
      <c r="L148" s="113">
        <v>269948.13</v>
      </c>
      <c r="M148" s="113">
        <v>0</v>
      </c>
      <c r="N148" s="113">
        <v>0</v>
      </c>
      <c r="O148" s="113">
        <f t="shared" ref="O148:O179" si="14">L148</f>
        <v>269948.13</v>
      </c>
      <c r="P148" s="113">
        <v>0</v>
      </c>
      <c r="Q148" s="114" t="e">
        <f t="shared" ref="Q148:Q179" si="15">L148/I148</f>
        <v>#DIV/0!</v>
      </c>
      <c r="R148" s="115"/>
      <c r="S148" s="316">
        <v>43100</v>
      </c>
    </row>
    <row r="149" spans="1:19" customFormat="1" ht="15.6">
      <c r="A149" s="107">
        <f t="shared" si="11"/>
        <v>130</v>
      </c>
      <c r="B149" s="276" t="s">
        <v>238</v>
      </c>
      <c r="C149" s="118">
        <v>1924</v>
      </c>
      <c r="D149" s="118"/>
      <c r="E149" s="109" t="s">
        <v>221</v>
      </c>
      <c r="F149" s="118">
        <v>2</v>
      </c>
      <c r="G149" s="118">
        <v>2</v>
      </c>
      <c r="H149" s="118"/>
      <c r="I149" s="118"/>
      <c r="J149" s="118"/>
      <c r="K149" s="119"/>
      <c r="L149" s="113">
        <v>807980</v>
      </c>
      <c r="M149" s="113">
        <v>0</v>
      </c>
      <c r="N149" s="113">
        <v>0</v>
      </c>
      <c r="O149" s="113">
        <f t="shared" si="14"/>
        <v>807980</v>
      </c>
      <c r="P149" s="113">
        <v>0</v>
      </c>
      <c r="Q149" s="114" t="e">
        <f t="shared" si="15"/>
        <v>#DIV/0!</v>
      </c>
      <c r="R149" s="115"/>
      <c r="S149" s="316">
        <v>43100</v>
      </c>
    </row>
    <row r="150" spans="1:19" customFormat="1" ht="31.2">
      <c r="A150" s="107">
        <f t="shared" ref="A150:A219" si="16">A149+1</f>
        <v>131</v>
      </c>
      <c r="B150" s="276" t="s">
        <v>273</v>
      </c>
      <c r="C150" s="107">
        <v>1949</v>
      </c>
      <c r="D150" s="108"/>
      <c r="E150" s="109" t="s">
        <v>218</v>
      </c>
      <c r="F150" s="108">
        <v>2</v>
      </c>
      <c r="G150" s="108">
        <v>1</v>
      </c>
      <c r="H150" s="117"/>
      <c r="I150" s="117"/>
      <c r="J150" s="117"/>
      <c r="K150" s="101"/>
      <c r="L150" s="113">
        <v>661525</v>
      </c>
      <c r="M150" s="113">
        <v>0</v>
      </c>
      <c r="N150" s="113">
        <v>0</v>
      </c>
      <c r="O150" s="113">
        <f t="shared" si="14"/>
        <v>661525</v>
      </c>
      <c r="P150" s="113">
        <v>0</v>
      </c>
      <c r="Q150" s="114" t="e">
        <f t="shared" si="15"/>
        <v>#DIV/0!</v>
      </c>
      <c r="R150" s="115"/>
      <c r="S150" s="316">
        <v>43100</v>
      </c>
    </row>
    <row r="151" spans="1:19" customFormat="1" ht="15.6">
      <c r="A151" s="107">
        <f t="shared" si="16"/>
        <v>132</v>
      </c>
      <c r="B151" s="276" t="s">
        <v>297</v>
      </c>
      <c r="C151" s="108">
        <v>1981</v>
      </c>
      <c r="D151" s="108"/>
      <c r="E151" s="109" t="s">
        <v>219</v>
      </c>
      <c r="F151" s="110">
        <v>9</v>
      </c>
      <c r="G151" s="110">
        <v>2</v>
      </c>
      <c r="H151" s="111"/>
      <c r="I151" s="111"/>
      <c r="J151" s="111"/>
      <c r="K151" s="112"/>
      <c r="L151" s="113">
        <v>3719885</v>
      </c>
      <c r="M151" s="113">
        <v>0</v>
      </c>
      <c r="N151" s="113">
        <v>0</v>
      </c>
      <c r="O151" s="113">
        <f t="shared" si="14"/>
        <v>3719885</v>
      </c>
      <c r="P151" s="113">
        <v>0</v>
      </c>
      <c r="Q151" s="114" t="e">
        <f t="shared" si="15"/>
        <v>#DIV/0!</v>
      </c>
      <c r="R151" s="115"/>
      <c r="S151" s="316">
        <v>43100</v>
      </c>
    </row>
    <row r="152" spans="1:19" customFormat="1" ht="31.2">
      <c r="A152" s="107">
        <f t="shared" si="16"/>
        <v>133</v>
      </c>
      <c r="B152" s="276" t="s">
        <v>263</v>
      </c>
      <c r="C152" s="118">
        <v>1949</v>
      </c>
      <c r="D152" s="118"/>
      <c r="E152" s="109" t="s">
        <v>218</v>
      </c>
      <c r="F152" s="118">
        <v>2</v>
      </c>
      <c r="G152" s="118">
        <v>2</v>
      </c>
      <c r="H152" s="118"/>
      <c r="I152" s="118"/>
      <c r="J152" s="118"/>
      <c r="K152" s="119"/>
      <c r="L152" s="113">
        <v>1726391</v>
      </c>
      <c r="M152" s="113">
        <v>0</v>
      </c>
      <c r="N152" s="113">
        <v>0</v>
      </c>
      <c r="O152" s="113">
        <f t="shared" si="14"/>
        <v>1726391</v>
      </c>
      <c r="P152" s="113">
        <v>0</v>
      </c>
      <c r="Q152" s="114" t="e">
        <f t="shared" si="15"/>
        <v>#DIV/0!</v>
      </c>
      <c r="R152" s="115"/>
      <c r="S152" s="316">
        <v>43100</v>
      </c>
    </row>
    <row r="153" spans="1:19" customFormat="1" ht="15.6">
      <c r="A153" s="107">
        <f t="shared" si="16"/>
        <v>134</v>
      </c>
      <c r="B153" s="276" t="s">
        <v>235</v>
      </c>
      <c r="C153" s="118">
        <v>1950</v>
      </c>
      <c r="D153" s="118"/>
      <c r="E153" s="109" t="s">
        <v>220</v>
      </c>
      <c r="F153" s="118">
        <v>2</v>
      </c>
      <c r="G153" s="118">
        <v>1</v>
      </c>
      <c r="H153" s="118"/>
      <c r="I153" s="118"/>
      <c r="J153" s="118"/>
      <c r="K153" s="119"/>
      <c r="L153" s="113">
        <v>1521754</v>
      </c>
      <c r="M153" s="113">
        <v>0</v>
      </c>
      <c r="N153" s="113">
        <v>0</v>
      </c>
      <c r="O153" s="113">
        <f t="shared" si="14"/>
        <v>1521754</v>
      </c>
      <c r="P153" s="113">
        <v>0</v>
      </c>
      <c r="Q153" s="114" t="e">
        <f t="shared" si="15"/>
        <v>#DIV/0!</v>
      </c>
      <c r="R153" s="115"/>
      <c r="S153" s="316">
        <v>43100</v>
      </c>
    </row>
    <row r="154" spans="1:19" customFormat="1" ht="31.2">
      <c r="A154" s="107">
        <f t="shared" si="16"/>
        <v>135</v>
      </c>
      <c r="B154" s="275" t="s">
        <v>227</v>
      </c>
      <c r="C154" s="118">
        <v>1937</v>
      </c>
      <c r="D154" s="118"/>
      <c r="E154" s="109" t="s">
        <v>218</v>
      </c>
      <c r="F154" s="118">
        <v>2</v>
      </c>
      <c r="G154" s="118">
        <v>1</v>
      </c>
      <c r="H154" s="118"/>
      <c r="I154" s="118"/>
      <c r="J154" s="118"/>
      <c r="K154" s="119"/>
      <c r="L154" s="113">
        <v>671505</v>
      </c>
      <c r="M154" s="113">
        <v>0</v>
      </c>
      <c r="N154" s="113">
        <v>0</v>
      </c>
      <c r="O154" s="113">
        <f t="shared" si="14"/>
        <v>671505</v>
      </c>
      <c r="P154" s="113">
        <v>0</v>
      </c>
      <c r="Q154" s="114" t="e">
        <f t="shared" si="15"/>
        <v>#DIV/0!</v>
      </c>
      <c r="R154" s="115"/>
      <c r="S154" s="316">
        <v>43100</v>
      </c>
    </row>
    <row r="155" spans="1:19" customFormat="1" ht="31.2">
      <c r="A155" s="107">
        <f t="shared" si="16"/>
        <v>136</v>
      </c>
      <c r="B155" s="276" t="s">
        <v>339</v>
      </c>
      <c r="C155" s="118">
        <v>1961</v>
      </c>
      <c r="D155" s="118"/>
      <c r="E155" s="109" t="s">
        <v>218</v>
      </c>
      <c r="F155" s="118">
        <v>3</v>
      </c>
      <c r="G155" s="118">
        <v>2</v>
      </c>
      <c r="H155" s="118"/>
      <c r="I155" s="118"/>
      <c r="J155" s="118"/>
      <c r="K155" s="119"/>
      <c r="L155" s="113">
        <v>1081718</v>
      </c>
      <c r="M155" s="113">
        <v>0</v>
      </c>
      <c r="N155" s="113">
        <v>0</v>
      </c>
      <c r="O155" s="113">
        <f t="shared" si="14"/>
        <v>1081718</v>
      </c>
      <c r="P155" s="113">
        <v>0</v>
      </c>
      <c r="Q155" s="114" t="e">
        <f t="shared" si="15"/>
        <v>#DIV/0!</v>
      </c>
      <c r="R155" s="115"/>
      <c r="S155" s="316">
        <v>43100</v>
      </c>
    </row>
    <row r="156" spans="1:19" customFormat="1" ht="15.6">
      <c r="A156" s="107">
        <f t="shared" si="16"/>
        <v>137</v>
      </c>
      <c r="B156" s="276" t="s">
        <v>231</v>
      </c>
      <c r="C156" s="118">
        <v>1960</v>
      </c>
      <c r="D156" s="118"/>
      <c r="E156" s="109" t="s">
        <v>220</v>
      </c>
      <c r="F156" s="118">
        <v>3</v>
      </c>
      <c r="G156" s="118">
        <v>2</v>
      </c>
      <c r="H156" s="118"/>
      <c r="I156" s="118"/>
      <c r="J156" s="118"/>
      <c r="K156" s="119"/>
      <c r="L156" s="113">
        <v>206635</v>
      </c>
      <c r="M156" s="113">
        <v>0</v>
      </c>
      <c r="N156" s="113">
        <v>0</v>
      </c>
      <c r="O156" s="113">
        <f t="shared" si="14"/>
        <v>206635</v>
      </c>
      <c r="P156" s="113">
        <v>0</v>
      </c>
      <c r="Q156" s="114" t="e">
        <f t="shared" si="15"/>
        <v>#DIV/0!</v>
      </c>
      <c r="R156" s="115"/>
      <c r="S156" s="316">
        <v>43100</v>
      </c>
    </row>
    <row r="157" spans="1:19" customFormat="1" ht="15.6">
      <c r="A157" s="107">
        <f t="shared" si="16"/>
        <v>138</v>
      </c>
      <c r="B157" s="275" t="s">
        <v>300</v>
      </c>
      <c r="C157" s="108">
        <v>1961</v>
      </c>
      <c r="D157" s="108"/>
      <c r="E157" s="109" t="s">
        <v>220</v>
      </c>
      <c r="F157" s="110">
        <v>3</v>
      </c>
      <c r="G157" s="110">
        <v>2</v>
      </c>
      <c r="H157" s="111"/>
      <c r="I157" s="111"/>
      <c r="J157" s="111"/>
      <c r="K157" s="112"/>
      <c r="L157" s="113">
        <v>1044081.04</v>
      </c>
      <c r="M157" s="113">
        <v>0</v>
      </c>
      <c r="N157" s="113">
        <v>0</v>
      </c>
      <c r="O157" s="113">
        <f t="shared" si="14"/>
        <v>1044081.04</v>
      </c>
      <c r="P157" s="113">
        <v>0</v>
      </c>
      <c r="Q157" s="114" t="e">
        <f t="shared" si="15"/>
        <v>#DIV/0!</v>
      </c>
      <c r="R157" s="115"/>
      <c r="S157" s="316">
        <v>43100</v>
      </c>
    </row>
    <row r="158" spans="1:19" customFormat="1" ht="31.2">
      <c r="A158" s="107">
        <f t="shared" si="16"/>
        <v>139</v>
      </c>
      <c r="B158" s="275" t="s">
        <v>283</v>
      </c>
      <c r="C158" s="107">
        <v>1959</v>
      </c>
      <c r="D158" s="108"/>
      <c r="E158" s="109" t="s">
        <v>218</v>
      </c>
      <c r="F158" s="108">
        <v>2</v>
      </c>
      <c r="G158" s="108">
        <v>2</v>
      </c>
      <c r="H158" s="117"/>
      <c r="I158" s="117"/>
      <c r="J158" s="117"/>
      <c r="K158" s="101"/>
      <c r="L158" s="113">
        <v>1340000</v>
      </c>
      <c r="M158" s="113">
        <v>0</v>
      </c>
      <c r="N158" s="113">
        <v>0</v>
      </c>
      <c r="O158" s="113">
        <f t="shared" si="14"/>
        <v>1340000</v>
      </c>
      <c r="P158" s="113">
        <v>0</v>
      </c>
      <c r="Q158" s="114" t="e">
        <f t="shared" si="15"/>
        <v>#DIV/0!</v>
      </c>
      <c r="R158" s="115"/>
      <c r="S158" s="316">
        <v>43100</v>
      </c>
    </row>
    <row r="159" spans="1:19" customFormat="1" ht="15.6">
      <c r="A159" s="107">
        <f t="shared" si="16"/>
        <v>140</v>
      </c>
      <c r="B159" s="276" t="s">
        <v>450</v>
      </c>
      <c r="C159" s="107">
        <v>1975</v>
      </c>
      <c r="D159" s="108"/>
      <c r="E159" s="109" t="s">
        <v>219</v>
      </c>
      <c r="F159" s="108">
        <v>5</v>
      </c>
      <c r="G159" s="108">
        <v>6</v>
      </c>
      <c r="H159" s="117"/>
      <c r="I159" s="117"/>
      <c r="J159" s="117"/>
      <c r="K159" s="101"/>
      <c r="L159" s="113">
        <v>2294529</v>
      </c>
      <c r="M159" s="113">
        <v>0</v>
      </c>
      <c r="N159" s="113">
        <v>0</v>
      </c>
      <c r="O159" s="113">
        <f t="shared" si="14"/>
        <v>2294529</v>
      </c>
      <c r="P159" s="113">
        <v>0</v>
      </c>
      <c r="Q159" s="114" t="e">
        <f t="shared" si="15"/>
        <v>#DIV/0!</v>
      </c>
      <c r="R159" s="115"/>
      <c r="S159" s="316">
        <v>43100</v>
      </c>
    </row>
    <row r="160" spans="1:19" customFormat="1" ht="15.6">
      <c r="A160" s="107">
        <f t="shared" si="16"/>
        <v>141</v>
      </c>
      <c r="B160" s="276" t="s">
        <v>230</v>
      </c>
      <c r="C160" s="118">
        <v>1981</v>
      </c>
      <c r="D160" s="118"/>
      <c r="E160" s="109" t="s">
        <v>219</v>
      </c>
      <c r="F160" s="118">
        <v>9</v>
      </c>
      <c r="G160" s="118">
        <v>2</v>
      </c>
      <c r="H160" s="118"/>
      <c r="I160" s="118"/>
      <c r="J160" s="118"/>
      <c r="K160" s="119"/>
      <c r="L160" s="113">
        <v>2615616.2000000002</v>
      </c>
      <c r="M160" s="113">
        <v>0</v>
      </c>
      <c r="N160" s="113">
        <v>0</v>
      </c>
      <c r="O160" s="113">
        <f t="shared" si="14"/>
        <v>2615616.2000000002</v>
      </c>
      <c r="P160" s="113">
        <v>0</v>
      </c>
      <c r="Q160" s="114" t="e">
        <f t="shared" si="15"/>
        <v>#DIV/0!</v>
      </c>
      <c r="R160" s="115"/>
      <c r="S160" s="316">
        <v>43100</v>
      </c>
    </row>
    <row r="161" spans="1:30" customFormat="1" ht="31.2">
      <c r="A161" s="107">
        <f t="shared" si="16"/>
        <v>142</v>
      </c>
      <c r="B161" s="275" t="s">
        <v>295</v>
      </c>
      <c r="C161" s="108">
        <v>1964</v>
      </c>
      <c r="D161" s="108"/>
      <c r="E161" s="109" t="s">
        <v>218</v>
      </c>
      <c r="F161" s="110">
        <v>5</v>
      </c>
      <c r="G161" s="110">
        <v>3</v>
      </c>
      <c r="H161" s="111"/>
      <c r="I161" s="111"/>
      <c r="J161" s="111"/>
      <c r="K161" s="112"/>
      <c r="L161" s="113">
        <v>1561539</v>
      </c>
      <c r="M161" s="113">
        <v>0</v>
      </c>
      <c r="N161" s="113">
        <v>0</v>
      </c>
      <c r="O161" s="113">
        <f t="shared" si="14"/>
        <v>1561539</v>
      </c>
      <c r="P161" s="113">
        <v>0</v>
      </c>
      <c r="Q161" s="114" t="e">
        <f t="shared" si="15"/>
        <v>#DIV/0!</v>
      </c>
      <c r="R161" s="115"/>
      <c r="S161" s="316">
        <v>43100</v>
      </c>
    </row>
    <row r="162" spans="1:30" customFormat="1" ht="31.2">
      <c r="A162" s="107">
        <f t="shared" si="16"/>
        <v>143</v>
      </c>
      <c r="B162" s="276" t="s">
        <v>294</v>
      </c>
      <c r="C162" s="108">
        <v>1960</v>
      </c>
      <c r="D162" s="108"/>
      <c r="E162" s="109" t="s">
        <v>218</v>
      </c>
      <c r="F162" s="110">
        <v>5</v>
      </c>
      <c r="G162" s="110">
        <v>2</v>
      </c>
      <c r="H162" s="111"/>
      <c r="I162" s="111"/>
      <c r="J162" s="111"/>
      <c r="K162" s="112"/>
      <c r="L162" s="113">
        <v>1421187</v>
      </c>
      <c r="M162" s="113">
        <v>0</v>
      </c>
      <c r="N162" s="113">
        <v>0</v>
      </c>
      <c r="O162" s="113">
        <f t="shared" si="14"/>
        <v>1421187</v>
      </c>
      <c r="P162" s="113">
        <v>0</v>
      </c>
      <c r="Q162" s="114" t="e">
        <f t="shared" si="15"/>
        <v>#DIV/0!</v>
      </c>
      <c r="R162" s="115"/>
      <c r="S162" s="316">
        <v>43100</v>
      </c>
    </row>
    <row r="163" spans="1:30" customFormat="1" ht="15.6">
      <c r="A163" s="107">
        <f t="shared" si="16"/>
        <v>144</v>
      </c>
      <c r="B163" s="276" t="s">
        <v>270</v>
      </c>
      <c r="C163" s="118">
        <v>1962</v>
      </c>
      <c r="D163" s="118"/>
      <c r="E163" s="109" t="s">
        <v>219</v>
      </c>
      <c r="F163" s="118">
        <v>4</v>
      </c>
      <c r="G163" s="118">
        <v>4</v>
      </c>
      <c r="H163" s="118"/>
      <c r="I163" s="118"/>
      <c r="J163" s="118"/>
      <c r="K163" s="119"/>
      <c r="L163" s="113">
        <v>2469740</v>
      </c>
      <c r="M163" s="113">
        <v>0</v>
      </c>
      <c r="N163" s="113">
        <v>0</v>
      </c>
      <c r="O163" s="113">
        <f t="shared" si="14"/>
        <v>2469740</v>
      </c>
      <c r="P163" s="113">
        <v>0</v>
      </c>
      <c r="Q163" s="114" t="e">
        <f t="shared" si="15"/>
        <v>#DIV/0!</v>
      </c>
      <c r="R163" s="115"/>
      <c r="S163" s="316">
        <v>43100</v>
      </c>
    </row>
    <row r="164" spans="1:30" customFormat="1" ht="31.2">
      <c r="A164" s="107">
        <f t="shared" si="16"/>
        <v>145</v>
      </c>
      <c r="B164" s="276" t="s">
        <v>252</v>
      </c>
      <c r="C164" s="118">
        <v>1986</v>
      </c>
      <c r="D164" s="118"/>
      <c r="E164" s="109" t="s">
        <v>218</v>
      </c>
      <c r="F164" s="118">
        <v>9</v>
      </c>
      <c r="G164" s="118">
        <v>1</v>
      </c>
      <c r="H164" s="118"/>
      <c r="I164" s="118"/>
      <c r="J164" s="118"/>
      <c r="K164" s="119"/>
      <c r="L164" s="113">
        <v>1104857</v>
      </c>
      <c r="M164" s="113">
        <v>0</v>
      </c>
      <c r="N164" s="113">
        <v>0</v>
      </c>
      <c r="O164" s="113">
        <f t="shared" si="14"/>
        <v>1104857</v>
      </c>
      <c r="P164" s="113">
        <v>0</v>
      </c>
      <c r="Q164" s="114" t="e">
        <f t="shared" si="15"/>
        <v>#DIV/0!</v>
      </c>
      <c r="R164" s="115"/>
      <c r="S164" s="316">
        <v>43100</v>
      </c>
    </row>
    <row r="165" spans="1:30" customFormat="1" ht="31.2">
      <c r="A165" s="107">
        <f t="shared" si="16"/>
        <v>146</v>
      </c>
      <c r="B165" s="276" t="s">
        <v>304</v>
      </c>
      <c r="C165" s="108">
        <v>1989</v>
      </c>
      <c r="D165" s="108"/>
      <c r="E165" s="109" t="s">
        <v>218</v>
      </c>
      <c r="F165" s="110">
        <v>9</v>
      </c>
      <c r="G165" s="110">
        <v>1</v>
      </c>
      <c r="H165" s="111"/>
      <c r="I165" s="111"/>
      <c r="J165" s="111"/>
      <c r="K165" s="112"/>
      <c r="L165" s="113">
        <v>1877378</v>
      </c>
      <c r="M165" s="113">
        <v>0</v>
      </c>
      <c r="N165" s="113">
        <v>0</v>
      </c>
      <c r="O165" s="113">
        <f t="shared" si="14"/>
        <v>1877378</v>
      </c>
      <c r="P165" s="113">
        <v>0</v>
      </c>
      <c r="Q165" s="114" t="e">
        <f t="shared" si="15"/>
        <v>#DIV/0!</v>
      </c>
      <c r="R165" s="115"/>
      <c r="S165" s="316">
        <v>43100</v>
      </c>
    </row>
    <row r="166" spans="1:30" customFormat="1" ht="31.2">
      <c r="A166" s="107">
        <f t="shared" si="16"/>
        <v>147</v>
      </c>
      <c r="B166" s="276" t="s">
        <v>228</v>
      </c>
      <c r="C166" s="118" t="s">
        <v>190</v>
      </c>
      <c r="D166" s="118"/>
      <c r="E166" s="109" t="s">
        <v>218</v>
      </c>
      <c r="F166" s="118">
        <v>4</v>
      </c>
      <c r="G166" s="118">
        <v>2</v>
      </c>
      <c r="H166" s="118"/>
      <c r="I166" s="118"/>
      <c r="J166" s="118"/>
      <c r="K166" s="119"/>
      <c r="L166" s="113">
        <v>2945836</v>
      </c>
      <c r="M166" s="113">
        <v>0</v>
      </c>
      <c r="N166" s="113">
        <v>0</v>
      </c>
      <c r="O166" s="113">
        <f t="shared" si="14"/>
        <v>2945836</v>
      </c>
      <c r="P166" s="113">
        <v>0</v>
      </c>
      <c r="Q166" s="114" t="e">
        <f t="shared" si="15"/>
        <v>#DIV/0!</v>
      </c>
      <c r="R166" s="115"/>
      <c r="S166" s="316">
        <v>43100</v>
      </c>
    </row>
    <row r="167" spans="1:30" customFormat="1" ht="31.2">
      <c r="A167" s="107">
        <f t="shared" si="16"/>
        <v>148</v>
      </c>
      <c r="B167" s="276" t="s">
        <v>225</v>
      </c>
      <c r="C167" s="118">
        <v>1932</v>
      </c>
      <c r="D167" s="118"/>
      <c r="E167" s="109" t="s">
        <v>218</v>
      </c>
      <c r="F167" s="118">
        <v>5</v>
      </c>
      <c r="G167" s="118">
        <v>5</v>
      </c>
      <c r="H167" s="118"/>
      <c r="I167" s="118"/>
      <c r="J167" s="118"/>
      <c r="K167" s="119"/>
      <c r="L167" s="113">
        <v>1118494</v>
      </c>
      <c r="M167" s="113">
        <v>0</v>
      </c>
      <c r="N167" s="113">
        <v>0</v>
      </c>
      <c r="O167" s="113">
        <f t="shared" si="14"/>
        <v>1118494</v>
      </c>
      <c r="P167" s="113">
        <v>0</v>
      </c>
      <c r="Q167" s="114" t="e">
        <f t="shared" si="15"/>
        <v>#DIV/0!</v>
      </c>
      <c r="R167" s="115"/>
      <c r="S167" s="316">
        <v>43100</v>
      </c>
    </row>
    <row r="168" spans="1:30" customFormat="1" ht="31.2">
      <c r="A168" s="107">
        <f t="shared" si="16"/>
        <v>149</v>
      </c>
      <c r="B168" s="276" t="s">
        <v>232</v>
      </c>
      <c r="C168" s="118" t="s">
        <v>190</v>
      </c>
      <c r="D168" s="118"/>
      <c r="E168" s="109" t="s">
        <v>218</v>
      </c>
      <c r="F168" s="118">
        <v>3</v>
      </c>
      <c r="G168" s="118">
        <v>2</v>
      </c>
      <c r="H168" s="118"/>
      <c r="I168" s="118"/>
      <c r="J168" s="118"/>
      <c r="K168" s="119"/>
      <c r="L168" s="113">
        <v>2540427</v>
      </c>
      <c r="M168" s="113">
        <v>0</v>
      </c>
      <c r="N168" s="113">
        <v>0</v>
      </c>
      <c r="O168" s="113">
        <f t="shared" si="14"/>
        <v>2540427</v>
      </c>
      <c r="P168" s="113">
        <v>0</v>
      </c>
      <c r="Q168" s="114" t="e">
        <f t="shared" si="15"/>
        <v>#DIV/0!</v>
      </c>
      <c r="R168" s="115"/>
      <c r="S168" s="316">
        <v>43100</v>
      </c>
    </row>
    <row r="169" spans="1:30" customFormat="1" ht="31.2">
      <c r="A169" s="107">
        <f t="shared" si="16"/>
        <v>150</v>
      </c>
      <c r="B169" s="276" t="s">
        <v>275</v>
      </c>
      <c r="C169" s="107">
        <v>1951</v>
      </c>
      <c r="D169" s="108"/>
      <c r="E169" s="109" t="s">
        <v>218</v>
      </c>
      <c r="F169" s="108">
        <v>3</v>
      </c>
      <c r="G169" s="108">
        <v>3</v>
      </c>
      <c r="H169" s="117"/>
      <c r="I169" s="117"/>
      <c r="J169" s="117"/>
      <c r="K169" s="101"/>
      <c r="L169" s="113">
        <v>2253297</v>
      </c>
      <c r="M169" s="113">
        <v>0</v>
      </c>
      <c r="N169" s="113">
        <v>0</v>
      </c>
      <c r="O169" s="113">
        <f t="shared" si="14"/>
        <v>2253297</v>
      </c>
      <c r="P169" s="113">
        <v>0</v>
      </c>
      <c r="Q169" s="114" t="e">
        <f t="shared" si="15"/>
        <v>#DIV/0!</v>
      </c>
      <c r="R169" s="115"/>
      <c r="S169" s="316">
        <v>43100</v>
      </c>
    </row>
    <row r="170" spans="1:30" customFormat="1" ht="21.75" customHeight="1">
      <c r="A170" s="107">
        <f t="shared" si="16"/>
        <v>151</v>
      </c>
      <c r="B170" s="276" t="s">
        <v>286</v>
      </c>
      <c r="C170" s="108">
        <v>1971</v>
      </c>
      <c r="D170" s="108"/>
      <c r="E170" s="109" t="s">
        <v>219</v>
      </c>
      <c r="F170" s="110">
        <v>5</v>
      </c>
      <c r="G170" s="110">
        <v>4</v>
      </c>
      <c r="H170" s="111"/>
      <c r="I170" s="111"/>
      <c r="J170" s="111"/>
      <c r="K170" s="112"/>
      <c r="L170" s="113">
        <v>1390061</v>
      </c>
      <c r="M170" s="113">
        <v>0</v>
      </c>
      <c r="N170" s="113">
        <v>0</v>
      </c>
      <c r="O170" s="113">
        <f t="shared" si="14"/>
        <v>1390061</v>
      </c>
      <c r="P170" s="113">
        <v>0</v>
      </c>
      <c r="Q170" s="114" t="e">
        <f t="shared" si="15"/>
        <v>#DIV/0!</v>
      </c>
      <c r="R170" s="115"/>
      <c r="S170" s="316">
        <v>43100</v>
      </c>
    </row>
    <row r="171" spans="1:30" customFormat="1" ht="31.2">
      <c r="A171" s="107">
        <f t="shared" si="16"/>
        <v>152</v>
      </c>
      <c r="B171" s="275" t="s">
        <v>342</v>
      </c>
      <c r="C171" s="107">
        <v>1961</v>
      </c>
      <c r="D171" s="108"/>
      <c r="E171" s="109" t="s">
        <v>218</v>
      </c>
      <c r="F171" s="108">
        <v>5</v>
      </c>
      <c r="G171" s="108">
        <v>4</v>
      </c>
      <c r="H171" s="117"/>
      <c r="I171" s="117"/>
      <c r="J171" s="117"/>
      <c r="K171" s="101"/>
      <c r="L171" s="113">
        <v>3213804</v>
      </c>
      <c r="M171" s="113">
        <v>0</v>
      </c>
      <c r="N171" s="113">
        <v>0</v>
      </c>
      <c r="O171" s="113">
        <f t="shared" si="14"/>
        <v>3213804</v>
      </c>
      <c r="P171" s="113">
        <v>0</v>
      </c>
      <c r="Q171" s="114" t="e">
        <f t="shared" si="15"/>
        <v>#DIV/0!</v>
      </c>
      <c r="R171" s="115"/>
      <c r="S171" s="316">
        <v>43100</v>
      </c>
    </row>
    <row r="172" spans="1:30" customFormat="1" ht="31.2">
      <c r="A172" s="107">
        <f t="shared" si="16"/>
        <v>153</v>
      </c>
      <c r="B172" s="276" t="s">
        <v>298</v>
      </c>
      <c r="C172" s="108">
        <v>1958</v>
      </c>
      <c r="D172" s="108"/>
      <c r="E172" s="109" t="s">
        <v>218</v>
      </c>
      <c r="F172" s="110">
        <v>4</v>
      </c>
      <c r="G172" s="110">
        <v>3</v>
      </c>
      <c r="H172" s="111"/>
      <c r="I172" s="111"/>
      <c r="J172" s="111"/>
      <c r="K172" s="112"/>
      <c r="L172" s="113">
        <v>3202371</v>
      </c>
      <c r="M172" s="113">
        <v>0</v>
      </c>
      <c r="N172" s="113">
        <v>0</v>
      </c>
      <c r="O172" s="113">
        <f t="shared" si="14"/>
        <v>3202371</v>
      </c>
      <c r="P172" s="113">
        <v>0</v>
      </c>
      <c r="Q172" s="114" t="e">
        <f t="shared" si="15"/>
        <v>#DIV/0!</v>
      </c>
      <c r="R172" s="115"/>
      <c r="S172" s="316">
        <v>43100</v>
      </c>
    </row>
    <row r="173" spans="1:30" s="3" customFormat="1" ht="31.2">
      <c r="A173" s="107">
        <f t="shared" si="16"/>
        <v>154</v>
      </c>
      <c r="B173" s="276" t="s">
        <v>253</v>
      </c>
      <c r="C173" s="118">
        <v>1959</v>
      </c>
      <c r="D173" s="118"/>
      <c r="E173" s="109" t="s">
        <v>218</v>
      </c>
      <c r="F173" s="118">
        <v>2</v>
      </c>
      <c r="G173" s="118">
        <v>1</v>
      </c>
      <c r="H173" s="118"/>
      <c r="I173" s="118"/>
      <c r="J173" s="118"/>
      <c r="K173" s="119"/>
      <c r="L173" s="113">
        <v>709022</v>
      </c>
      <c r="M173" s="113">
        <v>0</v>
      </c>
      <c r="N173" s="113">
        <v>0</v>
      </c>
      <c r="O173" s="113">
        <f t="shared" si="14"/>
        <v>709022</v>
      </c>
      <c r="P173" s="113">
        <v>0</v>
      </c>
      <c r="Q173" s="114" t="e">
        <f t="shared" si="15"/>
        <v>#DIV/0!</v>
      </c>
      <c r="R173" s="115"/>
      <c r="S173" s="316">
        <v>43100</v>
      </c>
      <c r="T173"/>
      <c r="U173"/>
      <c r="V173"/>
      <c r="W173"/>
      <c r="X173"/>
      <c r="Y173"/>
      <c r="Z173"/>
      <c r="AA173"/>
      <c r="AB173"/>
      <c r="AC173"/>
      <c r="AD173"/>
    </row>
    <row r="174" spans="1:30" customFormat="1" ht="31.2">
      <c r="A174" s="107">
        <f t="shared" si="16"/>
        <v>155</v>
      </c>
      <c r="B174" s="276" t="s">
        <v>260</v>
      </c>
      <c r="C174" s="118">
        <v>1958</v>
      </c>
      <c r="D174" s="118"/>
      <c r="E174" s="109" t="s">
        <v>218</v>
      </c>
      <c r="F174" s="118">
        <v>2</v>
      </c>
      <c r="G174" s="118">
        <v>1</v>
      </c>
      <c r="H174" s="118"/>
      <c r="I174" s="118"/>
      <c r="J174" s="118"/>
      <c r="K174" s="119"/>
      <c r="L174" s="113">
        <v>1136930</v>
      </c>
      <c r="M174" s="113">
        <v>0</v>
      </c>
      <c r="N174" s="113">
        <v>0</v>
      </c>
      <c r="O174" s="113">
        <f t="shared" si="14"/>
        <v>1136930</v>
      </c>
      <c r="P174" s="113">
        <v>0</v>
      </c>
      <c r="Q174" s="114" t="e">
        <f t="shared" si="15"/>
        <v>#DIV/0!</v>
      </c>
      <c r="R174" s="115"/>
      <c r="S174" s="316">
        <v>43100</v>
      </c>
    </row>
    <row r="175" spans="1:30" customFormat="1" ht="31.2">
      <c r="A175" s="107">
        <f t="shared" si="16"/>
        <v>156</v>
      </c>
      <c r="B175" s="276" t="s">
        <v>349</v>
      </c>
      <c r="C175" s="108">
        <v>1958</v>
      </c>
      <c r="D175" s="108"/>
      <c r="E175" s="109" t="s">
        <v>218</v>
      </c>
      <c r="F175" s="110">
        <v>2</v>
      </c>
      <c r="G175" s="110">
        <v>2</v>
      </c>
      <c r="H175" s="111"/>
      <c r="I175" s="111"/>
      <c r="J175" s="111"/>
      <c r="K175" s="112"/>
      <c r="L175" s="113">
        <v>1320636</v>
      </c>
      <c r="M175" s="113">
        <v>0</v>
      </c>
      <c r="N175" s="113">
        <v>0</v>
      </c>
      <c r="O175" s="113">
        <f t="shared" si="14"/>
        <v>1320636</v>
      </c>
      <c r="P175" s="113">
        <v>0</v>
      </c>
      <c r="Q175" s="114" t="e">
        <f t="shared" si="15"/>
        <v>#DIV/0!</v>
      </c>
      <c r="R175" s="115"/>
      <c r="S175" s="316">
        <v>43100</v>
      </c>
    </row>
    <row r="176" spans="1:30" customFormat="1" ht="15.6">
      <c r="A176" s="107">
        <f t="shared" si="16"/>
        <v>157</v>
      </c>
      <c r="B176" s="276" t="s">
        <v>302</v>
      </c>
      <c r="C176" s="108">
        <v>1986</v>
      </c>
      <c r="D176" s="108"/>
      <c r="E176" s="109" t="s">
        <v>219</v>
      </c>
      <c r="F176" s="110">
        <v>9</v>
      </c>
      <c r="G176" s="110">
        <v>3</v>
      </c>
      <c r="H176" s="111"/>
      <c r="I176" s="111"/>
      <c r="J176" s="111"/>
      <c r="K176" s="112"/>
      <c r="L176" s="113">
        <v>4265098</v>
      </c>
      <c r="M176" s="113">
        <v>0</v>
      </c>
      <c r="N176" s="113">
        <v>0</v>
      </c>
      <c r="O176" s="113">
        <f t="shared" si="14"/>
        <v>4265098</v>
      </c>
      <c r="P176" s="113">
        <v>0</v>
      </c>
      <c r="Q176" s="114" t="e">
        <f t="shared" si="15"/>
        <v>#DIV/0!</v>
      </c>
      <c r="R176" s="115"/>
      <c r="S176" s="316">
        <v>43100</v>
      </c>
    </row>
    <row r="177" spans="1:30" customFormat="1" ht="31.2">
      <c r="A177" s="107">
        <f t="shared" si="16"/>
        <v>158</v>
      </c>
      <c r="B177" s="276" t="s">
        <v>341</v>
      </c>
      <c r="C177" s="107">
        <v>1963</v>
      </c>
      <c r="D177" s="108"/>
      <c r="E177" s="109" t="s">
        <v>218</v>
      </c>
      <c r="F177" s="108">
        <v>4</v>
      </c>
      <c r="G177" s="108">
        <v>4</v>
      </c>
      <c r="H177" s="117"/>
      <c r="I177" s="117"/>
      <c r="J177" s="117"/>
      <c r="K177" s="101"/>
      <c r="L177" s="113">
        <v>2115890</v>
      </c>
      <c r="M177" s="113">
        <v>0</v>
      </c>
      <c r="N177" s="113">
        <v>0</v>
      </c>
      <c r="O177" s="113">
        <f t="shared" si="14"/>
        <v>2115890</v>
      </c>
      <c r="P177" s="113">
        <v>0</v>
      </c>
      <c r="Q177" s="114" t="e">
        <f t="shared" si="15"/>
        <v>#DIV/0!</v>
      </c>
      <c r="R177" s="115"/>
      <c r="S177" s="316">
        <v>43100</v>
      </c>
    </row>
    <row r="178" spans="1:30" customFormat="1" ht="31.2">
      <c r="A178" s="107">
        <f t="shared" si="16"/>
        <v>159</v>
      </c>
      <c r="B178" s="275" t="s">
        <v>242</v>
      </c>
      <c r="C178" s="118">
        <v>1961</v>
      </c>
      <c r="D178" s="118"/>
      <c r="E178" s="109" t="s">
        <v>218</v>
      </c>
      <c r="F178" s="118">
        <v>3</v>
      </c>
      <c r="G178" s="118">
        <v>2</v>
      </c>
      <c r="H178" s="118"/>
      <c r="I178" s="118"/>
      <c r="J178" s="118"/>
      <c r="K178" s="119"/>
      <c r="L178" s="113">
        <v>482251.51</v>
      </c>
      <c r="M178" s="113">
        <v>0</v>
      </c>
      <c r="N178" s="113">
        <v>0</v>
      </c>
      <c r="O178" s="113">
        <f t="shared" si="14"/>
        <v>482251.51</v>
      </c>
      <c r="P178" s="113">
        <v>0</v>
      </c>
      <c r="Q178" s="114" t="e">
        <f t="shared" si="15"/>
        <v>#DIV/0!</v>
      </c>
      <c r="R178" s="115"/>
      <c r="S178" s="316">
        <v>43100</v>
      </c>
    </row>
    <row r="179" spans="1:30" customFormat="1" ht="31.2">
      <c r="A179" s="107">
        <f t="shared" si="16"/>
        <v>160</v>
      </c>
      <c r="B179" s="276" t="s">
        <v>279</v>
      </c>
      <c r="C179" s="107">
        <v>1959</v>
      </c>
      <c r="D179" s="108"/>
      <c r="E179" s="109" t="s">
        <v>218</v>
      </c>
      <c r="F179" s="108">
        <v>3</v>
      </c>
      <c r="G179" s="108">
        <v>2</v>
      </c>
      <c r="H179" s="117"/>
      <c r="I179" s="117"/>
      <c r="J179" s="117"/>
      <c r="K179" s="101"/>
      <c r="L179" s="113">
        <v>1018040.92</v>
      </c>
      <c r="M179" s="113">
        <v>0</v>
      </c>
      <c r="N179" s="113">
        <v>0</v>
      </c>
      <c r="O179" s="113">
        <f t="shared" si="14"/>
        <v>1018040.92</v>
      </c>
      <c r="P179" s="113">
        <v>0</v>
      </c>
      <c r="Q179" s="114" t="e">
        <f t="shared" si="15"/>
        <v>#DIV/0!</v>
      </c>
      <c r="R179" s="115"/>
      <c r="S179" s="316">
        <v>43100</v>
      </c>
    </row>
    <row r="180" spans="1:30" customFormat="1" ht="31.2">
      <c r="A180" s="107">
        <f t="shared" si="16"/>
        <v>161</v>
      </c>
      <c r="B180" s="276" t="s">
        <v>262</v>
      </c>
      <c r="C180" s="118">
        <v>1977</v>
      </c>
      <c r="D180" s="118"/>
      <c r="E180" s="109" t="s">
        <v>218</v>
      </c>
      <c r="F180" s="118">
        <v>9</v>
      </c>
      <c r="G180" s="118">
        <v>1</v>
      </c>
      <c r="H180" s="118"/>
      <c r="I180" s="118"/>
      <c r="J180" s="118"/>
      <c r="K180" s="119"/>
      <c r="L180" s="113">
        <v>1871554</v>
      </c>
      <c r="M180" s="113">
        <v>0</v>
      </c>
      <c r="N180" s="113">
        <v>0</v>
      </c>
      <c r="O180" s="113">
        <f t="shared" ref="O180:O187" si="17">L180</f>
        <v>1871554</v>
      </c>
      <c r="P180" s="113">
        <v>0</v>
      </c>
      <c r="Q180" s="114" t="e">
        <f t="shared" ref="Q180:Q187" si="18">L180/I180</f>
        <v>#DIV/0!</v>
      </c>
      <c r="R180" s="115"/>
      <c r="S180" s="316">
        <v>43100</v>
      </c>
    </row>
    <row r="181" spans="1:30" customFormat="1" ht="31.2">
      <c r="A181" s="107">
        <f t="shared" si="16"/>
        <v>162</v>
      </c>
      <c r="B181" s="275" t="s">
        <v>290</v>
      </c>
      <c r="C181" s="108">
        <v>1974</v>
      </c>
      <c r="D181" s="108"/>
      <c r="E181" s="109" t="s">
        <v>218</v>
      </c>
      <c r="F181" s="110">
        <v>5</v>
      </c>
      <c r="G181" s="110">
        <v>4</v>
      </c>
      <c r="H181" s="111"/>
      <c r="I181" s="111"/>
      <c r="J181" s="111"/>
      <c r="K181" s="112"/>
      <c r="L181" s="113">
        <v>2652530</v>
      </c>
      <c r="M181" s="113">
        <v>0</v>
      </c>
      <c r="N181" s="113">
        <v>0</v>
      </c>
      <c r="O181" s="113">
        <f t="shared" si="17"/>
        <v>2652530</v>
      </c>
      <c r="P181" s="113">
        <v>0</v>
      </c>
      <c r="Q181" s="114" t="e">
        <f t="shared" si="18"/>
        <v>#DIV/0!</v>
      </c>
      <c r="R181" s="115"/>
      <c r="S181" s="316">
        <v>43100</v>
      </c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</row>
    <row r="182" spans="1:30" customFormat="1" ht="15.6">
      <c r="A182" s="107">
        <f t="shared" si="16"/>
        <v>163</v>
      </c>
      <c r="B182" s="276" t="s">
        <v>356</v>
      </c>
      <c r="C182" s="108">
        <v>1974</v>
      </c>
      <c r="D182" s="108"/>
      <c r="E182" s="109" t="s">
        <v>219</v>
      </c>
      <c r="F182" s="110">
        <v>5</v>
      </c>
      <c r="G182" s="110">
        <v>6</v>
      </c>
      <c r="H182" s="111"/>
      <c r="I182" s="111"/>
      <c r="J182" s="111"/>
      <c r="K182" s="112"/>
      <c r="L182" s="113">
        <v>3645969</v>
      </c>
      <c r="M182" s="113">
        <v>0</v>
      </c>
      <c r="N182" s="113">
        <v>0</v>
      </c>
      <c r="O182" s="113">
        <f t="shared" si="17"/>
        <v>3645969</v>
      </c>
      <c r="P182" s="113">
        <v>0</v>
      </c>
      <c r="Q182" s="114" t="e">
        <f t="shared" si="18"/>
        <v>#DIV/0!</v>
      </c>
      <c r="R182" s="115"/>
      <c r="S182" s="316">
        <v>43100</v>
      </c>
    </row>
    <row r="183" spans="1:30" s="62" customFormat="1" ht="15.6">
      <c r="A183" s="107">
        <f t="shared" si="16"/>
        <v>164</v>
      </c>
      <c r="B183" s="276" t="s">
        <v>354</v>
      </c>
      <c r="C183" s="107">
        <v>1986</v>
      </c>
      <c r="D183" s="108"/>
      <c r="E183" s="109" t="s">
        <v>219</v>
      </c>
      <c r="F183" s="108">
        <v>9</v>
      </c>
      <c r="G183" s="108">
        <v>1</v>
      </c>
      <c r="H183" s="117"/>
      <c r="I183" s="117"/>
      <c r="J183" s="117"/>
      <c r="K183" s="101"/>
      <c r="L183" s="113">
        <v>771330</v>
      </c>
      <c r="M183" s="113">
        <v>0</v>
      </c>
      <c r="N183" s="113">
        <v>0</v>
      </c>
      <c r="O183" s="113">
        <f t="shared" si="17"/>
        <v>771330</v>
      </c>
      <c r="P183" s="113">
        <v>0</v>
      </c>
      <c r="Q183" s="114" t="e">
        <f t="shared" si="18"/>
        <v>#DIV/0!</v>
      </c>
      <c r="R183" s="115"/>
      <c r="S183" s="316">
        <v>43100</v>
      </c>
      <c r="T183"/>
      <c r="U183"/>
      <c r="V183"/>
      <c r="W183"/>
      <c r="X183"/>
      <c r="Y183"/>
      <c r="Z183"/>
      <c r="AA183"/>
      <c r="AB183"/>
      <c r="AC183"/>
      <c r="AD183"/>
    </row>
    <row r="184" spans="1:30" customFormat="1" ht="15.6">
      <c r="A184" s="107">
        <f t="shared" si="16"/>
        <v>165</v>
      </c>
      <c r="B184" s="275" t="s">
        <v>352</v>
      </c>
      <c r="C184" s="118">
        <v>1972</v>
      </c>
      <c r="D184" s="118"/>
      <c r="E184" s="109" t="s">
        <v>219</v>
      </c>
      <c r="F184" s="118">
        <v>9</v>
      </c>
      <c r="G184" s="118">
        <v>1</v>
      </c>
      <c r="H184" s="118"/>
      <c r="I184" s="118"/>
      <c r="J184" s="118"/>
      <c r="K184" s="119"/>
      <c r="L184" s="113">
        <v>1894719</v>
      </c>
      <c r="M184" s="113">
        <v>0</v>
      </c>
      <c r="N184" s="113">
        <v>0</v>
      </c>
      <c r="O184" s="113">
        <f t="shared" si="17"/>
        <v>1894719</v>
      </c>
      <c r="P184" s="113">
        <v>0</v>
      </c>
      <c r="Q184" s="114" t="e">
        <f t="shared" si="18"/>
        <v>#DIV/0!</v>
      </c>
      <c r="R184" s="115"/>
      <c r="S184" s="316">
        <v>43100</v>
      </c>
    </row>
    <row r="185" spans="1:30" customFormat="1" ht="31.2">
      <c r="A185" s="107">
        <f t="shared" si="16"/>
        <v>166</v>
      </c>
      <c r="B185" s="271" t="s">
        <v>355</v>
      </c>
      <c r="C185" s="107">
        <v>1964</v>
      </c>
      <c r="D185" s="108"/>
      <c r="E185" s="109" t="s">
        <v>218</v>
      </c>
      <c r="F185" s="108">
        <v>5</v>
      </c>
      <c r="G185" s="108">
        <v>3</v>
      </c>
      <c r="H185" s="117"/>
      <c r="I185" s="117"/>
      <c r="J185" s="117"/>
      <c r="K185" s="101"/>
      <c r="L185" s="113">
        <v>1492412</v>
      </c>
      <c r="M185" s="113">
        <v>0</v>
      </c>
      <c r="N185" s="113">
        <v>0</v>
      </c>
      <c r="O185" s="113">
        <f t="shared" si="17"/>
        <v>1492412</v>
      </c>
      <c r="P185" s="113">
        <v>0</v>
      </c>
      <c r="Q185" s="114" t="e">
        <f t="shared" si="18"/>
        <v>#DIV/0!</v>
      </c>
      <c r="R185" s="115"/>
      <c r="S185" s="316">
        <v>43100</v>
      </c>
    </row>
    <row r="186" spans="1:30" customFormat="1" ht="31.2">
      <c r="A186" s="107">
        <f t="shared" si="16"/>
        <v>167</v>
      </c>
      <c r="B186" s="262" t="s">
        <v>318</v>
      </c>
      <c r="C186" s="118">
        <v>1884</v>
      </c>
      <c r="D186" s="118"/>
      <c r="E186" s="109" t="s">
        <v>218</v>
      </c>
      <c r="F186" s="118">
        <v>2</v>
      </c>
      <c r="G186" s="118">
        <v>2</v>
      </c>
      <c r="H186" s="118"/>
      <c r="I186" s="118"/>
      <c r="J186" s="118"/>
      <c r="K186" s="119"/>
      <c r="L186" s="113">
        <v>651523.25</v>
      </c>
      <c r="M186" s="113">
        <v>0</v>
      </c>
      <c r="N186" s="113">
        <v>0</v>
      </c>
      <c r="O186" s="113">
        <f t="shared" si="17"/>
        <v>651523.25</v>
      </c>
      <c r="P186" s="113">
        <v>0</v>
      </c>
      <c r="Q186" s="114" t="e">
        <f t="shared" si="18"/>
        <v>#DIV/0!</v>
      </c>
      <c r="R186" s="115"/>
      <c r="S186" s="316">
        <v>43100</v>
      </c>
    </row>
    <row r="187" spans="1:30" customFormat="1" ht="15.6">
      <c r="A187" s="107">
        <f t="shared" si="16"/>
        <v>168</v>
      </c>
      <c r="B187" s="271" t="s">
        <v>353</v>
      </c>
      <c r="C187" s="118">
        <v>1948</v>
      </c>
      <c r="D187" s="118"/>
      <c r="E187" s="109" t="s">
        <v>220</v>
      </c>
      <c r="F187" s="118">
        <v>2</v>
      </c>
      <c r="G187" s="118">
        <v>2</v>
      </c>
      <c r="H187" s="118"/>
      <c r="I187" s="118"/>
      <c r="J187" s="118"/>
      <c r="K187" s="119"/>
      <c r="L187" s="113">
        <v>1221424.83</v>
      </c>
      <c r="M187" s="113">
        <v>0</v>
      </c>
      <c r="N187" s="113">
        <v>0</v>
      </c>
      <c r="O187" s="113">
        <f t="shared" si="17"/>
        <v>1221424.83</v>
      </c>
      <c r="P187" s="113">
        <v>0</v>
      </c>
      <c r="Q187" s="114" t="e">
        <f t="shared" si="18"/>
        <v>#DIV/0!</v>
      </c>
      <c r="R187" s="115"/>
      <c r="S187" s="316">
        <v>43100</v>
      </c>
    </row>
    <row r="188" spans="1:30" s="1" customFormat="1" ht="23.4" customHeight="1">
      <c r="A188" s="107"/>
      <c r="B188" s="1437" t="s">
        <v>91</v>
      </c>
      <c r="C188" s="1437"/>
      <c r="D188" s="1437"/>
      <c r="E188" s="1437"/>
      <c r="F188" s="1438"/>
      <c r="G188" s="1438"/>
      <c r="H188" s="891">
        <f t="shared" ref="H188:N188" si="19">SUM(H189:H204)</f>
        <v>25162</v>
      </c>
      <c r="I188" s="891">
        <f t="shared" si="19"/>
        <v>23147.800000000003</v>
      </c>
      <c r="J188" s="891">
        <f t="shared" si="19"/>
        <v>18031.420000000002</v>
      </c>
      <c r="K188" s="892">
        <f t="shared" si="19"/>
        <v>816</v>
      </c>
      <c r="L188" s="113">
        <f t="shared" si="19"/>
        <v>31255395.629999999</v>
      </c>
      <c r="M188" s="113">
        <f t="shared" si="19"/>
        <v>0</v>
      </c>
      <c r="N188" s="113">
        <f t="shared" si="19"/>
        <v>0</v>
      </c>
      <c r="O188" s="113">
        <f>SUM(O189:O204)</f>
        <v>31255395.629999999</v>
      </c>
      <c r="P188" s="113">
        <f t="shared" ref="P188" si="20">SUM(P189:P203)</f>
        <v>0</v>
      </c>
      <c r="Q188" s="106" t="s">
        <v>40</v>
      </c>
      <c r="R188" s="106" t="s">
        <v>40</v>
      </c>
      <c r="S188" s="316">
        <v>43100</v>
      </c>
    </row>
    <row r="189" spans="1:30" s="30" customFormat="1" ht="31.2">
      <c r="A189" s="107">
        <v>1</v>
      </c>
      <c r="B189" s="874" t="s">
        <v>927</v>
      </c>
      <c r="C189" s="108">
        <v>1962</v>
      </c>
      <c r="D189" s="108"/>
      <c r="E189" s="611" t="s">
        <v>218</v>
      </c>
      <c r="F189" s="893">
        <v>5</v>
      </c>
      <c r="G189" s="893">
        <v>4</v>
      </c>
      <c r="H189" s="893">
        <v>3005.3</v>
      </c>
      <c r="I189" s="893">
        <v>2844.5</v>
      </c>
      <c r="J189" s="893">
        <v>2525.6999999999998</v>
      </c>
      <c r="K189" s="893">
        <v>92</v>
      </c>
      <c r="L189" s="655">
        <f>O189</f>
        <v>3615424</v>
      </c>
      <c r="M189" s="113">
        <v>0</v>
      </c>
      <c r="N189" s="113">
        <v>0</v>
      </c>
      <c r="O189" s="113">
        <v>3615424</v>
      </c>
      <c r="P189" s="113">
        <v>0</v>
      </c>
      <c r="Q189" s="114">
        <f t="shared" ref="Q189:Q204" si="21">L189/I189</f>
        <v>1271.0226753383722</v>
      </c>
      <c r="R189" s="114">
        <v>7822</v>
      </c>
      <c r="S189" s="316">
        <v>43100</v>
      </c>
    </row>
    <row r="190" spans="1:30" s="30" customFormat="1" ht="31.2">
      <c r="A190" s="107">
        <f t="shared" si="16"/>
        <v>2</v>
      </c>
      <c r="B190" s="874" t="s">
        <v>928</v>
      </c>
      <c r="C190" s="108">
        <v>1992</v>
      </c>
      <c r="D190" s="108"/>
      <c r="E190" s="611" t="s">
        <v>218</v>
      </c>
      <c r="F190" s="893">
        <v>5</v>
      </c>
      <c r="G190" s="893">
        <v>7</v>
      </c>
      <c r="H190" s="893">
        <v>5555.6</v>
      </c>
      <c r="I190" s="893">
        <v>5004.6000000000004</v>
      </c>
      <c r="J190" s="893">
        <v>4087.1</v>
      </c>
      <c r="K190" s="893">
        <v>210</v>
      </c>
      <c r="L190" s="655">
        <f t="shared" ref="L190:L204" si="22">O190</f>
        <v>3435122.02</v>
      </c>
      <c r="M190" s="113">
        <v>0</v>
      </c>
      <c r="N190" s="113">
        <v>0</v>
      </c>
      <c r="O190" s="113">
        <v>3435122.02</v>
      </c>
      <c r="P190" s="113">
        <v>0</v>
      </c>
      <c r="Q190" s="114">
        <f t="shared" si="21"/>
        <v>686.39292251128961</v>
      </c>
      <c r="R190" s="114">
        <v>7822</v>
      </c>
      <c r="S190" s="316">
        <v>43100</v>
      </c>
    </row>
    <row r="191" spans="1:30" s="30" customFormat="1" ht="31.2">
      <c r="A191" s="107">
        <f t="shared" si="16"/>
        <v>3</v>
      </c>
      <c r="B191" s="874" t="s">
        <v>929</v>
      </c>
      <c r="C191" s="108">
        <v>1958</v>
      </c>
      <c r="D191" s="108"/>
      <c r="E191" s="611" t="s">
        <v>218</v>
      </c>
      <c r="F191" s="893">
        <v>2</v>
      </c>
      <c r="G191" s="893">
        <v>1</v>
      </c>
      <c r="H191" s="893">
        <v>498.8</v>
      </c>
      <c r="I191" s="893">
        <v>454.6</v>
      </c>
      <c r="J191" s="893">
        <v>454.6</v>
      </c>
      <c r="K191" s="893">
        <v>18</v>
      </c>
      <c r="L191" s="655">
        <f t="shared" si="22"/>
        <v>1525199</v>
      </c>
      <c r="M191" s="113">
        <v>0</v>
      </c>
      <c r="N191" s="113">
        <v>0</v>
      </c>
      <c r="O191" s="113">
        <v>1525199</v>
      </c>
      <c r="P191" s="113">
        <v>0</v>
      </c>
      <c r="Q191" s="114">
        <f t="shared" si="21"/>
        <v>3355.0351957765065</v>
      </c>
      <c r="R191" s="114">
        <v>7822</v>
      </c>
      <c r="S191" s="316">
        <v>43100</v>
      </c>
    </row>
    <row r="192" spans="1:30" s="30" customFormat="1" ht="31.2">
      <c r="A192" s="107">
        <f t="shared" si="16"/>
        <v>4</v>
      </c>
      <c r="B192" s="874" t="s">
        <v>930</v>
      </c>
      <c r="C192" s="107">
        <v>1956</v>
      </c>
      <c r="D192" s="270"/>
      <c r="E192" s="611" t="s">
        <v>218</v>
      </c>
      <c r="F192" s="893">
        <v>2</v>
      </c>
      <c r="G192" s="893">
        <v>3</v>
      </c>
      <c r="H192" s="893">
        <v>854.1</v>
      </c>
      <c r="I192" s="893">
        <v>811.6</v>
      </c>
      <c r="J192" s="893">
        <v>519.32000000000005</v>
      </c>
      <c r="K192" s="893">
        <v>28</v>
      </c>
      <c r="L192" s="655">
        <f t="shared" si="22"/>
        <v>2379167.9900000002</v>
      </c>
      <c r="M192" s="113">
        <v>0</v>
      </c>
      <c r="N192" s="113">
        <v>0</v>
      </c>
      <c r="O192" s="113">
        <v>2379167.9900000002</v>
      </c>
      <c r="P192" s="113">
        <v>0</v>
      </c>
      <c r="Q192" s="114">
        <f t="shared" si="21"/>
        <v>2931.4539058649584</v>
      </c>
      <c r="R192" s="114">
        <v>7822</v>
      </c>
      <c r="S192" s="316">
        <v>43100</v>
      </c>
    </row>
    <row r="193" spans="1:19" s="30" customFormat="1" ht="31.2">
      <c r="A193" s="107">
        <f t="shared" si="16"/>
        <v>5</v>
      </c>
      <c r="B193" s="874" t="s">
        <v>931</v>
      </c>
      <c r="C193" s="108">
        <v>1960</v>
      </c>
      <c r="D193" s="108"/>
      <c r="E193" s="611" t="s">
        <v>218</v>
      </c>
      <c r="F193" s="893">
        <v>3</v>
      </c>
      <c r="G193" s="893">
        <v>3</v>
      </c>
      <c r="H193" s="893">
        <v>1534.2</v>
      </c>
      <c r="I193" s="893">
        <v>1616.2</v>
      </c>
      <c r="J193" s="893">
        <v>1493.1</v>
      </c>
      <c r="K193" s="893">
        <v>47</v>
      </c>
      <c r="L193" s="655">
        <f t="shared" si="22"/>
        <v>2435193</v>
      </c>
      <c r="M193" s="113">
        <v>0</v>
      </c>
      <c r="N193" s="113">
        <v>0</v>
      </c>
      <c r="O193" s="113">
        <v>2435193</v>
      </c>
      <c r="P193" s="113">
        <v>0</v>
      </c>
      <c r="Q193" s="114">
        <f t="shared" si="21"/>
        <v>1506.7398836777627</v>
      </c>
      <c r="R193" s="114">
        <v>7822</v>
      </c>
      <c r="S193" s="316">
        <v>43100</v>
      </c>
    </row>
    <row r="194" spans="1:19" s="30" customFormat="1" ht="31.2">
      <c r="A194" s="107">
        <v>6</v>
      </c>
      <c r="B194" s="874" t="s">
        <v>932</v>
      </c>
      <c r="C194" s="108">
        <v>1936</v>
      </c>
      <c r="D194" s="108"/>
      <c r="E194" s="611" t="s">
        <v>218</v>
      </c>
      <c r="F194" s="893">
        <v>3</v>
      </c>
      <c r="G194" s="893">
        <v>4</v>
      </c>
      <c r="H194" s="893">
        <v>2389.4</v>
      </c>
      <c r="I194" s="893">
        <v>2172.1</v>
      </c>
      <c r="J194" s="893">
        <v>1560</v>
      </c>
      <c r="K194" s="893">
        <v>33</v>
      </c>
      <c r="L194" s="655">
        <f t="shared" si="22"/>
        <v>2705457.32</v>
      </c>
      <c r="M194" s="113">
        <v>0</v>
      </c>
      <c r="N194" s="113">
        <v>0</v>
      </c>
      <c r="O194" s="113">
        <v>2705457.32</v>
      </c>
      <c r="P194" s="113">
        <v>0</v>
      </c>
      <c r="Q194" s="114">
        <f t="shared" si="21"/>
        <v>1245.5491551954331</v>
      </c>
      <c r="R194" s="114">
        <v>7822</v>
      </c>
      <c r="S194" s="316">
        <v>43100</v>
      </c>
    </row>
    <row r="195" spans="1:19" s="30" customFormat="1" ht="31.2">
      <c r="A195" s="107">
        <v>7</v>
      </c>
      <c r="B195" s="874" t="s">
        <v>933</v>
      </c>
      <c r="C195" s="108">
        <v>1993</v>
      </c>
      <c r="D195" s="108"/>
      <c r="E195" s="611" t="s">
        <v>218</v>
      </c>
      <c r="F195" s="893">
        <v>3</v>
      </c>
      <c r="G195" s="893">
        <v>2</v>
      </c>
      <c r="H195" s="893">
        <v>870</v>
      </c>
      <c r="I195" s="893">
        <v>845.5</v>
      </c>
      <c r="J195" s="893">
        <v>799.3</v>
      </c>
      <c r="K195" s="893">
        <v>32</v>
      </c>
      <c r="L195" s="655">
        <f t="shared" si="22"/>
        <v>954408.5</v>
      </c>
      <c r="M195" s="113">
        <v>0</v>
      </c>
      <c r="N195" s="113">
        <v>0</v>
      </c>
      <c r="O195" s="113">
        <v>954408.5</v>
      </c>
      <c r="P195" s="113">
        <v>0</v>
      </c>
      <c r="Q195" s="114">
        <f t="shared" si="21"/>
        <v>1128.8095801301006</v>
      </c>
      <c r="R195" s="114">
        <v>7822</v>
      </c>
      <c r="S195" s="316">
        <v>43100</v>
      </c>
    </row>
    <row r="196" spans="1:19" s="30" customFormat="1" ht="31.2">
      <c r="A196" s="107">
        <v>8</v>
      </c>
      <c r="B196" s="874" t="s">
        <v>934</v>
      </c>
      <c r="C196" s="108">
        <v>1917</v>
      </c>
      <c r="D196" s="108"/>
      <c r="E196" s="611" t="s">
        <v>218</v>
      </c>
      <c r="F196" s="893">
        <v>3</v>
      </c>
      <c r="G196" s="893">
        <v>1</v>
      </c>
      <c r="H196" s="893">
        <v>978.9</v>
      </c>
      <c r="I196" s="893">
        <v>900.2</v>
      </c>
      <c r="J196" s="893">
        <v>229.3</v>
      </c>
      <c r="K196" s="893">
        <v>10</v>
      </c>
      <c r="L196" s="655">
        <f t="shared" si="22"/>
        <v>2430125</v>
      </c>
      <c r="M196" s="113">
        <v>0</v>
      </c>
      <c r="N196" s="113">
        <v>0</v>
      </c>
      <c r="O196" s="113">
        <v>2430125</v>
      </c>
      <c r="P196" s="113">
        <v>0</v>
      </c>
      <c r="Q196" s="114">
        <f t="shared" si="21"/>
        <v>2699.5389913352587</v>
      </c>
      <c r="R196" s="114">
        <v>7822</v>
      </c>
      <c r="S196" s="316">
        <v>43100</v>
      </c>
    </row>
    <row r="197" spans="1:19" s="30" customFormat="1" ht="31.2">
      <c r="A197" s="107">
        <v>9</v>
      </c>
      <c r="B197" s="874" t="s">
        <v>935</v>
      </c>
      <c r="C197" s="108">
        <v>1917</v>
      </c>
      <c r="D197" s="108"/>
      <c r="E197" s="611" t="s">
        <v>218</v>
      </c>
      <c r="F197" s="893">
        <v>3</v>
      </c>
      <c r="G197" s="893">
        <v>3</v>
      </c>
      <c r="H197" s="893">
        <v>2020.3</v>
      </c>
      <c r="I197" s="893">
        <v>1816.9</v>
      </c>
      <c r="J197" s="893">
        <v>1314.2</v>
      </c>
      <c r="K197" s="893">
        <v>47</v>
      </c>
      <c r="L197" s="655">
        <f t="shared" si="22"/>
        <v>2505651</v>
      </c>
      <c r="M197" s="113">
        <v>0</v>
      </c>
      <c r="N197" s="113">
        <v>0</v>
      </c>
      <c r="O197" s="113">
        <v>2505651</v>
      </c>
      <c r="P197" s="113">
        <v>0</v>
      </c>
      <c r="Q197" s="114">
        <f t="shared" si="21"/>
        <v>1379.0803016126367</v>
      </c>
      <c r="R197" s="114">
        <v>7822</v>
      </c>
      <c r="S197" s="316">
        <v>43100</v>
      </c>
    </row>
    <row r="198" spans="1:19" s="30" customFormat="1" ht="31.2">
      <c r="A198" s="107">
        <v>10</v>
      </c>
      <c r="B198" s="874" t="s">
        <v>936</v>
      </c>
      <c r="C198" s="108">
        <v>1961</v>
      </c>
      <c r="D198" s="108"/>
      <c r="E198" s="611" t="s">
        <v>218</v>
      </c>
      <c r="F198" s="893">
        <v>3</v>
      </c>
      <c r="G198" s="893">
        <v>2</v>
      </c>
      <c r="H198" s="893">
        <v>942.6</v>
      </c>
      <c r="I198" s="893">
        <v>942.6</v>
      </c>
      <c r="J198" s="893">
        <v>623.9</v>
      </c>
      <c r="K198" s="893">
        <v>34</v>
      </c>
      <c r="L198" s="655">
        <f t="shared" si="22"/>
        <v>1546987</v>
      </c>
      <c r="M198" s="113">
        <v>0</v>
      </c>
      <c r="N198" s="113">
        <v>0</v>
      </c>
      <c r="O198" s="113">
        <v>1546987</v>
      </c>
      <c r="P198" s="113">
        <v>0</v>
      </c>
      <c r="Q198" s="114">
        <f t="shared" si="21"/>
        <v>1641.1913855293867</v>
      </c>
      <c r="R198" s="114">
        <v>7822</v>
      </c>
      <c r="S198" s="316">
        <v>43100</v>
      </c>
    </row>
    <row r="199" spans="1:19" s="30" customFormat="1" ht="31.2">
      <c r="A199" s="107">
        <v>11</v>
      </c>
      <c r="B199" s="874" t="s">
        <v>937</v>
      </c>
      <c r="C199" s="108">
        <v>1961</v>
      </c>
      <c r="D199" s="108"/>
      <c r="E199" s="611" t="s">
        <v>218</v>
      </c>
      <c r="F199" s="893">
        <v>2</v>
      </c>
      <c r="G199" s="893">
        <v>1</v>
      </c>
      <c r="H199" s="893">
        <v>344.2</v>
      </c>
      <c r="I199" s="893">
        <v>314.5</v>
      </c>
      <c r="J199" s="893">
        <v>268.10000000000002</v>
      </c>
      <c r="K199" s="893">
        <v>15</v>
      </c>
      <c r="L199" s="655">
        <f t="shared" si="22"/>
        <v>709600</v>
      </c>
      <c r="M199" s="113">
        <v>0</v>
      </c>
      <c r="N199" s="113">
        <v>0</v>
      </c>
      <c r="O199" s="113">
        <v>709600</v>
      </c>
      <c r="P199" s="113">
        <v>0</v>
      </c>
      <c r="Q199" s="114">
        <f t="shared" si="21"/>
        <v>2256.2798092209855</v>
      </c>
      <c r="R199" s="114">
        <v>7822</v>
      </c>
      <c r="S199" s="316">
        <v>43100</v>
      </c>
    </row>
    <row r="200" spans="1:19" s="30" customFormat="1" ht="27" customHeight="1">
      <c r="A200" s="107">
        <v>12</v>
      </c>
      <c r="B200" s="874" t="s">
        <v>938</v>
      </c>
      <c r="C200" s="108">
        <v>1923</v>
      </c>
      <c r="D200" s="108"/>
      <c r="E200" s="611" t="s">
        <v>221</v>
      </c>
      <c r="F200" s="893">
        <v>2</v>
      </c>
      <c r="G200" s="893">
        <v>1</v>
      </c>
      <c r="H200" s="893">
        <v>194.8</v>
      </c>
      <c r="I200" s="893">
        <v>194</v>
      </c>
      <c r="J200" s="893">
        <v>115.7</v>
      </c>
      <c r="K200" s="893">
        <v>16</v>
      </c>
      <c r="L200" s="655">
        <f t="shared" si="22"/>
        <v>446509</v>
      </c>
      <c r="M200" s="113">
        <v>0</v>
      </c>
      <c r="N200" s="113">
        <v>0</v>
      </c>
      <c r="O200" s="113">
        <v>446509</v>
      </c>
      <c r="P200" s="113">
        <v>0</v>
      </c>
      <c r="Q200" s="114">
        <f t="shared" si="21"/>
        <v>2301.5927835051548</v>
      </c>
      <c r="R200" s="114">
        <v>7822</v>
      </c>
      <c r="S200" s="316">
        <v>43100</v>
      </c>
    </row>
    <row r="201" spans="1:19" s="30" customFormat="1" ht="31.2">
      <c r="A201" s="107">
        <v>13</v>
      </c>
      <c r="B201" s="941" t="s">
        <v>413</v>
      </c>
      <c r="C201" s="108">
        <v>1953</v>
      </c>
      <c r="D201" s="108"/>
      <c r="E201" s="611" t="s">
        <v>218</v>
      </c>
      <c r="F201" s="893">
        <v>2</v>
      </c>
      <c r="G201" s="893">
        <v>1</v>
      </c>
      <c r="H201" s="893">
        <v>518</v>
      </c>
      <c r="I201" s="893">
        <v>483.4</v>
      </c>
      <c r="J201" s="893">
        <v>403.7</v>
      </c>
      <c r="K201" s="893">
        <v>34</v>
      </c>
      <c r="L201" s="655">
        <f t="shared" si="22"/>
        <v>1205824</v>
      </c>
      <c r="M201" s="113">
        <v>0</v>
      </c>
      <c r="N201" s="113">
        <v>0</v>
      </c>
      <c r="O201" s="113">
        <v>1205824</v>
      </c>
      <c r="P201" s="113">
        <v>0</v>
      </c>
      <c r="Q201" s="114">
        <f t="shared" si="21"/>
        <v>2494.4642118328507</v>
      </c>
      <c r="R201" s="114">
        <v>7822</v>
      </c>
      <c r="S201" s="316">
        <v>43100</v>
      </c>
    </row>
    <row r="202" spans="1:19" s="30" customFormat="1" ht="31.2">
      <c r="A202" s="107">
        <v>14</v>
      </c>
      <c r="B202" s="874" t="s">
        <v>939</v>
      </c>
      <c r="C202" s="108">
        <v>1960</v>
      </c>
      <c r="D202" s="108"/>
      <c r="E202" s="611" t="s">
        <v>218</v>
      </c>
      <c r="F202" s="893">
        <v>2</v>
      </c>
      <c r="G202" s="893">
        <v>2</v>
      </c>
      <c r="H202" s="893">
        <v>312.8</v>
      </c>
      <c r="I202" s="893">
        <v>300</v>
      </c>
      <c r="J202" s="893">
        <v>44.5</v>
      </c>
      <c r="K202" s="893">
        <v>11</v>
      </c>
      <c r="L202" s="655">
        <f t="shared" si="22"/>
        <v>818595.8</v>
      </c>
      <c r="M202" s="113">
        <v>0</v>
      </c>
      <c r="N202" s="113">
        <v>0</v>
      </c>
      <c r="O202" s="113">
        <v>818595.8</v>
      </c>
      <c r="P202" s="113">
        <v>0</v>
      </c>
      <c r="Q202" s="114">
        <f t="shared" si="21"/>
        <v>2728.6526666666668</v>
      </c>
      <c r="R202" s="114">
        <v>7822</v>
      </c>
      <c r="S202" s="316">
        <v>43100</v>
      </c>
    </row>
    <row r="203" spans="1:19" s="30" customFormat="1" ht="31.2">
      <c r="A203" s="107">
        <f t="shared" si="16"/>
        <v>15</v>
      </c>
      <c r="B203" s="874" t="s">
        <v>940</v>
      </c>
      <c r="C203" s="108">
        <v>1983</v>
      </c>
      <c r="D203" s="108"/>
      <c r="E203" s="611" t="s">
        <v>834</v>
      </c>
      <c r="F203" s="893">
        <v>5</v>
      </c>
      <c r="G203" s="893">
        <v>2</v>
      </c>
      <c r="H203" s="893">
        <v>4292.2</v>
      </c>
      <c r="I203" s="893">
        <v>3595.1</v>
      </c>
      <c r="J203" s="893">
        <v>2978.5</v>
      </c>
      <c r="K203" s="893">
        <v>170</v>
      </c>
      <c r="L203" s="655">
        <f t="shared" si="22"/>
        <v>2707283</v>
      </c>
      <c r="M203" s="113">
        <v>0</v>
      </c>
      <c r="N203" s="113">
        <v>0</v>
      </c>
      <c r="O203" s="113">
        <v>2707283</v>
      </c>
      <c r="P203" s="113">
        <v>0</v>
      </c>
      <c r="Q203" s="114">
        <f t="shared" si="21"/>
        <v>753.04803760674258</v>
      </c>
      <c r="R203" s="114">
        <v>7822</v>
      </c>
      <c r="S203" s="316">
        <v>43100</v>
      </c>
    </row>
    <row r="204" spans="1:19" s="30" customFormat="1" ht="31.2">
      <c r="A204" s="107">
        <f t="shared" si="16"/>
        <v>16</v>
      </c>
      <c r="B204" s="874" t="s">
        <v>941</v>
      </c>
      <c r="C204" s="108">
        <v>1961</v>
      </c>
      <c r="D204" s="108"/>
      <c r="E204" s="611" t="s">
        <v>218</v>
      </c>
      <c r="F204" s="893">
        <v>2</v>
      </c>
      <c r="G204" s="893">
        <v>2</v>
      </c>
      <c r="H204" s="893">
        <v>850.8</v>
      </c>
      <c r="I204" s="893">
        <v>852</v>
      </c>
      <c r="J204" s="893">
        <v>614.4</v>
      </c>
      <c r="K204" s="893">
        <v>19</v>
      </c>
      <c r="L204" s="655">
        <f t="shared" si="22"/>
        <v>1834849</v>
      </c>
      <c r="M204" s="113">
        <v>0</v>
      </c>
      <c r="N204" s="113">
        <v>0</v>
      </c>
      <c r="O204" s="113">
        <v>1834849</v>
      </c>
      <c r="P204" s="113">
        <v>0</v>
      </c>
      <c r="Q204" s="114">
        <f t="shared" si="21"/>
        <v>2153.5786384976527</v>
      </c>
      <c r="R204" s="114">
        <v>7822</v>
      </c>
      <c r="S204" s="316">
        <v>43100</v>
      </c>
    </row>
    <row r="205" spans="1:19" s="30" customFormat="1" ht="24.6" customHeight="1">
      <c r="A205" s="308"/>
      <c r="B205" s="1433" t="s">
        <v>92</v>
      </c>
      <c r="C205" s="1433"/>
      <c r="D205" s="1433"/>
      <c r="E205" s="1433"/>
      <c r="F205" s="1434"/>
      <c r="G205" s="1434"/>
      <c r="H205" s="898">
        <f>H206</f>
        <v>432.8</v>
      </c>
      <c r="I205" s="899">
        <f t="shared" ref="I205:P205" si="23">I206</f>
        <v>396.8</v>
      </c>
      <c r="J205" s="899">
        <f t="shared" si="23"/>
        <v>245.1</v>
      </c>
      <c r="K205" s="900">
        <f t="shared" si="23"/>
        <v>27</v>
      </c>
      <c r="L205" s="314">
        <f t="shared" si="23"/>
        <v>366350</v>
      </c>
      <c r="M205" s="314">
        <f t="shared" si="23"/>
        <v>0</v>
      </c>
      <c r="N205" s="314">
        <f t="shared" si="23"/>
        <v>0</v>
      </c>
      <c r="O205" s="314">
        <f t="shared" si="23"/>
        <v>366350</v>
      </c>
      <c r="P205" s="314">
        <f t="shared" si="23"/>
        <v>0</v>
      </c>
      <c r="Q205" s="315" t="s">
        <v>40</v>
      </c>
      <c r="R205" s="901" t="s">
        <v>40</v>
      </c>
      <c r="S205" s="316">
        <v>43100</v>
      </c>
    </row>
    <row r="206" spans="1:19" s="1" customFormat="1" ht="25.95" customHeight="1">
      <c r="A206" s="308">
        <v>1</v>
      </c>
      <c r="B206" s="888" t="s">
        <v>645</v>
      </c>
      <c r="C206" s="387">
        <v>1953</v>
      </c>
      <c r="D206" s="387"/>
      <c r="E206" s="311" t="s">
        <v>646</v>
      </c>
      <c r="F206" s="387">
        <v>2</v>
      </c>
      <c r="G206" s="387">
        <v>1</v>
      </c>
      <c r="H206" s="388">
        <v>432.8</v>
      </c>
      <c r="I206" s="387">
        <v>396.8</v>
      </c>
      <c r="J206" s="387">
        <v>245.1</v>
      </c>
      <c r="K206" s="390">
        <v>27</v>
      </c>
      <c r="L206" s="314">
        <v>366350</v>
      </c>
      <c r="M206" s="314">
        <v>0</v>
      </c>
      <c r="N206" s="314">
        <v>0</v>
      </c>
      <c r="O206" s="314">
        <v>366350</v>
      </c>
      <c r="P206" s="314">
        <v>0</v>
      </c>
      <c r="Q206" s="391">
        <f>L206/I206</f>
        <v>923.26108870967744</v>
      </c>
      <c r="R206" s="315">
        <v>7822</v>
      </c>
      <c r="S206" s="316">
        <v>43100</v>
      </c>
    </row>
    <row r="207" spans="1:19" s="1" customFormat="1" ht="19.2" customHeight="1">
      <c r="A207" s="308"/>
      <c r="B207" s="1438" t="s">
        <v>93</v>
      </c>
      <c r="C207" s="1437"/>
      <c r="D207" s="1437"/>
      <c r="E207" s="1437"/>
      <c r="F207" s="1438"/>
      <c r="G207" s="1438"/>
      <c r="H207" s="681">
        <f>SUM(H208:H219)</f>
        <v>19486.900000000001</v>
      </c>
      <c r="I207" s="681">
        <f t="shared" ref="I207:P207" si="24">SUM(I208:I219)</f>
        <v>16904.800000000003</v>
      </c>
      <c r="J207" s="681">
        <f t="shared" si="24"/>
        <v>11753.659999999998</v>
      </c>
      <c r="K207" s="681">
        <f t="shared" si="24"/>
        <v>669</v>
      </c>
      <c r="L207" s="693">
        <f t="shared" si="24"/>
        <v>31146002</v>
      </c>
      <c r="M207" s="693">
        <f t="shared" si="24"/>
        <v>0</v>
      </c>
      <c r="N207" s="693">
        <f t="shared" si="24"/>
        <v>0</v>
      </c>
      <c r="O207" s="693">
        <f t="shared" si="24"/>
        <v>31146002</v>
      </c>
      <c r="P207" s="693">
        <f t="shared" si="24"/>
        <v>0</v>
      </c>
      <c r="Q207" s="350" t="s">
        <v>40</v>
      </c>
      <c r="R207" s="350" t="s">
        <v>40</v>
      </c>
      <c r="S207" s="316">
        <v>43100</v>
      </c>
    </row>
    <row r="208" spans="1:19" s="1" customFormat="1" ht="31.2">
      <c r="A208" s="682">
        <v>2</v>
      </c>
      <c r="B208" s="683" t="s">
        <v>778</v>
      </c>
      <c r="C208" s="684">
        <v>1961</v>
      </c>
      <c r="D208" s="346"/>
      <c r="E208" s="685" t="s">
        <v>218</v>
      </c>
      <c r="F208" s="430">
        <v>2</v>
      </c>
      <c r="G208" s="430">
        <v>2</v>
      </c>
      <c r="H208" s="430">
        <v>592.29999999999995</v>
      </c>
      <c r="I208" s="430">
        <v>550.9</v>
      </c>
      <c r="J208" s="430">
        <v>313.7</v>
      </c>
      <c r="K208" s="430">
        <v>27</v>
      </c>
      <c r="L208" s="686">
        <v>2706084</v>
      </c>
      <c r="M208" s="687">
        <v>0</v>
      </c>
      <c r="N208" s="314">
        <v>0</v>
      </c>
      <c r="O208" s="314">
        <f t="shared" ref="O208:O219" si="25">L208</f>
        <v>2706084</v>
      </c>
      <c r="P208" s="314">
        <v>0</v>
      </c>
      <c r="Q208" s="350">
        <f>L208/I208</f>
        <v>4912.1147213650393</v>
      </c>
      <c r="R208" s="315">
        <v>7822</v>
      </c>
      <c r="S208" s="316">
        <v>43100</v>
      </c>
    </row>
    <row r="209" spans="1:62" s="1" customFormat="1" ht="15.6">
      <c r="A209" s="682">
        <v>3</v>
      </c>
      <c r="B209" s="683" t="s">
        <v>779</v>
      </c>
      <c r="C209" s="684">
        <v>1962</v>
      </c>
      <c r="D209" s="346"/>
      <c r="E209" s="685" t="s">
        <v>220</v>
      </c>
      <c r="F209" s="430">
        <v>2</v>
      </c>
      <c r="G209" s="430">
        <v>2</v>
      </c>
      <c r="H209" s="430">
        <v>502.5</v>
      </c>
      <c r="I209" s="430">
        <v>442.1</v>
      </c>
      <c r="J209" s="430">
        <v>280.57</v>
      </c>
      <c r="K209" s="430">
        <v>25</v>
      </c>
      <c r="L209" s="686">
        <v>1419136</v>
      </c>
      <c r="M209" s="687">
        <v>0</v>
      </c>
      <c r="N209" s="314">
        <v>0</v>
      </c>
      <c r="O209" s="314">
        <f t="shared" si="25"/>
        <v>1419136</v>
      </c>
      <c r="P209" s="314">
        <v>0</v>
      </c>
      <c r="Q209" s="350">
        <f>L209/I209</f>
        <v>3209.9886903415513</v>
      </c>
      <c r="R209" s="315">
        <v>7822</v>
      </c>
      <c r="S209" s="316">
        <v>43100</v>
      </c>
    </row>
    <row r="210" spans="1:62" s="1" customFormat="1" ht="31.2">
      <c r="A210" s="682">
        <f t="shared" si="16"/>
        <v>4</v>
      </c>
      <c r="B210" s="683" t="s">
        <v>780</v>
      </c>
      <c r="C210" s="684">
        <v>1958</v>
      </c>
      <c r="D210" s="346"/>
      <c r="E210" s="685" t="s">
        <v>218</v>
      </c>
      <c r="F210" s="430">
        <v>2</v>
      </c>
      <c r="G210" s="430">
        <v>2</v>
      </c>
      <c r="H210" s="430">
        <v>1345.8</v>
      </c>
      <c r="I210" s="430">
        <v>1345.8</v>
      </c>
      <c r="J210" s="430">
        <v>720.55</v>
      </c>
      <c r="K210" s="430">
        <v>34</v>
      </c>
      <c r="L210" s="686">
        <v>3552093</v>
      </c>
      <c r="M210" s="687">
        <v>0</v>
      </c>
      <c r="N210" s="314">
        <v>0</v>
      </c>
      <c r="O210" s="314">
        <f t="shared" si="25"/>
        <v>3552093</v>
      </c>
      <c r="P210" s="314">
        <v>0</v>
      </c>
      <c r="Q210" s="350">
        <f t="shared" ref="Q210:Q219" si="26">L210/I210</f>
        <v>2639.3914400356666</v>
      </c>
      <c r="R210" s="315">
        <v>7822</v>
      </c>
      <c r="S210" s="316">
        <v>43100</v>
      </c>
    </row>
    <row r="211" spans="1:62" s="1" customFormat="1" ht="31.2">
      <c r="A211" s="682">
        <f t="shared" si="16"/>
        <v>5</v>
      </c>
      <c r="B211" s="683" t="s">
        <v>781</v>
      </c>
      <c r="C211" s="684">
        <v>1917</v>
      </c>
      <c r="D211" s="346"/>
      <c r="E211" s="685" t="s">
        <v>218</v>
      </c>
      <c r="F211" s="430">
        <v>3</v>
      </c>
      <c r="G211" s="430">
        <v>1</v>
      </c>
      <c r="H211" s="430">
        <v>766.5</v>
      </c>
      <c r="I211" s="430">
        <v>707.4</v>
      </c>
      <c r="J211" s="430">
        <v>344.9</v>
      </c>
      <c r="K211" s="430">
        <v>23</v>
      </c>
      <c r="L211" s="686">
        <v>2154879</v>
      </c>
      <c r="M211" s="687">
        <v>0</v>
      </c>
      <c r="N211" s="314">
        <v>0</v>
      </c>
      <c r="O211" s="314">
        <f t="shared" si="25"/>
        <v>2154879</v>
      </c>
      <c r="P211" s="314">
        <v>0</v>
      </c>
      <c r="Q211" s="350">
        <f t="shared" si="26"/>
        <v>3046.1959287531809</v>
      </c>
      <c r="R211" s="315">
        <v>7822</v>
      </c>
      <c r="S211" s="316">
        <v>43100</v>
      </c>
    </row>
    <row r="212" spans="1:62" s="1" customFormat="1" ht="31.2">
      <c r="A212" s="682">
        <f t="shared" si="16"/>
        <v>6</v>
      </c>
      <c r="B212" s="683" t="s">
        <v>782</v>
      </c>
      <c r="C212" s="684">
        <v>1965</v>
      </c>
      <c r="D212" s="346"/>
      <c r="E212" s="685" t="s">
        <v>218</v>
      </c>
      <c r="F212" s="430">
        <v>2</v>
      </c>
      <c r="G212" s="430">
        <v>3</v>
      </c>
      <c r="H212" s="430">
        <v>870.1</v>
      </c>
      <c r="I212" s="430">
        <v>670.2</v>
      </c>
      <c r="J212" s="430">
        <v>552.89</v>
      </c>
      <c r="K212" s="430">
        <v>26</v>
      </c>
      <c r="L212" s="686">
        <v>4352566</v>
      </c>
      <c r="M212" s="687">
        <v>0</v>
      </c>
      <c r="N212" s="314">
        <v>0</v>
      </c>
      <c r="O212" s="314">
        <f t="shared" si="25"/>
        <v>4352566</v>
      </c>
      <c r="P212" s="314">
        <v>0</v>
      </c>
      <c r="Q212" s="350">
        <f t="shared" si="26"/>
        <v>6494.4285287973735</v>
      </c>
      <c r="R212" s="315">
        <v>7822</v>
      </c>
      <c r="S212" s="316">
        <v>43100</v>
      </c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</row>
    <row r="213" spans="1:62" s="1" customFormat="1" ht="31.2">
      <c r="A213" s="682">
        <v>6</v>
      </c>
      <c r="B213" s="683" t="s">
        <v>783</v>
      </c>
      <c r="C213" s="684">
        <v>1917</v>
      </c>
      <c r="D213" s="346"/>
      <c r="E213" s="685" t="s">
        <v>218</v>
      </c>
      <c r="F213" s="430">
        <v>3</v>
      </c>
      <c r="G213" s="430">
        <v>1</v>
      </c>
      <c r="H213" s="430">
        <v>438.3</v>
      </c>
      <c r="I213" s="430">
        <v>438.3</v>
      </c>
      <c r="J213" s="430">
        <v>266.39</v>
      </c>
      <c r="K213" s="430">
        <v>21</v>
      </c>
      <c r="L213" s="686">
        <v>1202127</v>
      </c>
      <c r="M213" s="687">
        <v>0</v>
      </c>
      <c r="N213" s="314">
        <v>0</v>
      </c>
      <c r="O213" s="314">
        <f t="shared" si="25"/>
        <v>1202127</v>
      </c>
      <c r="P213" s="314">
        <v>0</v>
      </c>
      <c r="Q213" s="350">
        <f t="shared" si="26"/>
        <v>2742.7036276522927</v>
      </c>
      <c r="R213" s="315">
        <v>7822</v>
      </c>
      <c r="S213" s="316">
        <v>43100</v>
      </c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</row>
    <row r="214" spans="1:62" s="1" customFormat="1" ht="31.2">
      <c r="A214" s="682">
        <f t="shared" si="16"/>
        <v>7</v>
      </c>
      <c r="B214" s="683" t="s">
        <v>775</v>
      </c>
      <c r="C214" s="684">
        <v>1977</v>
      </c>
      <c r="D214" s="346"/>
      <c r="E214" s="685" t="s">
        <v>218</v>
      </c>
      <c r="F214" s="430">
        <v>5</v>
      </c>
      <c r="G214" s="430">
        <v>4</v>
      </c>
      <c r="H214" s="430">
        <v>3655</v>
      </c>
      <c r="I214" s="430">
        <v>3655</v>
      </c>
      <c r="J214" s="430">
        <v>2511.63</v>
      </c>
      <c r="K214" s="430">
        <v>170</v>
      </c>
      <c r="L214" s="686">
        <v>3401733</v>
      </c>
      <c r="M214" s="687">
        <v>0</v>
      </c>
      <c r="N214" s="314">
        <v>0</v>
      </c>
      <c r="O214" s="314">
        <f t="shared" si="25"/>
        <v>3401733</v>
      </c>
      <c r="P214" s="314">
        <v>0</v>
      </c>
      <c r="Q214" s="350">
        <f t="shared" si="26"/>
        <v>930.70670314637482</v>
      </c>
      <c r="R214" s="315">
        <v>7822</v>
      </c>
      <c r="S214" s="316">
        <v>43100</v>
      </c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</row>
    <row r="215" spans="1:62" s="1" customFormat="1" ht="31.2">
      <c r="A215" s="682">
        <f t="shared" si="16"/>
        <v>8</v>
      </c>
      <c r="B215" s="683" t="s">
        <v>784</v>
      </c>
      <c r="C215" s="684">
        <v>1963</v>
      </c>
      <c r="D215" s="346"/>
      <c r="E215" s="685" t="s">
        <v>218</v>
      </c>
      <c r="F215" s="430">
        <v>2</v>
      </c>
      <c r="G215" s="430">
        <v>1</v>
      </c>
      <c r="H215" s="430">
        <v>719.8</v>
      </c>
      <c r="I215" s="430">
        <v>461.7</v>
      </c>
      <c r="J215" s="430">
        <v>107.4</v>
      </c>
      <c r="K215" s="430">
        <v>46</v>
      </c>
      <c r="L215" s="686">
        <v>1763431</v>
      </c>
      <c r="M215" s="687">
        <v>0</v>
      </c>
      <c r="N215" s="314">
        <v>0</v>
      </c>
      <c r="O215" s="314">
        <f t="shared" si="25"/>
        <v>1763431</v>
      </c>
      <c r="P215" s="314">
        <v>0</v>
      </c>
      <c r="Q215" s="350">
        <f t="shared" si="26"/>
        <v>3819.4303660385531</v>
      </c>
      <c r="R215" s="315">
        <v>7822</v>
      </c>
      <c r="S215" s="316">
        <v>43100</v>
      </c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</row>
    <row r="216" spans="1:62" s="1" customFormat="1" ht="15.6">
      <c r="A216" s="682">
        <f t="shared" si="16"/>
        <v>9</v>
      </c>
      <c r="B216" s="683" t="s">
        <v>776</v>
      </c>
      <c r="C216" s="684">
        <v>1977</v>
      </c>
      <c r="D216" s="346"/>
      <c r="E216" s="685" t="s">
        <v>220</v>
      </c>
      <c r="F216" s="430">
        <v>5</v>
      </c>
      <c r="G216" s="430">
        <v>4</v>
      </c>
      <c r="H216" s="430">
        <v>3209.1</v>
      </c>
      <c r="I216" s="430">
        <v>2125.9</v>
      </c>
      <c r="J216" s="430">
        <v>1811.3</v>
      </c>
      <c r="K216" s="430">
        <v>101</v>
      </c>
      <c r="L216" s="686">
        <v>2572091</v>
      </c>
      <c r="M216" s="687">
        <v>0</v>
      </c>
      <c r="N216" s="314">
        <v>0</v>
      </c>
      <c r="O216" s="314">
        <f t="shared" si="25"/>
        <v>2572091</v>
      </c>
      <c r="P216" s="314">
        <v>0</v>
      </c>
      <c r="Q216" s="350">
        <f t="shared" si="26"/>
        <v>1209.8833435250951</v>
      </c>
      <c r="R216" s="315">
        <v>7822</v>
      </c>
      <c r="S216" s="316">
        <v>43100</v>
      </c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</row>
    <row r="217" spans="1:62" s="1" customFormat="1" ht="15.6">
      <c r="A217" s="682">
        <f t="shared" si="16"/>
        <v>10</v>
      </c>
      <c r="B217" s="683" t="s">
        <v>785</v>
      </c>
      <c r="C217" s="684">
        <v>1974</v>
      </c>
      <c r="D217" s="346"/>
      <c r="E217" s="685" t="s">
        <v>219</v>
      </c>
      <c r="F217" s="430">
        <v>5</v>
      </c>
      <c r="G217" s="430">
        <v>5</v>
      </c>
      <c r="H217" s="430">
        <v>3970.6</v>
      </c>
      <c r="I217" s="430">
        <v>3970.6</v>
      </c>
      <c r="J217" s="430">
        <v>2778.35</v>
      </c>
      <c r="K217" s="430">
        <v>121</v>
      </c>
      <c r="L217" s="686">
        <v>2660626</v>
      </c>
      <c r="M217" s="687">
        <v>0</v>
      </c>
      <c r="N217" s="314">
        <v>0</v>
      </c>
      <c r="O217" s="314">
        <f t="shared" si="25"/>
        <v>2660626</v>
      </c>
      <c r="P217" s="314">
        <v>0</v>
      </c>
      <c r="Q217" s="350">
        <f t="shared" si="26"/>
        <v>670.08159975822298</v>
      </c>
      <c r="R217" s="315">
        <v>7822</v>
      </c>
      <c r="S217" s="316">
        <v>43100</v>
      </c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</row>
    <row r="218" spans="1:62" s="1" customFormat="1" ht="31.2">
      <c r="A218" s="682">
        <f t="shared" si="16"/>
        <v>11</v>
      </c>
      <c r="B218" s="683" t="s">
        <v>786</v>
      </c>
      <c r="C218" s="684">
        <v>1959</v>
      </c>
      <c r="D218" s="346"/>
      <c r="E218" s="685" t="s">
        <v>218</v>
      </c>
      <c r="F218" s="430">
        <v>2</v>
      </c>
      <c r="G218" s="430">
        <v>2</v>
      </c>
      <c r="H218" s="430">
        <v>592</v>
      </c>
      <c r="I218" s="430">
        <v>545.20000000000005</v>
      </c>
      <c r="J218" s="430">
        <v>344.48</v>
      </c>
      <c r="K218" s="430">
        <v>32</v>
      </c>
      <c r="L218" s="686">
        <v>1458499</v>
      </c>
      <c r="M218" s="687">
        <v>0</v>
      </c>
      <c r="N218" s="314">
        <v>0</v>
      </c>
      <c r="O218" s="314">
        <f t="shared" si="25"/>
        <v>1458499</v>
      </c>
      <c r="P218" s="314">
        <v>0</v>
      </c>
      <c r="Q218" s="350">
        <f t="shared" si="26"/>
        <v>2675.1632428466614</v>
      </c>
      <c r="R218" s="315">
        <v>7822</v>
      </c>
      <c r="S218" s="316">
        <v>43100</v>
      </c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</row>
    <row r="219" spans="1:62" s="1" customFormat="1" ht="31.2">
      <c r="A219" s="682">
        <f t="shared" si="16"/>
        <v>12</v>
      </c>
      <c r="B219" s="683" t="s">
        <v>787</v>
      </c>
      <c r="C219" s="684">
        <v>1959</v>
      </c>
      <c r="D219" s="346"/>
      <c r="E219" s="685" t="s">
        <v>218</v>
      </c>
      <c r="F219" s="430">
        <v>3</v>
      </c>
      <c r="G219" s="430">
        <v>4</v>
      </c>
      <c r="H219" s="430">
        <v>2824.9</v>
      </c>
      <c r="I219" s="430">
        <v>1991.7</v>
      </c>
      <c r="J219" s="430">
        <v>1721.5</v>
      </c>
      <c r="K219" s="430">
        <v>43</v>
      </c>
      <c r="L219" s="686">
        <v>3902737</v>
      </c>
      <c r="M219" s="687">
        <v>0</v>
      </c>
      <c r="N219" s="314">
        <v>0</v>
      </c>
      <c r="O219" s="314">
        <f t="shared" si="25"/>
        <v>3902737</v>
      </c>
      <c r="P219" s="314">
        <v>0</v>
      </c>
      <c r="Q219" s="350">
        <f t="shared" si="26"/>
        <v>1959.5004267710999</v>
      </c>
      <c r="R219" s="315">
        <v>7822</v>
      </c>
      <c r="S219" s="316">
        <v>43100</v>
      </c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</row>
    <row r="220" spans="1:62" s="1" customFormat="1" ht="15.6">
      <c r="A220" s="308"/>
      <c r="B220" s="688"/>
      <c r="C220" s="346"/>
      <c r="D220" s="346"/>
      <c r="E220" s="311"/>
      <c r="F220" s="689"/>
      <c r="G220" s="689"/>
      <c r="H220" s="690"/>
      <c r="I220" s="691"/>
      <c r="J220" s="691"/>
      <c r="K220" s="689"/>
      <c r="L220" s="614"/>
      <c r="M220" s="314"/>
      <c r="N220" s="314"/>
      <c r="O220" s="314"/>
      <c r="P220" s="314"/>
      <c r="Q220" s="350"/>
      <c r="R220" s="315"/>
      <c r="S220" s="316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</row>
    <row r="221" spans="1:62" s="1" customFormat="1" ht="15.6">
      <c r="A221" s="308"/>
      <c r="B221" s="692"/>
      <c r="C221" s="346"/>
      <c r="D221" s="346"/>
      <c r="E221" s="311"/>
      <c r="F221" s="349"/>
      <c r="G221" s="349"/>
      <c r="H221" s="550"/>
      <c r="I221" s="347"/>
      <c r="J221" s="347"/>
      <c r="K221" s="349"/>
      <c r="L221" s="314"/>
      <c r="M221" s="314"/>
      <c r="N221" s="314"/>
      <c r="O221" s="314"/>
      <c r="P221" s="314"/>
      <c r="Q221" s="350"/>
      <c r="R221" s="315"/>
      <c r="S221" s="316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</row>
    <row r="222" spans="1:62" s="1" customFormat="1" ht="15.6">
      <c r="A222" s="308"/>
      <c r="B222" s="692"/>
      <c r="C222" s="346"/>
      <c r="D222" s="346"/>
      <c r="E222" s="311"/>
      <c r="F222" s="349"/>
      <c r="G222" s="349"/>
      <c r="H222" s="550"/>
      <c r="I222" s="347"/>
      <c r="J222" s="347"/>
      <c r="K222" s="349"/>
      <c r="L222" s="314"/>
      <c r="M222" s="314"/>
      <c r="N222" s="314"/>
      <c r="O222" s="314"/>
      <c r="P222" s="314"/>
      <c r="Q222" s="350"/>
      <c r="R222" s="315"/>
      <c r="S222" s="316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</row>
    <row r="223" spans="1:62" s="1" customFormat="1" ht="15.6">
      <c r="A223" s="308"/>
      <c r="B223" s="692"/>
      <c r="C223" s="346"/>
      <c r="D223" s="346"/>
      <c r="E223" s="311"/>
      <c r="F223" s="349"/>
      <c r="G223" s="349"/>
      <c r="H223" s="550"/>
      <c r="I223" s="347"/>
      <c r="J223" s="347"/>
      <c r="K223" s="349"/>
      <c r="L223" s="314"/>
      <c r="M223" s="314"/>
      <c r="N223" s="314"/>
      <c r="O223" s="314"/>
      <c r="P223" s="314"/>
      <c r="Q223" s="350"/>
      <c r="R223" s="315"/>
      <c r="S223" s="316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</row>
    <row r="224" spans="1:62" s="1" customFormat="1" ht="15.6">
      <c r="A224" s="308"/>
      <c r="B224" s="692"/>
      <c r="C224" s="346"/>
      <c r="D224" s="346"/>
      <c r="E224" s="311"/>
      <c r="F224" s="349"/>
      <c r="G224" s="349"/>
      <c r="H224" s="550"/>
      <c r="I224" s="347"/>
      <c r="J224" s="347"/>
      <c r="K224" s="349"/>
      <c r="L224" s="314"/>
      <c r="M224" s="314"/>
      <c r="N224" s="314"/>
      <c r="O224" s="314"/>
      <c r="P224" s="314"/>
      <c r="Q224" s="350"/>
      <c r="R224" s="315"/>
      <c r="S224" s="316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</row>
    <row r="225" spans="1:62" s="1" customFormat="1" ht="15.6">
      <c r="A225" s="308"/>
      <c r="B225" s="692"/>
      <c r="C225" s="346"/>
      <c r="D225" s="346"/>
      <c r="E225" s="311"/>
      <c r="F225" s="349"/>
      <c r="G225" s="349"/>
      <c r="H225" s="550"/>
      <c r="I225" s="347"/>
      <c r="J225" s="347"/>
      <c r="K225" s="349"/>
      <c r="L225" s="314"/>
      <c r="M225" s="314"/>
      <c r="N225" s="314"/>
      <c r="O225" s="314"/>
      <c r="P225" s="314"/>
      <c r="Q225" s="350"/>
      <c r="R225" s="315"/>
      <c r="S225" s="316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</row>
    <row r="226" spans="1:62" s="1" customFormat="1" ht="15.6">
      <c r="A226" s="308"/>
      <c r="B226" s="692"/>
      <c r="C226" s="346"/>
      <c r="D226" s="346"/>
      <c r="E226" s="311"/>
      <c r="F226" s="349"/>
      <c r="G226" s="349"/>
      <c r="H226" s="550"/>
      <c r="I226" s="347"/>
      <c r="J226" s="347"/>
      <c r="K226" s="349"/>
      <c r="L226" s="314"/>
      <c r="M226" s="314"/>
      <c r="N226" s="314"/>
      <c r="O226" s="314"/>
      <c r="P226" s="314"/>
      <c r="Q226" s="350"/>
      <c r="R226" s="315"/>
      <c r="S226" s="316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</row>
    <row r="227" spans="1:62" s="1" customFormat="1" ht="15.6">
      <c r="A227" s="308"/>
      <c r="B227" s="692"/>
      <c r="C227" s="346"/>
      <c r="D227" s="346"/>
      <c r="E227" s="311"/>
      <c r="F227" s="349"/>
      <c r="G227" s="349"/>
      <c r="H227" s="550"/>
      <c r="I227" s="347"/>
      <c r="J227" s="347"/>
      <c r="K227" s="349"/>
      <c r="L227" s="314"/>
      <c r="M227" s="314"/>
      <c r="N227" s="314"/>
      <c r="O227" s="314"/>
      <c r="P227" s="314"/>
      <c r="Q227" s="350"/>
      <c r="R227" s="315"/>
      <c r="S227" s="316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</row>
    <row r="228" spans="1:62" s="1" customFormat="1" ht="15.6">
      <c r="A228" s="308"/>
      <c r="B228" s="692"/>
      <c r="C228" s="346"/>
      <c r="D228" s="346"/>
      <c r="E228" s="311"/>
      <c r="F228" s="349"/>
      <c r="G228" s="349"/>
      <c r="H228" s="550"/>
      <c r="I228" s="347"/>
      <c r="J228" s="347"/>
      <c r="K228" s="349"/>
      <c r="L228" s="314"/>
      <c r="M228" s="314"/>
      <c r="N228" s="314"/>
      <c r="O228" s="314"/>
      <c r="P228" s="314"/>
      <c r="Q228" s="350"/>
      <c r="R228" s="315"/>
      <c r="S228" s="316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</row>
    <row r="229" spans="1:62" s="1" customFormat="1" ht="15.6">
      <c r="A229" s="308"/>
      <c r="B229" s="692"/>
      <c r="C229" s="346"/>
      <c r="D229" s="346"/>
      <c r="E229" s="311"/>
      <c r="F229" s="349"/>
      <c r="G229" s="349"/>
      <c r="H229" s="550"/>
      <c r="I229" s="347"/>
      <c r="J229" s="347"/>
      <c r="K229" s="349"/>
      <c r="L229" s="314"/>
      <c r="M229" s="314"/>
      <c r="N229" s="314"/>
      <c r="O229" s="314"/>
      <c r="P229" s="314"/>
      <c r="Q229" s="350"/>
      <c r="R229" s="315"/>
      <c r="S229" s="316"/>
    </row>
    <row r="230" spans="1:62" s="1" customFormat="1" ht="15.6">
      <c r="A230" s="308"/>
      <c r="B230" s="692"/>
      <c r="C230" s="346"/>
      <c r="D230" s="346"/>
      <c r="E230" s="311"/>
      <c r="F230" s="349"/>
      <c r="G230" s="349"/>
      <c r="H230" s="550"/>
      <c r="I230" s="347"/>
      <c r="J230" s="347"/>
      <c r="K230" s="349"/>
      <c r="L230" s="314"/>
      <c r="M230" s="314"/>
      <c r="N230" s="314"/>
      <c r="O230" s="314"/>
      <c r="P230" s="314"/>
      <c r="Q230" s="350"/>
      <c r="R230" s="315"/>
      <c r="S230" s="316"/>
    </row>
    <row r="231" spans="1:62" s="1" customFormat="1" ht="15.6">
      <c r="A231" s="408"/>
      <c r="B231" s="1454" t="s">
        <v>94</v>
      </c>
      <c r="C231" s="1454"/>
      <c r="D231" s="1454"/>
      <c r="E231" s="1454"/>
      <c r="F231" s="1454"/>
      <c r="G231" s="1454"/>
      <c r="H231" s="409">
        <f>SUM(H232:H240)</f>
        <v>27680.9</v>
      </c>
      <c r="I231" s="409">
        <f t="shared" ref="I231:P231" si="27">SUM(I232:I240)</f>
        <v>25196.170000000002</v>
      </c>
      <c r="J231" s="409">
        <f t="shared" si="27"/>
        <v>23604.800000000003</v>
      </c>
      <c r="K231" s="409">
        <f t="shared" si="27"/>
        <v>984</v>
      </c>
      <c r="L231" s="415">
        <f t="shared" si="27"/>
        <v>26467626</v>
      </c>
      <c r="M231" s="415">
        <f t="shared" si="27"/>
        <v>0</v>
      </c>
      <c r="N231" s="415">
        <f t="shared" si="27"/>
        <v>0</v>
      </c>
      <c r="O231" s="415">
        <f t="shared" si="27"/>
        <v>26467626</v>
      </c>
      <c r="P231" s="415">
        <f t="shared" si="27"/>
        <v>0</v>
      </c>
      <c r="Q231" s="106" t="s">
        <v>40</v>
      </c>
      <c r="R231" s="106" t="s">
        <v>40</v>
      </c>
      <c r="S231" s="316">
        <v>43100</v>
      </c>
    </row>
    <row r="232" spans="1:62" s="47" customFormat="1" ht="31.2">
      <c r="A232" s="308">
        <v>13</v>
      </c>
      <c r="B232" s="410" t="s">
        <v>529</v>
      </c>
      <c r="C232" s="403">
        <v>1958</v>
      </c>
      <c r="D232" s="311"/>
      <c r="E232" s="311" t="s">
        <v>218</v>
      </c>
      <c r="F232" s="412">
        <v>2</v>
      </c>
      <c r="G232" s="412">
        <v>3</v>
      </c>
      <c r="H232" s="413">
        <v>1472.8</v>
      </c>
      <c r="I232" s="413">
        <v>1340.4</v>
      </c>
      <c r="J232" s="405">
        <v>1340.4</v>
      </c>
      <c r="K232" s="406">
        <v>35</v>
      </c>
      <c r="L232" s="314">
        <v>3993146</v>
      </c>
      <c r="M232" s="314">
        <v>0</v>
      </c>
      <c r="N232" s="314">
        <v>0</v>
      </c>
      <c r="O232" s="314">
        <f t="shared" ref="O232:O240" si="28">L232</f>
        <v>3993146</v>
      </c>
      <c r="P232" s="314">
        <v>0</v>
      </c>
      <c r="Q232" s="405">
        <f t="shared" ref="Q232:Q240" si="29">L232/I232</f>
        <v>2979.0704267382871</v>
      </c>
      <c r="R232" s="315">
        <v>7822</v>
      </c>
      <c r="S232" s="316">
        <v>43100</v>
      </c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</row>
    <row r="233" spans="1:62" s="1" customFormat="1" ht="31.2">
      <c r="A233" s="308">
        <f t="shared" ref="A233:A272" si="30">A232+1</f>
        <v>14</v>
      </c>
      <c r="B233" s="410" t="s">
        <v>530</v>
      </c>
      <c r="C233" s="403">
        <v>1989</v>
      </c>
      <c r="D233" s="311"/>
      <c r="E233" s="311" t="s">
        <v>218</v>
      </c>
      <c r="F233" s="412">
        <v>5</v>
      </c>
      <c r="G233" s="412">
        <v>5</v>
      </c>
      <c r="H233" s="413">
        <v>3077.7</v>
      </c>
      <c r="I233" s="413">
        <v>2760.9</v>
      </c>
      <c r="J233" s="405">
        <v>2631.3</v>
      </c>
      <c r="K233" s="406">
        <v>112</v>
      </c>
      <c r="L233" s="314">
        <v>2211975</v>
      </c>
      <c r="M233" s="314">
        <v>0</v>
      </c>
      <c r="N233" s="314">
        <v>0</v>
      </c>
      <c r="O233" s="314">
        <f t="shared" si="28"/>
        <v>2211975</v>
      </c>
      <c r="P233" s="314">
        <v>0</v>
      </c>
      <c r="Q233" s="405">
        <f t="shared" si="29"/>
        <v>801.17896338150604</v>
      </c>
      <c r="R233" s="315">
        <v>7822</v>
      </c>
      <c r="S233" s="316">
        <v>43100</v>
      </c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</row>
    <row r="234" spans="1:62" s="1" customFormat="1" ht="15.6">
      <c r="A234" s="308">
        <f t="shared" si="30"/>
        <v>15</v>
      </c>
      <c r="B234" s="410" t="s">
        <v>531</v>
      </c>
      <c r="C234" s="403">
        <v>1970</v>
      </c>
      <c r="D234" s="311"/>
      <c r="E234" s="311" t="s">
        <v>219</v>
      </c>
      <c r="F234" s="412">
        <v>5</v>
      </c>
      <c r="G234" s="412">
        <v>6</v>
      </c>
      <c r="H234" s="413">
        <v>4832.8</v>
      </c>
      <c r="I234" s="413">
        <v>4328.2</v>
      </c>
      <c r="J234" s="404">
        <v>4026.5</v>
      </c>
      <c r="K234" s="406">
        <v>157</v>
      </c>
      <c r="L234" s="314">
        <v>4161815</v>
      </c>
      <c r="M234" s="314">
        <v>0</v>
      </c>
      <c r="N234" s="314">
        <v>0</v>
      </c>
      <c r="O234" s="314">
        <f t="shared" si="28"/>
        <v>4161815</v>
      </c>
      <c r="P234" s="314">
        <v>0</v>
      </c>
      <c r="Q234" s="405">
        <f t="shared" si="29"/>
        <v>961.55792246199348</v>
      </c>
      <c r="R234" s="315">
        <v>7822</v>
      </c>
      <c r="S234" s="316">
        <v>43100</v>
      </c>
    </row>
    <row r="235" spans="1:62" s="1" customFormat="1" ht="15.6">
      <c r="A235" s="308">
        <f t="shared" si="30"/>
        <v>16</v>
      </c>
      <c r="B235" s="411" t="s">
        <v>532</v>
      </c>
      <c r="C235" s="403">
        <v>1974</v>
      </c>
      <c r="D235" s="311"/>
      <c r="E235" s="311" t="s">
        <v>219</v>
      </c>
      <c r="F235" s="412">
        <v>5</v>
      </c>
      <c r="G235" s="412">
        <v>4</v>
      </c>
      <c r="H235" s="413">
        <v>2805.2</v>
      </c>
      <c r="I235" s="413">
        <v>2696.5</v>
      </c>
      <c r="J235" s="405">
        <v>2652.7</v>
      </c>
      <c r="K235" s="406">
        <v>104</v>
      </c>
      <c r="L235" s="314">
        <v>2678707</v>
      </c>
      <c r="M235" s="314">
        <v>0</v>
      </c>
      <c r="N235" s="314">
        <v>0</v>
      </c>
      <c r="O235" s="314">
        <f t="shared" si="28"/>
        <v>2678707</v>
      </c>
      <c r="P235" s="314">
        <v>0</v>
      </c>
      <c r="Q235" s="405">
        <f t="shared" si="29"/>
        <v>993.40144631930275</v>
      </c>
      <c r="R235" s="315">
        <v>7822</v>
      </c>
      <c r="S235" s="316">
        <v>43100</v>
      </c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</row>
    <row r="236" spans="1:62" s="1" customFormat="1" ht="31.2">
      <c r="A236" s="308">
        <f t="shared" si="30"/>
        <v>17</v>
      </c>
      <c r="B236" s="410" t="s">
        <v>533</v>
      </c>
      <c r="C236" s="403">
        <v>1977</v>
      </c>
      <c r="D236" s="311"/>
      <c r="E236" s="311" t="s">
        <v>218</v>
      </c>
      <c r="F236" s="412">
        <v>5</v>
      </c>
      <c r="G236" s="412">
        <v>4</v>
      </c>
      <c r="H236" s="413">
        <v>2967.8</v>
      </c>
      <c r="I236" s="413">
        <v>2815.7</v>
      </c>
      <c r="J236" s="405">
        <v>2754</v>
      </c>
      <c r="K236" s="406">
        <v>117</v>
      </c>
      <c r="L236" s="314">
        <v>2783301</v>
      </c>
      <c r="M236" s="314">
        <v>0</v>
      </c>
      <c r="N236" s="314">
        <v>0</v>
      </c>
      <c r="O236" s="314">
        <f t="shared" si="28"/>
        <v>2783301</v>
      </c>
      <c r="P236" s="314">
        <v>0</v>
      </c>
      <c r="Q236" s="405">
        <f t="shared" si="29"/>
        <v>988.49344745533972</v>
      </c>
      <c r="R236" s="315">
        <v>7822</v>
      </c>
      <c r="S236" s="316">
        <v>43100</v>
      </c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</row>
    <row r="237" spans="1:62" s="10" customFormat="1" ht="31.2">
      <c r="A237" s="308">
        <f t="shared" si="30"/>
        <v>18</v>
      </c>
      <c r="B237" s="410" t="s">
        <v>534</v>
      </c>
      <c r="C237" s="403">
        <v>1960</v>
      </c>
      <c r="D237" s="311"/>
      <c r="E237" s="311" t="s">
        <v>218</v>
      </c>
      <c r="F237" s="412">
        <v>3</v>
      </c>
      <c r="G237" s="412">
        <v>3</v>
      </c>
      <c r="H237" s="413">
        <v>1944</v>
      </c>
      <c r="I237" s="413">
        <v>1776.8</v>
      </c>
      <c r="J237" s="404">
        <v>1541.1</v>
      </c>
      <c r="K237" s="406">
        <v>61</v>
      </c>
      <c r="L237" s="314">
        <v>3450795</v>
      </c>
      <c r="M237" s="314">
        <v>0</v>
      </c>
      <c r="N237" s="314">
        <v>0</v>
      </c>
      <c r="O237" s="314">
        <f t="shared" si="28"/>
        <v>3450795</v>
      </c>
      <c r="P237" s="314">
        <v>0</v>
      </c>
      <c r="Q237" s="405">
        <f t="shared" si="29"/>
        <v>1942.1403647005855</v>
      </c>
      <c r="R237" s="315">
        <v>7822</v>
      </c>
      <c r="S237" s="316">
        <v>43100</v>
      </c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</row>
    <row r="238" spans="1:62" s="10" customFormat="1" ht="15.6">
      <c r="A238" s="308">
        <f t="shared" si="30"/>
        <v>19</v>
      </c>
      <c r="B238" s="410" t="s">
        <v>535</v>
      </c>
      <c r="C238" s="403">
        <v>1960</v>
      </c>
      <c r="D238" s="311"/>
      <c r="E238" s="311" t="s">
        <v>538</v>
      </c>
      <c r="F238" s="412">
        <v>2</v>
      </c>
      <c r="G238" s="412">
        <v>2</v>
      </c>
      <c r="H238" s="414">
        <v>446.4</v>
      </c>
      <c r="I238" s="414">
        <v>385.37</v>
      </c>
      <c r="J238" s="405">
        <v>269.8</v>
      </c>
      <c r="K238" s="406">
        <v>15</v>
      </c>
      <c r="L238" s="314">
        <v>919216</v>
      </c>
      <c r="M238" s="314">
        <v>0</v>
      </c>
      <c r="N238" s="314">
        <v>0</v>
      </c>
      <c r="O238" s="314">
        <f t="shared" si="28"/>
        <v>919216</v>
      </c>
      <c r="P238" s="314">
        <v>0</v>
      </c>
      <c r="Q238" s="405">
        <f t="shared" si="29"/>
        <v>2385.2816773490413</v>
      </c>
      <c r="R238" s="315">
        <v>7822</v>
      </c>
      <c r="S238" s="316">
        <v>43100</v>
      </c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</row>
    <row r="239" spans="1:62" s="48" customFormat="1" ht="15.6">
      <c r="A239" s="308">
        <f t="shared" si="30"/>
        <v>20</v>
      </c>
      <c r="B239" s="410" t="s">
        <v>536</v>
      </c>
      <c r="C239" s="403">
        <v>1991</v>
      </c>
      <c r="D239" s="311"/>
      <c r="E239" s="311" t="s">
        <v>219</v>
      </c>
      <c r="F239" s="412">
        <v>5</v>
      </c>
      <c r="G239" s="412">
        <v>5</v>
      </c>
      <c r="H239" s="413">
        <v>3981.1</v>
      </c>
      <c r="I239" s="413">
        <v>3488.1</v>
      </c>
      <c r="J239" s="405">
        <v>2967.5</v>
      </c>
      <c r="K239" s="406">
        <v>140</v>
      </c>
      <c r="L239" s="314">
        <v>2376610</v>
      </c>
      <c r="M239" s="314">
        <v>0</v>
      </c>
      <c r="N239" s="314">
        <v>0</v>
      </c>
      <c r="O239" s="314">
        <f t="shared" si="28"/>
        <v>2376610</v>
      </c>
      <c r="P239" s="314">
        <v>0</v>
      </c>
      <c r="Q239" s="405">
        <f t="shared" si="29"/>
        <v>681.34801181158798</v>
      </c>
      <c r="R239" s="315">
        <v>7822</v>
      </c>
      <c r="S239" s="316">
        <v>43100</v>
      </c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</row>
    <row r="240" spans="1:62" s="49" customFormat="1" ht="31.2">
      <c r="A240" s="308">
        <f t="shared" si="30"/>
        <v>21</v>
      </c>
      <c r="B240" s="410" t="s">
        <v>537</v>
      </c>
      <c r="C240" s="403">
        <v>1991</v>
      </c>
      <c r="D240" s="311"/>
      <c r="E240" s="311" t="s">
        <v>218</v>
      </c>
      <c r="F240" s="412">
        <v>5</v>
      </c>
      <c r="G240" s="412">
        <v>6</v>
      </c>
      <c r="H240" s="413">
        <v>6153.1</v>
      </c>
      <c r="I240" s="413">
        <v>5604.2</v>
      </c>
      <c r="J240" s="405">
        <v>5421.5</v>
      </c>
      <c r="K240" s="406">
        <v>243</v>
      </c>
      <c r="L240" s="314">
        <v>3892061</v>
      </c>
      <c r="M240" s="314">
        <v>0</v>
      </c>
      <c r="N240" s="314">
        <v>0</v>
      </c>
      <c r="O240" s="314">
        <f t="shared" si="28"/>
        <v>3892061</v>
      </c>
      <c r="P240" s="314">
        <v>0</v>
      </c>
      <c r="Q240" s="405">
        <f t="shared" si="29"/>
        <v>694.49002533813928</v>
      </c>
      <c r="R240" s="315">
        <v>7822</v>
      </c>
      <c r="S240" s="316">
        <v>43100</v>
      </c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</row>
    <row r="241" spans="1:30" s="49" customFormat="1" ht="15.6">
      <c r="A241" s="308"/>
      <c r="B241" s="402"/>
      <c r="C241" s="311"/>
      <c r="D241" s="311"/>
      <c r="E241" s="311"/>
      <c r="F241" s="403"/>
      <c r="G241" s="403"/>
      <c r="H241" s="404"/>
      <c r="I241" s="404"/>
      <c r="J241" s="404"/>
      <c r="K241" s="406"/>
      <c r="L241" s="314"/>
      <c r="M241" s="314"/>
      <c r="N241" s="314"/>
      <c r="O241" s="314"/>
      <c r="P241" s="314"/>
      <c r="Q241" s="405"/>
      <c r="R241" s="315"/>
      <c r="S241" s="316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s="49" customFormat="1" ht="15.6">
      <c r="A242" s="308"/>
      <c r="B242" s="402"/>
      <c r="C242" s="311"/>
      <c r="D242" s="311"/>
      <c r="E242" s="311"/>
      <c r="F242" s="403"/>
      <c r="G242" s="403"/>
      <c r="H242" s="404"/>
      <c r="I242" s="405"/>
      <c r="J242" s="405"/>
      <c r="K242" s="406"/>
      <c r="L242" s="314"/>
      <c r="M242" s="314"/>
      <c r="N242" s="314"/>
      <c r="O242" s="314"/>
      <c r="P242" s="314"/>
      <c r="Q242" s="405"/>
      <c r="R242" s="315"/>
      <c r="S242" s="316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s="49" customFormat="1" ht="15.6">
      <c r="A243" s="308"/>
      <c r="B243" s="407"/>
      <c r="C243" s="311"/>
      <c r="D243" s="311"/>
      <c r="E243" s="311"/>
      <c r="F243" s="403"/>
      <c r="G243" s="403"/>
      <c r="H243" s="404"/>
      <c r="I243" s="405"/>
      <c r="J243" s="405"/>
      <c r="K243" s="406"/>
      <c r="L243" s="314"/>
      <c r="M243" s="314"/>
      <c r="N243" s="314"/>
      <c r="O243" s="314"/>
      <c r="P243" s="314"/>
      <c r="Q243" s="405"/>
      <c r="R243" s="315"/>
      <c r="S243" s="316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</row>
    <row r="244" spans="1:30" s="1" customFormat="1" ht="20.399999999999999" customHeight="1">
      <c r="A244" s="308"/>
      <c r="B244" s="1412" t="s">
        <v>123</v>
      </c>
      <c r="C244" s="1412"/>
      <c r="D244" s="1412"/>
      <c r="E244" s="1412"/>
      <c r="F244" s="1412"/>
      <c r="G244" s="1412"/>
      <c r="H244" s="347">
        <f>SUM(H245:H249)</f>
        <v>34678.06</v>
      </c>
      <c r="I244" s="347">
        <f t="shared" ref="I244:P244" si="31">SUM(I245:I249)</f>
        <v>20430.3</v>
      </c>
      <c r="J244" s="347">
        <f t="shared" si="31"/>
        <v>10666.880000000001</v>
      </c>
      <c r="K244" s="347">
        <f t="shared" si="31"/>
        <v>1002</v>
      </c>
      <c r="L244" s="670">
        <f t="shared" si="31"/>
        <v>11767484</v>
      </c>
      <c r="M244" s="670">
        <f t="shared" si="31"/>
        <v>0</v>
      </c>
      <c r="N244" s="670">
        <f t="shared" si="31"/>
        <v>0</v>
      </c>
      <c r="O244" s="670">
        <f t="shared" si="31"/>
        <v>11767484</v>
      </c>
      <c r="P244" s="670">
        <f t="shared" si="31"/>
        <v>0</v>
      </c>
      <c r="Q244" s="350" t="s">
        <v>40</v>
      </c>
      <c r="R244" s="346" t="s">
        <v>40</v>
      </c>
      <c r="S244" s="316">
        <v>43100</v>
      </c>
    </row>
    <row r="245" spans="1:30" s="1" customFormat="1" ht="33" customHeight="1">
      <c r="A245" s="308">
        <v>22</v>
      </c>
      <c r="B245" s="875" t="s">
        <v>732</v>
      </c>
      <c r="C245" s="387">
        <v>2004</v>
      </c>
      <c r="D245" s="387"/>
      <c r="E245" s="311" t="s">
        <v>734</v>
      </c>
      <c r="F245" s="346">
        <v>5</v>
      </c>
      <c r="G245" s="346">
        <v>7</v>
      </c>
      <c r="H245" s="347">
        <v>9679.56</v>
      </c>
      <c r="I245" s="346">
        <v>5484.6</v>
      </c>
      <c r="J245" s="346">
        <v>2358.38</v>
      </c>
      <c r="K245" s="390">
        <v>299</v>
      </c>
      <c r="L245" s="314">
        <v>3438972</v>
      </c>
      <c r="M245" s="314">
        <f>SUM(M246:M259)</f>
        <v>0</v>
      </c>
      <c r="N245" s="314">
        <v>0</v>
      </c>
      <c r="O245" s="314">
        <f>L245</f>
        <v>3438972</v>
      </c>
      <c r="P245" s="314">
        <v>0</v>
      </c>
      <c r="Q245" s="350">
        <f t="shared" ref="Q245:Q259" si="32">L245/I245</f>
        <v>627.02330160813915</v>
      </c>
      <c r="R245" s="315">
        <v>7822</v>
      </c>
      <c r="S245" s="316">
        <v>43100</v>
      </c>
    </row>
    <row r="246" spans="1:30" s="1" customFormat="1" ht="28.2" customHeight="1">
      <c r="A246" s="308">
        <f t="shared" si="30"/>
        <v>23</v>
      </c>
      <c r="B246" s="875" t="s">
        <v>363</v>
      </c>
      <c r="C246" s="387">
        <v>2004</v>
      </c>
      <c r="D246" s="387"/>
      <c r="E246" s="311" t="s">
        <v>735</v>
      </c>
      <c r="F246" s="346">
        <v>5</v>
      </c>
      <c r="G246" s="346">
        <v>4</v>
      </c>
      <c r="H246" s="347">
        <v>8574.2999999999993</v>
      </c>
      <c r="I246" s="346">
        <v>4885.1000000000004</v>
      </c>
      <c r="J246" s="346">
        <v>2569.56</v>
      </c>
      <c r="K246" s="390">
        <v>269</v>
      </c>
      <c r="L246" s="314">
        <v>2804575</v>
      </c>
      <c r="M246" s="314">
        <f>SUM(M247:M260)</f>
        <v>0</v>
      </c>
      <c r="N246" s="314">
        <v>0</v>
      </c>
      <c r="O246" s="314">
        <f>L246</f>
        <v>2804575</v>
      </c>
      <c r="P246" s="314">
        <v>0</v>
      </c>
      <c r="Q246" s="350">
        <f t="shared" si="32"/>
        <v>574.10800188327767</v>
      </c>
      <c r="R246" s="315">
        <v>7822</v>
      </c>
      <c r="S246" s="316">
        <v>43100</v>
      </c>
    </row>
    <row r="247" spans="1:30" s="1" customFormat="1" ht="33" customHeight="1">
      <c r="A247" s="308">
        <f t="shared" si="30"/>
        <v>24</v>
      </c>
      <c r="B247" s="875" t="s">
        <v>733</v>
      </c>
      <c r="C247" s="387">
        <v>1994</v>
      </c>
      <c r="D247" s="346"/>
      <c r="E247" s="311" t="s">
        <v>734</v>
      </c>
      <c r="F247" s="346">
        <v>5</v>
      </c>
      <c r="G247" s="346">
        <v>4</v>
      </c>
      <c r="H247" s="347">
        <v>5877.3</v>
      </c>
      <c r="I247" s="346">
        <v>3126.5</v>
      </c>
      <c r="J247" s="346">
        <v>1813.68</v>
      </c>
      <c r="K247" s="390">
        <v>160</v>
      </c>
      <c r="L247" s="314">
        <v>1993932</v>
      </c>
      <c r="M247" s="314">
        <f>SUM(M248:M261)</f>
        <v>0</v>
      </c>
      <c r="N247" s="314">
        <v>0</v>
      </c>
      <c r="O247" s="314">
        <f>L247</f>
        <v>1993932</v>
      </c>
      <c r="P247" s="314">
        <v>0</v>
      </c>
      <c r="Q247" s="350">
        <f t="shared" si="32"/>
        <v>637.75211898288819</v>
      </c>
      <c r="R247" s="315">
        <v>7822</v>
      </c>
      <c r="S247" s="316">
        <v>43100</v>
      </c>
    </row>
    <row r="248" spans="1:30" s="1" customFormat="1" ht="33" customHeight="1">
      <c r="A248" s="308"/>
      <c r="B248" s="875" t="s">
        <v>942</v>
      </c>
      <c r="C248" s="387">
        <v>1966</v>
      </c>
      <c r="D248" s="346"/>
      <c r="E248" s="311" t="s">
        <v>218</v>
      </c>
      <c r="F248" s="346">
        <v>5</v>
      </c>
      <c r="G248" s="346">
        <v>4</v>
      </c>
      <c r="H248" s="347">
        <v>5298</v>
      </c>
      <c r="I248" s="346">
        <v>3567.1</v>
      </c>
      <c r="J248" s="346">
        <v>1608.76</v>
      </c>
      <c r="K248" s="390">
        <v>96</v>
      </c>
      <c r="L248" s="314">
        <v>1656223</v>
      </c>
      <c r="M248" s="314">
        <v>0</v>
      </c>
      <c r="N248" s="314">
        <v>0</v>
      </c>
      <c r="O248" s="314">
        <v>1656223</v>
      </c>
      <c r="P248" s="314">
        <v>0</v>
      </c>
      <c r="Q248" s="350">
        <f t="shared" si="32"/>
        <v>464.30517787558523</v>
      </c>
      <c r="R248" s="315">
        <v>7822</v>
      </c>
      <c r="S248" s="316">
        <v>43100</v>
      </c>
    </row>
    <row r="249" spans="1:30" s="1" customFormat="1" ht="33" customHeight="1">
      <c r="A249" s="308"/>
      <c r="B249" s="875" t="s">
        <v>357</v>
      </c>
      <c r="C249" s="387">
        <v>1964</v>
      </c>
      <c r="D249" s="346"/>
      <c r="E249" s="311" t="s">
        <v>218</v>
      </c>
      <c r="F249" s="346">
        <v>5</v>
      </c>
      <c r="G249" s="346">
        <v>4</v>
      </c>
      <c r="H249" s="347">
        <v>5248.9</v>
      </c>
      <c r="I249" s="346">
        <v>3367</v>
      </c>
      <c r="J249" s="346">
        <v>2316.5</v>
      </c>
      <c r="K249" s="390">
        <v>178</v>
      </c>
      <c r="L249" s="314">
        <v>1873782</v>
      </c>
      <c r="M249" s="314">
        <v>0</v>
      </c>
      <c r="N249" s="314">
        <v>0</v>
      </c>
      <c r="O249" s="314">
        <v>1873782</v>
      </c>
      <c r="P249" s="314">
        <v>0</v>
      </c>
      <c r="Q249" s="350">
        <f t="shared" si="32"/>
        <v>556.51381051381054</v>
      </c>
      <c r="R249" s="315">
        <v>7822</v>
      </c>
      <c r="S249" s="316">
        <v>43100</v>
      </c>
    </row>
    <row r="250" spans="1:30" s="1" customFormat="1" ht="15.6">
      <c r="A250" s="308"/>
      <c r="B250" s="606"/>
      <c r="C250" s="387"/>
      <c r="D250" s="346"/>
      <c r="E250" s="311"/>
      <c r="F250" s="346"/>
      <c r="G250" s="346"/>
      <c r="H250" s="347"/>
      <c r="I250" s="346"/>
      <c r="J250" s="346"/>
      <c r="K250" s="390"/>
      <c r="L250" s="314"/>
      <c r="M250" s="314"/>
      <c r="N250" s="314"/>
      <c r="O250" s="314"/>
      <c r="P250" s="314"/>
      <c r="Q250" s="350"/>
      <c r="R250" s="315"/>
      <c r="S250" s="316">
        <v>43100</v>
      </c>
    </row>
    <row r="251" spans="1:30" s="1" customFormat="1" ht="15.6">
      <c r="A251" s="308"/>
      <c r="B251" s="606"/>
      <c r="C251" s="644"/>
      <c r="D251" s="346"/>
      <c r="E251" s="311"/>
      <c r="F251" s="346"/>
      <c r="G251" s="346"/>
      <c r="H251" s="347"/>
      <c r="I251" s="346"/>
      <c r="J251" s="346"/>
      <c r="K251" s="390"/>
      <c r="L251" s="314"/>
      <c r="M251" s="314"/>
      <c r="N251" s="314"/>
      <c r="O251" s="314"/>
      <c r="P251" s="314"/>
      <c r="Q251" s="350"/>
      <c r="R251" s="315"/>
      <c r="S251" s="316">
        <v>43100</v>
      </c>
    </row>
    <row r="252" spans="1:30" s="1" customFormat="1" ht="15.6">
      <c r="A252" s="308"/>
      <c r="B252" s="606"/>
      <c r="C252" s="644"/>
      <c r="D252" s="346"/>
      <c r="E252" s="311"/>
      <c r="F252" s="346"/>
      <c r="G252" s="346"/>
      <c r="H252" s="347"/>
      <c r="I252" s="346"/>
      <c r="J252" s="346"/>
      <c r="K252" s="390"/>
      <c r="L252" s="314"/>
      <c r="M252" s="314"/>
      <c r="N252" s="314"/>
      <c r="O252" s="314"/>
      <c r="P252" s="314"/>
      <c r="Q252" s="350"/>
      <c r="R252" s="315"/>
      <c r="S252" s="316">
        <v>43100</v>
      </c>
    </row>
    <row r="253" spans="1:30" s="1" customFormat="1" ht="15.6">
      <c r="A253" s="308"/>
      <c r="B253" s="606"/>
      <c r="C253" s="387"/>
      <c r="D253" s="346"/>
      <c r="E253" s="311"/>
      <c r="F253" s="346"/>
      <c r="G253" s="346"/>
      <c r="H253" s="347"/>
      <c r="I253" s="346"/>
      <c r="J253" s="346"/>
      <c r="K253" s="390"/>
      <c r="L253" s="314"/>
      <c r="M253" s="314"/>
      <c r="N253" s="314"/>
      <c r="O253" s="314"/>
      <c r="P253" s="314"/>
      <c r="Q253" s="350"/>
      <c r="R253" s="466"/>
      <c r="S253" s="316">
        <v>43100</v>
      </c>
    </row>
    <row r="254" spans="1:30" s="1" customFormat="1" ht="15.6">
      <c r="A254" s="308"/>
      <c r="B254" s="606"/>
      <c r="C254" s="387"/>
      <c r="D254" s="346"/>
      <c r="E254" s="311"/>
      <c r="F254" s="346"/>
      <c r="G254" s="346"/>
      <c r="H254" s="347"/>
      <c r="I254" s="346"/>
      <c r="J254" s="346"/>
      <c r="K254" s="390"/>
      <c r="L254" s="314"/>
      <c r="M254" s="314"/>
      <c r="N254" s="314"/>
      <c r="O254" s="314"/>
      <c r="P254" s="314"/>
      <c r="Q254" s="350"/>
      <c r="R254" s="315"/>
      <c r="S254" s="316">
        <v>43100</v>
      </c>
    </row>
    <row r="255" spans="1:30" s="1" customFormat="1" ht="15.6">
      <c r="A255" s="308"/>
      <c r="B255" s="606"/>
      <c r="C255" s="387"/>
      <c r="D255" s="346"/>
      <c r="E255" s="311"/>
      <c r="F255" s="346"/>
      <c r="G255" s="346"/>
      <c r="H255" s="347"/>
      <c r="I255" s="346"/>
      <c r="J255" s="346"/>
      <c r="K255" s="390"/>
      <c r="L255" s="314"/>
      <c r="M255" s="314"/>
      <c r="N255" s="314"/>
      <c r="O255" s="314"/>
      <c r="P255" s="314"/>
      <c r="Q255" s="350"/>
      <c r="R255" s="315"/>
      <c r="S255" s="316">
        <v>43100</v>
      </c>
    </row>
    <row r="256" spans="1:30" s="1" customFormat="1" ht="15.6">
      <c r="A256" s="308"/>
      <c r="B256" s="606"/>
      <c r="C256" s="387"/>
      <c r="D256" s="346"/>
      <c r="E256" s="311"/>
      <c r="F256" s="346"/>
      <c r="G256" s="346"/>
      <c r="H256" s="347"/>
      <c r="I256" s="346"/>
      <c r="J256" s="346"/>
      <c r="K256" s="390"/>
      <c r="L256" s="314"/>
      <c r="M256" s="314"/>
      <c r="N256" s="314"/>
      <c r="O256" s="314"/>
      <c r="P256" s="314"/>
      <c r="Q256" s="350"/>
      <c r="R256" s="315"/>
      <c r="S256" s="316">
        <v>43100</v>
      </c>
    </row>
    <row r="257" spans="1:19" s="1" customFormat="1" ht="35.4" customHeight="1">
      <c r="A257" s="308"/>
      <c r="B257" s="1412" t="s">
        <v>864</v>
      </c>
      <c r="C257" s="1412"/>
      <c r="D257" s="1412"/>
      <c r="E257" s="1412"/>
      <c r="F257" s="1412"/>
      <c r="G257" s="1412"/>
      <c r="H257" s="347">
        <f>H258+H259</f>
        <v>4284.7</v>
      </c>
      <c r="I257" s="347">
        <f t="shared" ref="I257:P257" si="33">I258+I259</f>
        <v>3030.4</v>
      </c>
      <c r="J257" s="347">
        <f t="shared" si="33"/>
        <v>2763.5</v>
      </c>
      <c r="K257" s="347">
        <f t="shared" si="33"/>
        <v>97</v>
      </c>
      <c r="L257" s="670">
        <f t="shared" si="33"/>
        <v>2812692</v>
      </c>
      <c r="M257" s="670">
        <f t="shared" si="33"/>
        <v>0</v>
      </c>
      <c r="N257" s="670">
        <f t="shared" si="33"/>
        <v>0</v>
      </c>
      <c r="O257" s="670">
        <f t="shared" si="33"/>
        <v>2812692</v>
      </c>
      <c r="P257" s="670">
        <f t="shared" si="33"/>
        <v>0</v>
      </c>
      <c r="Q257" s="350" t="s">
        <v>40</v>
      </c>
      <c r="R257" s="346" t="s">
        <v>40</v>
      </c>
      <c r="S257" s="316">
        <v>43100</v>
      </c>
    </row>
    <row r="258" spans="1:19" s="1" customFormat="1" ht="31.2">
      <c r="A258" s="308"/>
      <c r="B258" s="916" t="s">
        <v>865</v>
      </c>
      <c r="C258" s="387">
        <v>1961</v>
      </c>
      <c r="D258" s="346"/>
      <c r="E258" s="311" t="s">
        <v>218</v>
      </c>
      <c r="F258" s="346">
        <v>3</v>
      </c>
      <c r="G258" s="346">
        <v>3</v>
      </c>
      <c r="H258" s="347">
        <v>2106.6999999999998</v>
      </c>
      <c r="I258" s="346">
        <v>1512.5</v>
      </c>
      <c r="J258" s="346">
        <v>1432</v>
      </c>
      <c r="K258" s="390">
        <v>50</v>
      </c>
      <c r="L258" s="314">
        <v>1914360</v>
      </c>
      <c r="M258" s="314">
        <v>0</v>
      </c>
      <c r="N258" s="314">
        <v>0</v>
      </c>
      <c r="O258" s="314">
        <v>1914360</v>
      </c>
      <c r="P258" s="314">
        <v>0</v>
      </c>
      <c r="Q258" s="350">
        <f t="shared" si="32"/>
        <v>1265.692561983471</v>
      </c>
      <c r="R258" s="315">
        <v>7822</v>
      </c>
      <c r="S258" s="316">
        <v>43100</v>
      </c>
    </row>
    <row r="259" spans="1:19" s="1" customFormat="1" ht="31.2">
      <c r="A259" s="308"/>
      <c r="B259" s="916" t="s">
        <v>866</v>
      </c>
      <c r="C259" s="387">
        <v>1963</v>
      </c>
      <c r="D259" s="346"/>
      <c r="E259" s="311" t="s">
        <v>218</v>
      </c>
      <c r="F259" s="346">
        <v>3</v>
      </c>
      <c r="G259" s="346">
        <v>3</v>
      </c>
      <c r="H259" s="347">
        <v>2178</v>
      </c>
      <c r="I259" s="346">
        <v>1517.9</v>
      </c>
      <c r="J259" s="346">
        <v>1331.5</v>
      </c>
      <c r="K259" s="390">
        <v>47</v>
      </c>
      <c r="L259" s="314">
        <v>898332</v>
      </c>
      <c r="M259" s="314">
        <v>0</v>
      </c>
      <c r="N259" s="314">
        <v>0</v>
      </c>
      <c r="O259" s="314">
        <v>898332</v>
      </c>
      <c r="P259" s="314">
        <v>0</v>
      </c>
      <c r="Q259" s="350">
        <f t="shared" si="32"/>
        <v>591.82554845510242</v>
      </c>
      <c r="R259" s="315">
        <v>7822</v>
      </c>
      <c r="S259" s="316">
        <v>43100</v>
      </c>
    </row>
    <row r="260" spans="1:19" s="16" customFormat="1" ht="28.2" customHeight="1">
      <c r="A260" s="308"/>
      <c r="B260" s="1412" t="s">
        <v>72</v>
      </c>
      <c r="C260" s="1412"/>
      <c r="D260" s="1412"/>
      <c r="E260" s="1412"/>
      <c r="F260" s="1412"/>
      <c r="G260" s="1412"/>
      <c r="H260" s="347">
        <f>H261</f>
        <v>3033.7</v>
      </c>
      <c r="I260" s="346">
        <f t="shared" ref="I260:R260" si="34">I261</f>
        <v>2730.3</v>
      </c>
      <c r="J260" s="346">
        <f t="shared" si="34"/>
        <v>2430.5</v>
      </c>
      <c r="K260" s="349">
        <f t="shared" si="34"/>
        <v>100</v>
      </c>
      <c r="L260" s="314">
        <f t="shared" si="34"/>
        <v>5868972</v>
      </c>
      <c r="M260" s="314">
        <f t="shared" si="34"/>
        <v>0</v>
      </c>
      <c r="N260" s="314">
        <f t="shared" si="34"/>
        <v>0</v>
      </c>
      <c r="O260" s="314">
        <f t="shared" si="34"/>
        <v>5868972</v>
      </c>
      <c r="P260" s="314">
        <f t="shared" si="34"/>
        <v>0</v>
      </c>
      <c r="Q260" s="350" t="str">
        <f t="shared" si="34"/>
        <v>Х</v>
      </c>
      <c r="R260" s="346" t="str">
        <f t="shared" si="34"/>
        <v>Х</v>
      </c>
      <c r="S260" s="316">
        <v>43100</v>
      </c>
    </row>
    <row r="261" spans="1:19" s="16" customFormat="1" ht="24.6" customHeight="1">
      <c r="A261" s="308"/>
      <c r="B261" s="1412" t="s">
        <v>95</v>
      </c>
      <c r="C261" s="1412"/>
      <c r="D261" s="1412"/>
      <c r="E261" s="1412"/>
      <c r="F261" s="1412"/>
      <c r="G261" s="1412"/>
      <c r="H261" s="347">
        <f>SUM(H262:H268)</f>
        <v>3033.7</v>
      </c>
      <c r="I261" s="347">
        <f t="shared" ref="I261:P261" si="35">SUM(I262:I268)</f>
        <v>2730.3</v>
      </c>
      <c r="J261" s="347">
        <f t="shared" si="35"/>
        <v>2430.5</v>
      </c>
      <c r="K261" s="347">
        <f t="shared" si="35"/>
        <v>100</v>
      </c>
      <c r="L261" s="820">
        <f t="shared" si="35"/>
        <v>5868972</v>
      </c>
      <c r="M261" s="820">
        <f t="shared" si="35"/>
        <v>0</v>
      </c>
      <c r="N261" s="820">
        <f t="shared" si="35"/>
        <v>0</v>
      </c>
      <c r="O261" s="820">
        <f t="shared" si="35"/>
        <v>5868972</v>
      </c>
      <c r="P261" s="820">
        <f t="shared" si="35"/>
        <v>0</v>
      </c>
      <c r="Q261" s="350" t="s">
        <v>40</v>
      </c>
      <c r="R261" s="387" t="s">
        <v>40</v>
      </c>
      <c r="S261" s="316">
        <v>43100</v>
      </c>
    </row>
    <row r="262" spans="1:19" s="1" customFormat="1" ht="22.95" customHeight="1">
      <c r="A262" s="308">
        <v>25</v>
      </c>
      <c r="B262" s="337" t="s">
        <v>619</v>
      </c>
      <c r="C262" s="310">
        <v>1972</v>
      </c>
      <c r="D262" s="310"/>
      <c r="E262" s="311" t="s">
        <v>220</v>
      </c>
      <c r="F262" s="310">
        <v>2</v>
      </c>
      <c r="G262" s="310">
        <v>1</v>
      </c>
      <c r="H262" s="312">
        <v>351.8</v>
      </c>
      <c r="I262" s="310">
        <v>351.1</v>
      </c>
      <c r="J262" s="362">
        <v>351.1</v>
      </c>
      <c r="K262" s="313">
        <v>11</v>
      </c>
      <c r="L262" s="314">
        <v>620394</v>
      </c>
      <c r="M262" s="314">
        <v>0</v>
      </c>
      <c r="N262" s="314">
        <v>0</v>
      </c>
      <c r="O262" s="314">
        <f>L262</f>
        <v>620394</v>
      </c>
      <c r="P262" s="314">
        <v>0</v>
      </c>
      <c r="Q262" s="315">
        <f t="shared" ref="Q262:Q268" si="36">L262/I262</f>
        <v>1767.0008544574193</v>
      </c>
      <c r="R262" s="608">
        <v>7822</v>
      </c>
      <c r="S262" s="316">
        <v>43100</v>
      </c>
    </row>
    <row r="263" spans="1:19" s="1" customFormat="1" ht="29.4" customHeight="1">
      <c r="A263" s="308">
        <f t="shared" si="30"/>
        <v>26</v>
      </c>
      <c r="B263" s="337" t="s">
        <v>620</v>
      </c>
      <c r="C263" s="310">
        <v>1969</v>
      </c>
      <c r="D263" s="310"/>
      <c r="E263" s="311" t="s">
        <v>220</v>
      </c>
      <c r="F263" s="310">
        <v>2</v>
      </c>
      <c r="G263" s="310">
        <v>1</v>
      </c>
      <c r="H263" s="312">
        <v>363.6</v>
      </c>
      <c r="I263" s="310">
        <v>336</v>
      </c>
      <c r="J263" s="362">
        <v>336</v>
      </c>
      <c r="K263" s="313">
        <v>11</v>
      </c>
      <c r="L263" s="314">
        <v>620324</v>
      </c>
      <c r="M263" s="314">
        <v>0</v>
      </c>
      <c r="N263" s="314">
        <v>0</v>
      </c>
      <c r="O263" s="314">
        <f>L263</f>
        <v>620324</v>
      </c>
      <c r="P263" s="314">
        <v>0</v>
      </c>
      <c r="Q263" s="315">
        <f t="shared" si="36"/>
        <v>1846.202380952381</v>
      </c>
      <c r="R263" s="608">
        <v>7822</v>
      </c>
      <c r="S263" s="316">
        <v>43100</v>
      </c>
    </row>
    <row r="264" spans="1:19" s="1" customFormat="1" ht="31.2">
      <c r="A264" s="308">
        <f t="shared" si="30"/>
        <v>27</v>
      </c>
      <c r="B264" s="337" t="s">
        <v>621</v>
      </c>
      <c r="C264" s="310">
        <v>1971</v>
      </c>
      <c r="D264" s="310"/>
      <c r="E264" s="311" t="s">
        <v>218</v>
      </c>
      <c r="F264" s="310">
        <v>2</v>
      </c>
      <c r="G264" s="310">
        <v>2</v>
      </c>
      <c r="H264" s="312">
        <v>520.6</v>
      </c>
      <c r="I264" s="310">
        <v>466</v>
      </c>
      <c r="J264" s="310">
        <v>466</v>
      </c>
      <c r="K264" s="313">
        <v>18</v>
      </c>
      <c r="L264" s="314">
        <v>626838</v>
      </c>
      <c r="M264" s="314">
        <v>0</v>
      </c>
      <c r="N264" s="314">
        <v>0</v>
      </c>
      <c r="O264" s="314">
        <f>L264</f>
        <v>626838</v>
      </c>
      <c r="P264" s="314">
        <v>0</v>
      </c>
      <c r="Q264" s="315">
        <f t="shared" si="36"/>
        <v>1345.145922746781</v>
      </c>
      <c r="R264" s="315">
        <v>7822</v>
      </c>
      <c r="S264" s="316">
        <v>43100</v>
      </c>
    </row>
    <row r="265" spans="1:19" s="1" customFormat="1" ht="31.2">
      <c r="A265" s="308">
        <f t="shared" si="30"/>
        <v>28</v>
      </c>
      <c r="B265" s="337" t="s">
        <v>622</v>
      </c>
      <c r="C265" s="310">
        <v>1966</v>
      </c>
      <c r="D265" s="310"/>
      <c r="E265" s="311" t="s">
        <v>218</v>
      </c>
      <c r="F265" s="310">
        <v>2</v>
      </c>
      <c r="G265" s="310">
        <v>2</v>
      </c>
      <c r="H265" s="312">
        <v>604.4</v>
      </c>
      <c r="I265" s="310">
        <v>545.6</v>
      </c>
      <c r="J265" s="310">
        <v>506.9</v>
      </c>
      <c r="K265" s="313">
        <v>26</v>
      </c>
      <c r="L265" s="314">
        <v>2055193</v>
      </c>
      <c r="M265" s="314">
        <v>0</v>
      </c>
      <c r="N265" s="314">
        <v>0</v>
      </c>
      <c r="O265" s="314">
        <f t="shared" ref="O265:O268" si="37">L265</f>
        <v>2055193</v>
      </c>
      <c r="P265" s="314">
        <v>0</v>
      </c>
      <c r="Q265" s="315">
        <f t="shared" si="36"/>
        <v>3766.8493401759529</v>
      </c>
      <c r="R265" s="315">
        <v>7822</v>
      </c>
      <c r="S265" s="316">
        <v>43100</v>
      </c>
    </row>
    <row r="266" spans="1:19" s="1" customFormat="1" ht="31.2">
      <c r="A266" s="308">
        <f t="shared" si="30"/>
        <v>29</v>
      </c>
      <c r="B266" s="337" t="s">
        <v>392</v>
      </c>
      <c r="C266" s="310">
        <v>1962</v>
      </c>
      <c r="D266" s="310"/>
      <c r="E266" s="311" t="s">
        <v>218</v>
      </c>
      <c r="F266" s="310">
        <v>2</v>
      </c>
      <c r="G266" s="310">
        <v>1</v>
      </c>
      <c r="H266" s="312">
        <v>342.6</v>
      </c>
      <c r="I266" s="310">
        <v>307.39999999999998</v>
      </c>
      <c r="J266" s="310">
        <v>237.3</v>
      </c>
      <c r="K266" s="313">
        <v>15</v>
      </c>
      <c r="L266" s="314">
        <v>626290</v>
      </c>
      <c r="M266" s="314">
        <v>0</v>
      </c>
      <c r="N266" s="314">
        <v>0</v>
      </c>
      <c r="O266" s="314">
        <f t="shared" si="37"/>
        <v>626290</v>
      </c>
      <c r="P266" s="314">
        <v>0</v>
      </c>
      <c r="Q266" s="315">
        <f t="shared" si="36"/>
        <v>2037.3780091086533</v>
      </c>
      <c r="R266" s="315">
        <v>7822</v>
      </c>
      <c r="S266" s="316">
        <v>43100</v>
      </c>
    </row>
    <row r="267" spans="1:19" s="1" customFormat="1" ht="31.2">
      <c r="A267" s="308">
        <f t="shared" si="30"/>
        <v>30</v>
      </c>
      <c r="B267" s="337" t="s">
        <v>623</v>
      </c>
      <c r="C267" s="310">
        <v>1962</v>
      </c>
      <c r="D267" s="310"/>
      <c r="E267" s="311" t="s">
        <v>218</v>
      </c>
      <c r="F267" s="310">
        <v>2</v>
      </c>
      <c r="G267" s="310">
        <v>1</v>
      </c>
      <c r="H267" s="312">
        <v>416.7</v>
      </c>
      <c r="I267" s="310">
        <v>327.8</v>
      </c>
      <c r="J267" s="310">
        <v>136.80000000000001</v>
      </c>
      <c r="K267" s="313">
        <v>7</v>
      </c>
      <c r="L267" s="314">
        <v>555216</v>
      </c>
      <c r="M267" s="314">
        <v>0</v>
      </c>
      <c r="N267" s="314">
        <v>0</v>
      </c>
      <c r="O267" s="314">
        <f t="shared" si="37"/>
        <v>555216</v>
      </c>
      <c r="P267" s="314">
        <v>0</v>
      </c>
      <c r="Q267" s="315">
        <f t="shared" si="36"/>
        <v>1693.7644905430141</v>
      </c>
      <c r="R267" s="315">
        <v>7822</v>
      </c>
      <c r="S267" s="316">
        <v>43100</v>
      </c>
    </row>
    <row r="268" spans="1:19" s="1" customFormat="1" ht="31.2">
      <c r="A268" s="308">
        <v>31</v>
      </c>
      <c r="B268" s="337" t="s">
        <v>628</v>
      </c>
      <c r="C268" s="310">
        <v>1966</v>
      </c>
      <c r="D268" s="310"/>
      <c r="E268" s="311" t="s">
        <v>218</v>
      </c>
      <c r="F268" s="310">
        <v>2</v>
      </c>
      <c r="G268" s="310">
        <v>2</v>
      </c>
      <c r="H268" s="312">
        <v>434</v>
      </c>
      <c r="I268" s="310">
        <v>396.4</v>
      </c>
      <c r="J268" s="362">
        <v>396.4</v>
      </c>
      <c r="K268" s="313">
        <v>12</v>
      </c>
      <c r="L268" s="314">
        <v>764717</v>
      </c>
      <c r="M268" s="314">
        <v>0</v>
      </c>
      <c r="N268" s="314">
        <v>0</v>
      </c>
      <c r="O268" s="314">
        <f t="shared" si="37"/>
        <v>764717</v>
      </c>
      <c r="P268" s="314">
        <v>0</v>
      </c>
      <c r="Q268" s="315">
        <f t="shared" si="36"/>
        <v>1929.1548940464179</v>
      </c>
      <c r="R268" s="315">
        <v>7822</v>
      </c>
      <c r="S268" s="316">
        <v>43100</v>
      </c>
    </row>
    <row r="269" spans="1:19" s="1" customFormat="1" ht="15.75" customHeight="1">
      <c r="A269" s="107"/>
      <c r="B269" s="1450" t="s">
        <v>41</v>
      </c>
      <c r="C269" s="1450"/>
      <c r="D269" s="1450"/>
      <c r="E269" s="1450"/>
      <c r="F269" s="1450"/>
      <c r="G269" s="1450"/>
      <c r="H269" s="111">
        <f>H270</f>
        <v>21724.199999999997</v>
      </c>
      <c r="I269" s="111">
        <f t="shared" ref="I269:P269" si="38">I270</f>
        <v>17960.030000000002</v>
      </c>
      <c r="J269" s="111">
        <f t="shared" si="38"/>
        <v>16982.93</v>
      </c>
      <c r="K269" s="112">
        <f t="shared" si="38"/>
        <v>832</v>
      </c>
      <c r="L269" s="113">
        <f t="shared" si="38"/>
        <v>22562280</v>
      </c>
      <c r="M269" s="113">
        <f t="shared" si="38"/>
        <v>0</v>
      </c>
      <c r="N269" s="113">
        <f t="shared" si="38"/>
        <v>0</v>
      </c>
      <c r="O269" s="113">
        <f t="shared" si="38"/>
        <v>22562280</v>
      </c>
      <c r="P269" s="113">
        <f t="shared" si="38"/>
        <v>0</v>
      </c>
      <c r="Q269" s="114" t="s">
        <v>40</v>
      </c>
      <c r="R269" s="126" t="s">
        <v>40</v>
      </c>
      <c r="S269" s="316">
        <v>43100</v>
      </c>
    </row>
    <row r="270" spans="1:19" s="1" customFormat="1" ht="30.6" customHeight="1">
      <c r="A270" s="107"/>
      <c r="B270" s="1451" t="s">
        <v>96</v>
      </c>
      <c r="C270" s="1451"/>
      <c r="D270" s="1450"/>
      <c r="E270" s="1450"/>
      <c r="F270" s="1451"/>
      <c r="G270" s="1451"/>
      <c r="H270" s="628">
        <f>SUM(H271:H280)</f>
        <v>21724.199999999997</v>
      </c>
      <c r="I270" s="628">
        <f>SUM(I271:I280)</f>
        <v>17960.030000000002</v>
      </c>
      <c r="J270" s="628">
        <f>SUM(J271:J280)</f>
        <v>16982.93</v>
      </c>
      <c r="K270" s="112">
        <f>SUM(K271:K280)</f>
        <v>832</v>
      </c>
      <c r="L270" s="658">
        <f>SUM(L271:L280)</f>
        <v>22562280</v>
      </c>
      <c r="M270" s="113">
        <f t="shared" ref="M270:P270" si="39">SUM(M271:M280)</f>
        <v>0</v>
      </c>
      <c r="N270" s="113">
        <f t="shared" si="39"/>
        <v>0</v>
      </c>
      <c r="O270" s="113">
        <f t="shared" si="39"/>
        <v>22562280</v>
      </c>
      <c r="P270" s="113">
        <f t="shared" si="39"/>
        <v>0</v>
      </c>
      <c r="Q270" s="114" t="s">
        <v>40</v>
      </c>
      <c r="R270" s="126" t="s">
        <v>40</v>
      </c>
      <c r="S270" s="316">
        <v>43100</v>
      </c>
    </row>
    <row r="271" spans="1:19" s="1" customFormat="1" ht="31.2">
      <c r="A271" s="631">
        <f>A2517+1</f>
        <v>1</v>
      </c>
      <c r="B271" s="762" t="s">
        <v>813</v>
      </c>
      <c r="C271" s="764">
        <v>1966</v>
      </c>
      <c r="D271" s="761"/>
      <c r="E271" s="611" t="s">
        <v>218</v>
      </c>
      <c r="F271" s="769">
        <v>5</v>
      </c>
      <c r="G271" s="769">
        <v>2</v>
      </c>
      <c r="H271" s="767">
        <v>2171.1999999999998</v>
      </c>
      <c r="I271" s="767">
        <v>1607.3</v>
      </c>
      <c r="J271" s="767">
        <f>I271-30.6</f>
        <v>1576.7</v>
      </c>
      <c r="K271" s="770">
        <v>64</v>
      </c>
      <c r="L271" s="773">
        <v>2342562</v>
      </c>
      <c r="M271" s="655">
        <v>0</v>
      </c>
      <c r="N271" s="113">
        <v>0</v>
      </c>
      <c r="O271" s="113">
        <f>L271</f>
        <v>2342562</v>
      </c>
      <c r="P271" s="113">
        <v>0</v>
      </c>
      <c r="Q271" s="114">
        <f>L271/I271</f>
        <v>1457.4516269520313</v>
      </c>
      <c r="R271" s="114">
        <v>7822</v>
      </c>
      <c r="S271" s="316">
        <v>43100</v>
      </c>
    </row>
    <row r="272" spans="1:19" s="1" customFormat="1" ht="31.2">
      <c r="A272" s="631">
        <f t="shared" si="30"/>
        <v>2</v>
      </c>
      <c r="B272" s="762" t="s">
        <v>814</v>
      </c>
      <c r="C272" s="764">
        <v>1933</v>
      </c>
      <c r="D272" s="761"/>
      <c r="E272" s="611" t="s">
        <v>218</v>
      </c>
      <c r="F272" s="769">
        <v>3</v>
      </c>
      <c r="G272" s="769">
        <v>3</v>
      </c>
      <c r="H272" s="767">
        <v>2335.1</v>
      </c>
      <c r="I272" s="767">
        <v>1526.5</v>
      </c>
      <c r="J272" s="767">
        <f>I272-173.6</f>
        <v>1352.9</v>
      </c>
      <c r="K272" s="770">
        <v>90</v>
      </c>
      <c r="L272" s="773">
        <v>2815415</v>
      </c>
      <c r="M272" s="655">
        <v>0</v>
      </c>
      <c r="N272" s="113">
        <v>0</v>
      </c>
      <c r="O272" s="113">
        <f t="shared" ref="O272:O278" si="40">L272</f>
        <v>2815415</v>
      </c>
      <c r="P272" s="113">
        <v>0</v>
      </c>
      <c r="Q272" s="114">
        <f>L272/I272</f>
        <v>1844.3596462495905</v>
      </c>
      <c r="R272" s="114">
        <v>7822</v>
      </c>
      <c r="S272" s="316">
        <v>43100</v>
      </c>
    </row>
    <row r="273" spans="1:34" s="1" customFormat="1" ht="31.2">
      <c r="A273" s="631">
        <f>A272+1</f>
        <v>3</v>
      </c>
      <c r="B273" s="762" t="s">
        <v>815</v>
      </c>
      <c r="C273" s="764">
        <v>1964</v>
      </c>
      <c r="D273" s="761"/>
      <c r="E273" s="611" t="s">
        <v>218</v>
      </c>
      <c r="F273" s="769">
        <v>5</v>
      </c>
      <c r="G273" s="769">
        <v>4</v>
      </c>
      <c r="H273" s="767">
        <v>5031</v>
      </c>
      <c r="I273" s="767">
        <v>3189.4</v>
      </c>
      <c r="J273" s="767">
        <f>I273-83.7</f>
        <v>3105.7000000000003</v>
      </c>
      <c r="K273" s="770">
        <v>112</v>
      </c>
      <c r="L273" s="773">
        <v>3917668</v>
      </c>
      <c r="M273" s="655">
        <v>0</v>
      </c>
      <c r="N273" s="113">
        <v>0</v>
      </c>
      <c r="O273" s="113">
        <f t="shared" si="40"/>
        <v>3917668</v>
      </c>
      <c r="P273" s="113">
        <v>0</v>
      </c>
      <c r="Q273" s="114">
        <f>L273/I273</f>
        <v>1228.340126669593</v>
      </c>
      <c r="R273" s="114">
        <v>7822</v>
      </c>
      <c r="S273" s="316">
        <v>43100</v>
      </c>
    </row>
    <row r="274" spans="1:34" s="1" customFormat="1" ht="31.2">
      <c r="A274" s="631">
        <v>4</v>
      </c>
      <c r="B274" s="762" t="s">
        <v>816</v>
      </c>
      <c r="C274" s="764">
        <v>1990</v>
      </c>
      <c r="D274" s="761"/>
      <c r="E274" s="611" t="s">
        <v>218</v>
      </c>
      <c r="F274" s="769">
        <v>5</v>
      </c>
      <c r="G274" s="769">
        <v>6</v>
      </c>
      <c r="H274" s="767">
        <v>4196.8999999999996</v>
      </c>
      <c r="I274" s="767">
        <v>4190</v>
      </c>
      <c r="J274" s="767">
        <f>I274-170.3</f>
        <v>4019.7</v>
      </c>
      <c r="K274" s="770">
        <v>204</v>
      </c>
      <c r="L274" s="773">
        <v>3136577</v>
      </c>
      <c r="M274" s="655">
        <v>0</v>
      </c>
      <c r="N274" s="113">
        <v>0</v>
      </c>
      <c r="O274" s="113">
        <f t="shared" si="40"/>
        <v>3136577</v>
      </c>
      <c r="P274" s="113">
        <v>0</v>
      </c>
      <c r="Q274" s="114">
        <f t="shared" ref="Q274:Q278" si="41">L274/I274</f>
        <v>748.5863961813842</v>
      </c>
      <c r="R274" s="114">
        <v>7822</v>
      </c>
      <c r="S274" s="316">
        <v>43100</v>
      </c>
    </row>
    <row r="275" spans="1:34" s="1" customFormat="1" ht="31.2">
      <c r="A275" s="631">
        <f t="shared" ref="A275:A279" si="42">A274+1</f>
        <v>5</v>
      </c>
      <c r="B275" s="762" t="s">
        <v>817</v>
      </c>
      <c r="C275" s="764"/>
      <c r="D275" s="761"/>
      <c r="E275" s="611" t="s">
        <v>218</v>
      </c>
      <c r="F275" s="769">
        <v>2</v>
      </c>
      <c r="G275" s="769">
        <v>2</v>
      </c>
      <c r="H275" s="767">
        <v>587.9</v>
      </c>
      <c r="I275" s="767">
        <v>541.4</v>
      </c>
      <c r="J275" s="767">
        <f>I275-226.8</f>
        <v>314.59999999999997</v>
      </c>
      <c r="K275" s="770">
        <v>42</v>
      </c>
      <c r="L275" s="773">
        <v>1046329</v>
      </c>
      <c r="M275" s="655">
        <v>0</v>
      </c>
      <c r="N275" s="113">
        <v>0</v>
      </c>
      <c r="O275" s="113">
        <f t="shared" si="40"/>
        <v>1046329</v>
      </c>
      <c r="P275" s="113">
        <v>0</v>
      </c>
      <c r="Q275" s="114">
        <f t="shared" si="41"/>
        <v>1932.6357591429628</v>
      </c>
      <c r="R275" s="114">
        <v>7822</v>
      </c>
      <c r="S275" s="316">
        <v>43100</v>
      </c>
    </row>
    <row r="276" spans="1:34" s="1" customFormat="1" ht="31.2">
      <c r="A276" s="631">
        <f t="shared" si="42"/>
        <v>6</v>
      </c>
      <c r="B276" s="762" t="s">
        <v>818</v>
      </c>
      <c r="C276" s="764">
        <v>1955</v>
      </c>
      <c r="D276" s="761"/>
      <c r="E276" s="611" t="s">
        <v>218</v>
      </c>
      <c r="F276" s="769">
        <v>3</v>
      </c>
      <c r="G276" s="769">
        <v>2</v>
      </c>
      <c r="H276" s="767">
        <v>1065.8</v>
      </c>
      <c r="I276" s="767">
        <v>959.8</v>
      </c>
      <c r="J276" s="767">
        <f>I276-123.4</f>
        <v>836.4</v>
      </c>
      <c r="K276" s="770">
        <v>38</v>
      </c>
      <c r="L276" s="773">
        <v>2290833</v>
      </c>
      <c r="M276" s="655">
        <v>0</v>
      </c>
      <c r="N276" s="113">
        <v>0</v>
      </c>
      <c r="O276" s="113">
        <f t="shared" si="40"/>
        <v>2290833</v>
      </c>
      <c r="P276" s="113">
        <v>0</v>
      </c>
      <c r="Q276" s="114">
        <f t="shared" si="41"/>
        <v>2386.7816211710774</v>
      </c>
      <c r="R276" s="114">
        <v>7822</v>
      </c>
      <c r="S276" s="316">
        <v>43100</v>
      </c>
    </row>
    <row r="277" spans="1:34" s="1" customFormat="1" ht="31.2">
      <c r="A277" s="631">
        <v>7</v>
      </c>
      <c r="B277" s="762" t="s">
        <v>819</v>
      </c>
      <c r="C277" s="764">
        <v>1952</v>
      </c>
      <c r="D277" s="761"/>
      <c r="E277" s="611" t="s">
        <v>218</v>
      </c>
      <c r="F277" s="769">
        <v>3</v>
      </c>
      <c r="G277" s="769">
        <v>2</v>
      </c>
      <c r="H277" s="767">
        <v>924.5</v>
      </c>
      <c r="I277" s="767">
        <v>878.6</v>
      </c>
      <c r="J277" s="767">
        <f>I277-65.6</f>
        <v>813</v>
      </c>
      <c r="K277" s="770">
        <v>37</v>
      </c>
      <c r="L277" s="773">
        <v>1932078</v>
      </c>
      <c r="M277" s="655">
        <v>0</v>
      </c>
      <c r="N277" s="113">
        <v>0</v>
      </c>
      <c r="O277" s="113">
        <f>L277</f>
        <v>1932078</v>
      </c>
      <c r="P277" s="113">
        <v>0</v>
      </c>
      <c r="Q277" s="114">
        <f t="shared" si="41"/>
        <v>2199.0416571818801</v>
      </c>
      <c r="R277" s="114">
        <v>7822</v>
      </c>
      <c r="S277" s="316">
        <v>43100</v>
      </c>
    </row>
    <row r="278" spans="1:34" s="1" customFormat="1" ht="31.2">
      <c r="A278" s="631">
        <f t="shared" si="42"/>
        <v>8</v>
      </c>
      <c r="B278" s="762" t="s">
        <v>820</v>
      </c>
      <c r="C278" s="764">
        <v>1973</v>
      </c>
      <c r="D278" s="761"/>
      <c r="E278" s="611" t="s">
        <v>218</v>
      </c>
      <c r="F278" s="769">
        <v>5</v>
      </c>
      <c r="G278" s="769">
        <v>6</v>
      </c>
      <c r="H278" s="767">
        <v>4335.5</v>
      </c>
      <c r="I278" s="767">
        <v>4074.77</v>
      </c>
      <c r="J278" s="767">
        <f>I278-103.1</f>
        <v>3971.67</v>
      </c>
      <c r="K278" s="770">
        <v>197</v>
      </c>
      <c r="L278" s="773">
        <v>3354962</v>
      </c>
      <c r="M278" s="655">
        <v>0</v>
      </c>
      <c r="N278" s="113">
        <v>0</v>
      </c>
      <c r="O278" s="113">
        <f t="shared" si="40"/>
        <v>3354962</v>
      </c>
      <c r="P278" s="113">
        <v>0</v>
      </c>
      <c r="Q278" s="114">
        <f t="shared" si="41"/>
        <v>823.35002957222127</v>
      </c>
      <c r="R278" s="114">
        <v>7822</v>
      </c>
      <c r="S278" s="316">
        <v>43100</v>
      </c>
    </row>
    <row r="279" spans="1:34" s="1" customFormat="1" ht="15.6">
      <c r="A279" s="631">
        <f t="shared" si="42"/>
        <v>9</v>
      </c>
      <c r="B279" s="762" t="s">
        <v>821</v>
      </c>
      <c r="C279" s="764">
        <v>1933</v>
      </c>
      <c r="D279" s="761"/>
      <c r="E279" s="611" t="s">
        <v>824</v>
      </c>
      <c r="F279" s="769">
        <v>2</v>
      </c>
      <c r="G279" s="769">
        <v>2</v>
      </c>
      <c r="H279" s="767">
        <v>447.8</v>
      </c>
      <c r="I279" s="767">
        <v>365.06</v>
      </c>
      <c r="J279" s="767">
        <f>I279</f>
        <v>365.06</v>
      </c>
      <c r="K279" s="770">
        <v>18</v>
      </c>
      <c r="L279" s="773">
        <v>280050</v>
      </c>
      <c r="M279" s="655">
        <v>0</v>
      </c>
      <c r="N279" s="113">
        <v>0</v>
      </c>
      <c r="O279" s="113">
        <f>L279</f>
        <v>280050</v>
      </c>
      <c r="P279" s="113">
        <v>0</v>
      </c>
      <c r="Q279" s="114">
        <f>L279/I279</f>
        <v>767.13416972552454</v>
      </c>
      <c r="R279" s="114">
        <v>7822</v>
      </c>
      <c r="S279" s="316">
        <v>43100</v>
      </c>
    </row>
    <row r="280" spans="1:34" s="1" customFormat="1" ht="31.2">
      <c r="A280" s="631">
        <v>10</v>
      </c>
      <c r="B280" s="763" t="s">
        <v>822</v>
      </c>
      <c r="C280" s="656">
        <v>1969</v>
      </c>
      <c r="D280" s="761"/>
      <c r="E280" s="611" t="s">
        <v>823</v>
      </c>
      <c r="F280" s="131">
        <v>2</v>
      </c>
      <c r="G280" s="131">
        <v>2</v>
      </c>
      <c r="H280" s="768">
        <v>628.5</v>
      </c>
      <c r="I280" s="768">
        <v>627.20000000000005</v>
      </c>
      <c r="J280" s="768">
        <f>I280</f>
        <v>627.20000000000005</v>
      </c>
      <c r="K280" s="770">
        <v>30</v>
      </c>
      <c r="L280" s="772">
        <v>1445806</v>
      </c>
      <c r="M280" s="655">
        <v>0</v>
      </c>
      <c r="N280" s="113">
        <v>0</v>
      </c>
      <c r="O280" s="113">
        <f>L280</f>
        <v>1445806</v>
      </c>
      <c r="P280" s="113">
        <v>0</v>
      </c>
      <c r="Q280" s="114">
        <f>L280/I280</f>
        <v>2305.1753826530612</v>
      </c>
      <c r="R280" s="114">
        <v>7822</v>
      </c>
      <c r="S280" s="316">
        <v>43100</v>
      </c>
    </row>
    <row r="281" spans="1:34" s="1" customFormat="1" ht="15.6">
      <c r="A281" s="107"/>
      <c r="B281" s="1452" t="s">
        <v>68</v>
      </c>
      <c r="C281" s="1452"/>
      <c r="D281" s="1411"/>
      <c r="E281" s="1411"/>
      <c r="F281" s="1452"/>
      <c r="G281" s="1452"/>
      <c r="H281" s="765">
        <f>H282</f>
        <v>362.9</v>
      </c>
      <c r="I281" s="766">
        <f t="shared" ref="I281:P281" si="43">I282</f>
        <v>247.4</v>
      </c>
      <c r="J281" s="766">
        <f t="shared" si="43"/>
        <v>159.80000000000001</v>
      </c>
      <c r="K281" s="119">
        <f t="shared" si="43"/>
        <v>15</v>
      </c>
      <c r="L281" s="771">
        <f t="shared" si="43"/>
        <v>241114</v>
      </c>
      <c r="M281" s="113">
        <f t="shared" si="43"/>
        <v>0</v>
      </c>
      <c r="N281" s="113">
        <f t="shared" si="43"/>
        <v>0</v>
      </c>
      <c r="O281" s="113">
        <f t="shared" si="43"/>
        <v>241114</v>
      </c>
      <c r="P281" s="113">
        <f t="shared" si="43"/>
        <v>0</v>
      </c>
      <c r="Q281" s="106" t="s">
        <v>40</v>
      </c>
      <c r="R281" s="106" t="s">
        <v>40</v>
      </c>
      <c r="S281" s="316">
        <v>43100</v>
      </c>
    </row>
    <row r="282" spans="1:34" s="1" customFormat="1" ht="15.75" customHeight="1">
      <c r="A282" s="107"/>
      <c r="B282" s="1413" t="s">
        <v>97</v>
      </c>
      <c r="C282" s="1413"/>
      <c r="D282" s="1413"/>
      <c r="E282" s="1413"/>
      <c r="F282" s="1413"/>
      <c r="G282" s="1413"/>
      <c r="H282" s="128">
        <f>H283</f>
        <v>362.9</v>
      </c>
      <c r="I282" s="106">
        <f t="shared" ref="I282:P282" si="44">I283</f>
        <v>247.4</v>
      </c>
      <c r="J282" s="106">
        <f t="shared" si="44"/>
        <v>159.80000000000001</v>
      </c>
      <c r="K282" s="119">
        <f t="shared" si="44"/>
        <v>15</v>
      </c>
      <c r="L282" s="113">
        <f t="shared" si="44"/>
        <v>241114</v>
      </c>
      <c r="M282" s="113">
        <f t="shared" si="44"/>
        <v>0</v>
      </c>
      <c r="N282" s="113">
        <f t="shared" si="44"/>
        <v>0</v>
      </c>
      <c r="O282" s="113">
        <f t="shared" si="44"/>
        <v>241114</v>
      </c>
      <c r="P282" s="113">
        <f t="shared" si="44"/>
        <v>0</v>
      </c>
      <c r="Q282" s="106" t="s">
        <v>40</v>
      </c>
      <c r="R282" s="106" t="s">
        <v>40</v>
      </c>
      <c r="S282" s="316">
        <v>43100</v>
      </c>
    </row>
    <row r="283" spans="1:34" s="1" customFormat="1" ht="31.2">
      <c r="A283" s="308">
        <f>A280+1</f>
        <v>11</v>
      </c>
      <c r="B283" s="363" t="s">
        <v>505</v>
      </c>
      <c r="C283" s="346">
        <v>1946</v>
      </c>
      <c r="D283" s="346"/>
      <c r="E283" s="311" t="s">
        <v>218</v>
      </c>
      <c r="F283" s="346">
        <v>2</v>
      </c>
      <c r="G283" s="346">
        <v>1</v>
      </c>
      <c r="H283" s="347">
        <v>362.9</v>
      </c>
      <c r="I283" s="350">
        <v>247.4</v>
      </c>
      <c r="J283" s="350">
        <v>159.80000000000001</v>
      </c>
      <c r="K283" s="349">
        <v>15</v>
      </c>
      <c r="L283" s="314">
        <v>241114</v>
      </c>
      <c r="M283" s="314">
        <v>0</v>
      </c>
      <c r="N283" s="314">
        <v>0</v>
      </c>
      <c r="O283" s="314">
        <v>241114</v>
      </c>
      <c r="P283" s="314">
        <v>0</v>
      </c>
      <c r="Q283" s="350">
        <f>L283/I283</f>
        <v>974.591754244139</v>
      </c>
      <c r="R283" s="315">
        <v>7822</v>
      </c>
      <c r="S283" s="316">
        <v>43100</v>
      </c>
    </row>
    <row r="284" spans="1:34" s="16" customFormat="1" ht="15.6">
      <c r="A284" s="107"/>
      <c r="B284" s="1411" t="s">
        <v>43</v>
      </c>
      <c r="C284" s="1411"/>
      <c r="D284" s="1411"/>
      <c r="E284" s="1411"/>
      <c r="F284" s="1411"/>
      <c r="G284" s="1411"/>
      <c r="H284" s="106">
        <f>H285+H300</f>
        <v>23164.559999999998</v>
      </c>
      <c r="I284" s="106">
        <f t="shared" ref="I284:L284" si="45">I285+I300</f>
        <v>21134.959999999999</v>
      </c>
      <c r="J284" s="106">
        <f t="shared" si="45"/>
        <v>19251.09</v>
      </c>
      <c r="K284" s="119">
        <f>K285+K300</f>
        <v>853</v>
      </c>
      <c r="L284" s="113">
        <f t="shared" si="45"/>
        <v>23032470</v>
      </c>
      <c r="M284" s="113">
        <f t="shared" ref="M284" si="46">M285+M300</f>
        <v>0</v>
      </c>
      <c r="N284" s="113">
        <f t="shared" ref="N284" si="47">N285+N300</f>
        <v>1400000</v>
      </c>
      <c r="O284" s="113">
        <f t="shared" ref="O284:P284" si="48">O285+O300</f>
        <v>21632470</v>
      </c>
      <c r="P284" s="113">
        <f t="shared" si="48"/>
        <v>0</v>
      </c>
      <c r="Q284" s="106" t="s">
        <v>40</v>
      </c>
      <c r="R284" s="106" t="s">
        <v>40</v>
      </c>
      <c r="S284" s="316">
        <v>43100</v>
      </c>
    </row>
    <row r="285" spans="1:34" s="10" customFormat="1" ht="15.75" customHeight="1">
      <c r="A285" s="107"/>
      <c r="B285" s="1413" t="s">
        <v>125</v>
      </c>
      <c r="C285" s="1413"/>
      <c r="D285" s="1413"/>
      <c r="E285" s="1413"/>
      <c r="F285" s="1413"/>
      <c r="G285" s="1413"/>
      <c r="H285" s="128">
        <f t="shared" ref="H285:M285" si="49">SUM(H286:H299)</f>
        <v>20106.559999999998</v>
      </c>
      <c r="I285" s="106">
        <f t="shared" si="49"/>
        <v>18426.259999999998</v>
      </c>
      <c r="J285" s="106">
        <f t="shared" si="49"/>
        <v>16665.189999999999</v>
      </c>
      <c r="K285" s="119">
        <f t="shared" si="49"/>
        <v>735</v>
      </c>
      <c r="L285" s="113">
        <f t="shared" si="49"/>
        <v>20696312</v>
      </c>
      <c r="M285" s="113">
        <f t="shared" si="49"/>
        <v>0</v>
      </c>
      <c r="N285" s="113">
        <f t="shared" ref="N285:O285" si="50">SUM(N286:N299)</f>
        <v>0</v>
      </c>
      <c r="O285" s="113">
        <f t="shared" si="50"/>
        <v>20696312</v>
      </c>
      <c r="P285" s="113">
        <f>SUM(P286:P302)</f>
        <v>0</v>
      </c>
      <c r="Q285" s="106" t="s">
        <v>40</v>
      </c>
      <c r="R285" s="106" t="s">
        <v>40</v>
      </c>
      <c r="S285" s="316">
        <v>43100</v>
      </c>
    </row>
    <row r="286" spans="1:34" s="40" customFormat="1" ht="15.6">
      <c r="A286" s="107"/>
      <c r="B286" s="130" t="s">
        <v>405</v>
      </c>
      <c r="C286" s="131">
        <v>1979</v>
      </c>
      <c r="D286" s="132"/>
      <c r="E286" s="109" t="s">
        <v>219</v>
      </c>
      <c r="F286" s="131">
        <v>5</v>
      </c>
      <c r="G286" s="131">
        <v>6</v>
      </c>
      <c r="H286" s="133">
        <v>4364.1000000000004</v>
      </c>
      <c r="I286" s="131">
        <v>3933.3</v>
      </c>
      <c r="J286" s="131">
        <v>3786.33</v>
      </c>
      <c r="K286" s="123">
        <v>163</v>
      </c>
      <c r="L286" s="113">
        <v>2301804</v>
      </c>
      <c r="M286" s="113">
        <v>0</v>
      </c>
      <c r="N286" s="113">
        <v>0</v>
      </c>
      <c r="O286" s="113">
        <f t="shared" ref="O286:O299" si="51">L286</f>
        <v>2301804</v>
      </c>
      <c r="P286" s="113">
        <v>0</v>
      </c>
      <c r="Q286" s="134">
        <f>L286/I286</f>
        <v>585.2093661810693</v>
      </c>
      <c r="R286" s="114">
        <v>6774</v>
      </c>
      <c r="S286" s="316">
        <v>43100</v>
      </c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</row>
    <row r="287" spans="1:34" s="41" customFormat="1" ht="31.2">
      <c r="A287" s="107"/>
      <c r="B287" s="120" t="s">
        <v>393</v>
      </c>
      <c r="C287" s="109">
        <v>1976</v>
      </c>
      <c r="D287" s="109"/>
      <c r="E287" s="109" t="s">
        <v>218</v>
      </c>
      <c r="F287" s="135">
        <v>5</v>
      </c>
      <c r="G287" s="109">
        <v>6</v>
      </c>
      <c r="H287" s="136">
        <v>4869.8</v>
      </c>
      <c r="I287" s="137">
        <v>4494.8</v>
      </c>
      <c r="J287" s="137">
        <v>3910.1</v>
      </c>
      <c r="K287" s="138">
        <v>161</v>
      </c>
      <c r="L287" s="113">
        <v>1743478</v>
      </c>
      <c r="M287" s="113">
        <v>0</v>
      </c>
      <c r="N287" s="113">
        <v>0</v>
      </c>
      <c r="O287" s="113">
        <f t="shared" si="51"/>
        <v>1743478</v>
      </c>
      <c r="P287" s="113">
        <v>0</v>
      </c>
      <c r="Q287" s="139">
        <f>L287/I287</f>
        <v>387.88778143632641</v>
      </c>
      <c r="R287" s="102">
        <v>6774</v>
      </c>
      <c r="S287" s="316">
        <v>43100</v>
      </c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</row>
    <row r="288" spans="1:34" s="41" customFormat="1" ht="31.2">
      <c r="A288" s="107"/>
      <c r="B288" s="140" t="s">
        <v>406</v>
      </c>
      <c r="C288" s="132">
        <v>2005</v>
      </c>
      <c r="D288" s="132"/>
      <c r="E288" s="109" t="s">
        <v>218</v>
      </c>
      <c r="F288" s="131">
        <v>2</v>
      </c>
      <c r="G288" s="131">
        <v>2</v>
      </c>
      <c r="H288" s="133">
        <v>2170.6999999999998</v>
      </c>
      <c r="I288" s="125">
        <v>1890.5</v>
      </c>
      <c r="J288" s="125">
        <v>1756.6</v>
      </c>
      <c r="K288" s="123">
        <v>72</v>
      </c>
      <c r="L288" s="113">
        <v>2485001</v>
      </c>
      <c r="M288" s="113">
        <v>0</v>
      </c>
      <c r="N288" s="113">
        <v>0</v>
      </c>
      <c r="O288" s="113">
        <f t="shared" si="51"/>
        <v>2485001</v>
      </c>
      <c r="P288" s="113">
        <v>0</v>
      </c>
      <c r="Q288" s="126">
        <f>L288/I288</f>
        <v>1314.4676011637132</v>
      </c>
      <c r="R288" s="114">
        <v>6774</v>
      </c>
      <c r="S288" s="316">
        <v>43100</v>
      </c>
    </row>
    <row r="289" spans="1:34" s="41" customFormat="1" ht="31.2">
      <c r="A289" s="107"/>
      <c r="B289" s="130" t="s">
        <v>402</v>
      </c>
      <c r="C289" s="131">
        <v>1961</v>
      </c>
      <c r="D289" s="132"/>
      <c r="E289" s="109" t="s">
        <v>218</v>
      </c>
      <c r="F289" s="131">
        <v>2</v>
      </c>
      <c r="G289" s="132">
        <v>3</v>
      </c>
      <c r="H289" s="141">
        <v>662.8</v>
      </c>
      <c r="I289" s="142">
        <v>612.6</v>
      </c>
      <c r="J289" s="142">
        <v>517</v>
      </c>
      <c r="K289" s="143">
        <v>32</v>
      </c>
      <c r="L289" s="113">
        <v>1237591</v>
      </c>
      <c r="M289" s="113">
        <v>0</v>
      </c>
      <c r="N289" s="113">
        <v>0</v>
      </c>
      <c r="O289" s="113">
        <f t="shared" si="51"/>
        <v>1237591</v>
      </c>
      <c r="P289" s="113">
        <v>0</v>
      </c>
      <c r="Q289" s="144">
        <f>L289/I289</f>
        <v>2020.2269017303297</v>
      </c>
      <c r="R289" s="114">
        <v>6774</v>
      </c>
      <c r="S289" s="316">
        <v>43100</v>
      </c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</row>
    <row r="290" spans="1:34" s="41" customFormat="1" ht="31.2">
      <c r="A290" s="107"/>
      <c r="B290" s="145" t="s">
        <v>397</v>
      </c>
      <c r="C290" s="131">
        <v>1953</v>
      </c>
      <c r="D290" s="132"/>
      <c r="E290" s="109" t="s">
        <v>218</v>
      </c>
      <c r="F290" s="131">
        <v>2</v>
      </c>
      <c r="G290" s="132">
        <v>2</v>
      </c>
      <c r="H290" s="146">
        <v>470.96</v>
      </c>
      <c r="I290" s="147">
        <v>417.36</v>
      </c>
      <c r="J290" s="147">
        <v>356.76</v>
      </c>
      <c r="K290" s="148">
        <v>10</v>
      </c>
      <c r="L290" s="113">
        <v>1448078</v>
      </c>
      <c r="M290" s="113">
        <v>0</v>
      </c>
      <c r="N290" s="113">
        <v>0</v>
      </c>
      <c r="O290" s="113">
        <f t="shared" si="51"/>
        <v>1448078</v>
      </c>
      <c r="P290" s="113">
        <v>0</v>
      </c>
      <c r="Q290" s="144">
        <f>L290/I290</f>
        <v>3469.6137626988689</v>
      </c>
      <c r="R290" s="114">
        <v>6774</v>
      </c>
      <c r="S290" s="316">
        <v>43100</v>
      </c>
    </row>
    <row r="291" spans="1:34" s="41" customFormat="1" ht="31.2">
      <c r="A291" s="107"/>
      <c r="B291" s="145" t="s">
        <v>398</v>
      </c>
      <c r="C291" s="131">
        <v>1954</v>
      </c>
      <c r="D291" s="132"/>
      <c r="E291" s="109" t="s">
        <v>218</v>
      </c>
      <c r="F291" s="131">
        <v>2</v>
      </c>
      <c r="G291" s="132">
        <v>2</v>
      </c>
      <c r="H291" s="141">
        <v>922.3</v>
      </c>
      <c r="I291" s="142">
        <v>862.3</v>
      </c>
      <c r="J291" s="142">
        <v>862.3</v>
      </c>
      <c r="K291" s="123">
        <v>31</v>
      </c>
      <c r="L291" s="113">
        <v>1963797</v>
      </c>
      <c r="M291" s="113">
        <v>0</v>
      </c>
      <c r="N291" s="113">
        <v>0</v>
      </c>
      <c r="O291" s="113">
        <f t="shared" si="51"/>
        <v>1963797</v>
      </c>
      <c r="P291" s="113">
        <v>0</v>
      </c>
      <c r="Q291" s="144">
        <f xml:space="preserve"> L291/I291</f>
        <v>2277.3941783601995</v>
      </c>
      <c r="R291" s="114">
        <v>6774</v>
      </c>
      <c r="S291" s="316">
        <v>43100</v>
      </c>
    </row>
    <row r="292" spans="1:34" s="42" customFormat="1" ht="31.2">
      <c r="A292" s="107"/>
      <c r="B292" s="145" t="s">
        <v>399</v>
      </c>
      <c r="C292" s="131">
        <v>1961</v>
      </c>
      <c r="D292" s="132"/>
      <c r="E292" s="109" t="s">
        <v>218</v>
      </c>
      <c r="F292" s="131">
        <v>4</v>
      </c>
      <c r="G292" s="132">
        <v>4</v>
      </c>
      <c r="H292" s="133">
        <v>2386.6</v>
      </c>
      <c r="I292" s="125">
        <v>2260.4</v>
      </c>
      <c r="J292" s="125">
        <v>2024.9</v>
      </c>
      <c r="K292" s="123">
        <v>66</v>
      </c>
      <c r="L292" s="113">
        <v>2119530</v>
      </c>
      <c r="M292" s="113">
        <v>0</v>
      </c>
      <c r="N292" s="113">
        <v>0</v>
      </c>
      <c r="O292" s="113">
        <f t="shared" si="51"/>
        <v>2119530</v>
      </c>
      <c r="P292" s="113">
        <v>0</v>
      </c>
      <c r="Q292" s="144">
        <f t="shared" ref="Q292:Q299" si="52">L292/I292</f>
        <v>937.67917182799499</v>
      </c>
      <c r="R292" s="114">
        <v>6774</v>
      </c>
      <c r="S292" s="316">
        <v>43100</v>
      </c>
    </row>
    <row r="293" spans="1:34" s="42" customFormat="1" ht="31.2">
      <c r="A293" s="107"/>
      <c r="B293" s="130" t="s">
        <v>403</v>
      </c>
      <c r="C293" s="131">
        <v>1956</v>
      </c>
      <c r="D293" s="132"/>
      <c r="E293" s="109" t="s">
        <v>218</v>
      </c>
      <c r="F293" s="131">
        <v>2</v>
      </c>
      <c r="G293" s="132">
        <v>2</v>
      </c>
      <c r="H293" s="149">
        <v>833.9</v>
      </c>
      <c r="I293" s="142">
        <v>785.9</v>
      </c>
      <c r="J293" s="142">
        <v>675</v>
      </c>
      <c r="K293" s="143">
        <v>32</v>
      </c>
      <c r="L293" s="113">
        <v>1098163</v>
      </c>
      <c r="M293" s="113">
        <v>0</v>
      </c>
      <c r="N293" s="113">
        <v>0</v>
      </c>
      <c r="O293" s="113">
        <f t="shared" si="51"/>
        <v>1098163</v>
      </c>
      <c r="P293" s="113">
        <v>0</v>
      </c>
      <c r="Q293" s="144">
        <f t="shared" si="52"/>
        <v>1397.3317215930781</v>
      </c>
      <c r="R293" s="114">
        <v>6774</v>
      </c>
      <c r="S293" s="316">
        <v>43100</v>
      </c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</row>
    <row r="294" spans="1:34" s="42" customFormat="1" ht="31.2">
      <c r="A294" s="107"/>
      <c r="B294" s="130" t="s">
        <v>404</v>
      </c>
      <c r="C294" s="131">
        <v>1959</v>
      </c>
      <c r="D294" s="132"/>
      <c r="E294" s="109" t="s">
        <v>218</v>
      </c>
      <c r="F294" s="131">
        <v>2</v>
      </c>
      <c r="G294" s="132">
        <v>3</v>
      </c>
      <c r="H294" s="150">
        <v>640.5</v>
      </c>
      <c r="I294" s="147">
        <v>621.79999999999995</v>
      </c>
      <c r="J294" s="147">
        <v>490.9</v>
      </c>
      <c r="K294" s="143">
        <v>35</v>
      </c>
      <c r="L294" s="113">
        <v>1241309</v>
      </c>
      <c r="M294" s="113">
        <v>0</v>
      </c>
      <c r="N294" s="113">
        <v>0</v>
      </c>
      <c r="O294" s="113">
        <f t="shared" si="51"/>
        <v>1241309</v>
      </c>
      <c r="P294" s="113">
        <v>0</v>
      </c>
      <c r="Q294" s="144">
        <f t="shared" si="52"/>
        <v>1996.3155355419751</v>
      </c>
      <c r="R294" s="114">
        <v>6774</v>
      </c>
      <c r="S294" s="316">
        <v>43100</v>
      </c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</row>
    <row r="295" spans="1:34" s="42" customFormat="1" ht="31.2">
      <c r="A295" s="107"/>
      <c r="B295" s="130" t="s">
        <v>400</v>
      </c>
      <c r="C295" s="131">
        <v>1960</v>
      </c>
      <c r="D295" s="132"/>
      <c r="E295" s="109" t="s">
        <v>218</v>
      </c>
      <c r="F295" s="131">
        <v>2</v>
      </c>
      <c r="G295" s="132">
        <v>2</v>
      </c>
      <c r="H295" s="141">
        <v>504.1</v>
      </c>
      <c r="I295" s="142">
        <v>445.3</v>
      </c>
      <c r="J295" s="142">
        <v>373.3</v>
      </c>
      <c r="K295" s="143">
        <v>24</v>
      </c>
      <c r="L295" s="113">
        <v>1041360</v>
      </c>
      <c r="M295" s="113">
        <v>0</v>
      </c>
      <c r="N295" s="113">
        <v>0</v>
      </c>
      <c r="O295" s="113">
        <f t="shared" si="51"/>
        <v>1041360</v>
      </c>
      <c r="P295" s="113">
        <v>0</v>
      </c>
      <c r="Q295" s="144">
        <f t="shared" si="52"/>
        <v>2338.5582753200088</v>
      </c>
      <c r="R295" s="114">
        <v>6774</v>
      </c>
      <c r="S295" s="316">
        <v>43100</v>
      </c>
    </row>
    <row r="296" spans="1:34" s="44" customFormat="1" ht="31.2">
      <c r="A296" s="107"/>
      <c r="B296" s="130" t="s">
        <v>401</v>
      </c>
      <c r="C296" s="131">
        <v>1961</v>
      </c>
      <c r="D296" s="132"/>
      <c r="E296" s="109" t="s">
        <v>218</v>
      </c>
      <c r="F296" s="131">
        <v>2</v>
      </c>
      <c r="G296" s="132">
        <v>2</v>
      </c>
      <c r="H296" s="141">
        <v>506.2</v>
      </c>
      <c r="I296" s="142">
        <v>447.4</v>
      </c>
      <c r="J296" s="142">
        <f>I296</f>
        <v>447.4</v>
      </c>
      <c r="K296" s="143">
        <v>18</v>
      </c>
      <c r="L296" s="113">
        <v>1138866</v>
      </c>
      <c r="M296" s="113">
        <v>0</v>
      </c>
      <c r="N296" s="113">
        <v>0</v>
      </c>
      <c r="O296" s="113">
        <f t="shared" si="51"/>
        <v>1138866</v>
      </c>
      <c r="P296" s="113">
        <v>0</v>
      </c>
      <c r="Q296" s="144">
        <f t="shared" si="52"/>
        <v>2545.5207867679928</v>
      </c>
      <c r="R296" s="114">
        <v>6774</v>
      </c>
      <c r="S296" s="316">
        <v>43100</v>
      </c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</row>
    <row r="297" spans="1:34" s="41" customFormat="1" ht="31.2">
      <c r="A297" s="107"/>
      <c r="B297" s="145" t="s">
        <v>394</v>
      </c>
      <c r="C297" s="131">
        <v>1966</v>
      </c>
      <c r="D297" s="132"/>
      <c r="E297" s="109" t="s">
        <v>218</v>
      </c>
      <c r="F297" s="131">
        <v>2</v>
      </c>
      <c r="G297" s="132">
        <v>2</v>
      </c>
      <c r="H297" s="141">
        <v>482.5</v>
      </c>
      <c r="I297" s="142">
        <v>454.1</v>
      </c>
      <c r="J297" s="142">
        <v>370.7</v>
      </c>
      <c r="K297" s="123">
        <v>31</v>
      </c>
      <c r="L297" s="113">
        <v>848546</v>
      </c>
      <c r="M297" s="113">
        <v>0</v>
      </c>
      <c r="N297" s="113">
        <v>0</v>
      </c>
      <c r="O297" s="113">
        <f t="shared" si="51"/>
        <v>848546</v>
      </c>
      <c r="P297" s="113">
        <v>0</v>
      </c>
      <c r="Q297" s="144">
        <f t="shared" si="52"/>
        <v>1868.6324598106144</v>
      </c>
      <c r="R297" s="114">
        <v>6774</v>
      </c>
      <c r="S297" s="316">
        <v>43100</v>
      </c>
    </row>
    <row r="298" spans="1:34" s="41" customFormat="1" ht="31.2">
      <c r="A298" s="107"/>
      <c r="B298" s="145" t="s">
        <v>395</v>
      </c>
      <c r="C298" s="131">
        <v>1969</v>
      </c>
      <c r="D298" s="132"/>
      <c r="E298" s="109" t="s">
        <v>218</v>
      </c>
      <c r="F298" s="131">
        <v>2</v>
      </c>
      <c r="G298" s="132">
        <v>2</v>
      </c>
      <c r="H298" s="141">
        <v>502.6</v>
      </c>
      <c r="I298" s="151">
        <v>471</v>
      </c>
      <c r="J298" s="142">
        <v>423.8</v>
      </c>
      <c r="K298" s="123">
        <v>21</v>
      </c>
      <c r="L298" s="113">
        <v>848706</v>
      </c>
      <c r="M298" s="113">
        <v>0</v>
      </c>
      <c r="N298" s="113">
        <v>0</v>
      </c>
      <c r="O298" s="113">
        <f t="shared" si="51"/>
        <v>848706</v>
      </c>
      <c r="P298" s="113">
        <v>0</v>
      </c>
      <c r="Q298" s="144">
        <f t="shared" si="52"/>
        <v>1801.9235668789809</v>
      </c>
      <c r="R298" s="114">
        <v>6774</v>
      </c>
      <c r="S298" s="316">
        <v>43100</v>
      </c>
    </row>
    <row r="299" spans="1:34" s="41" customFormat="1" ht="31.2">
      <c r="A299" s="107"/>
      <c r="B299" s="145" t="s">
        <v>396</v>
      </c>
      <c r="C299" s="131">
        <v>1973</v>
      </c>
      <c r="D299" s="132"/>
      <c r="E299" s="109" t="s">
        <v>218</v>
      </c>
      <c r="F299" s="131">
        <v>2</v>
      </c>
      <c r="G299" s="132">
        <v>2</v>
      </c>
      <c r="H299" s="141">
        <v>789.5</v>
      </c>
      <c r="I299" s="142">
        <v>729.5</v>
      </c>
      <c r="J299" s="142">
        <v>670.1</v>
      </c>
      <c r="K299" s="123">
        <v>39</v>
      </c>
      <c r="L299" s="113">
        <v>1180083</v>
      </c>
      <c r="M299" s="113">
        <v>0</v>
      </c>
      <c r="N299" s="113">
        <v>0</v>
      </c>
      <c r="O299" s="113">
        <f t="shared" si="51"/>
        <v>1180083</v>
      </c>
      <c r="P299" s="113">
        <v>0</v>
      </c>
      <c r="Q299" s="144">
        <f t="shared" si="52"/>
        <v>1617.6600411240577</v>
      </c>
      <c r="R299" s="114">
        <v>6774</v>
      </c>
      <c r="S299" s="316">
        <v>43100</v>
      </c>
    </row>
    <row r="300" spans="1:34" s="42" customFormat="1" ht="15.75" customHeight="1">
      <c r="A300" s="107"/>
      <c r="B300" s="1413" t="s">
        <v>210</v>
      </c>
      <c r="C300" s="1413"/>
      <c r="D300" s="1413"/>
      <c r="E300" s="1413"/>
      <c r="F300" s="1413"/>
      <c r="G300" s="1413"/>
      <c r="H300" s="106">
        <f>H301+H302</f>
        <v>3058</v>
      </c>
      <c r="I300" s="106">
        <f t="shared" ref="I300:L300" si="53">I301+I302</f>
        <v>2708.7</v>
      </c>
      <c r="J300" s="106">
        <f t="shared" si="53"/>
        <v>2585.9</v>
      </c>
      <c r="K300" s="119">
        <f t="shared" si="53"/>
        <v>118</v>
      </c>
      <c r="L300" s="113">
        <f t="shared" si="53"/>
        <v>2336158</v>
      </c>
      <c r="M300" s="113">
        <f t="shared" ref="M300" si="54">M301+M302</f>
        <v>0</v>
      </c>
      <c r="N300" s="113">
        <f t="shared" ref="N300" si="55">N301+N302</f>
        <v>1400000</v>
      </c>
      <c r="O300" s="113">
        <f t="shared" ref="O300" si="56">O301+O302</f>
        <v>936158</v>
      </c>
      <c r="P300" s="113">
        <f t="shared" ref="P300" si="57">P301+P302</f>
        <v>0</v>
      </c>
      <c r="Q300" s="106" t="s">
        <v>40</v>
      </c>
      <c r="R300" s="106" t="s">
        <v>40</v>
      </c>
      <c r="S300" s="316">
        <v>43100</v>
      </c>
    </row>
    <row r="301" spans="1:34" s="42" customFormat="1" ht="16.5" customHeight="1">
      <c r="A301" s="107"/>
      <c r="B301" s="140" t="s">
        <v>407</v>
      </c>
      <c r="C301" s="132">
        <v>1986</v>
      </c>
      <c r="D301" s="132"/>
      <c r="E301" s="109" t="s">
        <v>222</v>
      </c>
      <c r="F301" s="131">
        <v>3</v>
      </c>
      <c r="G301" s="132">
        <v>3</v>
      </c>
      <c r="H301" s="152">
        <v>1529</v>
      </c>
      <c r="I301" s="153">
        <v>1345.2</v>
      </c>
      <c r="J301" s="153">
        <v>1345.2</v>
      </c>
      <c r="K301" s="143">
        <v>60</v>
      </c>
      <c r="L301" s="113">
        <f>O301+N301</f>
        <v>1168079</v>
      </c>
      <c r="M301" s="113">
        <v>0</v>
      </c>
      <c r="N301" s="113">
        <v>700000</v>
      </c>
      <c r="O301" s="113">
        <v>468079</v>
      </c>
      <c r="P301" s="113">
        <v>0</v>
      </c>
      <c r="Q301" s="144">
        <f>L301/I301</f>
        <v>868.33110318168303</v>
      </c>
      <c r="R301" s="114">
        <v>6774</v>
      </c>
      <c r="S301" s="316">
        <v>43100</v>
      </c>
    </row>
    <row r="302" spans="1:34" s="42" customFormat="1" ht="18" customHeight="1">
      <c r="A302" s="107"/>
      <c r="B302" s="140" t="s">
        <v>408</v>
      </c>
      <c r="C302" s="132">
        <v>1986</v>
      </c>
      <c r="D302" s="132"/>
      <c r="E302" s="109" t="s">
        <v>222</v>
      </c>
      <c r="F302" s="131">
        <v>3</v>
      </c>
      <c r="G302" s="132">
        <v>3</v>
      </c>
      <c r="H302" s="152">
        <v>1529</v>
      </c>
      <c r="I302" s="153">
        <v>1363.5</v>
      </c>
      <c r="J302" s="153">
        <v>1240.7</v>
      </c>
      <c r="K302" s="143">
        <v>58</v>
      </c>
      <c r="L302" s="113">
        <f>O302+N302</f>
        <v>1168079</v>
      </c>
      <c r="M302" s="113">
        <v>0</v>
      </c>
      <c r="N302" s="113">
        <v>700000</v>
      </c>
      <c r="O302" s="113">
        <v>468079</v>
      </c>
      <c r="P302" s="113">
        <v>0</v>
      </c>
      <c r="Q302" s="144">
        <f>L302/I302</f>
        <v>856.67693436010268</v>
      </c>
      <c r="R302" s="114">
        <v>6774</v>
      </c>
      <c r="S302" s="316">
        <v>43100</v>
      </c>
    </row>
    <row r="303" spans="1:34" s="1" customFormat="1" ht="15.6">
      <c r="A303" s="107"/>
      <c r="B303" s="1411" t="s">
        <v>44</v>
      </c>
      <c r="C303" s="1411"/>
      <c r="D303" s="1411"/>
      <c r="E303" s="1411"/>
      <c r="F303" s="1411"/>
      <c r="G303" s="1411"/>
      <c r="H303" s="128">
        <f>H304</f>
        <v>1753.9</v>
      </c>
      <c r="I303" s="106">
        <f t="shared" ref="I303:P303" si="58">I304</f>
        <v>1753.9</v>
      </c>
      <c r="J303" s="106">
        <f t="shared" si="58"/>
        <v>1134.4000000000001</v>
      </c>
      <c r="K303" s="119">
        <f t="shared" si="58"/>
        <v>60</v>
      </c>
      <c r="L303" s="113">
        <f>L304</f>
        <v>2561132</v>
      </c>
      <c r="M303" s="113">
        <f t="shared" si="58"/>
        <v>0</v>
      </c>
      <c r="N303" s="113">
        <f t="shared" si="58"/>
        <v>0</v>
      </c>
      <c r="O303" s="113">
        <f t="shared" si="58"/>
        <v>2561132</v>
      </c>
      <c r="P303" s="113">
        <f t="shared" si="58"/>
        <v>0</v>
      </c>
      <c r="Q303" s="106" t="s">
        <v>40</v>
      </c>
      <c r="R303" s="114" t="s">
        <v>40</v>
      </c>
      <c r="S303" s="316">
        <v>43100</v>
      </c>
    </row>
    <row r="304" spans="1:34" s="1" customFormat="1" ht="15.75" customHeight="1">
      <c r="A304" s="107"/>
      <c r="B304" s="1413" t="s">
        <v>435</v>
      </c>
      <c r="C304" s="1413"/>
      <c r="D304" s="1413"/>
      <c r="E304" s="1413"/>
      <c r="F304" s="1413"/>
      <c r="G304" s="1413"/>
      <c r="H304" s="128">
        <f>H305+H306</f>
        <v>1753.9</v>
      </c>
      <c r="I304" s="106">
        <f t="shared" ref="I304:P304" si="59">I305+I306</f>
        <v>1753.9</v>
      </c>
      <c r="J304" s="106">
        <f t="shared" si="59"/>
        <v>1134.4000000000001</v>
      </c>
      <c r="K304" s="119">
        <f t="shared" si="59"/>
        <v>60</v>
      </c>
      <c r="L304" s="113">
        <f t="shared" si="59"/>
        <v>2561132</v>
      </c>
      <c r="M304" s="113">
        <f t="shared" si="59"/>
        <v>0</v>
      </c>
      <c r="N304" s="113">
        <f t="shared" si="59"/>
        <v>0</v>
      </c>
      <c r="O304" s="113">
        <f t="shared" si="59"/>
        <v>2561132</v>
      </c>
      <c r="P304" s="113">
        <f t="shared" si="59"/>
        <v>0</v>
      </c>
      <c r="Q304" s="106" t="s">
        <v>40</v>
      </c>
      <c r="R304" s="106" t="s">
        <v>40</v>
      </c>
      <c r="S304" s="316">
        <v>43100</v>
      </c>
    </row>
    <row r="305" spans="1:19" s="1" customFormat="1" ht="15.6">
      <c r="A305" s="308">
        <v>43</v>
      </c>
      <c r="B305" s="337" t="s">
        <v>503</v>
      </c>
      <c r="C305" s="308">
        <v>1981</v>
      </c>
      <c r="D305" s="310"/>
      <c r="E305" s="311" t="s">
        <v>220</v>
      </c>
      <c r="F305" s="310">
        <v>3</v>
      </c>
      <c r="G305" s="310">
        <v>3</v>
      </c>
      <c r="H305" s="312">
        <v>1293</v>
      </c>
      <c r="I305" s="310">
        <v>1293</v>
      </c>
      <c r="J305" s="310">
        <v>702.3</v>
      </c>
      <c r="K305" s="313">
        <v>49</v>
      </c>
      <c r="L305" s="314">
        <v>1416533</v>
      </c>
      <c r="M305" s="314">
        <v>0</v>
      </c>
      <c r="N305" s="314">
        <v>0</v>
      </c>
      <c r="O305" s="314">
        <v>1416533</v>
      </c>
      <c r="P305" s="314">
        <v>0</v>
      </c>
      <c r="Q305" s="315">
        <f>L305/I305</f>
        <v>1095.5398298530549</v>
      </c>
      <c r="R305" s="315">
        <v>7822</v>
      </c>
      <c r="S305" s="316">
        <v>43100</v>
      </c>
    </row>
    <row r="306" spans="1:19" s="1" customFormat="1" ht="31.2">
      <c r="A306" s="308">
        <f t="shared" ref="A306:A334" si="60">A305+1</f>
        <v>44</v>
      </c>
      <c r="B306" s="337" t="s">
        <v>504</v>
      </c>
      <c r="C306" s="310">
        <v>1966</v>
      </c>
      <c r="D306" s="310"/>
      <c r="E306" s="311" t="s">
        <v>218</v>
      </c>
      <c r="F306" s="310">
        <v>2</v>
      </c>
      <c r="G306" s="310">
        <v>2</v>
      </c>
      <c r="H306" s="312">
        <v>460.9</v>
      </c>
      <c r="I306" s="310">
        <v>460.9</v>
      </c>
      <c r="J306" s="310">
        <v>432.1</v>
      </c>
      <c r="K306" s="313">
        <v>11</v>
      </c>
      <c r="L306" s="314">
        <v>1144599</v>
      </c>
      <c r="M306" s="314">
        <v>0</v>
      </c>
      <c r="N306" s="314">
        <v>0</v>
      </c>
      <c r="O306" s="314">
        <v>1144599</v>
      </c>
      <c r="P306" s="314">
        <v>0</v>
      </c>
      <c r="Q306" s="315">
        <f>L306/I306</f>
        <v>2483.3998698199175</v>
      </c>
      <c r="R306" s="315">
        <v>7822</v>
      </c>
      <c r="S306" s="316">
        <v>43100</v>
      </c>
    </row>
    <row r="307" spans="1:19" s="1" customFormat="1" ht="15.6">
      <c r="A307" s="107"/>
      <c r="B307" s="1411" t="s">
        <v>45</v>
      </c>
      <c r="C307" s="1411"/>
      <c r="D307" s="1411"/>
      <c r="E307" s="1411"/>
      <c r="F307" s="1411"/>
      <c r="G307" s="1411"/>
      <c r="H307" s="128">
        <f>H308+H310+H312+H314+H316+H317+H318</f>
        <v>12862.18</v>
      </c>
      <c r="I307" s="128">
        <f t="shared" ref="I307:P307" si="61">I308+I310+I312+I314+I316+I317+I318</f>
        <v>11237.579999999998</v>
      </c>
      <c r="J307" s="128">
        <f t="shared" si="61"/>
        <v>9407.9000000000015</v>
      </c>
      <c r="K307" s="128">
        <f t="shared" si="61"/>
        <v>459</v>
      </c>
      <c r="L307" s="565">
        <f t="shared" si="61"/>
        <v>9578601</v>
      </c>
      <c r="M307" s="565">
        <f t="shared" si="61"/>
        <v>0</v>
      </c>
      <c r="N307" s="565">
        <f t="shared" si="61"/>
        <v>200000</v>
      </c>
      <c r="O307" s="565">
        <f t="shared" si="61"/>
        <v>9378601</v>
      </c>
      <c r="P307" s="565">
        <f t="shared" si="61"/>
        <v>0</v>
      </c>
      <c r="Q307" s="106" t="s">
        <v>40</v>
      </c>
      <c r="R307" s="114" t="s">
        <v>40</v>
      </c>
      <c r="S307" s="316">
        <v>43100</v>
      </c>
    </row>
    <row r="308" spans="1:19" s="1" customFormat="1" ht="15.6">
      <c r="A308" s="308"/>
      <c r="B308" s="1412" t="s">
        <v>98</v>
      </c>
      <c r="C308" s="1412"/>
      <c r="D308" s="1412"/>
      <c r="E308" s="1412"/>
      <c r="F308" s="1412"/>
      <c r="G308" s="1412"/>
      <c r="H308" s="347">
        <f>H309</f>
        <v>3536</v>
      </c>
      <c r="I308" s="347">
        <f t="shared" ref="I308:P308" si="62">I309</f>
        <v>3173</v>
      </c>
      <c r="J308" s="347">
        <f t="shared" si="62"/>
        <v>3014.3</v>
      </c>
      <c r="K308" s="347">
        <f t="shared" si="62"/>
        <v>153</v>
      </c>
      <c r="L308" s="670">
        <f t="shared" si="62"/>
        <v>2256851</v>
      </c>
      <c r="M308" s="670">
        <f t="shared" si="62"/>
        <v>0</v>
      </c>
      <c r="N308" s="670">
        <f t="shared" si="62"/>
        <v>0</v>
      </c>
      <c r="O308" s="670">
        <f t="shared" si="62"/>
        <v>2256851</v>
      </c>
      <c r="P308" s="670">
        <f t="shared" si="62"/>
        <v>0</v>
      </c>
      <c r="Q308" s="350" t="s">
        <v>40</v>
      </c>
      <c r="R308" s="350" t="s">
        <v>40</v>
      </c>
      <c r="S308" s="316">
        <v>43100</v>
      </c>
    </row>
    <row r="309" spans="1:19" s="1" customFormat="1" ht="31.2">
      <c r="A309" s="308">
        <f>A306+1</f>
        <v>45</v>
      </c>
      <c r="B309" s="582" t="s">
        <v>794</v>
      </c>
      <c r="C309" s="308">
        <v>1978</v>
      </c>
      <c r="D309" s="310"/>
      <c r="E309" s="311" t="s">
        <v>218</v>
      </c>
      <c r="F309" s="583">
        <v>5</v>
      </c>
      <c r="G309" s="583">
        <v>4</v>
      </c>
      <c r="H309" s="550">
        <v>3536</v>
      </c>
      <c r="I309" s="584">
        <v>3173</v>
      </c>
      <c r="J309" s="585">
        <v>3014.3</v>
      </c>
      <c r="K309" s="586">
        <v>153</v>
      </c>
      <c r="L309" s="314">
        <v>2256851</v>
      </c>
      <c r="M309" s="314">
        <v>0</v>
      </c>
      <c r="N309" s="314">
        <v>0</v>
      </c>
      <c r="O309" s="314">
        <v>2256851</v>
      </c>
      <c r="P309" s="314">
        <f>SUM(P314:P314)</f>
        <v>0</v>
      </c>
      <c r="Q309" s="315">
        <f>L309/I309</f>
        <v>711.26725496375673</v>
      </c>
      <c r="R309" s="315">
        <v>7822</v>
      </c>
      <c r="S309" s="316">
        <v>43100</v>
      </c>
    </row>
    <row r="310" spans="1:19" s="1" customFormat="1" ht="15.6">
      <c r="A310" s="308"/>
      <c r="B310" s="1412" t="s">
        <v>688</v>
      </c>
      <c r="C310" s="1412"/>
      <c r="D310" s="1412"/>
      <c r="E310" s="1412"/>
      <c r="F310" s="1412"/>
      <c r="G310" s="1412"/>
      <c r="H310" s="550">
        <f>H311</f>
        <v>1426.08</v>
      </c>
      <c r="I310" s="550">
        <f t="shared" ref="I310:P310" si="63">I311</f>
        <v>1426.08</v>
      </c>
      <c r="J310" s="550">
        <f t="shared" si="63"/>
        <v>821.4</v>
      </c>
      <c r="K310" s="550">
        <f t="shared" si="63"/>
        <v>47</v>
      </c>
      <c r="L310" s="581">
        <f t="shared" si="63"/>
        <v>1826091</v>
      </c>
      <c r="M310" s="581">
        <f t="shared" si="63"/>
        <v>0</v>
      </c>
      <c r="N310" s="581">
        <f t="shared" si="63"/>
        <v>0</v>
      </c>
      <c r="O310" s="581">
        <f t="shared" si="63"/>
        <v>1826091</v>
      </c>
      <c r="P310" s="581">
        <f t="shared" si="63"/>
        <v>0</v>
      </c>
      <c r="Q310" s="350" t="s">
        <v>40</v>
      </c>
      <c r="R310" s="350" t="s">
        <v>40</v>
      </c>
      <c r="S310" s="316">
        <v>43100</v>
      </c>
    </row>
    <row r="311" spans="1:19" s="1" customFormat="1" ht="15.6">
      <c r="A311" s="308">
        <v>46</v>
      </c>
      <c r="B311" s="582" t="s">
        <v>689</v>
      </c>
      <c r="C311" s="308">
        <v>1980</v>
      </c>
      <c r="D311" s="310"/>
      <c r="E311" s="311" t="s">
        <v>219</v>
      </c>
      <c r="F311" s="583">
        <v>3</v>
      </c>
      <c r="G311" s="583">
        <v>3</v>
      </c>
      <c r="H311" s="550">
        <v>1426.08</v>
      </c>
      <c r="I311" s="584">
        <v>1426.08</v>
      </c>
      <c r="J311" s="585">
        <v>821.4</v>
      </c>
      <c r="K311" s="586">
        <v>47</v>
      </c>
      <c r="L311" s="314">
        <v>1826091</v>
      </c>
      <c r="M311" s="314">
        <v>0</v>
      </c>
      <c r="N311" s="314">
        <v>0</v>
      </c>
      <c r="O311" s="314">
        <v>1826091</v>
      </c>
      <c r="P311" s="314">
        <v>0</v>
      </c>
      <c r="Q311" s="315">
        <f t="shared" ref="Q311" si="64">L311/I311</f>
        <v>1280.4968865701785</v>
      </c>
      <c r="R311" s="315">
        <v>7822</v>
      </c>
      <c r="S311" s="316">
        <v>43100</v>
      </c>
    </row>
    <row r="312" spans="1:19" s="1" customFormat="1" ht="15.6">
      <c r="A312" s="308"/>
      <c r="B312" s="1412" t="s">
        <v>99</v>
      </c>
      <c r="C312" s="1412"/>
      <c r="D312" s="1412"/>
      <c r="E312" s="1412"/>
      <c r="F312" s="1412"/>
      <c r="G312" s="1412"/>
      <c r="H312" s="347">
        <f>H313</f>
        <v>961.2</v>
      </c>
      <c r="I312" s="347">
        <f t="shared" ref="I312:P312" si="65">I313</f>
        <v>915.9</v>
      </c>
      <c r="J312" s="347">
        <f t="shared" si="65"/>
        <v>870.4</v>
      </c>
      <c r="K312" s="347">
        <f t="shared" si="65"/>
        <v>37</v>
      </c>
      <c r="L312" s="670">
        <f t="shared" si="65"/>
        <v>1602324</v>
      </c>
      <c r="M312" s="670">
        <f t="shared" si="65"/>
        <v>0</v>
      </c>
      <c r="N312" s="670">
        <f t="shared" si="65"/>
        <v>0</v>
      </c>
      <c r="O312" s="670">
        <f t="shared" si="65"/>
        <v>1602324</v>
      </c>
      <c r="P312" s="670">
        <f t="shared" si="65"/>
        <v>0</v>
      </c>
      <c r="Q312" s="350" t="s">
        <v>40</v>
      </c>
      <c r="R312" s="350" t="s">
        <v>40</v>
      </c>
      <c r="S312" s="316">
        <v>43100</v>
      </c>
    </row>
    <row r="313" spans="1:19" s="20" customFormat="1" ht="31.2">
      <c r="A313" s="308">
        <v>47</v>
      </c>
      <c r="B313" s="707" t="s">
        <v>799</v>
      </c>
      <c r="C313" s="387">
        <v>1972</v>
      </c>
      <c r="D313" s="387"/>
      <c r="E313" s="311" t="s">
        <v>218</v>
      </c>
      <c r="F313" s="387">
        <v>2</v>
      </c>
      <c r="G313" s="387">
        <v>3</v>
      </c>
      <c r="H313" s="388">
        <v>961.2</v>
      </c>
      <c r="I313" s="711">
        <v>915.9</v>
      </c>
      <c r="J313" s="711">
        <v>870.4</v>
      </c>
      <c r="K313" s="390">
        <v>37</v>
      </c>
      <c r="L313" s="314">
        <v>1602324</v>
      </c>
      <c r="M313" s="314">
        <v>0</v>
      </c>
      <c r="N313" s="314">
        <v>0</v>
      </c>
      <c r="O313" s="314">
        <f>L313</f>
        <v>1602324</v>
      </c>
      <c r="P313" s="314">
        <v>0</v>
      </c>
      <c r="Q313" s="391">
        <f>L313/I313</f>
        <v>1749.45299705208</v>
      </c>
      <c r="R313" s="315">
        <v>7822</v>
      </c>
      <c r="S313" s="316">
        <v>43100</v>
      </c>
    </row>
    <row r="314" spans="1:19" s="1" customFormat="1" ht="15.75" customHeight="1">
      <c r="A314" s="308"/>
      <c r="B314" s="1432" t="s">
        <v>100</v>
      </c>
      <c r="C314" s="1432"/>
      <c r="D314" s="1432"/>
      <c r="E314" s="1432"/>
      <c r="F314" s="1432"/>
      <c r="G314" s="1432"/>
      <c r="H314" s="550">
        <f>H315</f>
        <v>3346.3</v>
      </c>
      <c r="I314" s="404">
        <f t="shared" ref="I314:P314" si="66">I315</f>
        <v>2997.3</v>
      </c>
      <c r="J314" s="404">
        <f t="shared" si="66"/>
        <v>2852.1</v>
      </c>
      <c r="K314" s="551">
        <f t="shared" si="66"/>
        <v>128</v>
      </c>
      <c r="L314" s="314">
        <f t="shared" si="66"/>
        <v>1986648</v>
      </c>
      <c r="M314" s="314">
        <f t="shared" si="66"/>
        <v>0</v>
      </c>
      <c r="N314" s="314">
        <f>N315</f>
        <v>200000</v>
      </c>
      <c r="O314" s="314">
        <f t="shared" si="66"/>
        <v>1786648</v>
      </c>
      <c r="P314" s="314">
        <f t="shared" si="66"/>
        <v>0</v>
      </c>
      <c r="Q314" s="315" t="s">
        <v>40</v>
      </c>
      <c r="R314" s="315" t="s">
        <v>40</v>
      </c>
      <c r="S314" s="316">
        <v>43100</v>
      </c>
    </row>
    <row r="315" spans="1:19" s="1" customFormat="1" ht="31.2">
      <c r="A315" s="308">
        <v>48</v>
      </c>
      <c r="B315" s="582" t="s">
        <v>693</v>
      </c>
      <c r="C315" s="308">
        <v>1982</v>
      </c>
      <c r="D315" s="310"/>
      <c r="E315" s="311" t="s">
        <v>220</v>
      </c>
      <c r="F315" s="310">
        <v>5</v>
      </c>
      <c r="G315" s="310">
        <v>4</v>
      </c>
      <c r="H315" s="550">
        <v>3346.3</v>
      </c>
      <c r="I315" s="584">
        <v>2997.3</v>
      </c>
      <c r="J315" s="585">
        <v>2852.1</v>
      </c>
      <c r="K315" s="586">
        <v>128</v>
      </c>
      <c r="L315" s="314">
        <v>1986648</v>
      </c>
      <c r="M315" s="314">
        <v>0</v>
      </c>
      <c r="N315" s="314">
        <v>200000</v>
      </c>
      <c r="O315" s="314">
        <v>1786648</v>
      </c>
      <c r="P315" s="314">
        <v>0</v>
      </c>
      <c r="Q315" s="315">
        <f>L315/I315</f>
        <v>662.81253127815035</v>
      </c>
      <c r="R315" s="315">
        <v>7822</v>
      </c>
      <c r="S315" s="316">
        <v>43100</v>
      </c>
    </row>
    <row r="316" spans="1:19" s="1" customFormat="1" ht="23.4" customHeight="1">
      <c r="A316" s="308"/>
      <c r="B316" s="1426" t="s">
        <v>101</v>
      </c>
      <c r="C316" s="1426"/>
      <c r="D316" s="1426"/>
      <c r="E316" s="1426"/>
      <c r="F316" s="1426"/>
      <c r="G316" s="1426"/>
      <c r="H316" s="347">
        <v>0</v>
      </c>
      <c r="I316" s="350">
        <v>0</v>
      </c>
      <c r="J316" s="350">
        <v>0</v>
      </c>
      <c r="K316" s="349">
        <v>0</v>
      </c>
      <c r="L316" s="314">
        <v>0</v>
      </c>
      <c r="M316" s="314">
        <v>0</v>
      </c>
      <c r="N316" s="314">
        <v>0</v>
      </c>
      <c r="O316" s="314">
        <v>0</v>
      </c>
      <c r="P316" s="314">
        <v>0</v>
      </c>
      <c r="Q316" s="350" t="s">
        <v>40</v>
      </c>
      <c r="R316" s="350" t="s">
        <v>40</v>
      </c>
      <c r="S316" s="316">
        <v>43100</v>
      </c>
    </row>
    <row r="317" spans="1:19" s="20" customFormat="1" ht="23.4" customHeight="1">
      <c r="A317" s="308"/>
      <c r="B317" s="1426" t="s">
        <v>126</v>
      </c>
      <c r="C317" s="1426"/>
      <c r="D317" s="1426"/>
      <c r="E317" s="1426"/>
      <c r="F317" s="1426"/>
      <c r="G317" s="1426"/>
      <c r="H317" s="388">
        <v>0</v>
      </c>
      <c r="I317" s="387">
        <v>0</v>
      </c>
      <c r="J317" s="387">
        <v>0</v>
      </c>
      <c r="K317" s="390">
        <v>0</v>
      </c>
      <c r="L317" s="314">
        <v>0</v>
      </c>
      <c r="M317" s="314">
        <v>0</v>
      </c>
      <c r="N317" s="314">
        <v>0</v>
      </c>
      <c r="O317" s="314">
        <v>0</v>
      </c>
      <c r="P317" s="314">
        <v>0</v>
      </c>
      <c r="Q317" s="391" t="s">
        <v>40</v>
      </c>
      <c r="R317" s="387" t="s">
        <v>40</v>
      </c>
      <c r="S317" s="316">
        <v>43100</v>
      </c>
    </row>
    <row r="318" spans="1:19" s="1" customFormat="1" ht="22.95" customHeight="1">
      <c r="A318" s="308"/>
      <c r="B318" s="1426" t="s">
        <v>861</v>
      </c>
      <c r="C318" s="1426"/>
      <c r="D318" s="1426"/>
      <c r="E318" s="1426"/>
      <c r="F318" s="1426"/>
      <c r="G318" s="1426"/>
      <c r="H318" s="759">
        <f>H319</f>
        <v>3592.6</v>
      </c>
      <c r="I318" s="759">
        <f t="shared" ref="I318:P318" si="67">I319</f>
        <v>2725.3</v>
      </c>
      <c r="J318" s="759">
        <f t="shared" si="67"/>
        <v>1849.7</v>
      </c>
      <c r="K318" s="759">
        <f t="shared" si="67"/>
        <v>94</v>
      </c>
      <c r="L318" s="731">
        <f t="shared" si="67"/>
        <v>1906687</v>
      </c>
      <c r="M318" s="731">
        <f t="shared" si="67"/>
        <v>0</v>
      </c>
      <c r="N318" s="731">
        <f t="shared" si="67"/>
        <v>0</v>
      </c>
      <c r="O318" s="731">
        <f t="shared" si="67"/>
        <v>1906687</v>
      </c>
      <c r="P318" s="731">
        <f t="shared" si="67"/>
        <v>0</v>
      </c>
      <c r="Q318" s="391" t="s">
        <v>40</v>
      </c>
      <c r="R318" s="387" t="s">
        <v>40</v>
      </c>
      <c r="S318" s="316">
        <v>43100</v>
      </c>
    </row>
    <row r="319" spans="1:19" s="1" customFormat="1" ht="31.95" customHeight="1">
      <c r="A319" s="308"/>
      <c r="B319" s="610" t="s">
        <v>859</v>
      </c>
      <c r="C319" s="308">
        <v>1973</v>
      </c>
      <c r="D319" s="308"/>
      <c r="E319" s="311" t="s">
        <v>860</v>
      </c>
      <c r="F319" s="308">
        <v>5</v>
      </c>
      <c r="G319" s="308">
        <v>4</v>
      </c>
      <c r="H319" s="759">
        <v>3592.6</v>
      </c>
      <c r="I319" s="308">
        <v>2725.3</v>
      </c>
      <c r="J319" s="308">
        <v>1849.7</v>
      </c>
      <c r="K319" s="586">
        <v>94</v>
      </c>
      <c r="L319" s="314">
        <v>1906687</v>
      </c>
      <c r="M319" s="314">
        <v>0</v>
      </c>
      <c r="N319" s="314">
        <v>0</v>
      </c>
      <c r="O319" s="314">
        <v>1906687</v>
      </c>
      <c r="P319" s="314">
        <v>0</v>
      </c>
      <c r="Q319" s="391">
        <f>L319/I319</f>
        <v>699.62462848126802</v>
      </c>
      <c r="R319" s="315">
        <v>7822</v>
      </c>
      <c r="S319" s="316">
        <v>43100</v>
      </c>
    </row>
    <row r="320" spans="1:19" s="1" customFormat="1" ht="15.6">
      <c r="A320" s="107"/>
      <c r="B320" s="1411" t="s">
        <v>46</v>
      </c>
      <c r="C320" s="1411"/>
      <c r="D320" s="1411"/>
      <c r="E320" s="1411"/>
      <c r="F320" s="1411"/>
      <c r="G320" s="1411"/>
      <c r="H320" s="128">
        <f>H321</f>
        <v>525.4</v>
      </c>
      <c r="I320" s="106">
        <f t="shared" ref="I320:P320" si="68">I321</f>
        <v>469</v>
      </c>
      <c r="J320" s="106">
        <f t="shared" si="68"/>
        <v>384.8</v>
      </c>
      <c r="K320" s="119">
        <f t="shared" si="68"/>
        <v>21</v>
      </c>
      <c r="L320" s="113">
        <f t="shared" si="68"/>
        <v>1415265</v>
      </c>
      <c r="M320" s="113">
        <f t="shared" si="68"/>
        <v>0</v>
      </c>
      <c r="N320" s="113">
        <f t="shared" si="68"/>
        <v>0</v>
      </c>
      <c r="O320" s="113">
        <f t="shared" si="68"/>
        <v>1415265</v>
      </c>
      <c r="P320" s="113">
        <f t="shared" si="68"/>
        <v>0</v>
      </c>
      <c r="Q320" s="106" t="s">
        <v>40</v>
      </c>
      <c r="R320" s="106" t="s">
        <v>40</v>
      </c>
      <c r="S320" s="316">
        <v>43100</v>
      </c>
    </row>
    <row r="321" spans="1:19" s="1" customFormat="1" ht="15.6">
      <c r="A321" s="107"/>
      <c r="B321" s="1411" t="s">
        <v>102</v>
      </c>
      <c r="C321" s="1411"/>
      <c r="D321" s="1411"/>
      <c r="E321" s="1411"/>
      <c r="F321" s="1411"/>
      <c r="G321" s="1411"/>
      <c r="H321" s="128">
        <f>H322+H323</f>
        <v>525.4</v>
      </c>
      <c r="I321" s="106">
        <f t="shared" ref="I321:P321" si="69">I322+I323</f>
        <v>469</v>
      </c>
      <c r="J321" s="106">
        <f t="shared" si="69"/>
        <v>384.8</v>
      </c>
      <c r="K321" s="119">
        <f t="shared" si="69"/>
        <v>21</v>
      </c>
      <c r="L321" s="113">
        <f t="shared" si="69"/>
        <v>1415265</v>
      </c>
      <c r="M321" s="113">
        <f t="shared" si="69"/>
        <v>0</v>
      </c>
      <c r="N321" s="113">
        <f t="shared" si="69"/>
        <v>0</v>
      </c>
      <c r="O321" s="113">
        <f>O322+O323</f>
        <v>1415265</v>
      </c>
      <c r="P321" s="113">
        <f t="shared" si="69"/>
        <v>0</v>
      </c>
      <c r="Q321" s="106" t="s">
        <v>40</v>
      </c>
      <c r="R321" s="106" t="s">
        <v>40</v>
      </c>
      <c r="S321" s="316">
        <v>43100</v>
      </c>
    </row>
    <row r="322" spans="1:19" s="1" customFormat="1" ht="31.2">
      <c r="A322" s="308">
        <v>51</v>
      </c>
      <c r="B322" s="309" t="s">
        <v>485</v>
      </c>
      <c r="C322" s="310">
        <v>1966</v>
      </c>
      <c r="D322" s="361"/>
      <c r="E322" s="311" t="s">
        <v>218</v>
      </c>
      <c r="F322" s="310">
        <v>2</v>
      </c>
      <c r="G322" s="310">
        <v>2</v>
      </c>
      <c r="H322" s="312">
        <v>525.4</v>
      </c>
      <c r="I322" s="362">
        <v>469</v>
      </c>
      <c r="J322" s="310">
        <v>384.8</v>
      </c>
      <c r="K322" s="313">
        <v>21</v>
      </c>
      <c r="L322" s="314">
        <v>1415265</v>
      </c>
      <c r="M322" s="314">
        <v>0</v>
      </c>
      <c r="N322" s="314">
        <v>0</v>
      </c>
      <c r="O322" s="314">
        <v>1415265</v>
      </c>
      <c r="P322" s="314">
        <v>0</v>
      </c>
      <c r="Q322" s="315">
        <f>L322/I322</f>
        <v>3017.6226012793177</v>
      </c>
      <c r="R322" s="315">
        <v>7822</v>
      </c>
      <c r="S322" s="316">
        <v>43100</v>
      </c>
    </row>
    <row r="323" spans="1:19" s="1" customFormat="1" ht="15.6">
      <c r="A323" s="107"/>
      <c r="B323" s="262"/>
      <c r="C323" s="108"/>
      <c r="D323" s="156"/>
      <c r="E323" s="109"/>
      <c r="F323" s="108"/>
      <c r="G323" s="108"/>
      <c r="H323" s="111"/>
      <c r="I323" s="108"/>
      <c r="J323" s="108"/>
      <c r="K323" s="112"/>
      <c r="L323" s="113"/>
      <c r="M323" s="113"/>
      <c r="N323" s="113"/>
      <c r="O323" s="113"/>
      <c r="P323" s="113"/>
      <c r="Q323" s="114"/>
      <c r="R323" s="114"/>
      <c r="S323" s="316"/>
    </row>
    <row r="324" spans="1:19" s="1" customFormat="1" ht="15.6">
      <c r="A324" s="107"/>
      <c r="B324" s="1411" t="s">
        <v>47</v>
      </c>
      <c r="C324" s="1411"/>
      <c r="D324" s="1411"/>
      <c r="E324" s="1411"/>
      <c r="F324" s="1411"/>
      <c r="G324" s="1411"/>
      <c r="H324" s="128">
        <f>H325</f>
        <v>3715.2</v>
      </c>
      <c r="I324" s="106">
        <f t="shared" ref="I324:P324" si="70">I325</f>
        <v>3256.7999999999997</v>
      </c>
      <c r="J324" s="106">
        <f t="shared" si="70"/>
        <v>3256.7999999999997</v>
      </c>
      <c r="K324" s="119">
        <f t="shared" si="70"/>
        <v>106</v>
      </c>
      <c r="L324" s="113">
        <f t="shared" si="70"/>
        <v>6592116</v>
      </c>
      <c r="M324" s="113">
        <f>M325</f>
        <v>0</v>
      </c>
      <c r="N324" s="113">
        <f t="shared" si="70"/>
        <v>3619172.24</v>
      </c>
      <c r="O324" s="113">
        <f t="shared" si="70"/>
        <v>2972943.76</v>
      </c>
      <c r="P324" s="113">
        <f t="shared" si="70"/>
        <v>0</v>
      </c>
      <c r="Q324" s="106" t="s">
        <v>40</v>
      </c>
      <c r="R324" s="114" t="s">
        <v>40</v>
      </c>
      <c r="S324" s="316">
        <v>43100</v>
      </c>
    </row>
    <row r="325" spans="1:19" s="1" customFormat="1" ht="15.6">
      <c r="A325" s="308"/>
      <c r="B325" s="1412" t="s">
        <v>103</v>
      </c>
      <c r="C325" s="1412"/>
      <c r="D325" s="1412"/>
      <c r="E325" s="1412"/>
      <c r="F325" s="1412"/>
      <c r="G325" s="1412"/>
      <c r="H325" s="347">
        <f>SUM(H326:H330)</f>
        <v>3715.2</v>
      </c>
      <c r="I325" s="350">
        <f t="shared" ref="I325:P325" si="71">SUM(I326:I330)</f>
        <v>3256.7999999999997</v>
      </c>
      <c r="J325" s="350">
        <f t="shared" si="71"/>
        <v>3256.7999999999997</v>
      </c>
      <c r="K325" s="349">
        <f t="shared" si="71"/>
        <v>106</v>
      </c>
      <c r="L325" s="314">
        <f t="shared" si="71"/>
        <v>6592116</v>
      </c>
      <c r="M325" s="314">
        <f>SUM(M326:M330)</f>
        <v>0</v>
      </c>
      <c r="N325" s="314">
        <f t="shared" si="71"/>
        <v>3619172.24</v>
      </c>
      <c r="O325" s="314">
        <f t="shared" si="71"/>
        <v>2972943.76</v>
      </c>
      <c r="P325" s="314">
        <f t="shared" si="71"/>
        <v>0</v>
      </c>
      <c r="Q325" s="350" t="s">
        <v>40</v>
      </c>
      <c r="R325" s="350" t="s">
        <v>40</v>
      </c>
      <c r="S325" s="316">
        <v>43100</v>
      </c>
    </row>
    <row r="326" spans="1:19" s="1" customFormat="1" ht="15.6">
      <c r="A326" s="308">
        <v>52</v>
      </c>
      <c r="B326" s="936" t="s">
        <v>723</v>
      </c>
      <c r="C326" s="553" t="s">
        <v>874</v>
      </c>
      <c r="D326" s="553"/>
      <c r="E326" s="311" t="s">
        <v>219</v>
      </c>
      <c r="F326" s="310">
        <v>4</v>
      </c>
      <c r="G326" s="310">
        <v>2</v>
      </c>
      <c r="H326" s="550">
        <v>1813.9</v>
      </c>
      <c r="I326" s="404">
        <v>1502.8</v>
      </c>
      <c r="J326" s="404">
        <v>1502.8</v>
      </c>
      <c r="K326" s="313">
        <v>44</v>
      </c>
      <c r="L326" s="314">
        <v>1682684</v>
      </c>
      <c r="M326" s="314">
        <v>0</v>
      </c>
      <c r="N326" s="314">
        <v>841342</v>
      </c>
      <c r="O326" s="314">
        <v>841342</v>
      </c>
      <c r="P326" s="314">
        <f>SUM(P327:P330)</f>
        <v>0</v>
      </c>
      <c r="Q326" s="404">
        <f>L326/I326</f>
        <v>1119.6992281075327</v>
      </c>
      <c r="R326" s="315">
        <v>7822</v>
      </c>
      <c r="S326" s="316">
        <v>43100</v>
      </c>
    </row>
    <row r="327" spans="1:19" s="1" customFormat="1" ht="33.6" customHeight="1">
      <c r="A327" s="308">
        <f t="shared" si="60"/>
        <v>53</v>
      </c>
      <c r="B327" s="936" t="s">
        <v>870</v>
      </c>
      <c r="C327" s="553" t="s">
        <v>875</v>
      </c>
      <c r="D327" s="553"/>
      <c r="E327" s="311" t="s">
        <v>218</v>
      </c>
      <c r="F327" s="310">
        <v>2</v>
      </c>
      <c r="G327" s="310">
        <v>2</v>
      </c>
      <c r="H327" s="550">
        <v>503</v>
      </c>
      <c r="I327" s="404">
        <v>444.9</v>
      </c>
      <c r="J327" s="404">
        <v>444.9</v>
      </c>
      <c r="K327" s="313">
        <v>19</v>
      </c>
      <c r="L327" s="314">
        <v>1227835</v>
      </c>
      <c r="M327" s="314">
        <v>0</v>
      </c>
      <c r="N327" s="314">
        <v>716701</v>
      </c>
      <c r="O327" s="314">
        <v>511134</v>
      </c>
      <c r="P327" s="314">
        <f>SUM(P328:P330)</f>
        <v>0</v>
      </c>
      <c r="Q327" s="404">
        <f t="shared" ref="Q327:Q330" si="72">L327/I327</f>
        <v>2759.7999550460777</v>
      </c>
      <c r="R327" s="315">
        <v>7822</v>
      </c>
      <c r="S327" s="316">
        <v>43100</v>
      </c>
    </row>
    <row r="328" spans="1:19" s="1" customFormat="1" ht="15.6">
      <c r="A328" s="308">
        <f t="shared" si="60"/>
        <v>54</v>
      </c>
      <c r="B328" s="936" t="s">
        <v>871</v>
      </c>
      <c r="C328" s="553" t="s">
        <v>876</v>
      </c>
      <c r="D328" s="553"/>
      <c r="E328" s="311" t="s">
        <v>220</v>
      </c>
      <c r="F328" s="310">
        <v>2</v>
      </c>
      <c r="G328" s="310">
        <v>2</v>
      </c>
      <c r="H328" s="550">
        <v>593.5</v>
      </c>
      <c r="I328" s="404">
        <v>543.20000000000005</v>
      </c>
      <c r="J328" s="404">
        <v>543.20000000000005</v>
      </c>
      <c r="K328" s="313">
        <v>18</v>
      </c>
      <c r="L328" s="314">
        <v>1562951</v>
      </c>
      <c r="M328" s="314">
        <v>0</v>
      </c>
      <c r="N328" s="314">
        <v>937770</v>
      </c>
      <c r="O328" s="314">
        <v>625181</v>
      </c>
      <c r="P328" s="314">
        <f>SUM(P330:P330)</f>
        <v>0</v>
      </c>
      <c r="Q328" s="404">
        <f t="shared" si="72"/>
        <v>2877.3030191458024</v>
      </c>
      <c r="R328" s="315">
        <v>7822</v>
      </c>
      <c r="S328" s="316">
        <v>43100</v>
      </c>
    </row>
    <row r="329" spans="1:19" s="1" customFormat="1" ht="31.2">
      <c r="A329" s="308">
        <f>A327+1</f>
        <v>54</v>
      </c>
      <c r="B329" s="936" t="s">
        <v>872</v>
      </c>
      <c r="C329" s="553" t="s">
        <v>877</v>
      </c>
      <c r="D329" s="553"/>
      <c r="E329" s="311" t="s">
        <v>218</v>
      </c>
      <c r="F329" s="310">
        <v>2</v>
      </c>
      <c r="G329" s="310">
        <v>2</v>
      </c>
      <c r="H329" s="550">
        <v>331.7</v>
      </c>
      <c r="I329" s="404">
        <v>298.89999999999998</v>
      </c>
      <c r="J329" s="404">
        <v>298.89999999999998</v>
      </c>
      <c r="K329" s="313">
        <v>13</v>
      </c>
      <c r="L329" s="314">
        <v>974952</v>
      </c>
      <c r="M329" s="314">
        <v>0</v>
      </c>
      <c r="N329" s="314">
        <v>509980</v>
      </c>
      <c r="O329" s="314">
        <v>464972</v>
      </c>
      <c r="P329" s="314">
        <f>SUM(P330:P330)</f>
        <v>0</v>
      </c>
      <c r="Q329" s="404">
        <f t="shared" ref="Q329" si="73">L329/I329</f>
        <v>3261.7999330879898</v>
      </c>
      <c r="R329" s="315">
        <v>7822</v>
      </c>
      <c r="S329" s="316">
        <v>43100</v>
      </c>
    </row>
    <row r="330" spans="1:19" s="1" customFormat="1" ht="31.2">
      <c r="A330" s="308">
        <f>A328+1</f>
        <v>55</v>
      </c>
      <c r="B330" s="936" t="s">
        <v>873</v>
      </c>
      <c r="C330" s="553" t="s">
        <v>877</v>
      </c>
      <c r="D330" s="553"/>
      <c r="E330" s="311" t="s">
        <v>218</v>
      </c>
      <c r="F330" s="310">
        <v>2</v>
      </c>
      <c r="G330" s="310">
        <v>2</v>
      </c>
      <c r="H330" s="550">
        <v>473.1</v>
      </c>
      <c r="I330" s="404">
        <v>467</v>
      </c>
      <c r="J330" s="404">
        <v>467</v>
      </c>
      <c r="K330" s="313">
        <v>12</v>
      </c>
      <c r="L330" s="314">
        <v>1143694</v>
      </c>
      <c r="M330" s="314">
        <v>0</v>
      </c>
      <c r="N330" s="314">
        <v>613379.24</v>
      </c>
      <c r="O330" s="314">
        <v>530314.76</v>
      </c>
      <c r="P330" s="314">
        <f>SUM(P331:P331)</f>
        <v>0</v>
      </c>
      <c r="Q330" s="404">
        <f t="shared" si="72"/>
        <v>2449.0235546038543</v>
      </c>
      <c r="R330" s="315">
        <v>7822</v>
      </c>
      <c r="S330" s="316">
        <v>43100</v>
      </c>
    </row>
    <row r="331" spans="1:19" s="1" customFormat="1" ht="15.6">
      <c r="A331" s="107"/>
      <c r="B331" s="1411" t="s">
        <v>48</v>
      </c>
      <c r="C331" s="1411"/>
      <c r="D331" s="1411"/>
      <c r="E331" s="1411"/>
      <c r="F331" s="1411"/>
      <c r="G331" s="1411"/>
      <c r="H331" s="128">
        <f t="shared" ref="H331:P331" si="74">H332+H336</f>
        <v>1348.8000000000002</v>
      </c>
      <c r="I331" s="106">
        <f t="shared" si="74"/>
        <v>1176.6000000000001</v>
      </c>
      <c r="J331" s="106">
        <f t="shared" si="74"/>
        <v>1100.3000000000002</v>
      </c>
      <c r="K331" s="119">
        <f t="shared" si="74"/>
        <v>52</v>
      </c>
      <c r="L331" s="113">
        <f t="shared" si="74"/>
        <v>3699748</v>
      </c>
      <c r="M331" s="113">
        <f t="shared" si="74"/>
        <v>0</v>
      </c>
      <c r="N331" s="113">
        <f t="shared" si="74"/>
        <v>414501.02</v>
      </c>
      <c r="O331" s="113">
        <f t="shared" si="74"/>
        <v>3285246.98</v>
      </c>
      <c r="P331" s="113">
        <f t="shared" si="74"/>
        <v>0</v>
      </c>
      <c r="Q331" s="106" t="s">
        <v>40</v>
      </c>
      <c r="R331" s="114" t="s">
        <v>40</v>
      </c>
      <c r="S331" s="316">
        <v>43100</v>
      </c>
    </row>
    <row r="332" spans="1:19" s="1" customFormat="1" ht="15.6">
      <c r="A332" s="308"/>
      <c r="B332" s="1412" t="s">
        <v>107</v>
      </c>
      <c r="C332" s="1412"/>
      <c r="D332" s="1412"/>
      <c r="E332" s="1412"/>
      <c r="F332" s="1412"/>
      <c r="G332" s="1412"/>
      <c r="H332" s="347">
        <f>SUM(H333:H334)</f>
        <v>1083.3000000000002</v>
      </c>
      <c r="I332" s="347">
        <f t="shared" ref="I332:P332" si="75">SUM(I333:I334)</f>
        <v>933.7</v>
      </c>
      <c r="J332" s="347">
        <f t="shared" si="75"/>
        <v>857.40000000000009</v>
      </c>
      <c r="K332" s="347">
        <f t="shared" si="75"/>
        <v>50</v>
      </c>
      <c r="L332" s="670">
        <f t="shared" si="75"/>
        <v>3145909</v>
      </c>
      <c r="M332" s="670">
        <f t="shared" si="75"/>
        <v>0</v>
      </c>
      <c r="N332" s="670">
        <f t="shared" si="75"/>
        <v>0</v>
      </c>
      <c r="O332" s="670">
        <f t="shared" si="75"/>
        <v>3145909</v>
      </c>
      <c r="P332" s="670">
        <f t="shared" si="75"/>
        <v>0</v>
      </c>
      <c r="Q332" s="350" t="s">
        <v>40</v>
      </c>
      <c r="R332" s="350" t="s">
        <v>40</v>
      </c>
      <c r="S332" s="316">
        <v>43100</v>
      </c>
    </row>
    <row r="333" spans="1:19" s="1" customFormat="1" ht="31.2">
      <c r="A333" s="308">
        <f>A330+1</f>
        <v>56</v>
      </c>
      <c r="B333" s="582" t="s">
        <v>770</v>
      </c>
      <c r="C333" s="666">
        <v>1963</v>
      </c>
      <c r="D333" s="666"/>
      <c r="E333" s="311" t="s">
        <v>218</v>
      </c>
      <c r="F333" s="666">
        <v>2</v>
      </c>
      <c r="G333" s="666">
        <v>2</v>
      </c>
      <c r="H333" s="667">
        <v>560.6</v>
      </c>
      <c r="I333" s="668">
        <v>474.4</v>
      </c>
      <c r="J333" s="668">
        <v>398.1</v>
      </c>
      <c r="K333" s="669">
        <v>25</v>
      </c>
      <c r="L333" s="314">
        <v>1590271</v>
      </c>
      <c r="M333" s="314">
        <v>0</v>
      </c>
      <c r="N333" s="314">
        <v>0</v>
      </c>
      <c r="O333" s="314">
        <f>L333</f>
        <v>1590271</v>
      </c>
      <c r="P333" s="314">
        <v>0</v>
      </c>
      <c r="Q333" s="350">
        <f>L333/I333</f>
        <v>3352.1732715008434</v>
      </c>
      <c r="R333" s="315">
        <v>7822</v>
      </c>
      <c r="S333" s="316">
        <v>43100</v>
      </c>
    </row>
    <row r="334" spans="1:19" s="28" customFormat="1" ht="31.2">
      <c r="A334" s="308">
        <f t="shared" si="60"/>
        <v>57</v>
      </c>
      <c r="B334" s="582" t="s">
        <v>771</v>
      </c>
      <c r="C334" s="346">
        <v>1966</v>
      </c>
      <c r="D334" s="346"/>
      <c r="E334" s="311" t="s">
        <v>218</v>
      </c>
      <c r="F334" s="346">
        <v>2</v>
      </c>
      <c r="G334" s="346">
        <v>2</v>
      </c>
      <c r="H334" s="347">
        <v>522.70000000000005</v>
      </c>
      <c r="I334" s="350">
        <v>459.3</v>
      </c>
      <c r="J334" s="350">
        <v>459.3</v>
      </c>
      <c r="K334" s="349">
        <v>25</v>
      </c>
      <c r="L334" s="314">
        <v>1555638</v>
      </c>
      <c r="M334" s="314">
        <v>0</v>
      </c>
      <c r="N334" s="314">
        <v>0</v>
      </c>
      <c r="O334" s="314">
        <f>L334</f>
        <v>1555638</v>
      </c>
      <c r="P334" s="314">
        <v>0</v>
      </c>
      <c r="Q334" s="350">
        <f>L334/I334</f>
        <v>3386.9758327890268</v>
      </c>
      <c r="R334" s="315">
        <v>7822</v>
      </c>
      <c r="S334" s="316">
        <v>43100</v>
      </c>
    </row>
    <row r="335" spans="1:19" s="28" customFormat="1" ht="15.6">
      <c r="A335" s="308"/>
      <c r="B335" s="665"/>
      <c r="C335" s="666"/>
      <c r="D335" s="666"/>
      <c r="E335" s="311"/>
      <c r="F335" s="666"/>
      <c r="G335" s="666"/>
      <c r="H335" s="667"/>
      <c r="I335" s="668"/>
      <c r="J335" s="668"/>
      <c r="K335" s="669"/>
      <c r="L335" s="314"/>
      <c r="M335" s="314"/>
      <c r="N335" s="314"/>
      <c r="O335" s="314"/>
      <c r="P335" s="314"/>
      <c r="Q335" s="350"/>
      <c r="R335" s="315"/>
      <c r="S335" s="316"/>
    </row>
    <row r="336" spans="1:19" s="1" customFormat="1" ht="15.75" customHeight="1">
      <c r="A336" s="107"/>
      <c r="B336" s="1413" t="s">
        <v>104</v>
      </c>
      <c r="C336" s="1413"/>
      <c r="D336" s="1413"/>
      <c r="E336" s="1413"/>
      <c r="F336" s="1413"/>
      <c r="G336" s="1413"/>
      <c r="H336" s="128">
        <f>H337</f>
        <v>265.5</v>
      </c>
      <c r="I336" s="106">
        <f t="shared" ref="I336:P336" si="76">I337</f>
        <v>242.9</v>
      </c>
      <c r="J336" s="106">
        <f t="shared" si="76"/>
        <v>242.9</v>
      </c>
      <c r="K336" s="119">
        <f t="shared" si="76"/>
        <v>2</v>
      </c>
      <c r="L336" s="113">
        <f t="shared" si="76"/>
        <v>553839</v>
      </c>
      <c r="M336" s="113">
        <f t="shared" si="76"/>
        <v>0</v>
      </c>
      <c r="N336" s="113">
        <f t="shared" si="76"/>
        <v>414501.02</v>
      </c>
      <c r="O336" s="113">
        <f t="shared" si="76"/>
        <v>139337.98000000001</v>
      </c>
      <c r="P336" s="113">
        <f t="shared" si="76"/>
        <v>0</v>
      </c>
      <c r="Q336" s="106" t="s">
        <v>40</v>
      </c>
      <c r="R336" s="114" t="s">
        <v>40</v>
      </c>
      <c r="S336" s="316">
        <v>43100</v>
      </c>
    </row>
    <row r="337" spans="1:19" s="1" customFormat="1" ht="31.2">
      <c r="A337" s="107"/>
      <c r="B337" s="262" t="s">
        <v>458</v>
      </c>
      <c r="C337" s="110">
        <v>1953</v>
      </c>
      <c r="D337" s="108"/>
      <c r="E337" s="109" t="s">
        <v>218</v>
      </c>
      <c r="F337" s="108">
        <v>2</v>
      </c>
      <c r="G337" s="108">
        <v>1</v>
      </c>
      <c r="H337" s="111">
        <v>265.5</v>
      </c>
      <c r="I337" s="108">
        <v>242.9</v>
      </c>
      <c r="J337" s="108">
        <v>242.9</v>
      </c>
      <c r="K337" s="112">
        <v>2</v>
      </c>
      <c r="L337" s="113">
        <f>N337+O337</f>
        <v>553839</v>
      </c>
      <c r="M337" s="113">
        <v>0</v>
      </c>
      <c r="N337" s="113">
        <v>414501.02</v>
      </c>
      <c r="O337" s="113">
        <v>139337.98000000001</v>
      </c>
      <c r="P337" s="113">
        <v>0</v>
      </c>
      <c r="Q337" s="114">
        <f>L337/I337</f>
        <v>2280.1111568546726</v>
      </c>
      <c r="R337" s="114">
        <v>6774</v>
      </c>
      <c r="S337" s="316">
        <v>43100</v>
      </c>
    </row>
    <row r="338" spans="1:19" s="1" customFormat="1" ht="22.95" customHeight="1">
      <c r="A338" s="107"/>
      <c r="B338" s="1411" t="s">
        <v>49</v>
      </c>
      <c r="C338" s="1411"/>
      <c r="D338" s="1411"/>
      <c r="E338" s="1411"/>
      <c r="F338" s="1411"/>
      <c r="G338" s="1411"/>
      <c r="H338" s="128">
        <f t="shared" ref="H338:P338" si="77">H339+H344+H347+H349</f>
        <v>8221.4</v>
      </c>
      <c r="I338" s="128">
        <f t="shared" si="77"/>
        <v>7282.6</v>
      </c>
      <c r="J338" s="128">
        <f t="shared" si="77"/>
        <v>7138</v>
      </c>
      <c r="K338" s="162">
        <f t="shared" si="77"/>
        <v>388</v>
      </c>
      <c r="L338" s="113">
        <f t="shared" si="77"/>
        <v>10902471</v>
      </c>
      <c r="M338" s="113">
        <f t="shared" si="77"/>
        <v>0</v>
      </c>
      <c r="N338" s="113">
        <f t="shared" si="77"/>
        <v>494612.75</v>
      </c>
      <c r="O338" s="113">
        <f t="shared" si="77"/>
        <v>10407858.25</v>
      </c>
      <c r="P338" s="113">
        <f t="shared" si="77"/>
        <v>0</v>
      </c>
      <c r="Q338" s="106" t="s">
        <v>40</v>
      </c>
      <c r="R338" s="114" t="s">
        <v>40</v>
      </c>
      <c r="S338" s="316">
        <v>43100</v>
      </c>
    </row>
    <row r="339" spans="1:19" s="1" customFormat="1" ht="15.6">
      <c r="A339" s="107"/>
      <c r="B339" s="1411" t="s">
        <v>105</v>
      </c>
      <c r="C339" s="1411"/>
      <c r="D339" s="1411"/>
      <c r="E339" s="1411"/>
      <c r="F339" s="1411"/>
      <c r="G339" s="1411"/>
      <c r="H339" s="128">
        <f t="shared" ref="H339:P339" si="78">H340+H343</f>
        <v>1542.7</v>
      </c>
      <c r="I339" s="162">
        <f t="shared" si="78"/>
        <v>908</v>
      </c>
      <c r="J339" s="162">
        <f t="shared" si="78"/>
        <v>863.40000000000009</v>
      </c>
      <c r="K339" s="119">
        <f t="shared" si="78"/>
        <v>78</v>
      </c>
      <c r="L339" s="113">
        <f t="shared" si="78"/>
        <v>5287622</v>
      </c>
      <c r="M339" s="113">
        <f t="shared" si="78"/>
        <v>0</v>
      </c>
      <c r="N339" s="113">
        <f t="shared" si="78"/>
        <v>434808.75</v>
      </c>
      <c r="O339" s="113">
        <f t="shared" si="78"/>
        <v>4852813.25</v>
      </c>
      <c r="P339" s="113">
        <f t="shared" si="78"/>
        <v>0</v>
      </c>
      <c r="Q339" s="106" t="s">
        <v>40</v>
      </c>
      <c r="R339" s="106" t="s">
        <v>40</v>
      </c>
      <c r="S339" s="316">
        <v>43100</v>
      </c>
    </row>
    <row r="340" spans="1:19" s="1" customFormat="1" ht="31.2">
      <c r="A340" s="308">
        <v>58</v>
      </c>
      <c r="B340" s="345" t="s">
        <v>481</v>
      </c>
      <c r="C340" s="346">
        <v>1958</v>
      </c>
      <c r="D340" s="346"/>
      <c r="E340" s="311" t="s">
        <v>218</v>
      </c>
      <c r="F340" s="346">
        <v>2</v>
      </c>
      <c r="G340" s="346">
        <v>2</v>
      </c>
      <c r="H340" s="347">
        <v>640.1</v>
      </c>
      <c r="I340" s="348">
        <v>392.3</v>
      </c>
      <c r="J340" s="348">
        <v>347.7</v>
      </c>
      <c r="K340" s="349">
        <v>32</v>
      </c>
      <c r="L340" s="314">
        <v>1505603</v>
      </c>
      <c r="M340" s="314">
        <v>0</v>
      </c>
      <c r="N340" s="314">
        <v>0</v>
      </c>
      <c r="O340" s="314">
        <f>L340</f>
        <v>1505603</v>
      </c>
      <c r="P340" s="314">
        <v>0</v>
      </c>
      <c r="Q340" s="350">
        <f>L340/I340</f>
        <v>3837.8868213102219</v>
      </c>
      <c r="R340" s="315">
        <v>7822</v>
      </c>
      <c r="S340" s="316">
        <v>43100</v>
      </c>
    </row>
    <row r="341" spans="1:19" s="1" customFormat="1" ht="21.6" customHeight="1">
      <c r="A341" s="107"/>
      <c r="B341" s="1413" t="s">
        <v>985</v>
      </c>
      <c r="C341" s="1413"/>
      <c r="D341" s="1413"/>
      <c r="E341" s="1413"/>
      <c r="F341" s="1413"/>
      <c r="G341" s="1413"/>
      <c r="H341" s="128">
        <f>H342+H343</f>
        <v>1774</v>
      </c>
      <c r="I341" s="128">
        <f t="shared" ref="I341:P341" si="79">I342+I343</f>
        <v>1017.9000000000001</v>
      </c>
      <c r="J341" s="128">
        <f t="shared" si="79"/>
        <v>1017.9000000000001</v>
      </c>
      <c r="K341" s="128">
        <f t="shared" si="79"/>
        <v>99</v>
      </c>
      <c r="L341" s="565">
        <f t="shared" si="79"/>
        <v>7561422.5999999996</v>
      </c>
      <c r="M341" s="565">
        <f t="shared" si="79"/>
        <v>0</v>
      </c>
      <c r="N341" s="565">
        <f t="shared" si="79"/>
        <v>879004.05</v>
      </c>
      <c r="O341" s="565">
        <f t="shared" si="79"/>
        <v>6682418.5499999998</v>
      </c>
      <c r="P341" s="565">
        <f t="shared" si="79"/>
        <v>0</v>
      </c>
      <c r="Q341" s="106" t="s">
        <v>40</v>
      </c>
      <c r="R341" s="106" t="s">
        <v>40</v>
      </c>
      <c r="S341" s="316">
        <v>43100</v>
      </c>
    </row>
    <row r="342" spans="1:19" s="1" customFormat="1" ht="37.200000000000003" customHeight="1">
      <c r="A342" s="107"/>
      <c r="B342" s="567" t="s">
        <v>986</v>
      </c>
      <c r="C342" s="118">
        <v>1981</v>
      </c>
      <c r="D342" s="118"/>
      <c r="E342" s="99" t="s">
        <v>988</v>
      </c>
      <c r="F342" s="118">
        <v>2</v>
      </c>
      <c r="G342" s="118">
        <v>3</v>
      </c>
      <c r="H342" s="128">
        <v>871.4</v>
      </c>
      <c r="I342" s="162">
        <v>502.2</v>
      </c>
      <c r="J342" s="162">
        <v>502.2</v>
      </c>
      <c r="K342" s="119">
        <v>53</v>
      </c>
      <c r="L342" s="113">
        <v>3779403.6</v>
      </c>
      <c r="M342" s="113">
        <v>0</v>
      </c>
      <c r="N342" s="113">
        <v>444195.3</v>
      </c>
      <c r="O342" s="113">
        <v>3335208.3</v>
      </c>
      <c r="P342" s="113">
        <v>0</v>
      </c>
      <c r="Q342" s="106">
        <f>L342/I342</f>
        <v>7525.6941457586627</v>
      </c>
      <c r="R342" s="114">
        <v>7822</v>
      </c>
      <c r="S342" s="316">
        <v>43100</v>
      </c>
    </row>
    <row r="343" spans="1:19" s="1" customFormat="1" ht="37.200000000000003" customHeight="1">
      <c r="A343" s="107"/>
      <c r="B343" s="567" t="s">
        <v>987</v>
      </c>
      <c r="C343" s="118">
        <v>1975</v>
      </c>
      <c r="D343" s="118"/>
      <c r="E343" s="99" t="s">
        <v>988</v>
      </c>
      <c r="F343" s="118">
        <v>2</v>
      </c>
      <c r="G343" s="118">
        <v>3</v>
      </c>
      <c r="H343" s="128">
        <v>902.6</v>
      </c>
      <c r="I343" s="106">
        <v>515.70000000000005</v>
      </c>
      <c r="J343" s="118">
        <v>515.70000000000005</v>
      </c>
      <c r="K343" s="119">
        <v>46</v>
      </c>
      <c r="L343" s="113">
        <v>3782019</v>
      </c>
      <c r="M343" s="113">
        <v>0</v>
      </c>
      <c r="N343" s="113">
        <v>434808.75</v>
      </c>
      <c r="O343" s="113">
        <v>3347210.25</v>
      </c>
      <c r="P343" s="113">
        <v>0</v>
      </c>
      <c r="Q343" s="106">
        <f>L343/I343</f>
        <v>7333.7579988365324</v>
      </c>
      <c r="R343" s="114">
        <v>7822</v>
      </c>
      <c r="S343" s="316">
        <v>43100</v>
      </c>
    </row>
    <row r="344" spans="1:19" s="1" customFormat="1" ht="15.75" customHeight="1">
      <c r="A344" s="107"/>
      <c r="B344" s="1413" t="s">
        <v>188</v>
      </c>
      <c r="C344" s="1413"/>
      <c r="D344" s="1413"/>
      <c r="E344" s="1413"/>
      <c r="F344" s="1413"/>
      <c r="G344" s="1413"/>
      <c r="H344" s="128">
        <f>H345+H346</f>
        <v>1595.1</v>
      </c>
      <c r="I344" s="128">
        <f t="shared" ref="I344:P344" si="80">I345+I346</f>
        <v>1431.3</v>
      </c>
      <c r="J344" s="128">
        <f t="shared" si="80"/>
        <v>1431.3</v>
      </c>
      <c r="K344" s="162">
        <f>K345+K346</f>
        <v>87</v>
      </c>
      <c r="L344" s="113">
        <f t="shared" si="80"/>
        <v>1905804</v>
      </c>
      <c r="M344" s="113">
        <f t="shared" si="80"/>
        <v>0</v>
      </c>
      <c r="N344" s="113">
        <f t="shared" si="80"/>
        <v>59804</v>
      </c>
      <c r="O344" s="113">
        <f t="shared" si="80"/>
        <v>1846000</v>
      </c>
      <c r="P344" s="113">
        <f t="shared" si="80"/>
        <v>0</v>
      </c>
      <c r="Q344" s="106" t="s">
        <v>40</v>
      </c>
      <c r="R344" s="114" t="s">
        <v>40</v>
      </c>
      <c r="S344" s="316">
        <v>43100</v>
      </c>
    </row>
    <row r="345" spans="1:19" s="1" customFormat="1" ht="15.6">
      <c r="A345" s="107"/>
      <c r="B345" s="264" t="s">
        <v>410</v>
      </c>
      <c r="C345" s="269">
        <v>1968</v>
      </c>
      <c r="D345" s="118"/>
      <c r="E345" s="109" t="s">
        <v>219</v>
      </c>
      <c r="F345" s="118">
        <v>2</v>
      </c>
      <c r="G345" s="118">
        <v>3</v>
      </c>
      <c r="H345" s="128">
        <v>798.1</v>
      </c>
      <c r="I345" s="106">
        <v>714.4</v>
      </c>
      <c r="J345" s="118">
        <v>714.4</v>
      </c>
      <c r="K345" s="119">
        <v>42</v>
      </c>
      <c r="L345" s="113">
        <v>958459</v>
      </c>
      <c r="M345" s="113">
        <v>0</v>
      </c>
      <c r="N345" s="113">
        <v>35459</v>
      </c>
      <c r="O345" s="113">
        <v>923000</v>
      </c>
      <c r="P345" s="113">
        <v>0</v>
      </c>
      <c r="Q345" s="106">
        <f>L345/I345</f>
        <v>1341.6279395296754</v>
      </c>
      <c r="R345" s="114">
        <v>6774</v>
      </c>
      <c r="S345" s="316">
        <v>43100</v>
      </c>
    </row>
    <row r="346" spans="1:19" s="1" customFormat="1" ht="15.6">
      <c r="A346" s="107"/>
      <c r="B346" s="263" t="s">
        <v>411</v>
      </c>
      <c r="C346" s="118">
        <v>1970</v>
      </c>
      <c r="D346" s="118"/>
      <c r="E346" s="109" t="s">
        <v>219</v>
      </c>
      <c r="F346" s="118">
        <v>2</v>
      </c>
      <c r="G346" s="118">
        <v>3</v>
      </c>
      <c r="H346" s="128">
        <v>797</v>
      </c>
      <c r="I346" s="106">
        <v>716.9</v>
      </c>
      <c r="J346" s="118">
        <v>716.9</v>
      </c>
      <c r="K346" s="119">
        <v>45</v>
      </c>
      <c r="L346" s="113">
        <v>947345</v>
      </c>
      <c r="M346" s="113">
        <v>0</v>
      </c>
      <c r="N346" s="113">
        <v>24345</v>
      </c>
      <c r="O346" s="113">
        <v>923000</v>
      </c>
      <c r="P346" s="113">
        <v>0</v>
      </c>
      <c r="Q346" s="106">
        <f>L346/I346</f>
        <v>1321.4465057888131</v>
      </c>
      <c r="R346" s="114">
        <v>6774</v>
      </c>
      <c r="S346" s="316">
        <v>43100</v>
      </c>
    </row>
    <row r="347" spans="1:19" s="1" customFormat="1" ht="15.6">
      <c r="A347" s="107"/>
      <c r="B347" s="1411" t="s">
        <v>189</v>
      </c>
      <c r="C347" s="1411"/>
      <c r="D347" s="1411"/>
      <c r="E347" s="1411"/>
      <c r="F347" s="1411"/>
      <c r="G347" s="1411"/>
      <c r="H347" s="128">
        <f>H348</f>
        <v>506.9</v>
      </c>
      <c r="I347" s="128">
        <f t="shared" ref="I347:P347" si="81">I348</f>
        <v>402.3</v>
      </c>
      <c r="J347" s="128">
        <f t="shared" si="81"/>
        <v>402.3</v>
      </c>
      <c r="K347" s="162">
        <f t="shared" si="81"/>
        <v>7</v>
      </c>
      <c r="L347" s="113">
        <f t="shared" si="81"/>
        <v>820660</v>
      </c>
      <c r="M347" s="113">
        <f t="shared" si="81"/>
        <v>0</v>
      </c>
      <c r="N347" s="113">
        <f t="shared" si="81"/>
        <v>0</v>
      </c>
      <c r="O347" s="113">
        <f t="shared" si="81"/>
        <v>820660</v>
      </c>
      <c r="P347" s="113">
        <f t="shared" si="81"/>
        <v>0</v>
      </c>
      <c r="Q347" s="106" t="s">
        <v>40</v>
      </c>
      <c r="R347" s="114" t="s">
        <v>40</v>
      </c>
      <c r="S347" s="316">
        <v>43100</v>
      </c>
    </row>
    <row r="348" spans="1:19" s="1" customFormat="1" ht="31.2">
      <c r="A348" s="107"/>
      <c r="B348" s="263" t="s">
        <v>412</v>
      </c>
      <c r="C348" s="118">
        <v>1958</v>
      </c>
      <c r="D348" s="118"/>
      <c r="E348" s="109" t="s">
        <v>218</v>
      </c>
      <c r="F348" s="118">
        <v>2</v>
      </c>
      <c r="G348" s="118">
        <v>1</v>
      </c>
      <c r="H348" s="128">
        <v>506.9</v>
      </c>
      <c r="I348" s="106">
        <v>402.3</v>
      </c>
      <c r="J348" s="118">
        <v>402.3</v>
      </c>
      <c r="K348" s="119">
        <v>7</v>
      </c>
      <c r="L348" s="113">
        <v>820660</v>
      </c>
      <c r="M348" s="113">
        <v>0</v>
      </c>
      <c r="N348" s="113">
        <v>0</v>
      </c>
      <c r="O348" s="113">
        <f>L348</f>
        <v>820660</v>
      </c>
      <c r="P348" s="113">
        <v>0</v>
      </c>
      <c r="Q348" s="106">
        <f>L348/I348</f>
        <v>2039.9204573701218</v>
      </c>
      <c r="R348" s="114">
        <v>6774</v>
      </c>
      <c r="S348" s="316">
        <v>43100</v>
      </c>
    </row>
    <row r="349" spans="1:19" s="1" customFormat="1" ht="15.6">
      <c r="A349" s="107"/>
      <c r="B349" s="1411" t="s">
        <v>131</v>
      </c>
      <c r="C349" s="1411"/>
      <c r="D349" s="1411"/>
      <c r="E349" s="1411"/>
      <c r="F349" s="1411"/>
      <c r="G349" s="1411"/>
      <c r="H349" s="128">
        <f>H350</f>
        <v>4576.7</v>
      </c>
      <c r="I349" s="128">
        <f t="shared" ref="I349:P349" si="82">I350</f>
        <v>4541</v>
      </c>
      <c r="J349" s="128">
        <f t="shared" si="82"/>
        <v>4441</v>
      </c>
      <c r="K349" s="128">
        <f t="shared" si="82"/>
        <v>216</v>
      </c>
      <c r="L349" s="366">
        <f t="shared" si="82"/>
        <v>2888385</v>
      </c>
      <c r="M349" s="366">
        <f t="shared" si="82"/>
        <v>0</v>
      </c>
      <c r="N349" s="366">
        <f t="shared" si="82"/>
        <v>0</v>
      </c>
      <c r="O349" s="366">
        <f t="shared" si="82"/>
        <v>2888385</v>
      </c>
      <c r="P349" s="366">
        <f t="shared" si="82"/>
        <v>0</v>
      </c>
      <c r="Q349" s="106" t="s">
        <v>40</v>
      </c>
      <c r="R349" s="114" t="s">
        <v>40</v>
      </c>
      <c r="S349" s="316">
        <v>43100</v>
      </c>
    </row>
    <row r="350" spans="1:19" s="61" customFormat="1">
      <c r="A350" s="107">
        <v>59</v>
      </c>
      <c r="B350" s="163" t="s">
        <v>659</v>
      </c>
      <c r="C350" s="131">
        <v>1985</v>
      </c>
      <c r="D350" s="131"/>
      <c r="E350" s="109" t="s">
        <v>219</v>
      </c>
      <c r="F350" s="131">
        <v>5</v>
      </c>
      <c r="G350" s="131">
        <v>6</v>
      </c>
      <c r="H350" s="131">
        <v>4576.7</v>
      </c>
      <c r="I350" s="131">
        <v>4541</v>
      </c>
      <c r="J350" s="131">
        <v>4441</v>
      </c>
      <c r="K350" s="131">
        <v>216</v>
      </c>
      <c r="L350" s="113">
        <v>2888385</v>
      </c>
      <c r="M350" s="113">
        <v>0</v>
      </c>
      <c r="N350" s="113">
        <v>0</v>
      </c>
      <c r="O350" s="113">
        <v>2888385</v>
      </c>
      <c r="P350" s="113">
        <v>0</v>
      </c>
      <c r="Q350" s="124">
        <f>O350/I350</f>
        <v>636.06804668575205</v>
      </c>
      <c r="R350" s="114">
        <v>7822</v>
      </c>
      <c r="S350" s="316">
        <v>43100</v>
      </c>
    </row>
    <row r="351" spans="1:19" s="61" customFormat="1">
      <c r="A351" s="107"/>
      <c r="B351" s="145"/>
      <c r="C351" s="164"/>
      <c r="D351" s="131"/>
      <c r="E351" s="109"/>
      <c r="F351" s="131"/>
      <c r="G351" s="131"/>
      <c r="H351" s="131"/>
      <c r="I351" s="131"/>
      <c r="J351" s="131"/>
      <c r="K351" s="131"/>
      <c r="L351" s="113"/>
      <c r="M351" s="113"/>
      <c r="N351" s="113"/>
      <c r="O351" s="113"/>
      <c r="P351" s="113"/>
      <c r="Q351" s="124"/>
      <c r="R351" s="114"/>
      <c r="S351" s="316"/>
    </row>
    <row r="352" spans="1:19" s="1" customFormat="1" ht="15.6">
      <c r="A352" s="107"/>
      <c r="B352" s="1411" t="s">
        <v>50</v>
      </c>
      <c r="C352" s="1411"/>
      <c r="D352" s="1411"/>
      <c r="E352" s="1411"/>
      <c r="F352" s="1411"/>
      <c r="G352" s="1411"/>
      <c r="H352" s="106">
        <f>H353</f>
        <v>6412.52</v>
      </c>
      <c r="I352" s="106">
        <f t="shared" ref="I352:P352" si="83">I353</f>
        <v>5554.8</v>
      </c>
      <c r="J352" s="106">
        <f t="shared" si="83"/>
        <v>4851.7</v>
      </c>
      <c r="K352" s="119">
        <f t="shared" si="83"/>
        <v>202</v>
      </c>
      <c r="L352" s="113">
        <f t="shared" si="83"/>
        <v>14213854</v>
      </c>
      <c r="M352" s="113">
        <f t="shared" si="83"/>
        <v>0</v>
      </c>
      <c r="N352" s="113">
        <f t="shared" si="83"/>
        <v>0</v>
      </c>
      <c r="O352" s="113">
        <f t="shared" si="83"/>
        <v>14213854</v>
      </c>
      <c r="P352" s="113">
        <f t="shared" si="83"/>
        <v>0</v>
      </c>
      <c r="Q352" s="106" t="s">
        <v>40</v>
      </c>
      <c r="R352" s="114" t="s">
        <v>40</v>
      </c>
      <c r="S352" s="316">
        <v>43100</v>
      </c>
    </row>
    <row r="353" spans="1:34" s="18" customFormat="1" ht="15.6">
      <c r="A353" s="107"/>
      <c r="B353" s="1411" t="s">
        <v>106</v>
      </c>
      <c r="C353" s="1411"/>
      <c r="D353" s="1411"/>
      <c r="E353" s="1411"/>
      <c r="F353" s="1411"/>
      <c r="G353" s="1411"/>
      <c r="H353" s="409">
        <f t="shared" ref="H353:P353" si="84">SUM(H354:H362)</f>
        <v>6412.52</v>
      </c>
      <c r="I353" s="409">
        <f t="shared" si="84"/>
        <v>5554.8</v>
      </c>
      <c r="J353" s="409">
        <f t="shared" si="84"/>
        <v>4851.7</v>
      </c>
      <c r="K353" s="657">
        <f t="shared" si="84"/>
        <v>202</v>
      </c>
      <c r="L353" s="113">
        <f t="shared" si="84"/>
        <v>14213854</v>
      </c>
      <c r="M353" s="113">
        <f t="shared" si="84"/>
        <v>0</v>
      </c>
      <c r="N353" s="113">
        <f t="shared" si="84"/>
        <v>0</v>
      </c>
      <c r="O353" s="113">
        <f t="shared" si="84"/>
        <v>14213854</v>
      </c>
      <c r="P353" s="113">
        <f t="shared" si="84"/>
        <v>0</v>
      </c>
      <c r="Q353" s="106" t="s">
        <v>40</v>
      </c>
      <c r="R353" s="114" t="s">
        <v>40</v>
      </c>
      <c r="S353" s="316">
        <v>43100</v>
      </c>
    </row>
    <row r="354" spans="1:34" s="66" customFormat="1" ht="31.2">
      <c r="A354" s="107"/>
      <c r="B354" s="165" t="s">
        <v>836</v>
      </c>
      <c r="C354" s="166">
        <v>1972</v>
      </c>
      <c r="D354" s="167"/>
      <c r="E354" s="109" t="s">
        <v>218</v>
      </c>
      <c r="F354" s="169">
        <v>2</v>
      </c>
      <c r="G354" s="790">
        <v>2</v>
      </c>
      <c r="H354" s="769">
        <v>577.79999999999995</v>
      </c>
      <c r="I354" s="769">
        <v>530.4</v>
      </c>
      <c r="J354" s="769">
        <v>344.7</v>
      </c>
      <c r="K354" s="769">
        <v>23</v>
      </c>
      <c r="L354" s="655">
        <v>1666855</v>
      </c>
      <c r="M354" s="113">
        <f>SUM(M355:M362)</f>
        <v>0</v>
      </c>
      <c r="N354" s="113">
        <f>SUM(N355:N362)</f>
        <v>0</v>
      </c>
      <c r="O354" s="113">
        <f t="shared" ref="O354:O362" si="85">L354</f>
        <v>1666855</v>
      </c>
      <c r="P354" s="113">
        <f>SUM(P355:P362)</f>
        <v>0</v>
      </c>
      <c r="Q354" s="168">
        <f t="shared" ref="Q354:Q362" si="86">L354/I354</f>
        <v>3142.6376319758674</v>
      </c>
      <c r="R354" s="114">
        <v>7822</v>
      </c>
      <c r="S354" s="316">
        <v>43100</v>
      </c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</row>
    <row r="355" spans="1:34" s="50" customFormat="1" ht="31.2">
      <c r="A355" s="107"/>
      <c r="B355" s="165" t="s">
        <v>837</v>
      </c>
      <c r="C355" s="166">
        <v>1973</v>
      </c>
      <c r="D355" s="167"/>
      <c r="E355" s="109" t="s">
        <v>218</v>
      </c>
      <c r="F355" s="169">
        <v>2</v>
      </c>
      <c r="G355" s="790">
        <v>3</v>
      </c>
      <c r="H355" s="769">
        <v>1040.7</v>
      </c>
      <c r="I355" s="769">
        <v>953.1</v>
      </c>
      <c r="J355" s="769">
        <v>953.1</v>
      </c>
      <c r="K355" s="769">
        <v>18</v>
      </c>
      <c r="L355" s="655">
        <v>2505131</v>
      </c>
      <c r="M355" s="113">
        <f>SUM(M356:M364)</f>
        <v>0</v>
      </c>
      <c r="N355" s="113">
        <f>SUM(N356:N364)</f>
        <v>0</v>
      </c>
      <c r="O355" s="113">
        <f t="shared" si="85"/>
        <v>2505131</v>
      </c>
      <c r="P355" s="113">
        <f>SUM(P356:P364)</f>
        <v>0</v>
      </c>
      <c r="Q355" s="168">
        <f t="shared" si="86"/>
        <v>2628.4031056552303</v>
      </c>
      <c r="R355" s="114">
        <v>7822</v>
      </c>
      <c r="S355" s="316">
        <v>43100</v>
      </c>
    </row>
    <row r="356" spans="1:34" s="50" customFormat="1" ht="31.2">
      <c r="A356" s="107"/>
      <c r="B356" s="165" t="s">
        <v>838</v>
      </c>
      <c r="C356" s="166">
        <v>1940</v>
      </c>
      <c r="D356" s="167"/>
      <c r="E356" s="109" t="s">
        <v>218</v>
      </c>
      <c r="F356" s="169">
        <v>2</v>
      </c>
      <c r="G356" s="790">
        <v>2</v>
      </c>
      <c r="H356" s="769">
        <v>773.9</v>
      </c>
      <c r="I356" s="769">
        <v>715.9</v>
      </c>
      <c r="J356" s="769">
        <v>642.1</v>
      </c>
      <c r="K356" s="769">
        <v>30</v>
      </c>
      <c r="L356" s="655">
        <v>2532008</v>
      </c>
      <c r="M356" s="113">
        <f>SUM(M357:M363)</f>
        <v>0</v>
      </c>
      <c r="N356" s="113">
        <f>SUM(N357:N363)</f>
        <v>0</v>
      </c>
      <c r="O356" s="113">
        <f t="shared" si="85"/>
        <v>2532008</v>
      </c>
      <c r="P356" s="113">
        <f>SUM(P357:P363)</f>
        <v>0</v>
      </c>
      <c r="Q356" s="168">
        <f t="shared" si="86"/>
        <v>3536.8179913395725</v>
      </c>
      <c r="R356" s="114">
        <v>7822</v>
      </c>
      <c r="S356" s="316">
        <v>43100</v>
      </c>
    </row>
    <row r="357" spans="1:34" s="50" customFormat="1" ht="31.2">
      <c r="A357" s="107"/>
      <c r="B357" s="165" t="s">
        <v>839</v>
      </c>
      <c r="C357" s="166">
        <v>1971</v>
      </c>
      <c r="D357" s="167"/>
      <c r="E357" s="109" t="s">
        <v>218</v>
      </c>
      <c r="F357" s="169">
        <v>2</v>
      </c>
      <c r="G357" s="790">
        <v>2</v>
      </c>
      <c r="H357" s="769">
        <v>574</v>
      </c>
      <c r="I357" s="769">
        <v>524.1</v>
      </c>
      <c r="J357" s="769">
        <v>369.7</v>
      </c>
      <c r="K357" s="769">
        <v>22</v>
      </c>
      <c r="L357" s="655">
        <v>1684781</v>
      </c>
      <c r="M357" s="113">
        <f>SUM(M358:M362)</f>
        <v>0</v>
      </c>
      <c r="N357" s="113">
        <f>SUM(N358:N362)</f>
        <v>0</v>
      </c>
      <c r="O357" s="113">
        <f t="shared" si="85"/>
        <v>1684781</v>
      </c>
      <c r="P357" s="113">
        <f>SUM(P358:P362)</f>
        <v>0</v>
      </c>
      <c r="Q357" s="168">
        <f t="shared" si="86"/>
        <v>3214.6174394199579</v>
      </c>
      <c r="R357" s="114">
        <v>7822</v>
      </c>
      <c r="S357" s="316">
        <v>43100</v>
      </c>
    </row>
    <row r="358" spans="1:34" s="50" customFormat="1" ht="31.2">
      <c r="A358" s="107"/>
      <c r="B358" s="165" t="s">
        <v>840</v>
      </c>
      <c r="C358" s="166">
        <v>1965</v>
      </c>
      <c r="D358" s="167"/>
      <c r="E358" s="109" t="s">
        <v>218</v>
      </c>
      <c r="F358" s="169">
        <v>2</v>
      </c>
      <c r="G358" s="790">
        <v>2</v>
      </c>
      <c r="H358" s="769">
        <v>398.92</v>
      </c>
      <c r="I358" s="769">
        <v>365.3</v>
      </c>
      <c r="J358" s="769">
        <v>244.4</v>
      </c>
      <c r="K358" s="769">
        <v>15</v>
      </c>
      <c r="L358" s="655">
        <v>1111881</v>
      </c>
      <c r="M358" s="113">
        <f>SUM(M360:M365)</f>
        <v>0</v>
      </c>
      <c r="N358" s="113">
        <f>SUM(N360:N365)</f>
        <v>0</v>
      </c>
      <c r="O358" s="113">
        <f t="shared" si="85"/>
        <v>1111881</v>
      </c>
      <c r="P358" s="113">
        <f>SUM(P360:P365)</f>
        <v>0</v>
      </c>
      <c r="Q358" s="168">
        <f t="shared" si="86"/>
        <v>3043.7476047084588</v>
      </c>
      <c r="R358" s="114">
        <v>7822</v>
      </c>
      <c r="S358" s="316">
        <v>43100</v>
      </c>
    </row>
    <row r="359" spans="1:34" s="50" customFormat="1" ht="31.2">
      <c r="A359" s="107"/>
      <c r="B359" s="165" t="s">
        <v>841</v>
      </c>
      <c r="C359" s="166">
        <v>1980</v>
      </c>
      <c r="D359" s="167"/>
      <c r="E359" s="109" t="s">
        <v>218</v>
      </c>
      <c r="F359" s="169">
        <v>2</v>
      </c>
      <c r="G359" s="790">
        <v>2</v>
      </c>
      <c r="H359" s="769">
        <v>560.5</v>
      </c>
      <c r="I359" s="769">
        <v>515.1</v>
      </c>
      <c r="J359" s="769">
        <v>434.6</v>
      </c>
      <c r="K359" s="769">
        <v>20</v>
      </c>
      <c r="L359" s="655">
        <v>1500589</v>
      </c>
      <c r="M359" s="113">
        <f>SUM(M360:M366)</f>
        <v>0</v>
      </c>
      <c r="N359" s="113">
        <f>SUM(N360:N366)</f>
        <v>0</v>
      </c>
      <c r="O359" s="113">
        <f t="shared" si="85"/>
        <v>1500589</v>
      </c>
      <c r="P359" s="113">
        <f>SUM(P360:P366)</f>
        <v>0</v>
      </c>
      <c r="Q359" s="168">
        <f t="shared" si="86"/>
        <v>2913.1993787614056</v>
      </c>
      <c r="R359" s="114">
        <v>7822</v>
      </c>
      <c r="S359" s="316">
        <v>43100</v>
      </c>
    </row>
    <row r="360" spans="1:34" s="50" customFormat="1" ht="30.6" customHeight="1">
      <c r="A360" s="107"/>
      <c r="B360" s="165" t="s">
        <v>842</v>
      </c>
      <c r="C360" s="166">
        <v>1974</v>
      </c>
      <c r="D360" s="167"/>
      <c r="E360" s="109" t="s">
        <v>220</v>
      </c>
      <c r="F360" s="169">
        <v>5</v>
      </c>
      <c r="G360" s="790">
        <v>1</v>
      </c>
      <c r="H360" s="792">
        <v>1861.5</v>
      </c>
      <c r="I360" s="769">
        <v>1532.1</v>
      </c>
      <c r="J360" s="769">
        <v>1444.3</v>
      </c>
      <c r="K360" s="769">
        <v>51</v>
      </c>
      <c r="L360" s="655">
        <v>1161775</v>
      </c>
      <c r="M360" s="113">
        <v>0</v>
      </c>
      <c r="N360" s="113">
        <v>0</v>
      </c>
      <c r="O360" s="113">
        <f t="shared" si="85"/>
        <v>1161775</v>
      </c>
      <c r="P360" s="113">
        <v>0</v>
      </c>
      <c r="Q360" s="168">
        <f t="shared" si="86"/>
        <v>758.28927615690884</v>
      </c>
      <c r="R360" s="114">
        <v>7822</v>
      </c>
      <c r="S360" s="316">
        <v>43100</v>
      </c>
    </row>
    <row r="361" spans="1:34" s="50" customFormat="1" ht="31.2">
      <c r="A361" s="107"/>
      <c r="B361" s="165" t="s">
        <v>846</v>
      </c>
      <c r="C361" s="166">
        <v>1917</v>
      </c>
      <c r="D361" s="167"/>
      <c r="E361" s="109" t="s">
        <v>218</v>
      </c>
      <c r="F361" s="169">
        <v>2</v>
      </c>
      <c r="G361" s="790">
        <v>1</v>
      </c>
      <c r="H361" s="769">
        <v>219.6</v>
      </c>
      <c r="I361" s="769">
        <v>184.6</v>
      </c>
      <c r="J361" s="769">
        <v>184.6</v>
      </c>
      <c r="K361" s="769">
        <v>17</v>
      </c>
      <c r="L361" s="655">
        <v>537007</v>
      </c>
      <c r="M361" s="113">
        <f>SUM(M362:M367)</f>
        <v>0</v>
      </c>
      <c r="N361" s="113">
        <f>SUM(N362:N367)</f>
        <v>0</v>
      </c>
      <c r="O361" s="113">
        <f t="shared" si="85"/>
        <v>537007</v>
      </c>
      <c r="P361" s="113">
        <f>SUM(P362:P367)</f>
        <v>0</v>
      </c>
      <c r="Q361" s="168">
        <f t="shared" si="86"/>
        <v>2909.0303358613219</v>
      </c>
      <c r="R361" s="114">
        <v>7822</v>
      </c>
      <c r="S361" s="316">
        <v>43100</v>
      </c>
    </row>
    <row r="362" spans="1:34" s="50" customFormat="1" ht="31.2">
      <c r="A362" s="107"/>
      <c r="B362" s="165" t="s">
        <v>845</v>
      </c>
      <c r="C362" s="166">
        <v>1967</v>
      </c>
      <c r="D362" s="167"/>
      <c r="E362" s="109" t="s">
        <v>218</v>
      </c>
      <c r="F362" s="169">
        <v>2</v>
      </c>
      <c r="G362" s="790">
        <v>1</v>
      </c>
      <c r="H362" s="131">
        <v>405.6</v>
      </c>
      <c r="I362" s="131">
        <v>234.2</v>
      </c>
      <c r="J362" s="131">
        <v>234.2</v>
      </c>
      <c r="K362" s="131">
        <v>6</v>
      </c>
      <c r="L362" s="655">
        <v>1513827</v>
      </c>
      <c r="M362" s="113">
        <f>SUM(M363:M367)</f>
        <v>0</v>
      </c>
      <c r="N362" s="113">
        <f>SUM(N363:N367)</f>
        <v>0</v>
      </c>
      <c r="O362" s="113">
        <f t="shared" si="85"/>
        <v>1513827</v>
      </c>
      <c r="P362" s="113">
        <f>SUM(P363:P367)</f>
        <v>0</v>
      </c>
      <c r="Q362" s="168">
        <f t="shared" si="86"/>
        <v>6463.821520068318</v>
      </c>
      <c r="R362" s="114">
        <v>7822</v>
      </c>
      <c r="S362" s="316">
        <v>43100</v>
      </c>
    </row>
    <row r="363" spans="1:34" s="1" customFormat="1" ht="15.6">
      <c r="A363" s="107"/>
      <c r="B363" s="1411" t="s">
        <v>51</v>
      </c>
      <c r="C363" s="1411"/>
      <c r="D363" s="1411"/>
      <c r="E363" s="1411"/>
      <c r="F363" s="1411"/>
      <c r="G363" s="1411"/>
      <c r="H363" s="765">
        <f>H364</f>
        <v>7394.6</v>
      </c>
      <c r="I363" s="791">
        <f t="shared" ref="I363:P363" si="87">I364</f>
        <v>7394.6</v>
      </c>
      <c r="J363" s="791">
        <f t="shared" si="87"/>
        <v>4847.7</v>
      </c>
      <c r="K363" s="777">
        <f t="shared" si="87"/>
        <v>302</v>
      </c>
      <c r="L363" s="113">
        <f t="shared" si="87"/>
        <v>11379869</v>
      </c>
      <c r="M363" s="113">
        <f t="shared" si="87"/>
        <v>0</v>
      </c>
      <c r="N363" s="113">
        <f t="shared" si="87"/>
        <v>0</v>
      </c>
      <c r="O363" s="113">
        <f t="shared" si="87"/>
        <v>11379869</v>
      </c>
      <c r="P363" s="113">
        <f t="shared" si="87"/>
        <v>0</v>
      </c>
      <c r="Q363" s="106" t="s">
        <v>40</v>
      </c>
      <c r="R363" s="106" t="s">
        <v>40</v>
      </c>
      <c r="S363" s="316">
        <v>43100</v>
      </c>
    </row>
    <row r="364" spans="1:34" s="1" customFormat="1" ht="22.95" customHeight="1">
      <c r="A364" s="107"/>
      <c r="B364" s="1411" t="s">
        <v>108</v>
      </c>
      <c r="C364" s="1411"/>
      <c r="D364" s="1411"/>
      <c r="E364" s="1411"/>
      <c r="F364" s="1454"/>
      <c r="G364" s="1454"/>
      <c r="H364" s="613">
        <f t="shared" ref="H364:P364" si="88">SUM(H365:H372)</f>
        <v>7394.6</v>
      </c>
      <c r="I364" s="952">
        <f t="shared" si="88"/>
        <v>7394.6</v>
      </c>
      <c r="J364" s="952">
        <f t="shared" si="88"/>
        <v>4847.7</v>
      </c>
      <c r="K364" s="657">
        <f t="shared" si="88"/>
        <v>302</v>
      </c>
      <c r="L364" s="113">
        <f t="shared" si="88"/>
        <v>11379869</v>
      </c>
      <c r="M364" s="113">
        <f t="shared" si="88"/>
        <v>0</v>
      </c>
      <c r="N364" s="113">
        <f t="shared" si="88"/>
        <v>0</v>
      </c>
      <c r="O364" s="113">
        <f t="shared" si="88"/>
        <v>11379869</v>
      </c>
      <c r="P364" s="113">
        <f t="shared" si="88"/>
        <v>0</v>
      </c>
      <c r="Q364" s="106" t="s">
        <v>40</v>
      </c>
      <c r="R364" s="106" t="s">
        <v>40</v>
      </c>
      <c r="S364" s="316">
        <v>43100</v>
      </c>
    </row>
    <row r="365" spans="1:34" s="51" customFormat="1" ht="31.2">
      <c r="A365" s="107"/>
      <c r="B365" s="945" t="s">
        <v>998</v>
      </c>
      <c r="C365" s="118" t="s">
        <v>190</v>
      </c>
      <c r="D365" s="118"/>
      <c r="E365" s="611" t="s">
        <v>218</v>
      </c>
      <c r="F365" s="953">
        <v>1</v>
      </c>
      <c r="G365" s="953">
        <v>2</v>
      </c>
      <c r="H365" s="955">
        <v>333.1</v>
      </c>
      <c r="I365" s="956">
        <v>333.1</v>
      </c>
      <c r="J365" s="955">
        <v>231.8</v>
      </c>
      <c r="K365" s="953">
        <v>11</v>
      </c>
      <c r="L365" s="655">
        <f>O365</f>
        <v>957124</v>
      </c>
      <c r="M365" s="113">
        <v>0</v>
      </c>
      <c r="N365" s="113">
        <v>0</v>
      </c>
      <c r="O365" s="113">
        <v>957124</v>
      </c>
      <c r="P365" s="113">
        <v>0</v>
      </c>
      <c r="Q365" s="170">
        <f t="shared" ref="Q365:Q375" si="89">L365/I365</f>
        <v>2873.3833683578505</v>
      </c>
      <c r="R365" s="114">
        <v>7822</v>
      </c>
      <c r="S365" s="316">
        <v>43100</v>
      </c>
    </row>
    <row r="366" spans="1:34" s="51" customFormat="1" ht="31.2">
      <c r="A366" s="107"/>
      <c r="B366" s="945" t="s">
        <v>999</v>
      </c>
      <c r="C366" s="118">
        <v>1965</v>
      </c>
      <c r="D366" s="118"/>
      <c r="E366" s="611" t="s">
        <v>218</v>
      </c>
      <c r="F366" s="953">
        <v>2</v>
      </c>
      <c r="G366" s="953">
        <v>2</v>
      </c>
      <c r="H366" s="955">
        <v>456</v>
      </c>
      <c r="I366" s="956">
        <v>456</v>
      </c>
      <c r="J366" s="955">
        <v>294.7</v>
      </c>
      <c r="K366" s="953">
        <v>23</v>
      </c>
      <c r="L366" s="655">
        <f t="shared" ref="L366:L372" si="90">O366</f>
        <v>1382612</v>
      </c>
      <c r="M366" s="113">
        <v>0</v>
      </c>
      <c r="N366" s="113">
        <v>0</v>
      </c>
      <c r="O366" s="113">
        <v>1382612</v>
      </c>
      <c r="P366" s="113">
        <v>0</v>
      </c>
      <c r="Q366" s="170">
        <f t="shared" si="89"/>
        <v>3032.0438596491226</v>
      </c>
      <c r="R366" s="114">
        <v>7822</v>
      </c>
      <c r="S366" s="316">
        <v>43100</v>
      </c>
    </row>
    <row r="367" spans="1:34" s="51" customFormat="1" ht="31.2">
      <c r="A367" s="107"/>
      <c r="B367" s="945" t="s">
        <v>1000</v>
      </c>
      <c r="C367" s="118">
        <v>1988</v>
      </c>
      <c r="D367" s="118"/>
      <c r="E367" s="611" t="s">
        <v>218</v>
      </c>
      <c r="F367" s="953">
        <v>4</v>
      </c>
      <c r="G367" s="953">
        <v>1</v>
      </c>
      <c r="H367" s="955">
        <v>1590</v>
      </c>
      <c r="I367" s="956">
        <v>1590</v>
      </c>
      <c r="J367" s="955">
        <v>988.8</v>
      </c>
      <c r="K367" s="953">
        <v>99</v>
      </c>
      <c r="L367" s="655">
        <f t="shared" si="90"/>
        <v>2008170</v>
      </c>
      <c r="M367" s="113">
        <v>0</v>
      </c>
      <c r="N367" s="113">
        <v>0</v>
      </c>
      <c r="O367" s="113">
        <v>2008170</v>
      </c>
      <c r="P367" s="113">
        <v>0</v>
      </c>
      <c r="Q367" s="170">
        <f t="shared" si="89"/>
        <v>1263</v>
      </c>
      <c r="R367" s="114">
        <v>7822</v>
      </c>
      <c r="S367" s="316">
        <v>43100</v>
      </c>
    </row>
    <row r="368" spans="1:34" s="1" customFormat="1" ht="31.2">
      <c r="A368" s="107"/>
      <c r="B368" s="171" t="s">
        <v>1001</v>
      </c>
      <c r="C368" s="172">
        <v>1900</v>
      </c>
      <c r="D368" s="171"/>
      <c r="E368" s="611" t="s">
        <v>218</v>
      </c>
      <c r="F368" s="953">
        <v>2</v>
      </c>
      <c r="G368" s="953">
        <v>2</v>
      </c>
      <c r="H368" s="955">
        <v>762.2</v>
      </c>
      <c r="I368" s="956">
        <v>762.2</v>
      </c>
      <c r="J368" s="955">
        <v>511.6</v>
      </c>
      <c r="K368" s="953">
        <v>22</v>
      </c>
      <c r="L368" s="655">
        <f t="shared" si="90"/>
        <v>1551693</v>
      </c>
      <c r="M368" s="113">
        <v>0</v>
      </c>
      <c r="N368" s="113">
        <v>0</v>
      </c>
      <c r="O368" s="113">
        <v>1551693</v>
      </c>
      <c r="P368" s="113">
        <v>0</v>
      </c>
      <c r="Q368" s="170">
        <f t="shared" si="89"/>
        <v>2035.8081868276042</v>
      </c>
      <c r="R368" s="114">
        <v>7822</v>
      </c>
      <c r="S368" s="316">
        <v>43100</v>
      </c>
    </row>
    <row r="369" spans="1:19" s="1" customFormat="1" ht="31.2">
      <c r="A369" s="107"/>
      <c r="B369" s="945" t="s">
        <v>1002</v>
      </c>
      <c r="C369" s="118">
        <v>1975</v>
      </c>
      <c r="D369" s="118"/>
      <c r="E369" s="611" t="s">
        <v>218</v>
      </c>
      <c r="F369" s="953">
        <v>2</v>
      </c>
      <c r="G369" s="953">
        <v>2</v>
      </c>
      <c r="H369" s="955">
        <v>458.7</v>
      </c>
      <c r="I369" s="956">
        <v>458.7</v>
      </c>
      <c r="J369" s="955">
        <v>288.60000000000002</v>
      </c>
      <c r="K369" s="953">
        <v>15</v>
      </c>
      <c r="L369" s="655">
        <f t="shared" si="90"/>
        <v>1404334</v>
      </c>
      <c r="M369" s="113">
        <v>0</v>
      </c>
      <c r="N369" s="113">
        <v>0</v>
      </c>
      <c r="O369" s="113">
        <v>1404334</v>
      </c>
      <c r="P369" s="113">
        <v>0</v>
      </c>
      <c r="Q369" s="170">
        <f t="shared" si="89"/>
        <v>3061.5522127752342</v>
      </c>
      <c r="R369" s="114">
        <v>7822</v>
      </c>
      <c r="S369" s="316">
        <v>43100</v>
      </c>
    </row>
    <row r="370" spans="1:19" s="23" customFormat="1" ht="31.2">
      <c r="A370" s="107"/>
      <c r="B370" s="567" t="s">
        <v>1003</v>
      </c>
      <c r="C370" s="118" t="s">
        <v>190</v>
      </c>
      <c r="D370" s="118"/>
      <c r="E370" s="611" t="s">
        <v>218</v>
      </c>
      <c r="F370" s="954">
        <v>2</v>
      </c>
      <c r="G370" s="954">
        <v>6</v>
      </c>
      <c r="H370" s="957">
        <v>389</v>
      </c>
      <c r="I370" s="957">
        <v>389</v>
      </c>
      <c r="J370" s="957">
        <v>269.39999999999998</v>
      </c>
      <c r="K370" s="954">
        <v>12</v>
      </c>
      <c r="L370" s="655">
        <f t="shared" si="90"/>
        <v>1321007</v>
      </c>
      <c r="M370" s="113">
        <v>0</v>
      </c>
      <c r="N370" s="113">
        <v>0</v>
      </c>
      <c r="O370" s="113">
        <v>1321007</v>
      </c>
      <c r="P370" s="113">
        <v>0</v>
      </c>
      <c r="Q370" s="170">
        <f t="shared" si="89"/>
        <v>3395.9048843187661</v>
      </c>
      <c r="R370" s="114">
        <v>7822</v>
      </c>
      <c r="S370" s="316">
        <v>43100</v>
      </c>
    </row>
    <row r="371" spans="1:19" s="1" customFormat="1" ht="31.2">
      <c r="A371" s="107"/>
      <c r="B371" s="945" t="s">
        <v>1004</v>
      </c>
      <c r="C371" s="118" t="s">
        <v>190</v>
      </c>
      <c r="D371" s="118"/>
      <c r="E371" s="611" t="s">
        <v>218</v>
      </c>
      <c r="F371" s="954">
        <v>2</v>
      </c>
      <c r="G371" s="954">
        <v>2</v>
      </c>
      <c r="H371" s="957">
        <v>276.5</v>
      </c>
      <c r="I371" s="957">
        <v>276.5</v>
      </c>
      <c r="J371" s="957">
        <v>128.69999999999999</v>
      </c>
      <c r="K371" s="954">
        <v>7</v>
      </c>
      <c r="L371" s="655">
        <f t="shared" si="90"/>
        <v>576885</v>
      </c>
      <c r="M371" s="113">
        <v>0</v>
      </c>
      <c r="N371" s="113">
        <v>0</v>
      </c>
      <c r="O371" s="113">
        <v>576885</v>
      </c>
      <c r="P371" s="113">
        <v>0</v>
      </c>
      <c r="Q371" s="170">
        <f t="shared" si="89"/>
        <v>2086.3833634719713</v>
      </c>
      <c r="R371" s="114">
        <v>7822</v>
      </c>
      <c r="S371" s="316">
        <v>43100</v>
      </c>
    </row>
    <row r="372" spans="1:19" s="1" customFormat="1" ht="31.2">
      <c r="A372" s="107"/>
      <c r="B372" s="945" t="s">
        <v>1005</v>
      </c>
      <c r="C372" s="118">
        <v>1975</v>
      </c>
      <c r="D372" s="118"/>
      <c r="E372" s="611" t="s">
        <v>218</v>
      </c>
      <c r="F372" s="954">
        <v>5</v>
      </c>
      <c r="G372" s="954">
        <v>4</v>
      </c>
      <c r="H372" s="957">
        <v>3129.1</v>
      </c>
      <c r="I372" s="957">
        <v>3129.1</v>
      </c>
      <c r="J372" s="957">
        <v>2134.1</v>
      </c>
      <c r="K372" s="954">
        <v>113</v>
      </c>
      <c r="L372" s="655">
        <f t="shared" si="90"/>
        <v>2178044</v>
      </c>
      <c r="M372" s="113">
        <v>0</v>
      </c>
      <c r="N372" s="113">
        <v>0</v>
      </c>
      <c r="O372" s="113">
        <v>2178044</v>
      </c>
      <c r="P372" s="113">
        <v>0</v>
      </c>
      <c r="Q372" s="170">
        <f t="shared" si="89"/>
        <v>696.06084816720465</v>
      </c>
      <c r="R372" s="114">
        <v>7822</v>
      </c>
      <c r="S372" s="316">
        <v>43100</v>
      </c>
    </row>
    <row r="373" spans="1:19" s="1" customFormat="1" ht="15.6">
      <c r="A373" s="308"/>
      <c r="B373" s="1412" t="s">
        <v>882</v>
      </c>
      <c r="C373" s="1412"/>
      <c r="D373" s="1412"/>
      <c r="E373" s="1412"/>
      <c r="F373" s="1458"/>
      <c r="G373" s="1458"/>
      <c r="H373" s="961">
        <f>H374+H375</f>
        <v>1087.7</v>
      </c>
      <c r="I373" s="961">
        <f t="shared" ref="I373:P373" si="91">I374+I375</f>
        <v>1087.7</v>
      </c>
      <c r="J373" s="961">
        <f t="shared" si="91"/>
        <v>838.8</v>
      </c>
      <c r="K373" s="961">
        <f t="shared" si="91"/>
        <v>55</v>
      </c>
      <c r="L373" s="962">
        <f t="shared" si="91"/>
        <v>2903743</v>
      </c>
      <c r="M373" s="962">
        <f t="shared" si="91"/>
        <v>0</v>
      </c>
      <c r="N373" s="962">
        <f t="shared" si="91"/>
        <v>0</v>
      </c>
      <c r="O373" s="962">
        <f t="shared" si="91"/>
        <v>2903743</v>
      </c>
      <c r="P373" s="962">
        <f t="shared" si="91"/>
        <v>0</v>
      </c>
      <c r="Q373" s="350" t="s">
        <v>40</v>
      </c>
      <c r="R373" s="350" t="s">
        <v>40</v>
      </c>
      <c r="S373" s="316">
        <v>43100</v>
      </c>
    </row>
    <row r="374" spans="1:19" s="1" customFormat="1" ht="38.4" customHeight="1">
      <c r="A374" s="308"/>
      <c r="B374" s="963" t="s">
        <v>883</v>
      </c>
      <c r="C374" s="964">
        <v>1969</v>
      </c>
      <c r="D374" s="963"/>
      <c r="E374" s="311" t="s">
        <v>218</v>
      </c>
      <c r="F374" s="964">
        <v>2</v>
      </c>
      <c r="G374" s="964">
        <v>2</v>
      </c>
      <c r="H374" s="965">
        <v>571.20000000000005</v>
      </c>
      <c r="I374" s="965">
        <v>571.20000000000005</v>
      </c>
      <c r="J374" s="964">
        <v>522.79999999999995</v>
      </c>
      <c r="K374" s="966">
        <v>33</v>
      </c>
      <c r="L374" s="314">
        <v>1605412</v>
      </c>
      <c r="M374" s="314">
        <v>0</v>
      </c>
      <c r="N374" s="314">
        <v>0</v>
      </c>
      <c r="O374" s="314">
        <v>1605412</v>
      </c>
      <c r="P374" s="314">
        <v>0</v>
      </c>
      <c r="Q374" s="967">
        <f t="shared" si="89"/>
        <v>2810.5952380952381</v>
      </c>
      <c r="R374" s="315">
        <v>7822</v>
      </c>
      <c r="S374" s="316">
        <v>43100</v>
      </c>
    </row>
    <row r="375" spans="1:19" s="1" customFormat="1" ht="27" customHeight="1">
      <c r="A375" s="308"/>
      <c r="B375" s="963" t="s">
        <v>884</v>
      </c>
      <c r="C375" s="964">
        <v>1948</v>
      </c>
      <c r="D375" s="963"/>
      <c r="E375" s="311" t="s">
        <v>221</v>
      </c>
      <c r="F375" s="964">
        <v>2</v>
      </c>
      <c r="G375" s="964">
        <v>2</v>
      </c>
      <c r="H375" s="965">
        <v>516.5</v>
      </c>
      <c r="I375" s="965">
        <v>516.5</v>
      </c>
      <c r="J375" s="964">
        <v>316</v>
      </c>
      <c r="K375" s="966">
        <v>22</v>
      </c>
      <c r="L375" s="314">
        <v>1298331</v>
      </c>
      <c r="M375" s="314">
        <v>0</v>
      </c>
      <c r="N375" s="314">
        <v>0</v>
      </c>
      <c r="O375" s="314">
        <v>1298331</v>
      </c>
      <c r="P375" s="314">
        <v>0</v>
      </c>
      <c r="Q375" s="967">
        <f t="shared" si="89"/>
        <v>2513.7095837366892</v>
      </c>
      <c r="R375" s="315">
        <v>7822</v>
      </c>
      <c r="S375" s="316">
        <v>43100</v>
      </c>
    </row>
    <row r="376" spans="1:19" s="1" customFormat="1" ht="15.6">
      <c r="A376" s="107"/>
      <c r="B376" s="1411" t="s">
        <v>52</v>
      </c>
      <c r="C376" s="1411"/>
      <c r="D376" s="1411"/>
      <c r="E376" s="1411"/>
      <c r="F376" s="1411"/>
      <c r="G376" s="1411"/>
      <c r="H376" s="128">
        <f t="shared" ref="H376:P376" si="92">H380+H377+H382</f>
        <v>2360.4</v>
      </c>
      <c r="I376" s="128">
        <f t="shared" si="92"/>
        <v>2297</v>
      </c>
      <c r="J376" s="128">
        <f t="shared" si="92"/>
        <v>1849.6999999999998</v>
      </c>
      <c r="K376" s="162">
        <f t="shared" si="92"/>
        <v>81</v>
      </c>
      <c r="L376" s="113">
        <f t="shared" si="92"/>
        <v>3121077</v>
      </c>
      <c r="M376" s="113">
        <f t="shared" si="92"/>
        <v>0</v>
      </c>
      <c r="N376" s="113">
        <f t="shared" si="92"/>
        <v>92056</v>
      </c>
      <c r="O376" s="113">
        <f t="shared" si="92"/>
        <v>3029021</v>
      </c>
      <c r="P376" s="113">
        <f t="shared" si="92"/>
        <v>0</v>
      </c>
      <c r="Q376" s="106" t="s">
        <v>40</v>
      </c>
      <c r="R376" s="106" t="s">
        <v>40</v>
      </c>
      <c r="S376" s="316">
        <v>43100</v>
      </c>
    </row>
    <row r="377" spans="1:19" s="1" customFormat="1" ht="15.6">
      <c r="A377" s="308"/>
      <c r="B377" s="1412" t="s">
        <v>130</v>
      </c>
      <c r="C377" s="1412"/>
      <c r="D377" s="1412"/>
      <c r="E377" s="1412"/>
      <c r="F377" s="1412"/>
      <c r="G377" s="1412"/>
      <c r="H377" s="347">
        <f>H378</f>
        <v>704.6</v>
      </c>
      <c r="I377" s="347">
        <f t="shared" ref="I377:P377" si="93">I378</f>
        <v>704.6</v>
      </c>
      <c r="J377" s="347">
        <f t="shared" si="93"/>
        <v>655.9</v>
      </c>
      <c r="K377" s="347">
        <f t="shared" si="93"/>
        <v>16</v>
      </c>
      <c r="L377" s="670">
        <f t="shared" si="93"/>
        <v>1828731</v>
      </c>
      <c r="M377" s="670">
        <f t="shared" si="93"/>
        <v>0</v>
      </c>
      <c r="N377" s="670">
        <f t="shared" si="93"/>
        <v>0</v>
      </c>
      <c r="O377" s="670">
        <f t="shared" si="93"/>
        <v>1828731</v>
      </c>
      <c r="P377" s="670">
        <f t="shared" si="93"/>
        <v>0</v>
      </c>
      <c r="Q377" s="350" t="s">
        <v>40</v>
      </c>
      <c r="R377" s="350" t="s">
        <v>40</v>
      </c>
      <c r="S377" s="316">
        <v>43100</v>
      </c>
    </row>
    <row r="378" spans="1:19" s="41" customFormat="1" ht="31.2">
      <c r="A378" s="308">
        <v>60</v>
      </c>
      <c r="B378" s="870" t="s">
        <v>672</v>
      </c>
      <c r="C378" s="387">
        <v>1962</v>
      </c>
      <c r="D378" s="387"/>
      <c r="E378" s="311" t="s">
        <v>218</v>
      </c>
      <c r="F378" s="387">
        <v>2</v>
      </c>
      <c r="G378" s="387">
        <v>2</v>
      </c>
      <c r="H378" s="387">
        <v>704.6</v>
      </c>
      <c r="I378" s="387">
        <v>704.6</v>
      </c>
      <c r="J378" s="387">
        <v>655.9</v>
      </c>
      <c r="K378" s="387">
        <v>16</v>
      </c>
      <c r="L378" s="314">
        <v>1828731</v>
      </c>
      <c r="M378" s="314">
        <v>0</v>
      </c>
      <c r="N378" s="314">
        <v>0</v>
      </c>
      <c r="O378" s="314">
        <f>L378</f>
        <v>1828731</v>
      </c>
      <c r="P378" s="314">
        <v>0</v>
      </c>
      <c r="Q378" s="315">
        <f>L378/I378</f>
        <v>2595.4172580187342</v>
      </c>
      <c r="R378" s="608">
        <v>7822</v>
      </c>
      <c r="S378" s="316">
        <v>43100</v>
      </c>
    </row>
    <row r="379" spans="1:19" s="41" customFormat="1" ht="15.6">
      <c r="A379" s="308"/>
      <c r="B379" s="337"/>
      <c r="C379" s="308"/>
      <c r="D379" s="308"/>
      <c r="E379" s="311"/>
      <c r="F379" s="308"/>
      <c r="G379" s="308"/>
      <c r="H379" s="609"/>
      <c r="I379" s="609"/>
      <c r="J379" s="308"/>
      <c r="K379" s="308"/>
      <c r="L379" s="314"/>
      <c r="M379" s="314"/>
      <c r="N379" s="314"/>
      <c r="O379" s="314"/>
      <c r="P379" s="314"/>
      <c r="Q379" s="315"/>
      <c r="R379" s="608"/>
      <c r="S379" s="316"/>
    </row>
    <row r="380" spans="1:19" s="1" customFormat="1" ht="15.75" customHeight="1">
      <c r="A380" s="107"/>
      <c r="B380" s="1413" t="s">
        <v>109</v>
      </c>
      <c r="C380" s="1413"/>
      <c r="D380" s="1413"/>
      <c r="E380" s="1413"/>
      <c r="F380" s="1413"/>
      <c r="G380" s="1413"/>
      <c r="H380" s="128">
        <f>H381</f>
        <v>799.3</v>
      </c>
      <c r="I380" s="106">
        <f t="shared" ref="I380:P380" si="94">I381</f>
        <v>735.9</v>
      </c>
      <c r="J380" s="106">
        <f t="shared" si="94"/>
        <v>693.8</v>
      </c>
      <c r="K380" s="119">
        <f t="shared" si="94"/>
        <v>32</v>
      </c>
      <c r="L380" s="113">
        <v>201010</v>
      </c>
      <c r="M380" s="113">
        <f t="shared" si="94"/>
        <v>0</v>
      </c>
      <c r="N380" s="113">
        <f t="shared" si="94"/>
        <v>92056</v>
      </c>
      <c r="O380" s="113">
        <f t="shared" si="94"/>
        <v>108954</v>
      </c>
      <c r="P380" s="113">
        <f t="shared" si="94"/>
        <v>0</v>
      </c>
      <c r="Q380" s="106" t="s">
        <v>40</v>
      </c>
      <c r="R380" s="106" t="s">
        <v>40</v>
      </c>
      <c r="S380" s="316">
        <v>43100</v>
      </c>
    </row>
    <row r="381" spans="1:19" s="1" customFormat="1" ht="15.6">
      <c r="A381" s="107"/>
      <c r="B381" s="261" t="s">
        <v>414</v>
      </c>
      <c r="C381" s="269">
        <v>1977</v>
      </c>
      <c r="D381" s="118"/>
      <c r="E381" s="109" t="s">
        <v>219</v>
      </c>
      <c r="F381" s="118">
        <v>2</v>
      </c>
      <c r="G381" s="118">
        <v>2</v>
      </c>
      <c r="H381" s="128">
        <v>799.3</v>
      </c>
      <c r="I381" s="106">
        <v>735.9</v>
      </c>
      <c r="J381" s="106">
        <v>693.8</v>
      </c>
      <c r="K381" s="119">
        <v>32</v>
      </c>
      <c r="L381" s="113">
        <v>201010</v>
      </c>
      <c r="M381" s="113">
        <v>0</v>
      </c>
      <c r="N381" s="113">
        <v>92056</v>
      </c>
      <c r="O381" s="113">
        <v>108954</v>
      </c>
      <c r="P381" s="113">
        <v>0</v>
      </c>
      <c r="Q381" s="106">
        <f>L381/I381</f>
        <v>273.14852561489334</v>
      </c>
      <c r="R381" s="114">
        <v>6774</v>
      </c>
      <c r="S381" s="316">
        <v>43100</v>
      </c>
    </row>
    <row r="382" spans="1:19" s="23" customFormat="1" ht="15.75" customHeight="1">
      <c r="A382" s="107"/>
      <c r="B382" s="1447" t="s">
        <v>198</v>
      </c>
      <c r="C382" s="1447"/>
      <c r="D382" s="1447"/>
      <c r="E382" s="1447"/>
      <c r="F382" s="1447"/>
      <c r="G382" s="1447"/>
      <c r="H382" s="128">
        <f>H383</f>
        <v>856.5</v>
      </c>
      <c r="I382" s="128">
        <f t="shared" ref="I382:P382" si="95">I383</f>
        <v>856.5</v>
      </c>
      <c r="J382" s="128">
        <f t="shared" si="95"/>
        <v>500</v>
      </c>
      <c r="K382" s="175">
        <f t="shared" si="95"/>
        <v>33</v>
      </c>
      <c r="L382" s="113">
        <f t="shared" si="95"/>
        <v>1091336</v>
      </c>
      <c r="M382" s="113">
        <f t="shared" si="95"/>
        <v>0</v>
      </c>
      <c r="N382" s="113">
        <f t="shared" si="95"/>
        <v>0</v>
      </c>
      <c r="O382" s="113">
        <f t="shared" si="95"/>
        <v>1091336</v>
      </c>
      <c r="P382" s="113">
        <f t="shared" si="95"/>
        <v>0</v>
      </c>
      <c r="Q382" s="106" t="s">
        <v>40</v>
      </c>
      <c r="R382" s="114" t="s">
        <v>40</v>
      </c>
      <c r="S382" s="316">
        <v>43100</v>
      </c>
    </row>
    <row r="383" spans="1:19" s="23" customFormat="1" ht="31.2">
      <c r="A383" s="107"/>
      <c r="B383" s="264" t="s">
        <v>415</v>
      </c>
      <c r="C383" s="269">
        <v>1982</v>
      </c>
      <c r="D383" s="118"/>
      <c r="E383" s="109" t="s">
        <v>218</v>
      </c>
      <c r="F383" s="118">
        <v>2</v>
      </c>
      <c r="G383" s="118">
        <v>3</v>
      </c>
      <c r="H383" s="128">
        <v>856.5</v>
      </c>
      <c r="I383" s="106">
        <v>856.5</v>
      </c>
      <c r="J383" s="106">
        <v>500</v>
      </c>
      <c r="K383" s="119">
        <v>33</v>
      </c>
      <c r="L383" s="113">
        <v>1091336</v>
      </c>
      <c r="M383" s="113">
        <v>0</v>
      </c>
      <c r="N383" s="113">
        <v>0</v>
      </c>
      <c r="O383" s="113">
        <f>L383</f>
        <v>1091336</v>
      </c>
      <c r="P383" s="113">
        <v>0</v>
      </c>
      <c r="Q383" s="106">
        <f>L383/I383</f>
        <v>1274.1809690601285</v>
      </c>
      <c r="R383" s="114">
        <v>6774</v>
      </c>
      <c r="S383" s="316">
        <v>43100</v>
      </c>
    </row>
    <row r="384" spans="1:19" s="1" customFormat="1" ht="15.6">
      <c r="A384" s="107"/>
      <c r="B384" s="1411" t="s">
        <v>53</v>
      </c>
      <c r="C384" s="1411"/>
      <c r="D384" s="1411"/>
      <c r="E384" s="1411"/>
      <c r="F384" s="1411"/>
      <c r="G384" s="1411"/>
      <c r="H384" s="106">
        <f>H385+H401+H403+H405+H415+H417+H419+H412</f>
        <v>102181.8</v>
      </c>
      <c r="I384" s="106">
        <f t="shared" ref="I384:P384" si="96">I385+I401+I403+I405+I415+I417+I419+I412</f>
        <v>76056.159999999989</v>
      </c>
      <c r="J384" s="106">
        <f t="shared" si="96"/>
        <v>73347.16</v>
      </c>
      <c r="K384" s="106">
        <f t="shared" si="96"/>
        <v>3020</v>
      </c>
      <c r="L384" s="106">
        <f t="shared" si="96"/>
        <v>55852955.920000002</v>
      </c>
      <c r="M384" s="106">
        <f t="shared" si="96"/>
        <v>0</v>
      </c>
      <c r="N384" s="106">
        <f t="shared" si="96"/>
        <v>371832.54000000004</v>
      </c>
      <c r="O384" s="106">
        <f t="shared" si="96"/>
        <v>55481123.379999995</v>
      </c>
      <c r="P384" s="106">
        <f t="shared" si="96"/>
        <v>0</v>
      </c>
      <c r="Q384" s="106" t="s">
        <v>40</v>
      </c>
      <c r="R384" s="106" t="s">
        <v>40</v>
      </c>
      <c r="S384" s="316">
        <v>43100</v>
      </c>
    </row>
    <row r="385" spans="1:34" s="1" customFormat="1" ht="15.6">
      <c r="A385" s="107"/>
      <c r="B385" s="1411" t="s">
        <v>88</v>
      </c>
      <c r="C385" s="1411"/>
      <c r="D385" s="1411"/>
      <c r="E385" s="1411"/>
      <c r="F385" s="1411"/>
      <c r="G385" s="1411"/>
      <c r="H385" s="613">
        <f>SUM(H386:H395)</f>
        <v>77350</v>
      </c>
      <c r="I385" s="613">
        <f t="shared" ref="I385:P385" si="97">SUM(I386:I395)</f>
        <v>54170</v>
      </c>
      <c r="J385" s="613">
        <f t="shared" si="97"/>
        <v>53000.799999999996</v>
      </c>
      <c r="K385" s="613">
        <f t="shared" si="97"/>
        <v>2037</v>
      </c>
      <c r="L385" s="415">
        <f t="shared" si="97"/>
        <v>31676745</v>
      </c>
      <c r="M385" s="415">
        <f t="shared" si="97"/>
        <v>0</v>
      </c>
      <c r="N385" s="415">
        <f t="shared" si="97"/>
        <v>0</v>
      </c>
      <c r="O385" s="415">
        <f t="shared" si="97"/>
        <v>31676745</v>
      </c>
      <c r="P385" s="415">
        <f t="shared" si="97"/>
        <v>0</v>
      </c>
      <c r="Q385" s="106" t="s">
        <v>40</v>
      </c>
      <c r="R385" s="106" t="s">
        <v>40</v>
      </c>
      <c r="S385" s="316">
        <v>43100</v>
      </c>
    </row>
    <row r="386" spans="1:34" s="21" customFormat="1" ht="18" customHeight="1">
      <c r="A386" s="308">
        <v>61</v>
      </c>
      <c r="B386" s="549" t="s">
        <v>416</v>
      </c>
      <c r="C386" s="403">
        <v>1987</v>
      </c>
      <c r="D386" s="403"/>
      <c r="E386" s="311" t="s">
        <v>219</v>
      </c>
      <c r="F386" s="403">
        <v>9</v>
      </c>
      <c r="G386" s="845">
        <v>3</v>
      </c>
      <c r="H386" s="846">
        <v>7788.1</v>
      </c>
      <c r="I386" s="846">
        <v>5529.2</v>
      </c>
      <c r="J386" s="846">
        <f>I386</f>
        <v>5529.2</v>
      </c>
      <c r="K386" s="846">
        <v>219</v>
      </c>
      <c r="L386" s="847">
        <v>3883714</v>
      </c>
      <c r="M386" s="848">
        <v>0</v>
      </c>
      <c r="N386" s="849">
        <v>0</v>
      </c>
      <c r="O386" s="849">
        <f t="shared" ref="O386:O395" si="98">L386</f>
        <v>3883714</v>
      </c>
      <c r="P386" s="849">
        <v>0</v>
      </c>
      <c r="Q386" s="315">
        <f t="shared" ref="Q386:Q400" si="99">L386/I386</f>
        <v>702.40070896332202</v>
      </c>
      <c r="R386" s="315">
        <v>7822</v>
      </c>
      <c r="S386" s="316">
        <v>43100</v>
      </c>
    </row>
    <row r="387" spans="1:34" s="21" customFormat="1" ht="20.399999999999999" customHeight="1">
      <c r="A387" s="308">
        <v>62</v>
      </c>
      <c r="B387" s="549" t="s">
        <v>743</v>
      </c>
      <c r="C387" s="403">
        <v>1988</v>
      </c>
      <c r="D387" s="403"/>
      <c r="E387" s="311" t="s">
        <v>219</v>
      </c>
      <c r="F387" s="403">
        <v>9</v>
      </c>
      <c r="G387" s="845">
        <v>4</v>
      </c>
      <c r="H387" s="846">
        <v>10415.1</v>
      </c>
      <c r="I387" s="846">
        <v>7937.2</v>
      </c>
      <c r="J387" s="846">
        <f>I387-54.8</f>
        <v>7882.4</v>
      </c>
      <c r="K387" s="846">
        <v>144</v>
      </c>
      <c r="L387" s="847">
        <v>3894862</v>
      </c>
      <c r="M387" s="848">
        <v>0</v>
      </c>
      <c r="N387" s="849">
        <v>0</v>
      </c>
      <c r="O387" s="849">
        <f t="shared" si="98"/>
        <v>3894862</v>
      </c>
      <c r="P387" s="849">
        <v>0</v>
      </c>
      <c r="Q387" s="315">
        <f t="shared" si="99"/>
        <v>490.70982210351258</v>
      </c>
      <c r="R387" s="315">
        <v>7822</v>
      </c>
      <c r="S387" s="316">
        <v>43100</v>
      </c>
    </row>
    <row r="388" spans="1:34" s="21" customFormat="1" ht="23.4" customHeight="1">
      <c r="A388" s="308">
        <v>63</v>
      </c>
      <c r="B388" s="549" t="s">
        <v>417</v>
      </c>
      <c r="C388" s="403">
        <v>1990</v>
      </c>
      <c r="D388" s="403"/>
      <c r="E388" s="311" t="s">
        <v>219</v>
      </c>
      <c r="F388" s="403">
        <v>9</v>
      </c>
      <c r="G388" s="845">
        <v>3</v>
      </c>
      <c r="H388" s="846">
        <v>7717.9</v>
      </c>
      <c r="I388" s="846">
        <v>5472.2</v>
      </c>
      <c r="J388" s="846">
        <f>I388-142.7</f>
        <v>5329.5</v>
      </c>
      <c r="K388" s="846">
        <v>236</v>
      </c>
      <c r="L388" s="847">
        <v>3877521</v>
      </c>
      <c r="M388" s="848">
        <v>0</v>
      </c>
      <c r="N388" s="849">
        <v>0</v>
      </c>
      <c r="O388" s="849">
        <f t="shared" si="98"/>
        <v>3877521</v>
      </c>
      <c r="P388" s="849">
        <v>0</v>
      </c>
      <c r="Q388" s="315">
        <f t="shared" si="99"/>
        <v>708.58539527064067</v>
      </c>
      <c r="R388" s="315">
        <v>7822</v>
      </c>
      <c r="S388" s="316">
        <v>43100</v>
      </c>
    </row>
    <row r="389" spans="1:34" s="21" customFormat="1" ht="19.2" customHeight="1">
      <c r="A389" s="308">
        <v>64</v>
      </c>
      <c r="B389" s="549" t="s">
        <v>418</v>
      </c>
      <c r="C389" s="403">
        <v>1989</v>
      </c>
      <c r="D389" s="403"/>
      <c r="E389" s="311" t="s">
        <v>219</v>
      </c>
      <c r="F389" s="403">
        <v>9</v>
      </c>
      <c r="G389" s="845">
        <v>2</v>
      </c>
      <c r="H389" s="846">
        <v>5173.6000000000004</v>
      </c>
      <c r="I389" s="846">
        <v>3702.9</v>
      </c>
      <c r="J389" s="846">
        <f>I389-159.5</f>
        <v>3543.4</v>
      </c>
      <c r="K389" s="846">
        <v>148</v>
      </c>
      <c r="L389" s="847">
        <v>1943688</v>
      </c>
      <c r="M389" s="848">
        <v>0</v>
      </c>
      <c r="N389" s="849">
        <v>0</v>
      </c>
      <c r="O389" s="849">
        <f t="shared" si="98"/>
        <v>1943688</v>
      </c>
      <c r="P389" s="849">
        <v>0</v>
      </c>
      <c r="Q389" s="315">
        <f t="shared" si="99"/>
        <v>524.90966539739122</v>
      </c>
      <c r="R389" s="315">
        <v>7822</v>
      </c>
      <c r="S389" s="316">
        <v>43100</v>
      </c>
    </row>
    <row r="390" spans="1:34" s="21" customFormat="1" ht="23.4" customHeight="1">
      <c r="A390" s="308">
        <v>65</v>
      </c>
      <c r="B390" s="549" t="s">
        <v>757</v>
      </c>
      <c r="C390" s="403">
        <v>1963</v>
      </c>
      <c r="D390" s="403"/>
      <c r="E390" s="311" t="s">
        <v>220</v>
      </c>
      <c r="F390" s="403">
        <v>4</v>
      </c>
      <c r="G390" s="845">
        <v>4</v>
      </c>
      <c r="H390" s="850">
        <v>4542.7</v>
      </c>
      <c r="I390" s="850">
        <v>2527.8000000000002</v>
      </c>
      <c r="J390" s="850">
        <v>2473.4</v>
      </c>
      <c r="K390" s="850">
        <v>104</v>
      </c>
      <c r="L390" s="847">
        <v>2656189</v>
      </c>
      <c r="M390" s="848">
        <v>0</v>
      </c>
      <c r="N390" s="849">
        <v>0</v>
      </c>
      <c r="O390" s="849">
        <f t="shared" si="98"/>
        <v>2656189</v>
      </c>
      <c r="P390" s="849">
        <v>0</v>
      </c>
      <c r="Q390" s="315">
        <f t="shared" si="99"/>
        <v>1050.7908062346703</v>
      </c>
      <c r="R390" s="315">
        <v>7822</v>
      </c>
      <c r="S390" s="316">
        <v>43100</v>
      </c>
      <c r="T390" s="52"/>
      <c r="U390" s="52"/>
      <c r="V390" s="52"/>
      <c r="W390" s="52"/>
      <c r="X390" s="52"/>
      <c r="Y390" s="52"/>
      <c r="Z390" s="52"/>
      <c r="AA390" s="52"/>
      <c r="AB390" s="52"/>
      <c r="AC390" s="52"/>
      <c r="AD390" s="52"/>
      <c r="AE390" s="52"/>
      <c r="AF390" s="52"/>
      <c r="AG390" s="52"/>
      <c r="AH390" s="52"/>
    </row>
    <row r="391" spans="1:34" s="21" customFormat="1" ht="21.6" customHeight="1">
      <c r="A391" s="308">
        <v>66</v>
      </c>
      <c r="B391" s="549" t="s">
        <v>758</v>
      </c>
      <c r="C391" s="403">
        <v>1964</v>
      </c>
      <c r="D391" s="403"/>
      <c r="E391" s="311" t="s">
        <v>220</v>
      </c>
      <c r="F391" s="403">
        <v>5</v>
      </c>
      <c r="G391" s="845">
        <v>4</v>
      </c>
      <c r="H391" s="850">
        <v>5355</v>
      </c>
      <c r="I391" s="850">
        <v>3440.4</v>
      </c>
      <c r="J391" s="850">
        <v>3242.8</v>
      </c>
      <c r="K391" s="850">
        <v>136</v>
      </c>
      <c r="L391" s="847">
        <v>2621402</v>
      </c>
      <c r="M391" s="848">
        <v>0</v>
      </c>
      <c r="N391" s="849">
        <v>0</v>
      </c>
      <c r="O391" s="849">
        <f t="shared" si="98"/>
        <v>2621402</v>
      </c>
      <c r="P391" s="849">
        <v>0</v>
      </c>
      <c r="Q391" s="315">
        <f t="shared" si="99"/>
        <v>761.9468666434135</v>
      </c>
      <c r="R391" s="315">
        <v>7822</v>
      </c>
      <c r="S391" s="316">
        <v>43100</v>
      </c>
      <c r="T391" s="52"/>
      <c r="U391" s="52"/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52"/>
      <c r="AH391" s="52"/>
    </row>
    <row r="392" spans="1:34" s="52" customFormat="1" ht="31.2">
      <c r="A392" s="308">
        <v>67</v>
      </c>
      <c r="B392" s="549" t="s">
        <v>744</v>
      </c>
      <c r="C392" s="403">
        <v>1972</v>
      </c>
      <c r="D392" s="403"/>
      <c r="E392" s="311" t="s">
        <v>218</v>
      </c>
      <c r="F392" s="403">
        <v>9</v>
      </c>
      <c r="G392" s="845">
        <v>4</v>
      </c>
      <c r="H392" s="846">
        <v>8529.7999999999993</v>
      </c>
      <c r="I392" s="846">
        <v>6190.9</v>
      </c>
      <c r="J392" s="846">
        <f>I392-164</f>
        <v>6026.9</v>
      </c>
      <c r="K392" s="846">
        <v>261</v>
      </c>
      <c r="L392" s="847">
        <v>3471287</v>
      </c>
      <c r="M392" s="848">
        <v>0</v>
      </c>
      <c r="N392" s="849">
        <v>0</v>
      </c>
      <c r="O392" s="849">
        <f t="shared" si="98"/>
        <v>3471287</v>
      </c>
      <c r="P392" s="849">
        <v>0</v>
      </c>
      <c r="Q392" s="315">
        <f t="shared" si="99"/>
        <v>560.70797460789231</v>
      </c>
      <c r="R392" s="315">
        <v>7822</v>
      </c>
      <c r="S392" s="316">
        <v>43100</v>
      </c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</row>
    <row r="393" spans="1:34" s="21" customFormat="1" ht="31.2">
      <c r="A393" s="308">
        <v>68</v>
      </c>
      <c r="B393" s="549" t="s">
        <v>745</v>
      </c>
      <c r="C393" s="403">
        <v>1971</v>
      </c>
      <c r="D393" s="403"/>
      <c r="E393" s="311" t="s">
        <v>218</v>
      </c>
      <c r="F393" s="403">
        <v>9</v>
      </c>
      <c r="G393" s="845">
        <v>4</v>
      </c>
      <c r="H393" s="846">
        <v>8409.5</v>
      </c>
      <c r="I393" s="846">
        <v>6117</v>
      </c>
      <c r="J393" s="846">
        <f>I393-301.5</f>
        <v>5815.5</v>
      </c>
      <c r="K393" s="846">
        <v>258</v>
      </c>
      <c r="L393" s="847">
        <v>3471167</v>
      </c>
      <c r="M393" s="848">
        <v>0</v>
      </c>
      <c r="N393" s="849">
        <v>0</v>
      </c>
      <c r="O393" s="849">
        <f t="shared" si="98"/>
        <v>3471167</v>
      </c>
      <c r="P393" s="849">
        <v>0</v>
      </c>
      <c r="Q393" s="315">
        <f t="shared" si="99"/>
        <v>567.46231812980216</v>
      </c>
      <c r="R393" s="315">
        <v>7822</v>
      </c>
      <c r="S393" s="316">
        <v>43100</v>
      </c>
    </row>
    <row r="394" spans="1:34" s="52" customFormat="1" ht="31.2">
      <c r="A394" s="308">
        <v>69</v>
      </c>
      <c r="B394" s="549" t="s">
        <v>746</v>
      </c>
      <c r="C394" s="403">
        <v>1991</v>
      </c>
      <c r="D394" s="403"/>
      <c r="E394" s="311" t="s">
        <v>218</v>
      </c>
      <c r="F394" s="403">
        <v>12</v>
      </c>
      <c r="G394" s="845">
        <v>1</v>
      </c>
      <c r="H394" s="846">
        <v>5703.1</v>
      </c>
      <c r="I394" s="846">
        <v>3976.5</v>
      </c>
      <c r="J394" s="846">
        <f>I394</f>
        <v>3976.5</v>
      </c>
      <c r="K394" s="846">
        <v>152</v>
      </c>
      <c r="L394" s="847">
        <v>3891338</v>
      </c>
      <c r="M394" s="848">
        <v>0</v>
      </c>
      <c r="N394" s="849">
        <v>0</v>
      </c>
      <c r="O394" s="849">
        <f t="shared" si="98"/>
        <v>3891338</v>
      </c>
      <c r="P394" s="849">
        <v>0</v>
      </c>
      <c r="Q394" s="315">
        <f t="shared" si="99"/>
        <v>978.58367911479945</v>
      </c>
      <c r="R394" s="315">
        <v>7822</v>
      </c>
      <c r="S394" s="316">
        <v>43100</v>
      </c>
    </row>
    <row r="395" spans="1:34" s="21" customFormat="1" ht="15.6">
      <c r="A395" s="308">
        <v>70</v>
      </c>
      <c r="B395" s="549" t="s">
        <v>747</v>
      </c>
      <c r="C395" s="403">
        <v>1985</v>
      </c>
      <c r="D395" s="403"/>
      <c r="E395" s="311" t="s">
        <v>219</v>
      </c>
      <c r="F395" s="403">
        <v>9</v>
      </c>
      <c r="G395" s="845">
        <v>5</v>
      </c>
      <c r="H395" s="846">
        <v>13715.2</v>
      </c>
      <c r="I395" s="846">
        <v>9275.9</v>
      </c>
      <c r="J395" s="846">
        <f>I395-94.7</f>
        <v>9181.1999999999989</v>
      </c>
      <c r="K395" s="846">
        <v>379</v>
      </c>
      <c r="L395" s="468">
        <v>1965577</v>
      </c>
      <c r="M395" s="687">
        <v>0</v>
      </c>
      <c r="N395" s="314">
        <v>0</v>
      </c>
      <c r="O395" s="314">
        <f t="shared" si="98"/>
        <v>1965577</v>
      </c>
      <c r="P395" s="314">
        <v>0</v>
      </c>
      <c r="Q395" s="315">
        <f t="shared" si="99"/>
        <v>211.90148664819588</v>
      </c>
      <c r="R395" s="315">
        <v>7822</v>
      </c>
      <c r="S395" s="316">
        <v>43100</v>
      </c>
    </row>
    <row r="396" spans="1:34" s="21" customFormat="1" ht="15.6">
      <c r="A396" s="308"/>
      <c r="B396" s="654"/>
      <c r="C396" s="403"/>
      <c r="D396" s="403"/>
      <c r="E396" s="311"/>
      <c r="F396" s="403"/>
      <c r="G396" s="403"/>
      <c r="H396" s="550"/>
      <c r="I396" s="653"/>
      <c r="J396" s="653"/>
      <c r="K396" s="551"/>
      <c r="L396" s="314"/>
      <c r="M396" s="314"/>
      <c r="N396" s="314"/>
      <c r="O396" s="314"/>
      <c r="P396" s="314"/>
      <c r="Q396" s="315"/>
      <c r="R396" s="315"/>
      <c r="S396" s="316"/>
    </row>
    <row r="397" spans="1:34" s="21" customFormat="1" ht="23.4" customHeight="1">
      <c r="A397" s="107"/>
      <c r="B397" s="1411" t="s">
        <v>132</v>
      </c>
      <c r="C397" s="1411"/>
      <c r="D397" s="1411"/>
      <c r="E397" s="1411"/>
      <c r="F397" s="1411"/>
      <c r="G397" s="1411"/>
      <c r="H397" s="117">
        <f>H398+H399+H400</f>
        <v>2337.4</v>
      </c>
      <c r="I397" s="117">
        <f t="shared" ref="I397:P397" si="100">I398+I399+I400</f>
        <v>2118.9</v>
      </c>
      <c r="J397" s="117">
        <f t="shared" si="100"/>
        <v>1840.3999999999999</v>
      </c>
      <c r="K397" s="117">
        <f t="shared" si="100"/>
        <v>91</v>
      </c>
      <c r="L397" s="604">
        <f t="shared" si="100"/>
        <v>5439639</v>
      </c>
      <c r="M397" s="604">
        <f t="shared" si="100"/>
        <v>0</v>
      </c>
      <c r="N397" s="604">
        <f t="shared" si="100"/>
        <v>325798</v>
      </c>
      <c r="O397" s="604">
        <f t="shared" si="100"/>
        <v>5113841</v>
      </c>
      <c r="P397" s="604">
        <f t="shared" si="100"/>
        <v>0</v>
      </c>
      <c r="Q397" s="114" t="s">
        <v>40</v>
      </c>
      <c r="R397" s="114" t="s">
        <v>40</v>
      </c>
      <c r="S397" s="316">
        <v>43100</v>
      </c>
    </row>
    <row r="398" spans="1:34" s="21" customFormat="1" ht="31.2">
      <c r="A398" s="308">
        <v>71</v>
      </c>
      <c r="B398" s="654" t="s">
        <v>697</v>
      </c>
      <c r="C398" s="403">
        <v>1984</v>
      </c>
      <c r="D398" s="403"/>
      <c r="E398" s="311" t="s">
        <v>218</v>
      </c>
      <c r="F398" s="403">
        <v>3</v>
      </c>
      <c r="G398" s="403">
        <v>2</v>
      </c>
      <c r="H398" s="550">
        <v>1130.0999999999999</v>
      </c>
      <c r="I398" s="653">
        <v>1039.4000000000001</v>
      </c>
      <c r="J398" s="653">
        <v>923.5</v>
      </c>
      <c r="K398" s="551">
        <v>48</v>
      </c>
      <c r="L398" s="314">
        <v>1207837</v>
      </c>
      <c r="M398" s="314">
        <v>0</v>
      </c>
      <c r="N398" s="314">
        <v>0</v>
      </c>
      <c r="O398" s="314">
        <v>1207837</v>
      </c>
      <c r="P398" s="314">
        <v>0</v>
      </c>
      <c r="Q398" s="315">
        <f t="shared" si="99"/>
        <v>1162.0521454685395</v>
      </c>
      <c r="R398" s="315">
        <v>7822</v>
      </c>
      <c r="S398" s="316">
        <v>43100</v>
      </c>
    </row>
    <row r="399" spans="1:34" s="21" customFormat="1" ht="31.2">
      <c r="A399" s="308">
        <v>72</v>
      </c>
      <c r="B399" s="654" t="s">
        <v>698</v>
      </c>
      <c r="C399" s="403">
        <v>1952</v>
      </c>
      <c r="D399" s="403"/>
      <c r="E399" s="311" t="s">
        <v>700</v>
      </c>
      <c r="F399" s="403">
        <v>2</v>
      </c>
      <c r="G399" s="403">
        <v>2</v>
      </c>
      <c r="H399" s="550">
        <v>442.4</v>
      </c>
      <c r="I399" s="653">
        <v>397.7</v>
      </c>
      <c r="J399" s="653">
        <v>299.10000000000002</v>
      </c>
      <c r="K399" s="551">
        <v>13</v>
      </c>
      <c r="L399" s="314">
        <v>1871260</v>
      </c>
      <c r="M399" s="314">
        <v>0</v>
      </c>
      <c r="N399" s="314">
        <v>325798</v>
      </c>
      <c r="O399" s="314">
        <v>1545462</v>
      </c>
      <c r="P399" s="314">
        <v>0</v>
      </c>
      <c r="Q399" s="315">
        <f t="shared" si="99"/>
        <v>4705.2049283379429</v>
      </c>
      <c r="R399" s="315">
        <v>7822</v>
      </c>
      <c r="S399" s="316">
        <v>43100</v>
      </c>
    </row>
    <row r="400" spans="1:34" s="21" customFormat="1" ht="31.2">
      <c r="A400" s="308">
        <v>73</v>
      </c>
      <c r="B400" s="654" t="s">
        <v>699</v>
      </c>
      <c r="C400" s="403">
        <v>1958</v>
      </c>
      <c r="D400" s="403"/>
      <c r="E400" s="311" t="s">
        <v>218</v>
      </c>
      <c r="F400" s="403">
        <v>2</v>
      </c>
      <c r="G400" s="403">
        <v>2</v>
      </c>
      <c r="H400" s="550">
        <v>764.9</v>
      </c>
      <c r="I400" s="653">
        <v>681.8</v>
      </c>
      <c r="J400" s="653">
        <v>617.79999999999995</v>
      </c>
      <c r="K400" s="551">
        <v>30</v>
      </c>
      <c r="L400" s="314">
        <v>2360542</v>
      </c>
      <c r="M400" s="314">
        <v>0</v>
      </c>
      <c r="N400" s="314">
        <v>0</v>
      </c>
      <c r="O400" s="314">
        <v>2360542</v>
      </c>
      <c r="P400" s="314"/>
      <c r="Q400" s="315">
        <f t="shared" si="99"/>
        <v>3462.2205925491348</v>
      </c>
      <c r="R400" s="315">
        <v>7822</v>
      </c>
      <c r="S400" s="316">
        <v>43100</v>
      </c>
    </row>
    <row r="401" spans="1:19" s="21" customFormat="1" ht="15.75" customHeight="1">
      <c r="A401" s="107"/>
      <c r="B401" s="1423" t="s">
        <v>593</v>
      </c>
      <c r="C401" s="1423"/>
      <c r="D401" s="1423"/>
      <c r="E401" s="1423"/>
      <c r="F401" s="1423"/>
      <c r="G401" s="1423"/>
      <c r="H401" s="117">
        <f>H402</f>
        <v>1575.1</v>
      </c>
      <c r="I401" s="117">
        <f t="shared" ref="I401:P401" si="101">I402</f>
        <v>1438.1</v>
      </c>
      <c r="J401" s="117">
        <f t="shared" si="101"/>
        <v>1438.1</v>
      </c>
      <c r="K401" s="155">
        <f t="shared" si="101"/>
        <v>54</v>
      </c>
      <c r="L401" s="113">
        <f t="shared" si="101"/>
        <v>2479354</v>
      </c>
      <c r="M401" s="113">
        <f t="shared" si="101"/>
        <v>0</v>
      </c>
      <c r="N401" s="113">
        <f t="shared" si="101"/>
        <v>0</v>
      </c>
      <c r="O401" s="113">
        <f t="shared" si="101"/>
        <v>2479354</v>
      </c>
      <c r="P401" s="113">
        <f t="shared" si="101"/>
        <v>0</v>
      </c>
      <c r="Q401" s="114" t="s">
        <v>40</v>
      </c>
      <c r="R401" s="114" t="s">
        <v>40</v>
      </c>
      <c r="S401" s="316">
        <v>43100</v>
      </c>
    </row>
    <row r="402" spans="1:19" s="21" customFormat="1" ht="31.2">
      <c r="A402" s="308">
        <v>74</v>
      </c>
      <c r="B402" s="549" t="s">
        <v>594</v>
      </c>
      <c r="C402" s="403">
        <v>1969</v>
      </c>
      <c r="D402" s="403"/>
      <c r="E402" s="311" t="s">
        <v>218</v>
      </c>
      <c r="F402" s="403">
        <v>3</v>
      </c>
      <c r="G402" s="403">
        <v>3</v>
      </c>
      <c r="H402" s="550">
        <v>1575.1</v>
      </c>
      <c r="I402" s="550">
        <v>1438.1</v>
      </c>
      <c r="J402" s="550">
        <v>1438.1</v>
      </c>
      <c r="K402" s="551">
        <v>54</v>
      </c>
      <c r="L402" s="314">
        <v>2479354</v>
      </c>
      <c r="M402" s="314">
        <v>0</v>
      </c>
      <c r="N402" s="314">
        <v>0</v>
      </c>
      <c r="O402" s="314">
        <f>L402</f>
        <v>2479354</v>
      </c>
      <c r="P402" s="314">
        <v>0</v>
      </c>
      <c r="Q402" s="315">
        <f>L402/I402</f>
        <v>1724.0483971907379</v>
      </c>
      <c r="R402" s="315">
        <v>6774</v>
      </c>
      <c r="S402" s="316">
        <v>43100</v>
      </c>
    </row>
    <row r="403" spans="1:19" s="1" customFormat="1" ht="15.75" customHeight="1">
      <c r="A403" s="107"/>
      <c r="B403" s="1413" t="s">
        <v>110</v>
      </c>
      <c r="C403" s="1413"/>
      <c r="D403" s="1413"/>
      <c r="E403" s="1413"/>
      <c r="F403" s="1413"/>
      <c r="G403" s="1413"/>
      <c r="H403" s="128">
        <f t="shared" ref="H403:O403" si="102">SUM(H404:H404)</f>
        <v>1494</v>
      </c>
      <c r="I403" s="106">
        <f t="shared" si="102"/>
        <v>1040.8</v>
      </c>
      <c r="J403" s="106">
        <f t="shared" si="102"/>
        <v>1040.8</v>
      </c>
      <c r="K403" s="119">
        <f t="shared" si="102"/>
        <v>59</v>
      </c>
      <c r="L403" s="113">
        <f t="shared" si="102"/>
        <v>2476043</v>
      </c>
      <c r="M403" s="113">
        <f t="shared" si="102"/>
        <v>0</v>
      </c>
      <c r="N403" s="113">
        <f t="shared" si="102"/>
        <v>0</v>
      </c>
      <c r="O403" s="113">
        <f t="shared" si="102"/>
        <v>2476043</v>
      </c>
      <c r="P403" s="113">
        <v>0</v>
      </c>
      <c r="Q403" s="106" t="s">
        <v>40</v>
      </c>
      <c r="R403" s="106" t="s">
        <v>40</v>
      </c>
      <c r="S403" s="316">
        <v>43100</v>
      </c>
    </row>
    <row r="404" spans="1:19" s="1" customFormat="1" ht="15.6">
      <c r="A404" s="308">
        <f>A402+1</f>
        <v>75</v>
      </c>
      <c r="B404" s="309" t="s">
        <v>472</v>
      </c>
      <c r="C404" s="308">
        <v>1964</v>
      </c>
      <c r="D404" s="310"/>
      <c r="E404" s="311" t="s">
        <v>473</v>
      </c>
      <c r="F404" s="310">
        <v>3</v>
      </c>
      <c r="G404" s="310">
        <v>3</v>
      </c>
      <c r="H404" s="312">
        <v>1494</v>
      </c>
      <c r="I404" s="310">
        <v>1040.8</v>
      </c>
      <c r="J404" s="310">
        <v>1040.8</v>
      </c>
      <c r="K404" s="313">
        <v>59</v>
      </c>
      <c r="L404" s="314">
        <v>2476043</v>
      </c>
      <c r="M404" s="314">
        <v>0</v>
      </c>
      <c r="N404" s="314">
        <v>0</v>
      </c>
      <c r="O404" s="314">
        <v>2476043</v>
      </c>
      <c r="P404" s="314">
        <v>0</v>
      </c>
      <c r="Q404" s="315">
        <f>L404/I404</f>
        <v>2378.9805918524212</v>
      </c>
      <c r="R404" s="315">
        <v>7822</v>
      </c>
      <c r="S404" s="316">
        <v>43100</v>
      </c>
    </row>
    <row r="405" spans="1:19" s="1" customFormat="1" ht="15.6" customHeight="1">
      <c r="A405" s="308"/>
      <c r="B405" s="1437" t="s">
        <v>128</v>
      </c>
      <c r="C405" s="1437"/>
      <c r="D405" s="1437"/>
      <c r="E405" s="1437"/>
      <c r="F405" s="1438"/>
      <c r="G405" s="1438"/>
      <c r="H405" s="796">
        <f>SUM(H406:H409)</f>
        <v>13933</v>
      </c>
      <c r="I405" s="796">
        <f t="shared" ref="I405:P405" si="103">SUM(I406:I409)</f>
        <v>12244</v>
      </c>
      <c r="J405" s="796">
        <f t="shared" si="103"/>
        <v>11051.5</v>
      </c>
      <c r="K405" s="796">
        <f t="shared" si="103"/>
        <v>553</v>
      </c>
      <c r="L405" s="797">
        <f t="shared" si="103"/>
        <v>11027716</v>
      </c>
      <c r="M405" s="797">
        <f t="shared" si="103"/>
        <v>0</v>
      </c>
      <c r="N405" s="797">
        <f t="shared" si="103"/>
        <v>0</v>
      </c>
      <c r="O405" s="797">
        <f t="shared" si="103"/>
        <v>11027716</v>
      </c>
      <c r="P405" s="797">
        <f t="shared" si="103"/>
        <v>0</v>
      </c>
      <c r="Q405" s="796" t="s">
        <v>40</v>
      </c>
      <c r="R405" s="730" t="s">
        <v>40</v>
      </c>
      <c r="S405" s="316">
        <v>43100</v>
      </c>
    </row>
    <row r="406" spans="1:19" s="59" customFormat="1" ht="22.95" customHeight="1">
      <c r="A406" s="308">
        <v>76</v>
      </c>
      <c r="B406" s="337" t="s">
        <v>721</v>
      </c>
      <c r="C406" s="308">
        <v>1977</v>
      </c>
      <c r="D406" s="310"/>
      <c r="E406" s="685" t="s">
        <v>219</v>
      </c>
      <c r="F406" s="798">
        <v>5</v>
      </c>
      <c r="G406" s="798">
        <v>4</v>
      </c>
      <c r="H406" s="799">
        <v>3299.5</v>
      </c>
      <c r="I406" s="799">
        <v>3053.5</v>
      </c>
      <c r="J406" s="799">
        <v>2987.3</v>
      </c>
      <c r="K406" s="798">
        <v>133</v>
      </c>
      <c r="L406" s="800">
        <v>2009466</v>
      </c>
      <c r="M406" s="800">
        <v>0</v>
      </c>
      <c r="N406" s="800">
        <v>0</v>
      </c>
      <c r="O406" s="800">
        <f>L406</f>
        <v>2009466</v>
      </c>
      <c r="P406" s="800">
        <v>0</v>
      </c>
      <c r="Q406" s="800">
        <f t="shared" ref="Q406:Q409" si="104">L406/I406</f>
        <v>658.08613066972327</v>
      </c>
      <c r="R406" s="800">
        <v>7822</v>
      </c>
      <c r="S406" s="612">
        <v>43100</v>
      </c>
    </row>
    <row r="407" spans="1:19" s="59" customFormat="1" ht="31.2">
      <c r="A407" s="308">
        <v>77</v>
      </c>
      <c r="B407" s="337" t="s">
        <v>722</v>
      </c>
      <c r="C407" s="308">
        <v>1959</v>
      </c>
      <c r="D407" s="310"/>
      <c r="E407" s="685" t="s">
        <v>218</v>
      </c>
      <c r="F407" s="798">
        <v>2</v>
      </c>
      <c r="G407" s="798">
        <v>2</v>
      </c>
      <c r="H407" s="799">
        <v>515</v>
      </c>
      <c r="I407" s="799">
        <v>459.4</v>
      </c>
      <c r="J407" s="799">
        <v>459.4</v>
      </c>
      <c r="K407" s="798">
        <v>15</v>
      </c>
      <c r="L407" s="800">
        <v>1709729</v>
      </c>
      <c r="M407" s="800">
        <v>0</v>
      </c>
      <c r="N407" s="800">
        <v>0</v>
      </c>
      <c r="O407" s="800">
        <f t="shared" ref="O407:O409" si="105">L407</f>
        <v>1709729</v>
      </c>
      <c r="P407" s="800">
        <v>0</v>
      </c>
      <c r="Q407" s="800">
        <f t="shared" si="104"/>
        <v>3721.6565084893341</v>
      </c>
      <c r="R407" s="800">
        <v>7822</v>
      </c>
      <c r="S407" s="612">
        <v>43100</v>
      </c>
    </row>
    <row r="408" spans="1:19" s="59" customFormat="1" ht="31.95" customHeight="1">
      <c r="A408" s="308">
        <v>78</v>
      </c>
      <c r="B408" s="337" t="s">
        <v>723</v>
      </c>
      <c r="C408" s="308">
        <v>1989</v>
      </c>
      <c r="D408" s="310"/>
      <c r="E408" s="685" t="s">
        <v>219</v>
      </c>
      <c r="F408" s="798">
        <v>5</v>
      </c>
      <c r="G408" s="798">
        <v>7</v>
      </c>
      <c r="H408" s="799">
        <v>5924.3</v>
      </c>
      <c r="I408" s="799">
        <v>5373.7</v>
      </c>
      <c r="J408" s="799">
        <v>4875.2</v>
      </c>
      <c r="K408" s="798">
        <v>217</v>
      </c>
      <c r="L408" s="800">
        <v>4267870</v>
      </c>
      <c r="M408" s="800">
        <v>0</v>
      </c>
      <c r="N408" s="800">
        <v>0</v>
      </c>
      <c r="O408" s="800">
        <f t="shared" si="105"/>
        <v>4267870</v>
      </c>
      <c r="P408" s="800">
        <v>0</v>
      </c>
      <c r="Q408" s="800">
        <f t="shared" si="104"/>
        <v>794.21441464912448</v>
      </c>
      <c r="R408" s="800">
        <v>7822</v>
      </c>
      <c r="S408" s="612">
        <v>43100</v>
      </c>
    </row>
    <row r="409" spans="1:19" s="59" customFormat="1" ht="31.2">
      <c r="A409" s="308">
        <v>79</v>
      </c>
      <c r="B409" s="337" t="s">
        <v>724</v>
      </c>
      <c r="C409" s="308">
        <v>1980</v>
      </c>
      <c r="D409" s="310"/>
      <c r="E409" s="685" t="s">
        <v>218</v>
      </c>
      <c r="F409" s="798">
        <v>5</v>
      </c>
      <c r="G409" s="798">
        <v>2</v>
      </c>
      <c r="H409" s="799">
        <v>4194.2</v>
      </c>
      <c r="I409" s="799">
        <v>3357.4</v>
      </c>
      <c r="J409" s="799">
        <v>2729.6</v>
      </c>
      <c r="K409" s="798">
        <v>188</v>
      </c>
      <c r="L409" s="800">
        <v>3040651</v>
      </c>
      <c r="M409" s="800">
        <v>0</v>
      </c>
      <c r="N409" s="800">
        <v>0</v>
      </c>
      <c r="O409" s="800">
        <f t="shared" si="105"/>
        <v>3040651</v>
      </c>
      <c r="P409" s="800">
        <v>0</v>
      </c>
      <c r="Q409" s="800">
        <f t="shared" si="104"/>
        <v>905.65646035622797</v>
      </c>
      <c r="R409" s="800">
        <v>7822</v>
      </c>
      <c r="S409" s="612">
        <v>43100</v>
      </c>
    </row>
    <row r="410" spans="1:19" s="59" customFormat="1" ht="15.6">
      <c r="A410" s="308"/>
      <c r="B410" s="337"/>
      <c r="C410" s="308"/>
      <c r="D410" s="310"/>
      <c r="E410" s="311"/>
      <c r="F410" s="629"/>
      <c r="G410" s="629"/>
      <c r="H410" s="629"/>
      <c r="I410" s="630"/>
      <c r="J410" s="629"/>
      <c r="K410" s="629"/>
      <c r="L410" s="614"/>
      <c r="M410" s="614"/>
      <c r="N410" s="614"/>
      <c r="O410" s="614"/>
      <c r="P410" s="614"/>
      <c r="Q410" s="615"/>
      <c r="R410" s="615"/>
      <c r="S410" s="316"/>
    </row>
    <row r="411" spans="1:19" s="59" customFormat="1" ht="15.6">
      <c r="A411" s="308"/>
      <c r="B411" s="337"/>
      <c r="C411" s="308"/>
      <c r="D411" s="310"/>
      <c r="E411" s="311"/>
      <c r="F411" s="310"/>
      <c r="G411" s="310"/>
      <c r="H411" s="310"/>
      <c r="I411" s="346"/>
      <c r="J411" s="310"/>
      <c r="K411" s="310"/>
      <c r="L411" s="314"/>
      <c r="M411" s="314"/>
      <c r="N411" s="314"/>
      <c r="O411" s="314"/>
      <c r="P411" s="314"/>
      <c r="Q411" s="315"/>
      <c r="R411" s="315"/>
      <c r="S411" s="316"/>
    </row>
    <row r="412" spans="1:19" s="59" customFormat="1" ht="24" customHeight="1">
      <c r="A412" s="308"/>
      <c r="B412" s="1455" t="s">
        <v>668</v>
      </c>
      <c r="C412" s="1456"/>
      <c r="D412" s="1456"/>
      <c r="E412" s="1456"/>
      <c r="F412" s="1456"/>
      <c r="G412" s="1457"/>
      <c r="H412" s="310">
        <f>H413+H414</f>
        <v>5520.2</v>
      </c>
      <c r="I412" s="310">
        <f t="shared" ref="I412:P412" si="106">I413+I414</f>
        <v>4958.3599999999997</v>
      </c>
      <c r="J412" s="310">
        <f t="shared" si="106"/>
        <v>4941.46</v>
      </c>
      <c r="K412" s="310">
        <f t="shared" si="106"/>
        <v>173</v>
      </c>
      <c r="L412" s="709">
        <f t="shared" si="106"/>
        <v>4521219</v>
      </c>
      <c r="M412" s="709">
        <f t="shared" si="106"/>
        <v>0</v>
      </c>
      <c r="N412" s="709">
        <f t="shared" si="106"/>
        <v>0</v>
      </c>
      <c r="O412" s="709">
        <f t="shared" si="106"/>
        <v>4521219</v>
      </c>
      <c r="P412" s="709">
        <f t="shared" si="106"/>
        <v>0</v>
      </c>
      <c r="Q412" s="350" t="s">
        <v>40</v>
      </c>
      <c r="R412" s="315" t="s">
        <v>40</v>
      </c>
      <c r="S412" s="316">
        <v>43100</v>
      </c>
    </row>
    <row r="413" spans="1:19" s="59" customFormat="1" ht="24" customHeight="1">
      <c r="A413" s="308">
        <v>80</v>
      </c>
      <c r="B413" s="710" t="s">
        <v>669</v>
      </c>
      <c r="C413" s="308">
        <v>1974</v>
      </c>
      <c r="D413" s="308"/>
      <c r="E413" s="308" t="s">
        <v>219</v>
      </c>
      <c r="F413" s="308">
        <v>5</v>
      </c>
      <c r="G413" s="308">
        <v>6</v>
      </c>
      <c r="H413" s="310">
        <v>4829</v>
      </c>
      <c r="I413" s="346">
        <v>4323.96</v>
      </c>
      <c r="J413" s="310">
        <v>4307.0600000000004</v>
      </c>
      <c r="K413" s="310">
        <v>141</v>
      </c>
      <c r="L413" s="314">
        <v>2857112</v>
      </c>
      <c r="M413" s="314">
        <v>0</v>
      </c>
      <c r="N413" s="314">
        <v>0</v>
      </c>
      <c r="O413" s="314">
        <v>2857112</v>
      </c>
      <c r="P413" s="314">
        <v>0</v>
      </c>
      <c r="Q413" s="315">
        <f t="shared" ref="Q413:Q414" si="107">L413/I413</f>
        <v>660.76281926752324</v>
      </c>
      <c r="R413" s="315">
        <v>7822</v>
      </c>
      <c r="S413" s="316">
        <v>43100</v>
      </c>
    </row>
    <row r="414" spans="1:19" s="59" customFormat="1" ht="31.2">
      <c r="A414" s="308">
        <v>81</v>
      </c>
      <c r="B414" s="337" t="s">
        <v>670</v>
      </c>
      <c r="C414" s="308">
        <v>1961</v>
      </c>
      <c r="D414" s="310"/>
      <c r="E414" s="311" t="s">
        <v>218</v>
      </c>
      <c r="F414" s="310">
        <v>2</v>
      </c>
      <c r="G414" s="310">
        <v>2</v>
      </c>
      <c r="H414" s="310">
        <v>691.2</v>
      </c>
      <c r="I414" s="346">
        <v>634.4</v>
      </c>
      <c r="J414" s="310">
        <v>634.4</v>
      </c>
      <c r="K414" s="310">
        <v>32</v>
      </c>
      <c r="L414" s="314">
        <v>1664107</v>
      </c>
      <c r="M414" s="314">
        <v>0</v>
      </c>
      <c r="N414" s="314">
        <v>0</v>
      </c>
      <c r="O414" s="314">
        <v>1664107</v>
      </c>
      <c r="P414" s="314">
        <v>0</v>
      </c>
      <c r="Q414" s="315">
        <f t="shared" si="107"/>
        <v>2623.1194829760407</v>
      </c>
      <c r="R414" s="315">
        <v>7822</v>
      </c>
      <c r="S414" s="316">
        <v>43100</v>
      </c>
    </row>
    <row r="415" spans="1:19" s="1" customFormat="1" ht="15.6">
      <c r="A415" s="107"/>
      <c r="B415" s="1411" t="s">
        <v>994</v>
      </c>
      <c r="C415" s="1411"/>
      <c r="D415" s="1411"/>
      <c r="E415" s="1411"/>
      <c r="F415" s="1411"/>
      <c r="G415" s="1411"/>
      <c r="H415" s="128">
        <f>H416</f>
        <v>625.9</v>
      </c>
      <c r="I415" s="106">
        <f t="shared" ref="I415:N415" si="108">I416</f>
        <v>625.9</v>
      </c>
      <c r="J415" s="106">
        <f t="shared" si="108"/>
        <v>526.9</v>
      </c>
      <c r="K415" s="119">
        <f t="shared" si="108"/>
        <v>32</v>
      </c>
      <c r="L415" s="113">
        <f t="shared" si="108"/>
        <v>1540610</v>
      </c>
      <c r="M415" s="113">
        <f t="shared" si="108"/>
        <v>0</v>
      </c>
      <c r="N415" s="113">
        <f t="shared" si="108"/>
        <v>225510.7</v>
      </c>
      <c r="O415" s="113">
        <f>O416</f>
        <v>1315099.3</v>
      </c>
      <c r="P415" s="113">
        <v>0</v>
      </c>
      <c r="Q415" s="106" t="s">
        <v>40</v>
      </c>
      <c r="R415" s="114" t="s">
        <v>40</v>
      </c>
      <c r="S415" s="316">
        <v>43100</v>
      </c>
    </row>
    <row r="416" spans="1:19" s="1" customFormat="1" ht="31.2">
      <c r="A416" s="107"/>
      <c r="B416" s="943" t="s">
        <v>995</v>
      </c>
      <c r="C416" s="118">
        <v>1963</v>
      </c>
      <c r="D416" s="260"/>
      <c r="E416" s="109" t="s">
        <v>218</v>
      </c>
      <c r="F416" s="118">
        <v>2</v>
      </c>
      <c r="G416" s="118">
        <v>2</v>
      </c>
      <c r="H416" s="128">
        <v>625.9</v>
      </c>
      <c r="I416" s="106">
        <v>625.9</v>
      </c>
      <c r="J416" s="106">
        <v>526.9</v>
      </c>
      <c r="K416" s="119">
        <v>32</v>
      </c>
      <c r="L416" s="113">
        <v>1540610</v>
      </c>
      <c r="M416" s="113">
        <v>0</v>
      </c>
      <c r="N416" s="113">
        <v>225510.7</v>
      </c>
      <c r="O416" s="113">
        <v>1315099.3</v>
      </c>
      <c r="P416" s="113">
        <v>0</v>
      </c>
      <c r="Q416" s="106">
        <f>L416/I416</f>
        <v>2461.4315385844384</v>
      </c>
      <c r="R416" s="114">
        <v>7822</v>
      </c>
      <c r="S416" s="316">
        <v>43100</v>
      </c>
    </row>
    <row r="417" spans="1:19" s="1" customFormat="1" ht="15.75" customHeight="1">
      <c r="A417" s="107"/>
      <c r="B417" s="1413" t="s">
        <v>111</v>
      </c>
      <c r="C417" s="1413"/>
      <c r="D417" s="1413"/>
      <c r="E417" s="1413"/>
      <c r="F417" s="1413"/>
      <c r="G417" s="1413"/>
      <c r="H417" s="128">
        <f>H418</f>
        <v>533.5</v>
      </c>
      <c r="I417" s="128">
        <f t="shared" ref="I417:J417" si="109">I418</f>
        <v>525.5</v>
      </c>
      <c r="J417" s="128">
        <f t="shared" si="109"/>
        <v>294.10000000000002</v>
      </c>
      <c r="K417" s="119">
        <f>K418</f>
        <v>54</v>
      </c>
      <c r="L417" s="113">
        <f>L418</f>
        <v>657835.92000000004</v>
      </c>
      <c r="M417" s="113">
        <f t="shared" ref="M417:N417" si="110">M418</f>
        <v>0</v>
      </c>
      <c r="N417" s="113">
        <f t="shared" si="110"/>
        <v>146321.84</v>
      </c>
      <c r="O417" s="113">
        <f t="shared" ref="O417" si="111">O418</f>
        <v>511514.08</v>
      </c>
      <c r="P417" s="113">
        <f t="shared" ref="P417" si="112">P418</f>
        <v>0</v>
      </c>
      <c r="Q417" s="106" t="s">
        <v>40</v>
      </c>
      <c r="R417" s="106" t="s">
        <v>40</v>
      </c>
      <c r="S417" s="316">
        <v>43100</v>
      </c>
    </row>
    <row r="418" spans="1:19" s="1" customFormat="1" ht="31.2">
      <c r="A418" s="107"/>
      <c r="B418" s="261" t="s">
        <v>420</v>
      </c>
      <c r="C418" s="269">
        <v>1967</v>
      </c>
      <c r="D418" s="260"/>
      <c r="E418" s="109" t="s">
        <v>218</v>
      </c>
      <c r="F418" s="118">
        <v>2</v>
      </c>
      <c r="G418" s="118">
        <v>2</v>
      </c>
      <c r="H418" s="128">
        <v>533.5</v>
      </c>
      <c r="I418" s="106">
        <v>525.5</v>
      </c>
      <c r="J418" s="106">
        <v>294.10000000000002</v>
      </c>
      <c r="K418" s="119">
        <v>54</v>
      </c>
      <c r="L418" s="113">
        <v>657835.92000000004</v>
      </c>
      <c r="M418" s="113">
        <v>0</v>
      </c>
      <c r="N418" s="113">
        <v>146321.84</v>
      </c>
      <c r="O418" s="113">
        <v>511514.08</v>
      </c>
      <c r="P418" s="113">
        <v>0</v>
      </c>
      <c r="Q418" s="106">
        <f>L417/I418</f>
        <v>1251.828582302569</v>
      </c>
      <c r="R418" s="114">
        <v>6774</v>
      </c>
      <c r="S418" s="316">
        <v>43100</v>
      </c>
    </row>
    <row r="419" spans="1:19" s="1" customFormat="1" ht="15.6">
      <c r="A419" s="308"/>
      <c r="B419" s="1412" t="s">
        <v>129</v>
      </c>
      <c r="C419" s="1412"/>
      <c r="D419" s="1412"/>
      <c r="E419" s="1412"/>
      <c r="F419" s="1412"/>
      <c r="G419" s="1412"/>
      <c r="H419" s="347">
        <f>SUM(H420:H421)</f>
        <v>1150.0999999999999</v>
      </c>
      <c r="I419" s="347">
        <f t="shared" ref="I419:P419" si="113">SUM(I420:I421)</f>
        <v>1053.5</v>
      </c>
      <c r="J419" s="347">
        <f t="shared" si="113"/>
        <v>1053.5</v>
      </c>
      <c r="K419" s="347">
        <f t="shared" si="113"/>
        <v>58</v>
      </c>
      <c r="L419" s="670">
        <f t="shared" si="113"/>
        <v>1473433</v>
      </c>
      <c r="M419" s="670">
        <f t="shared" si="113"/>
        <v>0</v>
      </c>
      <c r="N419" s="670">
        <f t="shared" si="113"/>
        <v>0</v>
      </c>
      <c r="O419" s="670">
        <f t="shared" si="113"/>
        <v>1473433</v>
      </c>
      <c r="P419" s="670">
        <f t="shared" si="113"/>
        <v>0</v>
      </c>
      <c r="Q419" s="350" t="s">
        <v>40</v>
      </c>
      <c r="R419" s="315" t="s">
        <v>40</v>
      </c>
      <c r="S419" s="316">
        <v>43100</v>
      </c>
    </row>
    <row r="420" spans="1:19" s="59" customFormat="1" ht="31.2">
      <c r="A420" s="308">
        <v>82</v>
      </c>
      <c r="B420" s="337" t="s">
        <v>680</v>
      </c>
      <c r="C420" s="310">
        <v>1964</v>
      </c>
      <c r="D420" s="310"/>
      <c r="E420" s="311" t="s">
        <v>218</v>
      </c>
      <c r="F420" s="310">
        <v>2</v>
      </c>
      <c r="G420" s="310">
        <v>2</v>
      </c>
      <c r="H420" s="308">
        <v>571.29999999999995</v>
      </c>
      <c r="I420" s="310">
        <v>522.9</v>
      </c>
      <c r="J420" s="310">
        <v>522.9</v>
      </c>
      <c r="K420" s="310">
        <v>29</v>
      </c>
      <c r="L420" s="314">
        <v>734707</v>
      </c>
      <c r="M420" s="314">
        <v>0</v>
      </c>
      <c r="N420" s="314">
        <v>0</v>
      </c>
      <c r="O420" s="314">
        <v>734707</v>
      </c>
      <c r="P420" s="314">
        <v>0</v>
      </c>
      <c r="Q420" s="315">
        <f>L420/I420</f>
        <v>1405.0621533754065</v>
      </c>
      <c r="R420" s="315">
        <v>7822</v>
      </c>
      <c r="S420" s="316">
        <v>43100</v>
      </c>
    </row>
    <row r="421" spans="1:19" s="59" customFormat="1" ht="31.2">
      <c r="A421" s="308">
        <v>83</v>
      </c>
      <c r="B421" s="337" t="s">
        <v>681</v>
      </c>
      <c r="C421" s="310">
        <v>1964</v>
      </c>
      <c r="D421" s="310"/>
      <c r="E421" s="311" t="s">
        <v>218</v>
      </c>
      <c r="F421" s="310">
        <v>2</v>
      </c>
      <c r="G421" s="310">
        <v>2</v>
      </c>
      <c r="H421" s="310">
        <v>578.79999999999995</v>
      </c>
      <c r="I421" s="310">
        <v>530.6</v>
      </c>
      <c r="J421" s="310">
        <v>530.6</v>
      </c>
      <c r="K421" s="310">
        <v>29</v>
      </c>
      <c r="L421" s="314">
        <v>738726</v>
      </c>
      <c r="M421" s="314">
        <v>0</v>
      </c>
      <c r="N421" s="314">
        <v>0</v>
      </c>
      <c r="O421" s="314">
        <v>738726</v>
      </c>
      <c r="P421" s="314">
        <v>0</v>
      </c>
      <c r="Q421" s="315">
        <f t="shared" ref="Q421" si="114">L421/I421</f>
        <v>1392.2465133810779</v>
      </c>
      <c r="R421" s="315">
        <v>7822</v>
      </c>
      <c r="S421" s="316">
        <v>43100</v>
      </c>
    </row>
    <row r="422" spans="1:19" s="59" customFormat="1" ht="15.6">
      <c r="A422" s="308"/>
      <c r="B422" s="337"/>
      <c r="C422" s="310"/>
      <c r="D422" s="310"/>
      <c r="E422" s="311"/>
      <c r="F422" s="310"/>
      <c r="G422" s="310"/>
      <c r="H422" s="310"/>
      <c r="I422" s="310"/>
      <c r="J422" s="310"/>
      <c r="K422" s="310"/>
      <c r="L422" s="314"/>
      <c r="M422" s="314"/>
      <c r="N422" s="314"/>
      <c r="O422" s="314"/>
      <c r="P422" s="314"/>
      <c r="Q422" s="315"/>
      <c r="R422" s="315"/>
      <c r="S422" s="316"/>
    </row>
    <row r="423" spans="1:19" s="59" customFormat="1" ht="15.6">
      <c r="A423" s="308"/>
      <c r="B423" s="337"/>
      <c r="C423" s="310"/>
      <c r="D423" s="310"/>
      <c r="E423" s="311"/>
      <c r="F423" s="310"/>
      <c r="G423" s="310"/>
      <c r="H423" s="310"/>
      <c r="I423" s="310"/>
      <c r="J423" s="310"/>
      <c r="K423" s="310"/>
      <c r="L423" s="314"/>
      <c r="M423" s="314"/>
      <c r="N423" s="314"/>
      <c r="O423" s="314"/>
      <c r="P423" s="314"/>
      <c r="Q423" s="315"/>
      <c r="R423" s="315"/>
      <c r="S423" s="316"/>
    </row>
    <row r="424" spans="1:19" s="1" customFormat="1" ht="15.6">
      <c r="A424" s="107"/>
      <c r="B424" s="1411" t="s">
        <v>54</v>
      </c>
      <c r="C424" s="1411"/>
      <c r="D424" s="1411"/>
      <c r="E424" s="1411"/>
      <c r="F424" s="1411"/>
      <c r="G424" s="1411"/>
      <c r="H424" s="128">
        <f>H425</f>
        <v>1983</v>
      </c>
      <c r="I424" s="106">
        <f t="shared" ref="I424:P424" si="115">I425</f>
        <v>1780.1</v>
      </c>
      <c r="J424" s="106">
        <f t="shared" si="115"/>
        <v>1780.1</v>
      </c>
      <c r="K424" s="119">
        <f t="shared" si="115"/>
        <v>80</v>
      </c>
      <c r="L424" s="113">
        <f t="shared" si="115"/>
        <v>2222747</v>
      </c>
      <c r="M424" s="113">
        <f t="shared" si="115"/>
        <v>0</v>
      </c>
      <c r="N424" s="113">
        <f t="shared" si="115"/>
        <v>0</v>
      </c>
      <c r="O424" s="113">
        <f t="shared" si="115"/>
        <v>2222747</v>
      </c>
      <c r="P424" s="113">
        <f t="shared" si="115"/>
        <v>0</v>
      </c>
      <c r="Q424" s="106" t="s">
        <v>40</v>
      </c>
      <c r="R424" s="106" t="s">
        <v>40</v>
      </c>
      <c r="S424" s="316">
        <v>43100</v>
      </c>
    </row>
    <row r="425" spans="1:19" s="1" customFormat="1" ht="15.75" customHeight="1">
      <c r="A425" s="107"/>
      <c r="B425" s="1413" t="s">
        <v>112</v>
      </c>
      <c r="C425" s="1413"/>
      <c r="D425" s="1413"/>
      <c r="E425" s="1413"/>
      <c r="F425" s="1413"/>
      <c r="G425" s="1413"/>
      <c r="H425" s="128">
        <f>SUM(H426:H428)</f>
        <v>1983</v>
      </c>
      <c r="I425" s="106">
        <f t="shared" ref="I425:P425" si="116">SUM(I426:I428)</f>
        <v>1780.1</v>
      </c>
      <c r="J425" s="106">
        <f t="shared" si="116"/>
        <v>1780.1</v>
      </c>
      <c r="K425" s="119">
        <f t="shared" si="116"/>
        <v>80</v>
      </c>
      <c r="L425" s="113">
        <f t="shared" si="116"/>
        <v>2222747</v>
      </c>
      <c r="M425" s="113">
        <f t="shared" si="116"/>
        <v>0</v>
      </c>
      <c r="N425" s="113">
        <f t="shared" si="116"/>
        <v>0</v>
      </c>
      <c r="O425" s="113">
        <f t="shared" si="116"/>
        <v>2222747</v>
      </c>
      <c r="P425" s="113">
        <f t="shared" si="116"/>
        <v>0</v>
      </c>
      <c r="Q425" s="106" t="s">
        <v>40</v>
      </c>
      <c r="R425" s="106" t="s">
        <v>40</v>
      </c>
      <c r="S425" s="316">
        <v>43100</v>
      </c>
    </row>
    <row r="426" spans="1:19" s="35" customFormat="1" ht="31.2">
      <c r="A426" s="107"/>
      <c r="B426" s="262" t="s">
        <v>422</v>
      </c>
      <c r="C426" s="107">
        <v>1972</v>
      </c>
      <c r="D426" s="173"/>
      <c r="E426" s="109" t="s">
        <v>218</v>
      </c>
      <c r="F426" s="108">
        <v>2</v>
      </c>
      <c r="G426" s="108">
        <v>2</v>
      </c>
      <c r="H426" s="111">
        <v>778.9</v>
      </c>
      <c r="I426" s="126">
        <v>719.8</v>
      </c>
      <c r="J426" s="126">
        <v>719.8</v>
      </c>
      <c r="K426" s="112">
        <v>27</v>
      </c>
      <c r="L426" s="113">
        <v>1003542</v>
      </c>
      <c r="M426" s="113">
        <v>0</v>
      </c>
      <c r="N426" s="113">
        <v>0</v>
      </c>
      <c r="O426" s="113">
        <f>L426</f>
        <v>1003542</v>
      </c>
      <c r="P426" s="113">
        <v>0</v>
      </c>
      <c r="Q426" s="114">
        <f>L426/I426</f>
        <v>1394.1956098916366</v>
      </c>
      <c r="R426" s="114">
        <v>6774</v>
      </c>
      <c r="S426" s="316">
        <v>43100</v>
      </c>
    </row>
    <row r="427" spans="1:19" s="35" customFormat="1" ht="31.2">
      <c r="A427" s="107"/>
      <c r="B427" s="262" t="s">
        <v>421</v>
      </c>
      <c r="C427" s="177">
        <v>1980</v>
      </c>
      <c r="D427" s="178"/>
      <c r="E427" s="109" t="s">
        <v>218</v>
      </c>
      <c r="F427" s="108">
        <v>3</v>
      </c>
      <c r="G427" s="108">
        <v>2</v>
      </c>
      <c r="H427" s="111">
        <v>928.6</v>
      </c>
      <c r="I427" s="126">
        <v>843.2</v>
      </c>
      <c r="J427" s="126">
        <v>843.2</v>
      </c>
      <c r="K427" s="112">
        <v>39</v>
      </c>
      <c r="L427" s="113">
        <v>740146</v>
      </c>
      <c r="M427" s="113">
        <v>0</v>
      </c>
      <c r="N427" s="113">
        <v>0</v>
      </c>
      <c r="O427" s="113">
        <f>L427</f>
        <v>740146</v>
      </c>
      <c r="P427" s="113">
        <v>0</v>
      </c>
      <c r="Q427" s="114">
        <f>L427/I427</f>
        <v>877.7822580645161</v>
      </c>
      <c r="R427" s="114">
        <v>6774</v>
      </c>
      <c r="S427" s="316">
        <v>43100</v>
      </c>
    </row>
    <row r="428" spans="1:19" s="35" customFormat="1" ht="15.6">
      <c r="A428" s="107"/>
      <c r="B428" s="262" t="s">
        <v>423</v>
      </c>
      <c r="C428" s="108">
        <v>1965</v>
      </c>
      <c r="D428" s="173"/>
      <c r="E428" s="109" t="s">
        <v>221</v>
      </c>
      <c r="F428" s="108">
        <v>2</v>
      </c>
      <c r="G428" s="108">
        <v>2</v>
      </c>
      <c r="H428" s="111">
        <v>275.5</v>
      </c>
      <c r="I428" s="126">
        <v>217.1</v>
      </c>
      <c r="J428" s="126">
        <v>217.1</v>
      </c>
      <c r="K428" s="112">
        <v>14</v>
      </c>
      <c r="L428" s="113">
        <v>479059</v>
      </c>
      <c r="M428" s="113">
        <v>0</v>
      </c>
      <c r="N428" s="113">
        <v>0</v>
      </c>
      <c r="O428" s="113">
        <f>L428</f>
        <v>479059</v>
      </c>
      <c r="P428" s="113">
        <v>0</v>
      </c>
      <c r="Q428" s="114">
        <f>L428/I428</f>
        <v>2206.6282818977429</v>
      </c>
      <c r="R428" s="114">
        <v>6774</v>
      </c>
      <c r="S428" s="316">
        <v>43100</v>
      </c>
    </row>
    <row r="429" spans="1:19" s="1" customFormat="1" ht="15.6">
      <c r="A429" s="107"/>
      <c r="B429" s="1411" t="s">
        <v>55</v>
      </c>
      <c r="C429" s="1411"/>
      <c r="D429" s="1411"/>
      <c r="E429" s="1411"/>
      <c r="F429" s="1411"/>
      <c r="G429" s="1411"/>
      <c r="H429" s="128">
        <f>H430</f>
        <v>912.1</v>
      </c>
      <c r="I429" s="106">
        <f t="shared" ref="I429:R429" si="117">I430</f>
        <v>794.9</v>
      </c>
      <c r="J429" s="106">
        <f t="shared" si="117"/>
        <v>679.2</v>
      </c>
      <c r="K429" s="119">
        <f t="shared" si="117"/>
        <v>39</v>
      </c>
      <c r="L429" s="113">
        <f t="shared" si="117"/>
        <v>2809430</v>
      </c>
      <c r="M429" s="113">
        <f t="shared" si="117"/>
        <v>0</v>
      </c>
      <c r="N429" s="113">
        <f t="shared" si="117"/>
        <v>0</v>
      </c>
      <c r="O429" s="113">
        <f t="shared" si="117"/>
        <v>2809430</v>
      </c>
      <c r="P429" s="113">
        <f t="shared" si="117"/>
        <v>0</v>
      </c>
      <c r="Q429" s="106" t="str">
        <f t="shared" si="117"/>
        <v>Х</v>
      </c>
      <c r="R429" s="106" t="str">
        <f t="shared" si="117"/>
        <v>Х</v>
      </c>
      <c r="S429" s="316">
        <v>43100</v>
      </c>
    </row>
    <row r="430" spans="1:19" s="1" customFormat="1" ht="15.6">
      <c r="A430" s="107"/>
      <c r="B430" s="1411" t="s">
        <v>122</v>
      </c>
      <c r="C430" s="1411"/>
      <c r="D430" s="1411"/>
      <c r="E430" s="1411"/>
      <c r="F430" s="1411"/>
      <c r="G430" s="1411"/>
      <c r="H430" s="128">
        <f>SUM(H431:H432)</f>
        <v>912.1</v>
      </c>
      <c r="I430" s="128">
        <f t="shared" ref="I430:P430" si="118">SUM(I431:I432)</f>
        <v>794.9</v>
      </c>
      <c r="J430" s="128">
        <f t="shared" si="118"/>
        <v>679.2</v>
      </c>
      <c r="K430" s="128">
        <f t="shared" si="118"/>
        <v>39</v>
      </c>
      <c r="L430" s="366">
        <f t="shared" si="118"/>
        <v>2809430</v>
      </c>
      <c r="M430" s="366">
        <f t="shared" si="118"/>
        <v>0</v>
      </c>
      <c r="N430" s="366">
        <f t="shared" si="118"/>
        <v>0</v>
      </c>
      <c r="O430" s="366">
        <f t="shared" si="118"/>
        <v>2809430</v>
      </c>
      <c r="P430" s="366">
        <f t="shared" si="118"/>
        <v>0</v>
      </c>
      <c r="Q430" s="106" t="s">
        <v>40</v>
      </c>
      <c r="R430" s="114" t="s">
        <v>40</v>
      </c>
      <c r="S430" s="316">
        <v>43100</v>
      </c>
    </row>
    <row r="431" spans="1:19" s="1" customFormat="1" ht="31.2">
      <c r="A431" s="308">
        <v>84</v>
      </c>
      <c r="B431" s="337" t="s">
        <v>598</v>
      </c>
      <c r="C431" s="553" t="s">
        <v>600</v>
      </c>
      <c r="D431" s="310"/>
      <c r="E431" s="311" t="s">
        <v>218</v>
      </c>
      <c r="F431" s="310">
        <v>2</v>
      </c>
      <c r="G431" s="310">
        <v>2</v>
      </c>
      <c r="H431" s="312">
        <v>542.5</v>
      </c>
      <c r="I431" s="315">
        <v>490.5</v>
      </c>
      <c r="J431" s="315">
        <v>460.2</v>
      </c>
      <c r="K431" s="313">
        <v>16</v>
      </c>
      <c r="L431" s="314">
        <v>1550741</v>
      </c>
      <c r="M431" s="314">
        <v>0</v>
      </c>
      <c r="N431" s="314">
        <v>0</v>
      </c>
      <c r="O431" s="314">
        <v>1550741</v>
      </c>
      <c r="P431" s="314">
        <v>0</v>
      </c>
      <c r="Q431" s="315">
        <f>L431/I431</f>
        <v>3161.5514780835883</v>
      </c>
      <c r="R431" s="315">
        <v>7822</v>
      </c>
      <c r="S431" s="316">
        <v>43100</v>
      </c>
    </row>
    <row r="432" spans="1:19" s="1" customFormat="1" ht="31.2">
      <c r="A432" s="308">
        <v>85</v>
      </c>
      <c r="B432" s="337" t="s">
        <v>599</v>
      </c>
      <c r="C432" s="553" t="s">
        <v>601</v>
      </c>
      <c r="D432" s="310"/>
      <c r="E432" s="311" t="s">
        <v>218</v>
      </c>
      <c r="F432" s="310">
        <v>2</v>
      </c>
      <c r="G432" s="310">
        <v>1</v>
      </c>
      <c r="H432" s="312">
        <v>369.6</v>
      </c>
      <c r="I432" s="315">
        <v>304.39999999999998</v>
      </c>
      <c r="J432" s="315">
        <v>219</v>
      </c>
      <c r="K432" s="313">
        <v>23</v>
      </c>
      <c r="L432" s="314">
        <v>1258689</v>
      </c>
      <c r="M432" s="314">
        <v>0</v>
      </c>
      <c r="N432" s="314">
        <v>0</v>
      </c>
      <c r="O432" s="314">
        <f>L432</f>
        <v>1258689</v>
      </c>
      <c r="P432" s="314">
        <v>0</v>
      </c>
      <c r="Q432" s="315">
        <f>L432/I432</f>
        <v>4134.9835742444156</v>
      </c>
      <c r="R432" s="315">
        <v>7822</v>
      </c>
      <c r="S432" s="316">
        <v>43100</v>
      </c>
    </row>
    <row r="433" spans="1:19" s="1" customFormat="1" ht="15.6">
      <c r="A433" s="308"/>
      <c r="B433" s="337"/>
      <c r="C433" s="553"/>
      <c r="D433" s="310"/>
      <c r="E433" s="311"/>
      <c r="F433" s="310"/>
      <c r="G433" s="310"/>
      <c r="H433" s="312"/>
      <c r="I433" s="315"/>
      <c r="J433" s="315"/>
      <c r="K433" s="313"/>
      <c r="L433" s="314"/>
      <c r="M433" s="314"/>
      <c r="N433" s="314"/>
      <c r="O433" s="314"/>
      <c r="P433" s="314"/>
      <c r="Q433" s="315"/>
      <c r="R433" s="315"/>
      <c r="S433" s="316"/>
    </row>
    <row r="434" spans="1:19" s="1" customFormat="1" ht="15.6">
      <c r="A434" s="107"/>
      <c r="B434" s="1411" t="s">
        <v>56</v>
      </c>
      <c r="C434" s="1411"/>
      <c r="D434" s="1411"/>
      <c r="E434" s="1411"/>
      <c r="F434" s="1411"/>
      <c r="G434" s="1411"/>
      <c r="H434" s="128">
        <f t="shared" ref="H434:P434" si="119">H441+H435+H443</f>
        <v>10396</v>
      </c>
      <c r="I434" s="106">
        <f t="shared" si="119"/>
        <v>8219.3000000000011</v>
      </c>
      <c r="J434" s="106">
        <f t="shared" si="119"/>
        <v>7766.0999999999995</v>
      </c>
      <c r="K434" s="119">
        <f t="shared" si="119"/>
        <v>320</v>
      </c>
      <c r="L434" s="113">
        <f t="shared" si="119"/>
        <v>10789271</v>
      </c>
      <c r="M434" s="113">
        <f t="shared" si="119"/>
        <v>0</v>
      </c>
      <c r="N434" s="113">
        <f t="shared" si="119"/>
        <v>0</v>
      </c>
      <c r="O434" s="113">
        <f t="shared" si="119"/>
        <v>10533352</v>
      </c>
      <c r="P434" s="113">
        <f t="shared" si="119"/>
        <v>255919</v>
      </c>
      <c r="Q434" s="106" t="str">
        <f t="shared" ref="Q434:R434" si="120">Q435</f>
        <v>Х</v>
      </c>
      <c r="R434" s="106" t="str">
        <f t="shared" si="120"/>
        <v>Х</v>
      </c>
      <c r="S434" s="316">
        <v>43100</v>
      </c>
    </row>
    <row r="435" spans="1:19" s="18" customFormat="1" ht="19.2" customHeight="1">
      <c r="A435" s="308"/>
      <c r="B435" s="1426" t="s">
        <v>424</v>
      </c>
      <c r="C435" s="1426"/>
      <c r="D435" s="1426"/>
      <c r="E435" s="1426"/>
      <c r="F435" s="1427"/>
      <c r="G435" s="1427"/>
      <c r="H435" s="727">
        <f t="shared" ref="H435:P435" si="121">SUM(H436:H440)</f>
        <v>4140.7</v>
      </c>
      <c r="I435" s="727">
        <f t="shared" si="121"/>
        <v>3087.8</v>
      </c>
      <c r="J435" s="727">
        <f t="shared" si="121"/>
        <v>2634.6</v>
      </c>
      <c r="K435" s="727">
        <f t="shared" si="121"/>
        <v>125</v>
      </c>
      <c r="L435" s="728">
        <f t="shared" si="121"/>
        <v>6762929</v>
      </c>
      <c r="M435" s="728">
        <f t="shared" si="121"/>
        <v>0</v>
      </c>
      <c r="N435" s="728">
        <f t="shared" si="121"/>
        <v>0</v>
      </c>
      <c r="O435" s="728">
        <f t="shared" si="121"/>
        <v>6762929</v>
      </c>
      <c r="P435" s="728">
        <f t="shared" si="121"/>
        <v>0</v>
      </c>
      <c r="Q435" s="729" t="s">
        <v>40</v>
      </c>
      <c r="R435" s="730" t="s">
        <v>40</v>
      </c>
      <c r="S435" s="316">
        <v>43100</v>
      </c>
    </row>
    <row r="436" spans="1:19" s="62" customFormat="1" ht="31.2">
      <c r="A436" s="308">
        <v>86</v>
      </c>
      <c r="B436" s="610" t="s">
        <v>703</v>
      </c>
      <c r="C436" s="308">
        <v>1918</v>
      </c>
      <c r="D436" s="308"/>
      <c r="E436" s="685" t="s">
        <v>218</v>
      </c>
      <c r="F436" s="308">
        <v>2</v>
      </c>
      <c r="G436" s="308">
        <v>1</v>
      </c>
      <c r="H436" s="609">
        <v>386.4</v>
      </c>
      <c r="I436" s="609">
        <v>279.39999999999998</v>
      </c>
      <c r="J436" s="609">
        <v>219</v>
      </c>
      <c r="K436" s="308">
        <v>9</v>
      </c>
      <c r="L436" s="731">
        <v>749745</v>
      </c>
      <c r="M436" s="731">
        <v>0</v>
      </c>
      <c r="N436" s="731">
        <v>0</v>
      </c>
      <c r="O436" s="731">
        <v>749745</v>
      </c>
      <c r="P436" s="731">
        <v>0</v>
      </c>
      <c r="Q436" s="731">
        <f>L436/I436</f>
        <v>2683.4108804581247</v>
      </c>
      <c r="R436" s="608">
        <v>7822</v>
      </c>
      <c r="S436" s="612">
        <v>43100</v>
      </c>
    </row>
    <row r="437" spans="1:19" s="62" customFormat="1" ht="31.2">
      <c r="A437" s="308">
        <v>87</v>
      </c>
      <c r="B437" s="732" t="s">
        <v>704</v>
      </c>
      <c r="C437" s="308">
        <v>1963</v>
      </c>
      <c r="D437" s="308"/>
      <c r="E437" s="685" t="s">
        <v>218</v>
      </c>
      <c r="F437" s="308">
        <v>3</v>
      </c>
      <c r="G437" s="308">
        <v>3</v>
      </c>
      <c r="H437" s="609">
        <v>2235.5</v>
      </c>
      <c r="I437" s="609">
        <v>1556</v>
      </c>
      <c r="J437" s="609">
        <v>1556</v>
      </c>
      <c r="K437" s="308">
        <v>50</v>
      </c>
      <c r="L437" s="731">
        <v>2218282</v>
      </c>
      <c r="M437" s="731">
        <v>0</v>
      </c>
      <c r="N437" s="731">
        <v>0</v>
      </c>
      <c r="O437" s="731">
        <v>2218282</v>
      </c>
      <c r="P437" s="731">
        <v>0</v>
      </c>
      <c r="Q437" s="731">
        <f t="shared" ref="Q437:Q440" si="122">L437/I437</f>
        <v>1425.6311053984575</v>
      </c>
      <c r="R437" s="608">
        <v>7822</v>
      </c>
      <c r="S437" s="612">
        <v>43100</v>
      </c>
    </row>
    <row r="438" spans="1:19" s="62" customFormat="1" ht="36" customHeight="1">
      <c r="A438" s="308">
        <v>88</v>
      </c>
      <c r="B438" s="610" t="s">
        <v>705</v>
      </c>
      <c r="C438" s="308">
        <v>1962</v>
      </c>
      <c r="D438" s="308"/>
      <c r="E438" s="685" t="s">
        <v>218</v>
      </c>
      <c r="F438" s="308">
        <v>2</v>
      </c>
      <c r="G438" s="308">
        <v>2</v>
      </c>
      <c r="H438" s="609">
        <v>522.5</v>
      </c>
      <c r="I438" s="609">
        <v>458.9</v>
      </c>
      <c r="J438" s="609">
        <v>381</v>
      </c>
      <c r="K438" s="308">
        <v>21</v>
      </c>
      <c r="L438" s="731">
        <v>1808957</v>
      </c>
      <c r="M438" s="731">
        <v>0</v>
      </c>
      <c r="N438" s="731">
        <v>0</v>
      </c>
      <c r="O438" s="731">
        <v>1808957</v>
      </c>
      <c r="P438" s="731">
        <v>0</v>
      </c>
      <c r="Q438" s="731">
        <f t="shared" si="122"/>
        <v>3941.9415994770106</v>
      </c>
      <c r="R438" s="608">
        <v>7822</v>
      </c>
      <c r="S438" s="612">
        <v>43100</v>
      </c>
    </row>
    <row r="439" spans="1:19" s="62" customFormat="1" ht="15.6">
      <c r="A439" s="308">
        <v>89</v>
      </c>
      <c r="B439" s="610" t="s">
        <v>706</v>
      </c>
      <c r="C439" s="308">
        <v>1891</v>
      </c>
      <c r="D439" s="308"/>
      <c r="E439" s="685" t="s">
        <v>221</v>
      </c>
      <c r="F439" s="308">
        <v>2</v>
      </c>
      <c r="G439" s="308">
        <v>3</v>
      </c>
      <c r="H439" s="609">
        <v>571.9</v>
      </c>
      <c r="I439" s="609">
        <v>403.1</v>
      </c>
      <c r="J439" s="609">
        <v>208.6</v>
      </c>
      <c r="K439" s="308">
        <v>20</v>
      </c>
      <c r="L439" s="731">
        <v>275807</v>
      </c>
      <c r="M439" s="731">
        <v>0</v>
      </c>
      <c r="N439" s="731">
        <v>0</v>
      </c>
      <c r="O439" s="731">
        <v>275807</v>
      </c>
      <c r="P439" s="731">
        <v>0</v>
      </c>
      <c r="Q439" s="731">
        <f t="shared" si="122"/>
        <v>684.21483502852891</v>
      </c>
      <c r="R439" s="608">
        <v>7822</v>
      </c>
      <c r="S439" s="612">
        <v>43100</v>
      </c>
    </row>
    <row r="440" spans="1:19" s="62" customFormat="1" ht="31.2">
      <c r="A440" s="308">
        <v>91</v>
      </c>
      <c r="B440" s="607" t="s">
        <v>707</v>
      </c>
      <c r="C440" s="308">
        <v>1956</v>
      </c>
      <c r="D440" s="308"/>
      <c r="E440" s="685" t="s">
        <v>218</v>
      </c>
      <c r="F440" s="308">
        <v>2</v>
      </c>
      <c r="G440" s="308">
        <v>1</v>
      </c>
      <c r="H440" s="609">
        <v>424.4</v>
      </c>
      <c r="I440" s="609">
        <v>390.4</v>
      </c>
      <c r="J440" s="609">
        <v>270</v>
      </c>
      <c r="K440" s="308">
        <v>25</v>
      </c>
      <c r="L440" s="731">
        <v>1710138</v>
      </c>
      <c r="M440" s="731">
        <v>0</v>
      </c>
      <c r="N440" s="731">
        <v>0</v>
      </c>
      <c r="O440" s="731">
        <v>1710138</v>
      </c>
      <c r="P440" s="731">
        <v>0</v>
      </c>
      <c r="Q440" s="731">
        <f t="shared" si="122"/>
        <v>4380.4764344262294</v>
      </c>
      <c r="R440" s="608">
        <v>7822</v>
      </c>
      <c r="S440" s="612">
        <v>43100</v>
      </c>
    </row>
    <row r="441" spans="1:19" s="1" customFormat="1" ht="15.75" customHeight="1">
      <c r="A441" s="107"/>
      <c r="B441" s="1413" t="s">
        <v>121</v>
      </c>
      <c r="C441" s="1413"/>
      <c r="D441" s="1413"/>
      <c r="E441" s="1413"/>
      <c r="F441" s="1413"/>
      <c r="G441" s="1413"/>
      <c r="H441" s="128">
        <f>H442</f>
        <v>4874.1000000000004</v>
      </c>
      <c r="I441" s="106">
        <f t="shared" ref="I441:P441" si="123">I442</f>
        <v>3750.3</v>
      </c>
      <c r="J441" s="106">
        <f t="shared" si="123"/>
        <v>3750.3</v>
      </c>
      <c r="K441" s="119">
        <f t="shared" si="123"/>
        <v>127</v>
      </c>
      <c r="L441" s="113">
        <f t="shared" si="123"/>
        <v>2515554</v>
      </c>
      <c r="M441" s="113">
        <f t="shared" si="123"/>
        <v>0</v>
      </c>
      <c r="N441" s="113">
        <f t="shared" si="123"/>
        <v>0</v>
      </c>
      <c r="O441" s="113">
        <f t="shared" si="123"/>
        <v>2515554</v>
      </c>
      <c r="P441" s="113">
        <f t="shared" si="123"/>
        <v>0</v>
      </c>
      <c r="Q441" s="106" t="s">
        <v>40</v>
      </c>
      <c r="R441" s="106" t="s">
        <v>40</v>
      </c>
      <c r="S441" s="316">
        <v>43100</v>
      </c>
    </row>
    <row r="442" spans="1:19" s="1" customFormat="1" ht="36.6" customHeight="1">
      <c r="A442" s="107"/>
      <c r="B442" s="934" t="s">
        <v>989</v>
      </c>
      <c r="C442" s="269">
        <v>1981</v>
      </c>
      <c r="D442" s="118"/>
      <c r="E442" s="109" t="s">
        <v>219</v>
      </c>
      <c r="F442" s="118">
        <v>5</v>
      </c>
      <c r="G442" s="118">
        <v>5</v>
      </c>
      <c r="H442" s="128">
        <v>4874.1000000000004</v>
      </c>
      <c r="I442" s="106">
        <v>3750.3</v>
      </c>
      <c r="J442" s="106">
        <v>3750.3</v>
      </c>
      <c r="K442" s="119">
        <v>127</v>
      </c>
      <c r="L442" s="113">
        <v>2515554</v>
      </c>
      <c r="M442" s="113">
        <v>0</v>
      </c>
      <c r="N442" s="113">
        <v>0</v>
      </c>
      <c r="O442" s="113">
        <f>L442</f>
        <v>2515554</v>
      </c>
      <c r="P442" s="113">
        <v>0</v>
      </c>
      <c r="Q442" s="106">
        <f>L442/I442</f>
        <v>670.76073914086874</v>
      </c>
      <c r="R442" s="114">
        <v>7822</v>
      </c>
      <c r="S442" s="316">
        <v>43100</v>
      </c>
    </row>
    <row r="443" spans="1:19" s="1" customFormat="1" ht="15.75" customHeight="1">
      <c r="A443" s="107"/>
      <c r="B443" s="1413" t="s">
        <v>807</v>
      </c>
      <c r="C443" s="1413"/>
      <c r="D443" s="1413"/>
      <c r="E443" s="1413"/>
      <c r="F443" s="1413"/>
      <c r="G443" s="1413"/>
      <c r="H443" s="128">
        <f>H444</f>
        <v>1381.2</v>
      </c>
      <c r="I443" s="106">
        <f t="shared" ref="I443:P443" si="124">I444</f>
        <v>1381.2</v>
      </c>
      <c r="J443" s="106">
        <f t="shared" si="124"/>
        <v>1381.2</v>
      </c>
      <c r="K443" s="119">
        <f t="shared" si="124"/>
        <v>68</v>
      </c>
      <c r="L443" s="113">
        <f t="shared" si="124"/>
        <v>1510788</v>
      </c>
      <c r="M443" s="113">
        <f t="shared" si="124"/>
        <v>0</v>
      </c>
      <c r="N443" s="113">
        <f t="shared" si="124"/>
        <v>0</v>
      </c>
      <c r="O443" s="113">
        <f t="shared" si="124"/>
        <v>1254869</v>
      </c>
      <c r="P443" s="113">
        <f t="shared" si="124"/>
        <v>255919</v>
      </c>
      <c r="Q443" s="106" t="s">
        <v>40</v>
      </c>
      <c r="R443" s="106" t="s">
        <v>40</v>
      </c>
      <c r="S443" s="316">
        <v>43100</v>
      </c>
    </row>
    <row r="444" spans="1:19" s="1" customFormat="1" ht="15.6">
      <c r="A444" s="107"/>
      <c r="B444" s="751" t="s">
        <v>808</v>
      </c>
      <c r="C444" s="269">
        <v>1979</v>
      </c>
      <c r="D444" s="118"/>
      <c r="E444" s="109" t="s">
        <v>219</v>
      </c>
      <c r="F444" s="118">
        <v>3</v>
      </c>
      <c r="G444" s="118">
        <v>3</v>
      </c>
      <c r="H444" s="128">
        <v>1381.2</v>
      </c>
      <c r="I444" s="106">
        <v>1381.2</v>
      </c>
      <c r="J444" s="106">
        <v>1381.2</v>
      </c>
      <c r="K444" s="119">
        <v>68</v>
      </c>
      <c r="L444" s="113">
        <v>1510788</v>
      </c>
      <c r="M444" s="113">
        <v>0</v>
      </c>
      <c r="N444" s="113">
        <v>0</v>
      </c>
      <c r="O444" s="113">
        <v>1254869</v>
      </c>
      <c r="P444" s="113">
        <v>255919</v>
      </c>
      <c r="Q444" s="106">
        <f>L444/I444</f>
        <v>1093.8227628149434</v>
      </c>
      <c r="R444" s="114">
        <v>7822</v>
      </c>
      <c r="S444" s="316">
        <v>43100</v>
      </c>
    </row>
    <row r="445" spans="1:19" s="1" customFormat="1" ht="15.6">
      <c r="A445" s="107"/>
      <c r="B445" s="1411" t="s">
        <v>57</v>
      </c>
      <c r="C445" s="1411"/>
      <c r="D445" s="1411"/>
      <c r="E445" s="1411"/>
      <c r="F445" s="1411"/>
      <c r="G445" s="1411"/>
      <c r="H445" s="128">
        <f>H446</f>
        <v>8010.4</v>
      </c>
      <c r="I445" s="128">
        <f t="shared" ref="I445:P445" si="125">I446</f>
        <v>7196.9</v>
      </c>
      <c r="J445" s="128">
        <f t="shared" si="125"/>
        <v>7104.4</v>
      </c>
      <c r="K445" s="119">
        <f t="shared" si="125"/>
        <v>199</v>
      </c>
      <c r="L445" s="113">
        <f t="shared" si="125"/>
        <v>2579247</v>
      </c>
      <c r="M445" s="113">
        <f t="shared" si="125"/>
        <v>0</v>
      </c>
      <c r="N445" s="113">
        <f t="shared" si="125"/>
        <v>0</v>
      </c>
      <c r="O445" s="113">
        <f t="shared" si="125"/>
        <v>2579247</v>
      </c>
      <c r="P445" s="113">
        <f t="shared" si="125"/>
        <v>0</v>
      </c>
      <c r="Q445" s="106" t="s">
        <v>40</v>
      </c>
      <c r="R445" s="114" t="s">
        <v>40</v>
      </c>
      <c r="S445" s="316">
        <v>43100</v>
      </c>
    </row>
    <row r="446" spans="1:19" s="1" customFormat="1" ht="15.75" customHeight="1">
      <c r="A446" s="107"/>
      <c r="B446" s="1413" t="s">
        <v>119</v>
      </c>
      <c r="C446" s="1413"/>
      <c r="D446" s="1413"/>
      <c r="E446" s="1413"/>
      <c r="F446" s="1413"/>
      <c r="G446" s="1413"/>
      <c r="H446" s="128">
        <f t="shared" ref="H446:P446" si="126">H447+H448</f>
        <v>8010.4</v>
      </c>
      <c r="I446" s="128">
        <f t="shared" si="126"/>
        <v>7196.9</v>
      </c>
      <c r="J446" s="128">
        <f t="shared" si="126"/>
        <v>7104.4</v>
      </c>
      <c r="K446" s="119">
        <f t="shared" si="126"/>
        <v>199</v>
      </c>
      <c r="L446" s="113">
        <f t="shared" si="126"/>
        <v>2579247</v>
      </c>
      <c r="M446" s="113">
        <f t="shared" si="126"/>
        <v>0</v>
      </c>
      <c r="N446" s="113">
        <f t="shared" si="126"/>
        <v>0</v>
      </c>
      <c r="O446" s="113">
        <f t="shared" si="126"/>
        <v>2579247</v>
      </c>
      <c r="P446" s="113">
        <f t="shared" si="126"/>
        <v>0</v>
      </c>
      <c r="Q446" s="106" t="s">
        <v>40</v>
      </c>
      <c r="R446" s="106" t="s">
        <v>40</v>
      </c>
      <c r="S446" s="316">
        <v>43100</v>
      </c>
    </row>
    <row r="447" spans="1:19" s="1" customFormat="1" ht="15.6">
      <c r="A447" s="107"/>
      <c r="B447" s="907" t="s">
        <v>980</v>
      </c>
      <c r="C447" s="269">
        <v>1985</v>
      </c>
      <c r="D447" s="118"/>
      <c r="E447" s="109" t="s">
        <v>219</v>
      </c>
      <c r="F447" s="118">
        <v>5</v>
      </c>
      <c r="G447" s="118">
        <v>8</v>
      </c>
      <c r="H447" s="128">
        <v>6272.4</v>
      </c>
      <c r="I447" s="128">
        <v>5594.8</v>
      </c>
      <c r="J447" s="128">
        <v>5502.3</v>
      </c>
      <c r="K447" s="119">
        <v>157</v>
      </c>
      <c r="L447" s="113">
        <v>1384480</v>
      </c>
      <c r="M447" s="113">
        <v>0</v>
      </c>
      <c r="N447" s="113">
        <v>0</v>
      </c>
      <c r="O447" s="113">
        <f>L447</f>
        <v>1384480</v>
      </c>
      <c r="P447" s="113">
        <v>0</v>
      </c>
      <c r="Q447" s="106">
        <f>L447/I447</f>
        <v>247.45835418602988</v>
      </c>
      <c r="R447" s="114">
        <v>7822</v>
      </c>
      <c r="S447" s="316">
        <v>43100</v>
      </c>
    </row>
    <row r="448" spans="1:19" s="23" customFormat="1" ht="31.2">
      <c r="A448" s="107"/>
      <c r="B448" s="908" t="s">
        <v>981</v>
      </c>
      <c r="C448" s="269">
        <v>1988</v>
      </c>
      <c r="D448" s="118"/>
      <c r="E448" s="109" t="s">
        <v>218</v>
      </c>
      <c r="F448" s="118">
        <v>3</v>
      </c>
      <c r="G448" s="118">
        <v>3</v>
      </c>
      <c r="H448" s="128">
        <v>1738</v>
      </c>
      <c r="I448" s="128">
        <v>1602.1</v>
      </c>
      <c r="J448" s="128">
        <v>1602.1</v>
      </c>
      <c r="K448" s="119">
        <v>42</v>
      </c>
      <c r="L448" s="113">
        <v>1194767</v>
      </c>
      <c r="M448" s="113">
        <v>0</v>
      </c>
      <c r="N448" s="113">
        <v>0</v>
      </c>
      <c r="O448" s="113">
        <f>L448</f>
        <v>1194767</v>
      </c>
      <c r="P448" s="113">
        <v>0</v>
      </c>
      <c r="Q448" s="106">
        <f>L448/I448</f>
        <v>745.75057736720555</v>
      </c>
      <c r="R448" s="114">
        <v>7822</v>
      </c>
      <c r="S448" s="316">
        <v>43100</v>
      </c>
    </row>
    <row r="449" spans="1:19" s="1" customFormat="1" ht="15.6">
      <c r="A449" s="107"/>
      <c r="B449" s="1411" t="s">
        <v>58</v>
      </c>
      <c r="C449" s="1411"/>
      <c r="D449" s="1411"/>
      <c r="E449" s="1411"/>
      <c r="F449" s="1411"/>
      <c r="G449" s="1411"/>
      <c r="H449" s="128">
        <f>H450</f>
        <v>15250.300000000001</v>
      </c>
      <c r="I449" s="128">
        <f t="shared" ref="I449:P449" si="127">I450</f>
        <v>13418.4</v>
      </c>
      <c r="J449" s="128">
        <f t="shared" si="127"/>
        <v>12151.1</v>
      </c>
      <c r="K449" s="119">
        <f t="shared" si="127"/>
        <v>490</v>
      </c>
      <c r="L449" s="113">
        <f t="shared" si="127"/>
        <v>12013200</v>
      </c>
      <c r="M449" s="113">
        <f t="shared" si="127"/>
        <v>0</v>
      </c>
      <c r="N449" s="113">
        <f t="shared" si="127"/>
        <v>0</v>
      </c>
      <c r="O449" s="113">
        <f t="shared" si="127"/>
        <v>12013200</v>
      </c>
      <c r="P449" s="113">
        <f t="shared" si="127"/>
        <v>0</v>
      </c>
      <c r="Q449" s="106" t="s">
        <v>40</v>
      </c>
      <c r="R449" s="106" t="s">
        <v>40</v>
      </c>
      <c r="S449" s="316">
        <v>43100</v>
      </c>
    </row>
    <row r="450" spans="1:19" s="1" customFormat="1" ht="15.75" customHeight="1">
      <c r="A450" s="107"/>
      <c r="B450" s="1413" t="s">
        <v>87</v>
      </c>
      <c r="C450" s="1413"/>
      <c r="D450" s="1413"/>
      <c r="E450" s="1413"/>
      <c r="F450" s="1413"/>
      <c r="G450" s="1413"/>
      <c r="H450" s="128">
        <f>SUM(H451:H459)</f>
        <v>15250.300000000001</v>
      </c>
      <c r="I450" s="106">
        <f t="shared" ref="I450:N450" si="128">SUM(I451:I459)</f>
        <v>13418.4</v>
      </c>
      <c r="J450" s="106">
        <f t="shared" si="128"/>
        <v>12151.1</v>
      </c>
      <c r="K450" s="119">
        <f t="shared" si="128"/>
        <v>490</v>
      </c>
      <c r="L450" s="113">
        <f t="shared" si="128"/>
        <v>12013200</v>
      </c>
      <c r="M450" s="113">
        <f t="shared" si="128"/>
        <v>0</v>
      </c>
      <c r="N450" s="113">
        <f t="shared" si="128"/>
        <v>0</v>
      </c>
      <c r="O450" s="113">
        <f>SUM(O451:O459)</f>
        <v>12013200</v>
      </c>
      <c r="P450" s="113">
        <v>0</v>
      </c>
      <c r="Q450" s="106" t="s">
        <v>40</v>
      </c>
      <c r="R450" s="106" t="s">
        <v>40</v>
      </c>
      <c r="S450" s="316">
        <v>43100</v>
      </c>
    </row>
    <row r="451" spans="1:19" s="30" customFormat="1" ht="31.2">
      <c r="A451" s="107"/>
      <c r="B451" s="264" t="s">
        <v>425</v>
      </c>
      <c r="C451" s="179">
        <v>1962</v>
      </c>
      <c r="D451" s="99"/>
      <c r="E451" s="109" t="s">
        <v>218</v>
      </c>
      <c r="F451" s="99">
        <v>5</v>
      </c>
      <c r="G451" s="99">
        <v>4</v>
      </c>
      <c r="H451" s="180">
        <v>3382</v>
      </c>
      <c r="I451" s="115">
        <v>3164.5</v>
      </c>
      <c r="J451" s="115">
        <v>2546.4</v>
      </c>
      <c r="K451" s="154">
        <v>88</v>
      </c>
      <c r="L451" s="113">
        <f t="shared" ref="L451:L459" si="129">O451</f>
        <v>2239107</v>
      </c>
      <c r="M451" s="113">
        <v>0</v>
      </c>
      <c r="N451" s="113">
        <v>0</v>
      </c>
      <c r="O451" s="113">
        <v>2239107</v>
      </c>
      <c r="P451" s="113">
        <v>0</v>
      </c>
      <c r="Q451" s="100">
        <f t="shared" ref="Q451:Q459" si="130">L451/I451</f>
        <v>707.57054826986882</v>
      </c>
      <c r="R451" s="114">
        <v>6774</v>
      </c>
      <c r="S451" s="316">
        <v>43100</v>
      </c>
    </row>
    <row r="452" spans="1:19" s="30" customFormat="1" ht="15.6">
      <c r="A452" s="107"/>
      <c r="B452" s="264" t="s">
        <v>79</v>
      </c>
      <c r="C452" s="99">
        <v>1949</v>
      </c>
      <c r="D452" s="99"/>
      <c r="E452" s="109" t="s">
        <v>222</v>
      </c>
      <c r="F452" s="99">
        <v>2</v>
      </c>
      <c r="G452" s="99">
        <v>2</v>
      </c>
      <c r="H452" s="180">
        <v>448.3</v>
      </c>
      <c r="I452" s="100">
        <v>402.5</v>
      </c>
      <c r="J452" s="100">
        <v>346.7</v>
      </c>
      <c r="K452" s="101">
        <v>16</v>
      </c>
      <c r="L452" s="113">
        <f t="shared" si="129"/>
        <v>706234</v>
      </c>
      <c r="M452" s="113">
        <v>0</v>
      </c>
      <c r="N452" s="113">
        <v>0</v>
      </c>
      <c r="O452" s="113">
        <v>706234</v>
      </c>
      <c r="P452" s="113">
        <v>0</v>
      </c>
      <c r="Q452" s="100">
        <f t="shared" si="130"/>
        <v>1754.6186335403727</v>
      </c>
      <c r="R452" s="114">
        <v>6774</v>
      </c>
      <c r="S452" s="316">
        <v>43100</v>
      </c>
    </row>
    <row r="453" spans="1:19" s="30" customFormat="1" ht="15.6">
      <c r="A453" s="107"/>
      <c r="B453" s="264" t="s">
        <v>78</v>
      </c>
      <c r="C453" s="99">
        <v>1949</v>
      </c>
      <c r="D453" s="99"/>
      <c r="E453" s="109" t="s">
        <v>221</v>
      </c>
      <c r="F453" s="99">
        <v>2</v>
      </c>
      <c r="G453" s="99">
        <v>2</v>
      </c>
      <c r="H453" s="180">
        <v>438.3</v>
      </c>
      <c r="I453" s="100">
        <v>393.5</v>
      </c>
      <c r="J453" s="100">
        <f>I453-49.9</f>
        <v>343.6</v>
      </c>
      <c r="K453" s="101">
        <v>16</v>
      </c>
      <c r="L453" s="113">
        <f t="shared" si="129"/>
        <v>651603</v>
      </c>
      <c r="M453" s="113">
        <v>0</v>
      </c>
      <c r="N453" s="113">
        <v>0</v>
      </c>
      <c r="O453" s="113">
        <v>651603</v>
      </c>
      <c r="P453" s="113">
        <v>0</v>
      </c>
      <c r="Q453" s="100">
        <f t="shared" si="130"/>
        <v>1655.9161372299873</v>
      </c>
      <c r="R453" s="114">
        <v>6774</v>
      </c>
      <c r="S453" s="316">
        <v>43100</v>
      </c>
    </row>
    <row r="454" spans="1:19" s="30" customFormat="1" ht="31.2">
      <c r="A454" s="107"/>
      <c r="B454" s="264" t="s">
        <v>426</v>
      </c>
      <c r="C454" s="179">
        <v>1990</v>
      </c>
      <c r="D454" s="99"/>
      <c r="E454" s="109" t="s">
        <v>218</v>
      </c>
      <c r="F454" s="99">
        <v>3</v>
      </c>
      <c r="G454" s="99">
        <v>1</v>
      </c>
      <c r="H454" s="180">
        <v>700.1</v>
      </c>
      <c r="I454" s="115">
        <v>650.70000000000005</v>
      </c>
      <c r="J454" s="115">
        <v>650.70000000000005</v>
      </c>
      <c r="K454" s="154">
        <v>18</v>
      </c>
      <c r="L454" s="113">
        <f t="shared" si="129"/>
        <v>698701</v>
      </c>
      <c r="M454" s="113">
        <v>0</v>
      </c>
      <c r="N454" s="113">
        <v>0</v>
      </c>
      <c r="O454" s="113">
        <v>698701</v>
      </c>
      <c r="P454" s="113">
        <v>0</v>
      </c>
      <c r="Q454" s="100">
        <f t="shared" si="130"/>
        <v>1073.7682495773781</v>
      </c>
      <c r="R454" s="114">
        <v>6774</v>
      </c>
      <c r="S454" s="316">
        <v>43100</v>
      </c>
    </row>
    <row r="455" spans="1:19" s="30" customFormat="1" ht="31.2">
      <c r="A455" s="107"/>
      <c r="B455" s="264" t="s">
        <v>80</v>
      </c>
      <c r="C455" s="179">
        <v>1982</v>
      </c>
      <c r="D455" s="99"/>
      <c r="E455" s="109" t="s">
        <v>218</v>
      </c>
      <c r="F455" s="99">
        <v>5</v>
      </c>
      <c r="G455" s="99">
        <v>4</v>
      </c>
      <c r="H455" s="181">
        <v>3159.2</v>
      </c>
      <c r="I455" s="115">
        <v>2600.8000000000002</v>
      </c>
      <c r="J455" s="115">
        <v>2455.5</v>
      </c>
      <c r="K455" s="154">
        <v>106</v>
      </c>
      <c r="L455" s="113">
        <f t="shared" si="129"/>
        <v>1512903</v>
      </c>
      <c r="M455" s="113">
        <v>0</v>
      </c>
      <c r="N455" s="113">
        <v>0</v>
      </c>
      <c r="O455" s="113">
        <v>1512903</v>
      </c>
      <c r="P455" s="113">
        <v>0</v>
      </c>
      <c r="Q455" s="100">
        <f t="shared" si="130"/>
        <v>581.70678252845278</v>
      </c>
      <c r="R455" s="114">
        <v>6774</v>
      </c>
      <c r="S455" s="316">
        <v>43100</v>
      </c>
    </row>
    <row r="456" spans="1:19" s="30" customFormat="1" ht="15.6">
      <c r="A456" s="107"/>
      <c r="B456" s="264" t="s">
        <v>84</v>
      </c>
      <c r="C456" s="179">
        <v>1953</v>
      </c>
      <c r="D456" s="99"/>
      <c r="E456" s="109" t="s">
        <v>220</v>
      </c>
      <c r="F456" s="99">
        <v>2</v>
      </c>
      <c r="G456" s="99">
        <v>2</v>
      </c>
      <c r="H456" s="181">
        <v>664.5</v>
      </c>
      <c r="I456" s="115">
        <v>609.4</v>
      </c>
      <c r="J456" s="115">
        <f>450.2-48.3</f>
        <v>401.9</v>
      </c>
      <c r="K456" s="154">
        <v>15</v>
      </c>
      <c r="L456" s="113">
        <f t="shared" si="129"/>
        <v>1668544</v>
      </c>
      <c r="M456" s="113">
        <v>0</v>
      </c>
      <c r="N456" s="113">
        <v>0</v>
      </c>
      <c r="O456" s="113">
        <v>1668544</v>
      </c>
      <c r="P456" s="113">
        <v>0</v>
      </c>
      <c r="Q456" s="100">
        <f t="shared" si="130"/>
        <v>2738.0111585165737</v>
      </c>
      <c r="R456" s="114">
        <v>6774</v>
      </c>
      <c r="S456" s="316">
        <v>43100</v>
      </c>
    </row>
    <row r="457" spans="1:19" s="30" customFormat="1" ht="31.2">
      <c r="A457" s="107"/>
      <c r="B457" s="264" t="s">
        <v>81</v>
      </c>
      <c r="C457" s="179">
        <v>1988</v>
      </c>
      <c r="D457" s="99"/>
      <c r="E457" s="109" t="s">
        <v>218</v>
      </c>
      <c r="F457" s="99">
        <v>5</v>
      </c>
      <c r="G457" s="99">
        <v>6</v>
      </c>
      <c r="H457" s="181">
        <v>4806.3999999999996</v>
      </c>
      <c r="I457" s="115">
        <v>4087.2</v>
      </c>
      <c r="J457" s="115">
        <v>4087.2</v>
      </c>
      <c r="K457" s="154">
        <v>172</v>
      </c>
      <c r="L457" s="113">
        <f t="shared" si="129"/>
        <v>2294873</v>
      </c>
      <c r="M457" s="113">
        <v>0</v>
      </c>
      <c r="N457" s="113">
        <v>0</v>
      </c>
      <c r="O457" s="113">
        <v>2294873</v>
      </c>
      <c r="P457" s="113">
        <v>0</v>
      </c>
      <c r="Q457" s="100">
        <f t="shared" si="130"/>
        <v>561.47802896848702</v>
      </c>
      <c r="R457" s="114">
        <v>6774</v>
      </c>
      <c r="S457" s="316">
        <v>43100</v>
      </c>
    </row>
    <row r="458" spans="1:19" s="30" customFormat="1" ht="15.6">
      <c r="A458" s="107"/>
      <c r="B458" s="264" t="s">
        <v>82</v>
      </c>
      <c r="C458" s="179">
        <v>1948</v>
      </c>
      <c r="D458" s="99"/>
      <c r="E458" s="109" t="s">
        <v>221</v>
      </c>
      <c r="F458" s="99">
        <v>2</v>
      </c>
      <c r="G458" s="99">
        <v>1</v>
      </c>
      <c r="H458" s="181">
        <v>559.9</v>
      </c>
      <c r="I458" s="115">
        <v>503.7</v>
      </c>
      <c r="J458" s="115">
        <f>I458-190.7</f>
        <v>313</v>
      </c>
      <c r="K458" s="154">
        <v>26</v>
      </c>
      <c r="L458" s="113">
        <f t="shared" si="129"/>
        <v>879987</v>
      </c>
      <c r="M458" s="113">
        <v>0</v>
      </c>
      <c r="N458" s="113">
        <v>0</v>
      </c>
      <c r="O458" s="113">
        <v>879987</v>
      </c>
      <c r="P458" s="113">
        <v>0</v>
      </c>
      <c r="Q458" s="100">
        <f t="shared" si="130"/>
        <v>1747.0458606313282</v>
      </c>
      <c r="R458" s="114">
        <v>6774</v>
      </c>
      <c r="S458" s="316">
        <v>43100</v>
      </c>
    </row>
    <row r="459" spans="1:19" s="30" customFormat="1" ht="31.2">
      <c r="A459" s="107"/>
      <c r="B459" s="264" t="s">
        <v>83</v>
      </c>
      <c r="C459" s="179">
        <v>1958</v>
      </c>
      <c r="D459" s="99"/>
      <c r="E459" s="109" t="s">
        <v>218</v>
      </c>
      <c r="F459" s="99">
        <v>2</v>
      </c>
      <c r="G459" s="99">
        <v>3</v>
      </c>
      <c r="H459" s="181">
        <v>1091.5999999999999</v>
      </c>
      <c r="I459" s="115">
        <v>1006.1</v>
      </c>
      <c r="J459" s="115">
        <v>1006.1</v>
      </c>
      <c r="K459" s="154">
        <v>33</v>
      </c>
      <c r="L459" s="113">
        <f t="shared" si="129"/>
        <v>1361248</v>
      </c>
      <c r="M459" s="113">
        <v>0</v>
      </c>
      <c r="N459" s="113">
        <v>0</v>
      </c>
      <c r="O459" s="113">
        <v>1361248</v>
      </c>
      <c r="P459" s="113">
        <v>0</v>
      </c>
      <c r="Q459" s="100">
        <f t="shared" si="130"/>
        <v>1352.9947321339828</v>
      </c>
      <c r="R459" s="114">
        <v>6774</v>
      </c>
      <c r="S459" s="316">
        <v>43100</v>
      </c>
    </row>
    <row r="460" spans="1:19" s="1" customFormat="1" ht="15.6">
      <c r="A460" s="107"/>
      <c r="B460" s="1411" t="s">
        <v>60</v>
      </c>
      <c r="C460" s="1411"/>
      <c r="D460" s="1411"/>
      <c r="E460" s="1411"/>
      <c r="F460" s="1411"/>
      <c r="G460" s="1411"/>
      <c r="H460" s="128">
        <f>H461</f>
        <v>8449.7999999999993</v>
      </c>
      <c r="I460" s="106">
        <f t="shared" ref="I460:P460" si="131">I461</f>
        <v>4991.1999999999989</v>
      </c>
      <c r="J460" s="106">
        <f t="shared" si="131"/>
        <v>4257.5</v>
      </c>
      <c r="K460" s="119">
        <f t="shared" si="131"/>
        <v>357</v>
      </c>
      <c r="L460" s="113">
        <f t="shared" si="131"/>
        <v>6800353</v>
      </c>
      <c r="M460" s="113">
        <f t="shared" si="131"/>
        <v>0</v>
      </c>
      <c r="N460" s="113">
        <f t="shared" si="131"/>
        <v>0</v>
      </c>
      <c r="O460" s="113">
        <f t="shared" si="131"/>
        <v>6800353</v>
      </c>
      <c r="P460" s="113">
        <f t="shared" si="131"/>
        <v>0</v>
      </c>
      <c r="Q460" s="106" t="s">
        <v>40</v>
      </c>
      <c r="R460" s="106" t="s">
        <v>40</v>
      </c>
      <c r="S460" s="316">
        <v>43100</v>
      </c>
    </row>
    <row r="461" spans="1:19" s="1" customFormat="1" ht="15.6">
      <c r="A461" s="107"/>
      <c r="B461" s="1411" t="s">
        <v>113</v>
      </c>
      <c r="C461" s="1411"/>
      <c r="D461" s="1411"/>
      <c r="E461" s="1411"/>
      <c r="F461" s="1411"/>
      <c r="G461" s="1411"/>
      <c r="H461" s="128">
        <f>SUM(H462:H465)</f>
        <v>8449.7999999999993</v>
      </c>
      <c r="I461" s="106">
        <f t="shared" ref="I461:P461" si="132">SUM(I462:I465)</f>
        <v>4991.1999999999989</v>
      </c>
      <c r="J461" s="106">
        <f t="shared" si="132"/>
        <v>4257.5</v>
      </c>
      <c r="K461" s="119">
        <f t="shared" si="132"/>
        <v>357</v>
      </c>
      <c r="L461" s="113">
        <f t="shared" si="132"/>
        <v>6800353</v>
      </c>
      <c r="M461" s="113">
        <f t="shared" si="132"/>
        <v>0</v>
      </c>
      <c r="N461" s="113">
        <f t="shared" si="132"/>
        <v>0</v>
      </c>
      <c r="O461" s="113">
        <f t="shared" si="132"/>
        <v>6800353</v>
      </c>
      <c r="P461" s="113">
        <f t="shared" si="132"/>
        <v>0</v>
      </c>
      <c r="Q461" s="106" t="s">
        <v>40</v>
      </c>
      <c r="R461" s="106" t="s">
        <v>40</v>
      </c>
      <c r="S461" s="316">
        <v>43100</v>
      </c>
    </row>
    <row r="462" spans="1:19" s="53" customFormat="1" ht="15.6">
      <c r="A462" s="107"/>
      <c r="B462" s="871" t="s">
        <v>887</v>
      </c>
      <c r="C462" s="108">
        <v>1993</v>
      </c>
      <c r="D462" s="108"/>
      <c r="E462" s="109" t="s">
        <v>219</v>
      </c>
      <c r="F462" s="108">
        <v>5</v>
      </c>
      <c r="G462" s="108">
        <v>5</v>
      </c>
      <c r="H462" s="111">
        <v>3796.1</v>
      </c>
      <c r="I462" s="108">
        <v>2311.6999999999998</v>
      </c>
      <c r="J462" s="108">
        <v>2864.9</v>
      </c>
      <c r="K462" s="112">
        <v>145</v>
      </c>
      <c r="L462" s="113">
        <v>3626543</v>
      </c>
      <c r="M462" s="113">
        <v>0</v>
      </c>
      <c r="N462" s="113">
        <v>0</v>
      </c>
      <c r="O462" s="113">
        <f>L462</f>
        <v>3626543</v>
      </c>
      <c r="P462" s="113">
        <v>0</v>
      </c>
      <c r="Q462" s="114">
        <f>L462/I462</f>
        <v>1568.777523034996</v>
      </c>
      <c r="R462" s="114">
        <v>6774</v>
      </c>
      <c r="S462" s="316">
        <v>43100</v>
      </c>
    </row>
    <row r="463" spans="1:19" s="53" customFormat="1" ht="31.2">
      <c r="A463" s="107"/>
      <c r="B463" s="871" t="s">
        <v>888</v>
      </c>
      <c r="C463" s="108">
        <v>1978</v>
      </c>
      <c r="D463" s="108"/>
      <c r="E463" s="109" t="s">
        <v>218</v>
      </c>
      <c r="F463" s="108">
        <v>5</v>
      </c>
      <c r="G463" s="108">
        <v>1</v>
      </c>
      <c r="H463" s="111">
        <v>4056.6</v>
      </c>
      <c r="I463" s="108">
        <v>2191.6</v>
      </c>
      <c r="J463" s="108">
        <v>937</v>
      </c>
      <c r="K463" s="112">
        <v>196</v>
      </c>
      <c r="L463" s="113">
        <v>2160246</v>
      </c>
      <c r="M463" s="113">
        <v>0</v>
      </c>
      <c r="N463" s="113">
        <v>0</v>
      </c>
      <c r="O463" s="113">
        <f>L463</f>
        <v>2160246</v>
      </c>
      <c r="P463" s="113">
        <v>0</v>
      </c>
      <c r="Q463" s="114">
        <f>L463/I463</f>
        <v>985.69355721847057</v>
      </c>
      <c r="R463" s="114">
        <v>6774</v>
      </c>
      <c r="S463" s="316">
        <v>43100</v>
      </c>
    </row>
    <row r="464" spans="1:19" s="53" customFormat="1" ht="31.2">
      <c r="A464" s="107"/>
      <c r="B464" s="871" t="s">
        <v>889</v>
      </c>
      <c r="C464" s="108">
        <v>1925</v>
      </c>
      <c r="D464" s="108"/>
      <c r="E464" s="109" t="s">
        <v>218</v>
      </c>
      <c r="F464" s="108">
        <v>2</v>
      </c>
      <c r="G464" s="108">
        <v>2</v>
      </c>
      <c r="H464" s="111">
        <v>597.1</v>
      </c>
      <c r="I464" s="108">
        <v>487.9</v>
      </c>
      <c r="J464" s="108">
        <v>455.6</v>
      </c>
      <c r="K464" s="112">
        <v>16</v>
      </c>
      <c r="L464" s="113">
        <v>1013564</v>
      </c>
      <c r="M464" s="113">
        <v>0</v>
      </c>
      <c r="N464" s="113">
        <v>0</v>
      </c>
      <c r="O464" s="113">
        <f>L464</f>
        <v>1013564</v>
      </c>
      <c r="P464" s="113">
        <v>0</v>
      </c>
      <c r="Q464" s="114">
        <f>L464/I464</f>
        <v>2077.401106784177</v>
      </c>
      <c r="R464" s="114">
        <v>6774</v>
      </c>
      <c r="S464" s="316">
        <v>43100</v>
      </c>
    </row>
    <row r="465" spans="1:19" s="53" customFormat="1" ht="15.6">
      <c r="A465" s="107"/>
      <c r="B465" s="262"/>
      <c r="C465" s="108"/>
      <c r="D465" s="108"/>
      <c r="E465" s="109"/>
      <c r="F465" s="108"/>
      <c r="G465" s="108"/>
      <c r="H465" s="111"/>
      <c r="I465" s="108"/>
      <c r="J465" s="108"/>
      <c r="K465" s="112"/>
      <c r="L465" s="113"/>
      <c r="M465" s="113"/>
      <c r="N465" s="113"/>
      <c r="O465" s="113"/>
      <c r="P465" s="113"/>
      <c r="Q465" s="114"/>
      <c r="R465" s="114"/>
      <c r="S465" s="316"/>
    </row>
    <row r="466" spans="1:19" s="53" customFormat="1" ht="15.75" customHeight="1">
      <c r="A466" s="107"/>
      <c r="B466" s="1424" t="s">
        <v>208</v>
      </c>
      <c r="C466" s="1424"/>
      <c r="D466" s="1424"/>
      <c r="E466" s="1424"/>
      <c r="F466" s="1424"/>
      <c r="G466" s="1424"/>
      <c r="H466" s="114">
        <f t="shared" ref="H466:O467" si="133">H467</f>
        <v>318.7</v>
      </c>
      <c r="I466" s="114">
        <f t="shared" si="133"/>
        <v>297.60000000000002</v>
      </c>
      <c r="J466" s="114">
        <f t="shared" si="133"/>
        <v>297.60000000000002</v>
      </c>
      <c r="K466" s="112">
        <f t="shared" si="133"/>
        <v>14</v>
      </c>
      <c r="L466" s="113">
        <f t="shared" si="133"/>
        <v>1167102</v>
      </c>
      <c r="M466" s="113">
        <f t="shared" si="133"/>
        <v>0</v>
      </c>
      <c r="N466" s="113">
        <f t="shared" si="133"/>
        <v>202967.46</v>
      </c>
      <c r="O466" s="113">
        <f t="shared" si="133"/>
        <v>964134.54</v>
      </c>
      <c r="P466" s="113">
        <f>P467</f>
        <v>0</v>
      </c>
      <c r="Q466" s="106" t="s">
        <v>40</v>
      </c>
      <c r="R466" s="114" t="s">
        <v>40</v>
      </c>
      <c r="S466" s="316">
        <v>43100</v>
      </c>
    </row>
    <row r="467" spans="1:19" s="53" customFormat="1" ht="15.6">
      <c r="A467" s="107"/>
      <c r="B467" s="1411" t="s">
        <v>209</v>
      </c>
      <c r="C467" s="1411"/>
      <c r="D467" s="1411"/>
      <c r="E467" s="1411"/>
      <c r="F467" s="1411"/>
      <c r="G467" s="1411"/>
      <c r="H467" s="114">
        <f t="shared" si="133"/>
        <v>318.7</v>
      </c>
      <c r="I467" s="114">
        <f t="shared" si="133"/>
        <v>297.60000000000002</v>
      </c>
      <c r="J467" s="114">
        <f t="shared" si="133"/>
        <v>297.60000000000002</v>
      </c>
      <c r="K467" s="112">
        <f t="shared" si="133"/>
        <v>14</v>
      </c>
      <c r="L467" s="113">
        <f t="shared" si="133"/>
        <v>1167102</v>
      </c>
      <c r="M467" s="113">
        <f t="shared" si="133"/>
        <v>0</v>
      </c>
      <c r="N467" s="113">
        <f t="shared" si="133"/>
        <v>202967.46</v>
      </c>
      <c r="O467" s="113">
        <f t="shared" si="133"/>
        <v>964134.54</v>
      </c>
      <c r="P467" s="113">
        <f>P468</f>
        <v>0</v>
      </c>
      <c r="Q467" s="106" t="s">
        <v>40</v>
      </c>
      <c r="R467" s="106" t="s">
        <v>40</v>
      </c>
      <c r="S467" s="316">
        <v>43100</v>
      </c>
    </row>
    <row r="468" spans="1:19" s="53" customFormat="1" ht="31.2">
      <c r="A468" s="308">
        <v>92</v>
      </c>
      <c r="B468" s="337" t="s">
        <v>478</v>
      </c>
      <c r="C468" s="310">
        <v>1962</v>
      </c>
      <c r="D468" s="310"/>
      <c r="E468" s="311" t="s">
        <v>218</v>
      </c>
      <c r="F468" s="310">
        <v>2</v>
      </c>
      <c r="G468" s="310">
        <v>1</v>
      </c>
      <c r="H468" s="312">
        <v>318.7</v>
      </c>
      <c r="I468" s="310">
        <v>297.60000000000002</v>
      </c>
      <c r="J468" s="310">
        <v>297.60000000000002</v>
      </c>
      <c r="K468" s="313">
        <v>14</v>
      </c>
      <c r="L468" s="314">
        <v>1167102</v>
      </c>
      <c r="M468" s="314">
        <v>0</v>
      </c>
      <c r="N468" s="314">
        <v>202967.46</v>
      </c>
      <c r="O468" s="314">
        <v>964134.54</v>
      </c>
      <c r="P468" s="314">
        <v>0</v>
      </c>
      <c r="Q468" s="315">
        <f>L468/I468</f>
        <v>3921.713709677419</v>
      </c>
      <c r="R468" s="315">
        <v>7822</v>
      </c>
      <c r="S468" s="316">
        <v>43100</v>
      </c>
    </row>
    <row r="469" spans="1:19" s="1" customFormat="1" ht="15.6">
      <c r="A469" s="107"/>
      <c r="B469" s="1411" t="s">
        <v>61</v>
      </c>
      <c r="C469" s="1411"/>
      <c r="D469" s="1411"/>
      <c r="E469" s="1411"/>
      <c r="F469" s="1411"/>
      <c r="G469" s="1411"/>
      <c r="H469" s="128">
        <f>H470</f>
        <v>4625.8</v>
      </c>
      <c r="I469" s="106">
        <f t="shared" ref="I469:P469" si="134">I470</f>
        <v>4269</v>
      </c>
      <c r="J469" s="106">
        <f t="shared" si="134"/>
        <v>4126.6000000000004</v>
      </c>
      <c r="K469" s="119">
        <f t="shared" si="134"/>
        <v>154</v>
      </c>
      <c r="L469" s="113">
        <f t="shared" si="134"/>
        <v>3666180</v>
      </c>
      <c r="M469" s="113">
        <f t="shared" si="134"/>
        <v>0</v>
      </c>
      <c r="N469" s="113">
        <f t="shared" si="134"/>
        <v>0</v>
      </c>
      <c r="O469" s="113">
        <f t="shared" si="134"/>
        <v>3666180</v>
      </c>
      <c r="P469" s="113">
        <f t="shared" si="134"/>
        <v>0</v>
      </c>
      <c r="Q469" s="114" t="s">
        <v>40</v>
      </c>
      <c r="R469" s="114" t="s">
        <v>40</v>
      </c>
      <c r="S469" s="316">
        <v>43100</v>
      </c>
    </row>
    <row r="470" spans="1:19" s="1" customFormat="1" ht="15.6">
      <c r="A470" s="107"/>
      <c r="B470" s="1411" t="s">
        <v>118</v>
      </c>
      <c r="C470" s="1411"/>
      <c r="D470" s="1411"/>
      <c r="E470" s="1411"/>
      <c r="F470" s="1411"/>
      <c r="G470" s="1411"/>
      <c r="H470" s="128">
        <f>H471+H472</f>
        <v>4625.8</v>
      </c>
      <c r="I470" s="128">
        <f t="shared" ref="I470:P470" si="135">I471+I472</f>
        <v>4269</v>
      </c>
      <c r="J470" s="128">
        <f t="shared" si="135"/>
        <v>4126.6000000000004</v>
      </c>
      <c r="K470" s="119">
        <f t="shared" si="135"/>
        <v>154</v>
      </c>
      <c r="L470" s="366">
        <f t="shared" si="135"/>
        <v>3666180</v>
      </c>
      <c r="M470" s="366">
        <f t="shared" si="135"/>
        <v>0</v>
      </c>
      <c r="N470" s="366">
        <f t="shared" si="135"/>
        <v>0</v>
      </c>
      <c r="O470" s="366">
        <f t="shared" si="135"/>
        <v>3666180</v>
      </c>
      <c r="P470" s="366">
        <f t="shared" si="135"/>
        <v>0</v>
      </c>
      <c r="Q470" s="114" t="s">
        <v>40</v>
      </c>
      <c r="R470" s="106" t="s">
        <v>40</v>
      </c>
      <c r="S470" s="316">
        <v>43100</v>
      </c>
    </row>
    <row r="471" spans="1:19" s="1" customFormat="1" ht="15.6">
      <c r="A471" s="308">
        <v>93</v>
      </c>
      <c r="B471" s="363" t="s">
        <v>495</v>
      </c>
      <c r="C471" s="346">
        <v>1981</v>
      </c>
      <c r="D471" s="363"/>
      <c r="E471" s="311" t="s">
        <v>219</v>
      </c>
      <c r="F471" s="346">
        <v>5</v>
      </c>
      <c r="G471" s="346">
        <v>4</v>
      </c>
      <c r="H471" s="347">
        <v>3720</v>
      </c>
      <c r="I471" s="350">
        <v>3423.2</v>
      </c>
      <c r="J471" s="350">
        <v>3280.8</v>
      </c>
      <c r="K471" s="349">
        <v>123</v>
      </c>
      <c r="L471" s="314">
        <v>2553216</v>
      </c>
      <c r="M471" s="314">
        <v>0</v>
      </c>
      <c r="N471" s="314">
        <v>0</v>
      </c>
      <c r="O471" s="314">
        <v>2553216</v>
      </c>
      <c r="P471" s="113">
        <f t="shared" ref="P471" si="136">P476</f>
        <v>0</v>
      </c>
      <c r="Q471" s="315">
        <f t="shared" ref="Q471" si="137">L471/I471</f>
        <v>745.8565085300304</v>
      </c>
      <c r="R471" s="350">
        <v>7822</v>
      </c>
      <c r="S471" s="316">
        <v>43100</v>
      </c>
    </row>
    <row r="472" spans="1:19" s="1" customFormat="1" ht="15.6">
      <c r="A472" s="308">
        <v>94</v>
      </c>
      <c r="B472" s="345" t="s">
        <v>496</v>
      </c>
      <c r="C472" s="310">
        <v>1980</v>
      </c>
      <c r="D472" s="310"/>
      <c r="E472" s="311" t="s">
        <v>219</v>
      </c>
      <c r="F472" s="310">
        <v>2</v>
      </c>
      <c r="G472" s="310">
        <v>2</v>
      </c>
      <c r="H472" s="312">
        <v>905.8</v>
      </c>
      <c r="I472" s="315">
        <v>845.8</v>
      </c>
      <c r="J472" s="315">
        <v>845.8</v>
      </c>
      <c r="K472" s="313">
        <v>31</v>
      </c>
      <c r="L472" s="314">
        <v>1112964</v>
      </c>
      <c r="M472" s="314">
        <v>0</v>
      </c>
      <c r="N472" s="314">
        <v>0</v>
      </c>
      <c r="O472" s="314">
        <v>1112964</v>
      </c>
      <c r="P472" s="314">
        <v>0</v>
      </c>
      <c r="Q472" s="350">
        <f>L472/I472</f>
        <v>1315.8713643887445</v>
      </c>
      <c r="R472" s="315">
        <v>7822</v>
      </c>
      <c r="S472" s="316">
        <v>43100</v>
      </c>
    </row>
    <row r="473" spans="1:19" s="1" customFormat="1" ht="15.6">
      <c r="A473" s="107"/>
      <c r="B473" s="1417" t="s">
        <v>649</v>
      </c>
      <c r="C473" s="1418"/>
      <c r="D473" s="1418"/>
      <c r="E473" s="1418"/>
      <c r="F473" s="1418"/>
      <c r="G473" s="1419"/>
      <c r="H473" s="111">
        <f>H474</f>
        <v>478</v>
      </c>
      <c r="I473" s="111">
        <f t="shared" ref="I473:P473" si="138">I474</f>
        <v>438.4</v>
      </c>
      <c r="J473" s="111">
        <f t="shared" si="138"/>
        <v>0</v>
      </c>
      <c r="K473" s="111">
        <f t="shared" si="138"/>
        <v>15</v>
      </c>
      <c r="L473" s="566">
        <f t="shared" si="138"/>
        <v>204131</v>
      </c>
      <c r="M473" s="566">
        <f t="shared" si="138"/>
        <v>0</v>
      </c>
      <c r="N473" s="566">
        <f t="shared" si="138"/>
        <v>0</v>
      </c>
      <c r="O473" s="566">
        <f t="shared" si="138"/>
        <v>204131</v>
      </c>
      <c r="P473" s="566">
        <f t="shared" si="138"/>
        <v>0</v>
      </c>
      <c r="Q473" s="106" t="s">
        <v>40</v>
      </c>
      <c r="R473" s="106" t="s">
        <v>40</v>
      </c>
      <c r="S473" s="316">
        <v>43100</v>
      </c>
    </row>
    <row r="474" spans="1:19" s="1" customFormat="1" ht="20.399999999999999" customHeight="1">
      <c r="A474" s="308"/>
      <c r="B474" s="1414" t="s">
        <v>650</v>
      </c>
      <c r="C474" s="1415"/>
      <c r="D474" s="1415"/>
      <c r="E474" s="1415"/>
      <c r="F474" s="1415"/>
      <c r="G474" s="1416"/>
      <c r="H474" s="312">
        <f>H475</f>
        <v>478</v>
      </c>
      <c r="I474" s="312">
        <f t="shared" ref="I474:P474" si="139">I475</f>
        <v>438.4</v>
      </c>
      <c r="J474" s="312">
        <f t="shared" si="139"/>
        <v>0</v>
      </c>
      <c r="K474" s="312">
        <f t="shared" si="139"/>
        <v>15</v>
      </c>
      <c r="L474" s="714">
        <f t="shared" si="139"/>
        <v>204131</v>
      </c>
      <c r="M474" s="714">
        <f t="shared" si="139"/>
        <v>0</v>
      </c>
      <c r="N474" s="714">
        <f t="shared" si="139"/>
        <v>0</v>
      </c>
      <c r="O474" s="714">
        <f t="shared" si="139"/>
        <v>204131</v>
      </c>
      <c r="P474" s="714">
        <f t="shared" si="139"/>
        <v>0</v>
      </c>
      <c r="Q474" s="350" t="s">
        <v>40</v>
      </c>
      <c r="R474" s="350" t="s">
        <v>40</v>
      </c>
      <c r="S474" s="316">
        <v>43100</v>
      </c>
    </row>
    <row r="475" spans="1:19" s="1" customFormat="1" ht="31.2">
      <c r="A475" s="308">
        <v>95</v>
      </c>
      <c r="B475" s="345" t="s">
        <v>651</v>
      </c>
      <c r="C475" s="310">
        <v>1966</v>
      </c>
      <c r="D475" s="310"/>
      <c r="E475" s="311" t="s">
        <v>218</v>
      </c>
      <c r="F475" s="310">
        <v>2</v>
      </c>
      <c r="G475" s="310">
        <v>3</v>
      </c>
      <c r="H475" s="312">
        <v>478</v>
      </c>
      <c r="I475" s="315">
        <v>438.4</v>
      </c>
      <c r="J475" s="315">
        <v>0</v>
      </c>
      <c r="K475" s="313">
        <v>15</v>
      </c>
      <c r="L475" s="314">
        <v>204131</v>
      </c>
      <c r="M475" s="314">
        <v>0</v>
      </c>
      <c r="N475" s="314">
        <v>0</v>
      </c>
      <c r="O475" s="314">
        <v>204131</v>
      </c>
      <c r="P475" s="314">
        <v>0</v>
      </c>
      <c r="Q475" s="350">
        <f t="shared" ref="Q475" si="140">L475/I475</f>
        <v>465.62728102189783</v>
      </c>
      <c r="R475" s="315">
        <v>7822</v>
      </c>
      <c r="S475" s="316">
        <v>43100</v>
      </c>
    </row>
    <row r="476" spans="1:19" s="1" customFormat="1" ht="15.6">
      <c r="A476" s="107"/>
      <c r="B476" s="1411" t="s">
        <v>62</v>
      </c>
      <c r="C476" s="1411"/>
      <c r="D476" s="1411"/>
      <c r="E476" s="1411"/>
      <c r="F476" s="1411"/>
      <c r="G476" s="1411"/>
      <c r="H476" s="128">
        <f>H477</f>
        <v>508.92</v>
      </c>
      <c r="I476" s="106">
        <f t="shared" ref="I476:P476" si="141">I477</f>
        <v>442.92</v>
      </c>
      <c r="J476" s="106">
        <f t="shared" si="141"/>
        <v>442.92</v>
      </c>
      <c r="K476" s="119">
        <f t="shared" si="141"/>
        <v>16</v>
      </c>
      <c r="L476" s="113">
        <f t="shared" si="141"/>
        <v>1214790</v>
      </c>
      <c r="M476" s="113">
        <f t="shared" si="141"/>
        <v>0</v>
      </c>
      <c r="N476" s="113">
        <f t="shared" si="141"/>
        <v>0</v>
      </c>
      <c r="O476" s="113">
        <f t="shared" si="141"/>
        <v>1214790</v>
      </c>
      <c r="P476" s="113">
        <f t="shared" si="141"/>
        <v>0</v>
      </c>
      <c r="Q476" s="106" t="s">
        <v>40</v>
      </c>
      <c r="R476" s="106" t="s">
        <v>40</v>
      </c>
      <c r="S476" s="316">
        <v>43100</v>
      </c>
    </row>
    <row r="477" spans="1:19" s="1" customFormat="1" ht="15.6">
      <c r="A477" s="107"/>
      <c r="B477" s="1411" t="s">
        <v>117</v>
      </c>
      <c r="C477" s="1411"/>
      <c r="D477" s="1411"/>
      <c r="E477" s="1411"/>
      <c r="F477" s="1411"/>
      <c r="G477" s="1411"/>
      <c r="H477" s="128">
        <f>H478</f>
        <v>508.92</v>
      </c>
      <c r="I477" s="106">
        <f t="shared" ref="I477:P477" si="142">I478</f>
        <v>442.92</v>
      </c>
      <c r="J477" s="106">
        <f t="shared" si="142"/>
        <v>442.92</v>
      </c>
      <c r="K477" s="119">
        <f t="shared" si="142"/>
        <v>16</v>
      </c>
      <c r="L477" s="113">
        <f t="shared" si="142"/>
        <v>1214790</v>
      </c>
      <c r="M477" s="113">
        <f t="shared" si="142"/>
        <v>0</v>
      </c>
      <c r="N477" s="113">
        <f t="shared" si="142"/>
        <v>0</v>
      </c>
      <c r="O477" s="113">
        <f t="shared" si="142"/>
        <v>1214790</v>
      </c>
      <c r="P477" s="113">
        <f t="shared" si="142"/>
        <v>0</v>
      </c>
      <c r="Q477" s="106" t="s">
        <v>40</v>
      </c>
      <c r="R477" s="106" t="s">
        <v>40</v>
      </c>
      <c r="S477" s="316">
        <v>43100</v>
      </c>
    </row>
    <row r="478" spans="1:19" s="1" customFormat="1" ht="15.6">
      <c r="A478" s="308">
        <v>96</v>
      </c>
      <c r="B478" s="363" t="s">
        <v>486</v>
      </c>
      <c r="C478" s="346">
        <v>1973</v>
      </c>
      <c r="D478" s="346"/>
      <c r="E478" s="311" t="s">
        <v>220</v>
      </c>
      <c r="F478" s="346">
        <v>2</v>
      </c>
      <c r="G478" s="346">
        <v>2</v>
      </c>
      <c r="H478" s="347">
        <v>508.92</v>
      </c>
      <c r="I478" s="350">
        <v>442.92</v>
      </c>
      <c r="J478" s="350">
        <v>442.92</v>
      </c>
      <c r="K478" s="349">
        <v>16</v>
      </c>
      <c r="L478" s="314">
        <v>1214790</v>
      </c>
      <c r="M478" s="314">
        <v>0</v>
      </c>
      <c r="N478" s="314">
        <v>0</v>
      </c>
      <c r="O478" s="314">
        <f>L478</f>
        <v>1214790</v>
      </c>
      <c r="P478" s="314">
        <v>0</v>
      </c>
      <c r="Q478" s="350">
        <f>L478/I478</f>
        <v>2742.6849092386888</v>
      </c>
      <c r="R478" s="315">
        <v>7822</v>
      </c>
      <c r="S478" s="316">
        <v>43100</v>
      </c>
    </row>
    <row r="479" spans="1:19" s="1" customFormat="1" ht="15.6">
      <c r="A479" s="107"/>
      <c r="B479" s="1411" t="s">
        <v>63</v>
      </c>
      <c r="C479" s="1411"/>
      <c r="D479" s="1411"/>
      <c r="E479" s="1411"/>
      <c r="F479" s="1411"/>
      <c r="G479" s="1411"/>
      <c r="H479" s="128">
        <f>H480</f>
        <v>4999.2</v>
      </c>
      <c r="I479" s="106">
        <f t="shared" ref="I479:P479" si="143">I480</f>
        <v>4566.3</v>
      </c>
      <c r="J479" s="106">
        <f t="shared" si="143"/>
        <v>4512.6000000000004</v>
      </c>
      <c r="K479" s="119">
        <f t="shared" si="143"/>
        <v>190</v>
      </c>
      <c r="L479" s="113">
        <f t="shared" si="143"/>
        <v>3037109</v>
      </c>
      <c r="M479" s="113">
        <f t="shared" si="143"/>
        <v>0</v>
      </c>
      <c r="N479" s="113">
        <f t="shared" si="143"/>
        <v>214483.68</v>
      </c>
      <c r="O479" s="113">
        <f t="shared" si="143"/>
        <v>2822625.3200000003</v>
      </c>
      <c r="P479" s="113">
        <f t="shared" si="143"/>
        <v>0</v>
      </c>
      <c r="Q479" s="106" t="s">
        <v>40</v>
      </c>
      <c r="R479" s="106" t="s">
        <v>40</v>
      </c>
      <c r="S479" s="316">
        <v>43100</v>
      </c>
    </row>
    <row r="480" spans="1:19" s="1" customFormat="1" ht="15.75" customHeight="1">
      <c r="A480" s="308"/>
      <c r="B480" s="1426" t="s">
        <v>116</v>
      </c>
      <c r="C480" s="1426"/>
      <c r="D480" s="1426"/>
      <c r="E480" s="1426"/>
      <c r="F480" s="1426"/>
      <c r="G480" s="1426"/>
      <c r="H480" s="347">
        <f>H481+H482</f>
        <v>4999.2</v>
      </c>
      <c r="I480" s="350">
        <f t="shared" ref="I480:P480" si="144">I481+I482</f>
        <v>4566.3</v>
      </c>
      <c r="J480" s="350">
        <f t="shared" si="144"/>
        <v>4512.6000000000004</v>
      </c>
      <c r="K480" s="349">
        <f t="shared" si="144"/>
        <v>190</v>
      </c>
      <c r="L480" s="314">
        <f>L481+L482</f>
        <v>3037109</v>
      </c>
      <c r="M480" s="314">
        <f t="shared" si="144"/>
        <v>0</v>
      </c>
      <c r="N480" s="314">
        <f t="shared" si="144"/>
        <v>214483.68</v>
      </c>
      <c r="O480" s="314">
        <f t="shared" si="144"/>
        <v>2822625.3200000003</v>
      </c>
      <c r="P480" s="314">
        <f t="shared" si="144"/>
        <v>0</v>
      </c>
      <c r="Q480" s="350" t="s">
        <v>40</v>
      </c>
      <c r="R480" s="350" t="s">
        <v>40</v>
      </c>
      <c r="S480" s="316">
        <v>43100</v>
      </c>
    </row>
    <row r="481" spans="1:19" s="1" customFormat="1" ht="15.6">
      <c r="A481" s="308">
        <v>97</v>
      </c>
      <c r="B481" s="715" t="s">
        <v>675</v>
      </c>
      <c r="C481" s="716">
        <v>1992</v>
      </c>
      <c r="D481" s="717"/>
      <c r="E481" s="311" t="s">
        <v>219</v>
      </c>
      <c r="F481" s="716">
        <v>5</v>
      </c>
      <c r="G481" s="716">
        <v>4</v>
      </c>
      <c r="H481" s="388">
        <v>3349.7</v>
      </c>
      <c r="I481" s="389">
        <v>3054.1</v>
      </c>
      <c r="J481" s="389">
        <v>3000.4</v>
      </c>
      <c r="K481" s="390">
        <v>125</v>
      </c>
      <c r="L481" s="314">
        <v>2012761</v>
      </c>
      <c r="M481" s="314">
        <v>0</v>
      </c>
      <c r="N481" s="314">
        <v>142143.20000000001</v>
      </c>
      <c r="O481" s="314">
        <v>1870617.8</v>
      </c>
      <c r="P481" s="314">
        <v>0</v>
      </c>
      <c r="Q481" s="391">
        <f>L481/I481</f>
        <v>659.03572247143188</v>
      </c>
      <c r="R481" s="315">
        <v>7822</v>
      </c>
      <c r="S481" s="316">
        <v>43100</v>
      </c>
    </row>
    <row r="482" spans="1:19" s="1" customFormat="1" ht="15.6">
      <c r="A482" s="308">
        <v>98</v>
      </c>
      <c r="B482" s="715" t="s">
        <v>676</v>
      </c>
      <c r="C482" s="717">
        <v>1983</v>
      </c>
      <c r="D482" s="718"/>
      <c r="E482" s="311" t="s">
        <v>219</v>
      </c>
      <c r="F482" s="716">
        <v>5</v>
      </c>
      <c r="G482" s="716">
        <v>2</v>
      </c>
      <c r="H482" s="388">
        <v>1649.5</v>
      </c>
      <c r="I482" s="389">
        <v>1512.2</v>
      </c>
      <c r="J482" s="389">
        <v>1512.2</v>
      </c>
      <c r="K482" s="390">
        <v>65</v>
      </c>
      <c r="L482" s="314">
        <v>1024348</v>
      </c>
      <c r="M482" s="314">
        <v>0</v>
      </c>
      <c r="N482" s="314">
        <v>72340.479999999996</v>
      </c>
      <c r="O482" s="314">
        <v>952007.52</v>
      </c>
      <c r="P482" s="314">
        <v>0</v>
      </c>
      <c r="Q482" s="391">
        <f>L482/I482</f>
        <v>677.38923422827668</v>
      </c>
      <c r="R482" s="315">
        <v>7822</v>
      </c>
      <c r="S482" s="316">
        <v>43100</v>
      </c>
    </row>
    <row r="483" spans="1:19" s="1" customFormat="1" ht="15.6">
      <c r="A483" s="308"/>
      <c r="B483" s="1420" t="s">
        <v>663</v>
      </c>
      <c r="C483" s="1421"/>
      <c r="D483" s="1421"/>
      <c r="E483" s="1421"/>
      <c r="F483" s="1421"/>
      <c r="G483" s="1422"/>
      <c r="H483" s="388">
        <f>H484</f>
        <v>555</v>
      </c>
      <c r="I483" s="388">
        <f t="shared" ref="I483:P483" si="145">I484</f>
        <v>513.20000000000005</v>
      </c>
      <c r="J483" s="388">
        <f t="shared" si="145"/>
        <v>437.9</v>
      </c>
      <c r="K483" s="388">
        <f t="shared" si="145"/>
        <v>16</v>
      </c>
      <c r="L483" s="789">
        <f t="shared" si="145"/>
        <v>1402598</v>
      </c>
      <c r="M483" s="789">
        <f t="shared" si="145"/>
        <v>0</v>
      </c>
      <c r="N483" s="789">
        <f t="shared" si="145"/>
        <v>0</v>
      </c>
      <c r="O483" s="789">
        <f t="shared" si="145"/>
        <v>1402598</v>
      </c>
      <c r="P483" s="789">
        <f t="shared" si="145"/>
        <v>0</v>
      </c>
      <c r="Q483" s="391"/>
      <c r="R483" s="315"/>
      <c r="S483" s="316">
        <v>43100</v>
      </c>
    </row>
    <row r="484" spans="1:19" s="1" customFormat="1" ht="31.2">
      <c r="A484" s="308">
        <v>99</v>
      </c>
      <c r="B484" s="715" t="s">
        <v>664</v>
      </c>
      <c r="C484" s="717">
        <v>1972</v>
      </c>
      <c r="D484" s="718"/>
      <c r="E484" s="569" t="s">
        <v>665</v>
      </c>
      <c r="F484" s="716">
        <v>2</v>
      </c>
      <c r="G484" s="716">
        <v>2</v>
      </c>
      <c r="H484" s="388">
        <v>555</v>
      </c>
      <c r="I484" s="389">
        <v>513.20000000000005</v>
      </c>
      <c r="J484" s="389">
        <v>437.9</v>
      </c>
      <c r="K484" s="390">
        <v>16</v>
      </c>
      <c r="L484" s="314">
        <v>1402598</v>
      </c>
      <c r="M484" s="314">
        <v>0</v>
      </c>
      <c r="N484" s="314">
        <v>0</v>
      </c>
      <c r="O484" s="314">
        <v>1402598</v>
      </c>
      <c r="P484" s="314">
        <v>0</v>
      </c>
      <c r="Q484" s="391">
        <f t="shared" ref="Q484" si="146">L484/I484</f>
        <v>2733.0436477007011</v>
      </c>
      <c r="R484" s="315">
        <v>7822</v>
      </c>
      <c r="S484" s="316">
        <v>43100</v>
      </c>
    </row>
    <row r="485" spans="1:19" s="1" customFormat="1" ht="15.6">
      <c r="A485" s="107"/>
      <c r="B485" s="1411" t="s">
        <v>64</v>
      </c>
      <c r="C485" s="1411"/>
      <c r="D485" s="1411"/>
      <c r="E485" s="1411"/>
      <c r="F485" s="1411"/>
      <c r="G485" s="1411"/>
      <c r="H485" s="128">
        <f>H486</f>
        <v>1306.5</v>
      </c>
      <c r="I485" s="106">
        <f t="shared" ref="I485:P485" si="147">I486</f>
        <v>1229.3</v>
      </c>
      <c r="J485" s="106">
        <f t="shared" si="147"/>
        <v>1229.3</v>
      </c>
      <c r="K485" s="119">
        <f t="shared" si="147"/>
        <v>49</v>
      </c>
      <c r="L485" s="113">
        <f t="shared" si="147"/>
        <v>5743338</v>
      </c>
      <c r="M485" s="113">
        <f t="shared" si="147"/>
        <v>0</v>
      </c>
      <c r="N485" s="113">
        <f t="shared" si="147"/>
        <v>0</v>
      </c>
      <c r="O485" s="113">
        <f t="shared" si="147"/>
        <v>5743338</v>
      </c>
      <c r="P485" s="113">
        <f t="shared" si="147"/>
        <v>0</v>
      </c>
      <c r="Q485" s="106" t="s">
        <v>40</v>
      </c>
      <c r="R485" s="106" t="s">
        <v>40</v>
      </c>
      <c r="S485" s="316">
        <v>43100</v>
      </c>
    </row>
    <row r="486" spans="1:19" s="1" customFormat="1" ht="15.6">
      <c r="A486" s="107"/>
      <c r="B486" s="1411" t="s">
        <v>115</v>
      </c>
      <c r="C486" s="1411"/>
      <c r="D486" s="1411"/>
      <c r="E486" s="1411"/>
      <c r="F486" s="1411"/>
      <c r="G486" s="1411"/>
      <c r="H486" s="128">
        <f>SUM(H487:H490)</f>
        <v>1306.5</v>
      </c>
      <c r="I486" s="106">
        <f t="shared" ref="I486:O486" si="148">SUM(I487:I490)</f>
        <v>1229.3</v>
      </c>
      <c r="J486" s="106">
        <f t="shared" si="148"/>
        <v>1229.3</v>
      </c>
      <c r="K486" s="119">
        <f t="shared" si="148"/>
        <v>49</v>
      </c>
      <c r="L486" s="113">
        <f t="shared" si="148"/>
        <v>5743338</v>
      </c>
      <c r="M486" s="113">
        <f t="shared" si="148"/>
        <v>0</v>
      </c>
      <c r="N486" s="113">
        <f t="shared" si="148"/>
        <v>0</v>
      </c>
      <c r="O486" s="113">
        <f t="shared" si="148"/>
        <v>5743338</v>
      </c>
      <c r="P486" s="113">
        <f t="shared" ref="P486" si="149">SUM(P487:P489)</f>
        <v>0</v>
      </c>
      <c r="Q486" s="106" t="s">
        <v>40</v>
      </c>
      <c r="R486" s="106" t="s">
        <v>40</v>
      </c>
      <c r="S486" s="316">
        <v>43100</v>
      </c>
    </row>
    <row r="487" spans="1:19" s="1" customFormat="1" ht="31.2">
      <c r="A487" s="308">
        <v>100</v>
      </c>
      <c r="B487" s="363" t="s">
        <v>608</v>
      </c>
      <c r="C487" s="346">
        <v>1978</v>
      </c>
      <c r="D487" s="346"/>
      <c r="E487" s="311" t="s">
        <v>218</v>
      </c>
      <c r="F487" s="346">
        <v>2</v>
      </c>
      <c r="G487" s="346">
        <v>1</v>
      </c>
      <c r="H487" s="347">
        <v>291</v>
      </c>
      <c r="I487" s="350">
        <v>291</v>
      </c>
      <c r="J487" s="350">
        <v>291</v>
      </c>
      <c r="K487" s="349">
        <v>10</v>
      </c>
      <c r="L487" s="314">
        <v>2311572</v>
      </c>
      <c r="M487" s="314">
        <v>0</v>
      </c>
      <c r="N487" s="314">
        <v>0</v>
      </c>
      <c r="O487" s="314">
        <f>L487</f>
        <v>2311572</v>
      </c>
      <c r="P487" s="314">
        <v>0</v>
      </c>
      <c r="Q487" s="350">
        <f>L487/I487</f>
        <v>7943.5463917525776</v>
      </c>
      <c r="R487" s="315">
        <v>7822</v>
      </c>
      <c r="S487" s="316">
        <v>43100</v>
      </c>
    </row>
    <row r="488" spans="1:19" s="1" customFormat="1" ht="31.2">
      <c r="A488" s="308">
        <v>101</v>
      </c>
      <c r="B488" s="363" t="s">
        <v>609</v>
      </c>
      <c r="C488" s="346">
        <v>1917</v>
      </c>
      <c r="D488" s="346"/>
      <c r="E488" s="311" t="s">
        <v>218</v>
      </c>
      <c r="F488" s="346">
        <v>1</v>
      </c>
      <c r="G488" s="346">
        <v>1</v>
      </c>
      <c r="H488" s="347">
        <v>120</v>
      </c>
      <c r="I488" s="350">
        <v>120</v>
      </c>
      <c r="J488" s="350">
        <v>120</v>
      </c>
      <c r="K488" s="349">
        <v>5</v>
      </c>
      <c r="L488" s="314">
        <v>968625</v>
      </c>
      <c r="M488" s="314">
        <v>0</v>
      </c>
      <c r="N488" s="314">
        <v>0</v>
      </c>
      <c r="O488" s="314">
        <f>L488</f>
        <v>968625</v>
      </c>
      <c r="P488" s="314">
        <v>0</v>
      </c>
      <c r="Q488" s="350">
        <f>L488/I488</f>
        <v>8071.875</v>
      </c>
      <c r="R488" s="315">
        <v>7822</v>
      </c>
      <c r="S488" s="316">
        <v>43100</v>
      </c>
    </row>
    <row r="489" spans="1:19" s="1" customFormat="1" ht="31.2">
      <c r="A489" s="308">
        <v>102</v>
      </c>
      <c r="B489" s="363" t="s">
        <v>610</v>
      </c>
      <c r="C489" s="346">
        <v>1965</v>
      </c>
      <c r="D489" s="346"/>
      <c r="E489" s="311" t="s">
        <v>218</v>
      </c>
      <c r="F489" s="346">
        <v>2</v>
      </c>
      <c r="G489" s="346">
        <v>1</v>
      </c>
      <c r="H489" s="347">
        <v>407.6</v>
      </c>
      <c r="I489" s="350">
        <v>376.6</v>
      </c>
      <c r="J489" s="350">
        <v>376.6</v>
      </c>
      <c r="K489" s="349">
        <v>17</v>
      </c>
      <c r="L489" s="314">
        <v>1139852</v>
      </c>
      <c r="M489" s="314">
        <v>0</v>
      </c>
      <c r="N489" s="314">
        <v>0</v>
      </c>
      <c r="O489" s="314">
        <f>L489</f>
        <v>1139852</v>
      </c>
      <c r="P489" s="314">
        <v>0</v>
      </c>
      <c r="Q489" s="350">
        <f>L489/I489</f>
        <v>3026.6914498141264</v>
      </c>
      <c r="R489" s="315">
        <v>7822</v>
      </c>
      <c r="S489" s="316">
        <v>43100</v>
      </c>
    </row>
    <row r="490" spans="1:19" s="1" customFormat="1" ht="31.2">
      <c r="A490" s="308">
        <v>103</v>
      </c>
      <c r="B490" s="363" t="s">
        <v>611</v>
      </c>
      <c r="C490" s="346">
        <v>1965</v>
      </c>
      <c r="D490" s="346"/>
      <c r="E490" s="311" t="s">
        <v>218</v>
      </c>
      <c r="F490" s="346">
        <v>2</v>
      </c>
      <c r="G490" s="346">
        <v>1</v>
      </c>
      <c r="H490" s="347">
        <v>487.9</v>
      </c>
      <c r="I490" s="350">
        <v>441.7</v>
      </c>
      <c r="J490" s="350">
        <v>441.7</v>
      </c>
      <c r="K490" s="349">
        <v>17</v>
      </c>
      <c r="L490" s="314">
        <v>1323289</v>
      </c>
      <c r="M490" s="314">
        <v>0</v>
      </c>
      <c r="N490" s="314">
        <v>0</v>
      </c>
      <c r="O490" s="314">
        <f>L490</f>
        <v>1323289</v>
      </c>
      <c r="P490" s="314">
        <v>0</v>
      </c>
      <c r="Q490" s="350">
        <f>L490/I490</f>
        <v>2995.8999320805979</v>
      </c>
      <c r="R490" s="315">
        <v>7822</v>
      </c>
      <c r="S490" s="316">
        <v>43100</v>
      </c>
    </row>
    <row r="491" spans="1:19" s="1" customFormat="1" ht="15.6">
      <c r="A491" s="107"/>
      <c r="B491" s="1411" t="s">
        <v>211</v>
      </c>
      <c r="C491" s="1411"/>
      <c r="D491" s="1411"/>
      <c r="E491" s="1411"/>
      <c r="F491" s="1411"/>
      <c r="G491" s="1411"/>
      <c r="H491" s="128">
        <f t="shared" ref="H491:P491" si="150">H492+H494</f>
        <v>1095.3</v>
      </c>
      <c r="I491" s="128">
        <f t="shared" si="150"/>
        <v>1043.2</v>
      </c>
      <c r="J491" s="128">
        <f t="shared" si="150"/>
        <v>928</v>
      </c>
      <c r="K491" s="119">
        <f t="shared" si="150"/>
        <v>27</v>
      </c>
      <c r="L491" s="113">
        <f t="shared" si="150"/>
        <v>2988909</v>
      </c>
      <c r="M491" s="113">
        <f t="shared" si="150"/>
        <v>0</v>
      </c>
      <c r="N491" s="113">
        <f t="shared" si="150"/>
        <v>0</v>
      </c>
      <c r="O491" s="113">
        <f t="shared" si="150"/>
        <v>2988909</v>
      </c>
      <c r="P491" s="113">
        <f t="shared" si="150"/>
        <v>0</v>
      </c>
      <c r="Q491" s="106" t="s">
        <v>40</v>
      </c>
      <c r="R491" s="106" t="s">
        <v>40</v>
      </c>
      <c r="S491" s="316">
        <v>43100</v>
      </c>
    </row>
    <row r="492" spans="1:19" s="1" customFormat="1" ht="15.6">
      <c r="A492" s="107"/>
      <c r="B492" s="1411" t="s">
        <v>629</v>
      </c>
      <c r="C492" s="1411"/>
      <c r="D492" s="1411"/>
      <c r="E492" s="1411"/>
      <c r="F492" s="1411"/>
      <c r="G492" s="1411"/>
      <c r="H492" s="128">
        <f>H493</f>
        <v>494.8</v>
      </c>
      <c r="I492" s="128">
        <f t="shared" ref="I492:P492" si="151">I493</f>
        <v>494.8</v>
      </c>
      <c r="J492" s="128">
        <f t="shared" si="151"/>
        <v>379.6</v>
      </c>
      <c r="K492" s="119">
        <f t="shared" si="151"/>
        <v>12</v>
      </c>
      <c r="L492" s="113">
        <f t="shared" si="151"/>
        <v>1537679</v>
      </c>
      <c r="M492" s="113">
        <f t="shared" si="151"/>
        <v>0</v>
      </c>
      <c r="N492" s="113">
        <f t="shared" si="151"/>
        <v>0</v>
      </c>
      <c r="O492" s="113">
        <f t="shared" si="151"/>
        <v>1537679</v>
      </c>
      <c r="P492" s="113">
        <f t="shared" si="151"/>
        <v>0</v>
      </c>
      <c r="Q492" s="106" t="s">
        <v>40</v>
      </c>
      <c r="R492" s="114" t="s">
        <v>40</v>
      </c>
      <c r="S492" s="316">
        <v>43100</v>
      </c>
    </row>
    <row r="493" spans="1:19" s="1" customFormat="1" ht="31.2">
      <c r="A493" s="107"/>
      <c r="B493" s="559" t="s">
        <v>630</v>
      </c>
      <c r="C493" s="118">
        <v>1917</v>
      </c>
      <c r="D493" s="118"/>
      <c r="E493" s="109" t="s">
        <v>218</v>
      </c>
      <c r="F493" s="118">
        <v>2</v>
      </c>
      <c r="G493" s="118">
        <v>1</v>
      </c>
      <c r="H493" s="128">
        <v>494.8</v>
      </c>
      <c r="I493" s="106">
        <v>494.8</v>
      </c>
      <c r="J493" s="106">
        <v>379.6</v>
      </c>
      <c r="K493" s="119">
        <v>12</v>
      </c>
      <c r="L493" s="113">
        <v>1537679</v>
      </c>
      <c r="M493" s="113">
        <v>0</v>
      </c>
      <c r="N493" s="113">
        <v>0</v>
      </c>
      <c r="O493" s="113">
        <v>1537679</v>
      </c>
      <c r="P493" s="113">
        <v>0</v>
      </c>
      <c r="Q493" s="106">
        <f>L493/I493</f>
        <v>3107.6778496362167</v>
      </c>
      <c r="R493" s="114">
        <v>7822</v>
      </c>
      <c r="S493" s="316">
        <v>43100</v>
      </c>
    </row>
    <row r="494" spans="1:19" s="1" customFormat="1" ht="15.6">
      <c r="A494" s="107"/>
      <c r="B494" s="1411" t="s">
        <v>631</v>
      </c>
      <c r="C494" s="1411"/>
      <c r="D494" s="1411"/>
      <c r="E494" s="1411"/>
      <c r="F494" s="1411"/>
      <c r="G494" s="1411"/>
      <c r="H494" s="128">
        <f>H495</f>
        <v>600.5</v>
      </c>
      <c r="I494" s="128">
        <f t="shared" ref="I494:P494" si="152">I495</f>
        <v>548.4</v>
      </c>
      <c r="J494" s="128">
        <f t="shared" si="152"/>
        <v>548.4</v>
      </c>
      <c r="K494" s="119">
        <f t="shared" si="152"/>
        <v>15</v>
      </c>
      <c r="L494" s="113">
        <f t="shared" si="152"/>
        <v>1451230</v>
      </c>
      <c r="M494" s="113">
        <f t="shared" si="152"/>
        <v>0</v>
      </c>
      <c r="N494" s="113">
        <f t="shared" si="152"/>
        <v>0</v>
      </c>
      <c r="O494" s="113">
        <f t="shared" si="152"/>
        <v>1451230</v>
      </c>
      <c r="P494" s="113">
        <f t="shared" si="152"/>
        <v>0</v>
      </c>
      <c r="Q494" s="106" t="s">
        <v>40</v>
      </c>
      <c r="R494" s="114" t="s">
        <v>40</v>
      </c>
      <c r="S494" s="316">
        <v>43100</v>
      </c>
    </row>
    <row r="495" spans="1:19" s="1" customFormat="1" ht="31.2">
      <c r="A495" s="107"/>
      <c r="B495" s="564" t="s">
        <v>632</v>
      </c>
      <c r="C495" s="118">
        <v>1982</v>
      </c>
      <c r="D495" s="118"/>
      <c r="E495" s="109" t="s">
        <v>218</v>
      </c>
      <c r="F495" s="118">
        <v>2</v>
      </c>
      <c r="G495" s="118">
        <v>2</v>
      </c>
      <c r="H495" s="128">
        <v>600.5</v>
      </c>
      <c r="I495" s="106">
        <v>548.4</v>
      </c>
      <c r="J495" s="106">
        <v>548.4</v>
      </c>
      <c r="K495" s="119">
        <v>15</v>
      </c>
      <c r="L495" s="113">
        <v>1451230</v>
      </c>
      <c r="M495" s="113">
        <v>0</v>
      </c>
      <c r="N495" s="113">
        <v>0</v>
      </c>
      <c r="O495" s="113">
        <v>1451230</v>
      </c>
      <c r="P495" s="113">
        <v>0</v>
      </c>
      <c r="Q495" s="106">
        <f>L495/I495</f>
        <v>2646.2983223924143</v>
      </c>
      <c r="R495" s="114">
        <v>7822</v>
      </c>
      <c r="S495" s="316">
        <v>43100</v>
      </c>
    </row>
    <row r="496" spans="1:19" s="1" customFormat="1" ht="15.6">
      <c r="A496" s="107"/>
      <c r="B496" s="1411" t="s">
        <v>66</v>
      </c>
      <c r="C496" s="1411"/>
      <c r="D496" s="1411"/>
      <c r="E496" s="1411"/>
      <c r="F496" s="1411"/>
      <c r="G496" s="1411"/>
      <c r="H496" s="128">
        <f>H499+H497</f>
        <v>2315.6</v>
      </c>
      <c r="I496" s="128">
        <f t="shared" ref="I496:P496" si="153">I499+I497</f>
        <v>1993.8000000000002</v>
      </c>
      <c r="J496" s="128">
        <f t="shared" si="153"/>
        <v>1887.2</v>
      </c>
      <c r="K496" s="128">
        <f t="shared" si="153"/>
        <v>65</v>
      </c>
      <c r="L496" s="366">
        <f t="shared" si="153"/>
        <v>4692143</v>
      </c>
      <c r="M496" s="366">
        <f t="shared" si="153"/>
        <v>0</v>
      </c>
      <c r="N496" s="366">
        <f t="shared" si="153"/>
        <v>0</v>
      </c>
      <c r="O496" s="366">
        <f t="shared" si="153"/>
        <v>4692143</v>
      </c>
      <c r="P496" s="366">
        <f t="shared" si="153"/>
        <v>0</v>
      </c>
      <c r="Q496" s="106" t="s">
        <v>40</v>
      </c>
      <c r="R496" s="106" t="s">
        <v>40</v>
      </c>
      <c r="S496" s="316">
        <v>43100</v>
      </c>
    </row>
    <row r="497" spans="1:19" s="1" customFormat="1" ht="15.6">
      <c r="A497" s="308"/>
      <c r="B497" s="866" t="s">
        <v>641</v>
      </c>
      <c r="C497" s="866"/>
      <c r="D497" s="866"/>
      <c r="E497" s="866"/>
      <c r="F497" s="866"/>
      <c r="G497" s="866"/>
      <c r="H497" s="347">
        <f>H498</f>
        <v>675.9</v>
      </c>
      <c r="I497" s="347">
        <f t="shared" ref="I497:P497" si="154">I498</f>
        <v>626.4</v>
      </c>
      <c r="J497" s="347">
        <f t="shared" si="154"/>
        <v>544.20000000000005</v>
      </c>
      <c r="K497" s="347">
        <f t="shared" si="154"/>
        <v>21</v>
      </c>
      <c r="L497" s="820">
        <f t="shared" si="154"/>
        <v>346938</v>
      </c>
      <c r="M497" s="820">
        <f t="shared" si="154"/>
        <v>0</v>
      </c>
      <c r="N497" s="820">
        <f t="shared" si="154"/>
        <v>0</v>
      </c>
      <c r="O497" s="820">
        <f t="shared" si="154"/>
        <v>346938</v>
      </c>
      <c r="P497" s="820">
        <f t="shared" si="154"/>
        <v>0</v>
      </c>
      <c r="Q497" s="350" t="s">
        <v>40</v>
      </c>
      <c r="R497" s="315" t="s">
        <v>40</v>
      </c>
      <c r="S497" s="316">
        <v>43100</v>
      </c>
    </row>
    <row r="498" spans="1:19" s="1" customFormat="1" ht="31.2">
      <c r="A498" s="308"/>
      <c r="B498" s="866" t="s">
        <v>642</v>
      </c>
      <c r="C498" s="346">
        <v>1972</v>
      </c>
      <c r="D498" s="346"/>
      <c r="E498" s="311" t="s">
        <v>218</v>
      </c>
      <c r="F498" s="346">
        <v>2</v>
      </c>
      <c r="G498" s="346">
        <v>2</v>
      </c>
      <c r="H498" s="347">
        <v>675.9</v>
      </c>
      <c r="I498" s="350">
        <v>626.4</v>
      </c>
      <c r="J498" s="350">
        <v>544.20000000000005</v>
      </c>
      <c r="K498" s="349">
        <v>21</v>
      </c>
      <c r="L498" s="849">
        <v>346938</v>
      </c>
      <c r="M498" s="849">
        <v>0</v>
      </c>
      <c r="N498" s="849">
        <v>0</v>
      </c>
      <c r="O498" s="849">
        <v>346938</v>
      </c>
      <c r="P498" s="849">
        <v>0</v>
      </c>
      <c r="Q498" s="670">
        <f>L498/I498</f>
        <v>553.86015325670496</v>
      </c>
      <c r="R498" s="670">
        <v>7822</v>
      </c>
      <c r="S498" s="316">
        <v>43100</v>
      </c>
    </row>
    <row r="499" spans="1:19" s="1" customFormat="1" ht="15.6">
      <c r="A499" s="107"/>
      <c r="B499" s="1411" t="s">
        <v>114</v>
      </c>
      <c r="C499" s="1411"/>
      <c r="D499" s="1411"/>
      <c r="E499" s="1411"/>
      <c r="F499" s="1411"/>
      <c r="G499" s="1411"/>
      <c r="H499" s="128">
        <f>H500+H501+H502</f>
        <v>1639.7</v>
      </c>
      <c r="I499" s="106">
        <f>I500+I501+I502</f>
        <v>1367.4</v>
      </c>
      <c r="J499" s="106">
        <f>J500+J501+J502</f>
        <v>1343</v>
      </c>
      <c r="K499" s="119">
        <f t="shared" ref="K499:P499" si="155">K500+K501+K502</f>
        <v>44</v>
      </c>
      <c r="L499" s="113">
        <f t="shared" si="155"/>
        <v>4345205</v>
      </c>
      <c r="M499" s="113">
        <f t="shared" si="155"/>
        <v>0</v>
      </c>
      <c r="N499" s="113">
        <f>N500+N501+N502</f>
        <v>0</v>
      </c>
      <c r="O499" s="113">
        <f t="shared" si="155"/>
        <v>4345205</v>
      </c>
      <c r="P499" s="113">
        <f t="shared" si="155"/>
        <v>0</v>
      </c>
      <c r="Q499" s="106" t="s">
        <v>40</v>
      </c>
      <c r="R499" s="114" t="s">
        <v>40</v>
      </c>
      <c r="S499" s="316">
        <v>43100</v>
      </c>
    </row>
    <row r="500" spans="1:19" s="1" customFormat="1" ht="15.6">
      <c r="A500" s="308">
        <v>104</v>
      </c>
      <c r="B500" s="363" t="s">
        <v>497</v>
      </c>
      <c r="C500" s="346">
        <v>1890</v>
      </c>
      <c r="D500" s="346"/>
      <c r="E500" s="311" t="s">
        <v>221</v>
      </c>
      <c r="F500" s="346">
        <v>2</v>
      </c>
      <c r="G500" s="346">
        <v>1</v>
      </c>
      <c r="H500" s="347">
        <v>339.6</v>
      </c>
      <c r="I500" s="350">
        <v>152.5</v>
      </c>
      <c r="J500" s="350">
        <v>128.1</v>
      </c>
      <c r="K500" s="349">
        <v>4</v>
      </c>
      <c r="L500" s="314">
        <v>784601</v>
      </c>
      <c r="M500" s="314">
        <v>0</v>
      </c>
      <c r="N500" s="314">
        <v>0</v>
      </c>
      <c r="O500" s="314">
        <v>784601</v>
      </c>
      <c r="P500" s="314">
        <v>0</v>
      </c>
      <c r="Q500" s="350">
        <f>L500/I500</f>
        <v>5144.9245901639342</v>
      </c>
      <c r="R500" s="315">
        <v>7822</v>
      </c>
      <c r="S500" s="316">
        <v>43100</v>
      </c>
    </row>
    <row r="501" spans="1:19" s="1" customFormat="1" ht="31.2">
      <c r="A501" s="308">
        <v>105</v>
      </c>
      <c r="B501" s="363" t="s">
        <v>498</v>
      </c>
      <c r="C501" s="346">
        <v>1964</v>
      </c>
      <c r="D501" s="346"/>
      <c r="E501" s="311" t="s">
        <v>218</v>
      </c>
      <c r="F501" s="346">
        <v>2</v>
      </c>
      <c r="G501" s="346">
        <v>2</v>
      </c>
      <c r="H501" s="347">
        <v>484.3</v>
      </c>
      <c r="I501" s="350">
        <v>470.6</v>
      </c>
      <c r="J501" s="350">
        <v>470.6</v>
      </c>
      <c r="K501" s="349">
        <v>18</v>
      </c>
      <c r="L501" s="314">
        <v>1513632</v>
      </c>
      <c r="M501" s="314">
        <v>0</v>
      </c>
      <c r="N501" s="314">
        <v>0</v>
      </c>
      <c r="O501" s="314">
        <v>1513632</v>
      </c>
      <c r="P501" s="314">
        <v>0</v>
      </c>
      <c r="Q501" s="350">
        <f>L501/I501</f>
        <v>3216.3875903102421</v>
      </c>
      <c r="R501" s="315">
        <v>7822</v>
      </c>
      <c r="S501" s="316">
        <v>43100</v>
      </c>
    </row>
    <row r="502" spans="1:19" s="1" customFormat="1" ht="31.2">
      <c r="A502" s="308">
        <v>106</v>
      </c>
      <c r="B502" s="363" t="s">
        <v>499</v>
      </c>
      <c r="C502" s="346">
        <v>1957</v>
      </c>
      <c r="D502" s="346"/>
      <c r="E502" s="311" t="s">
        <v>218</v>
      </c>
      <c r="F502" s="346">
        <v>2</v>
      </c>
      <c r="G502" s="346">
        <v>2</v>
      </c>
      <c r="H502" s="347">
        <v>815.8</v>
      </c>
      <c r="I502" s="350">
        <v>744.3</v>
      </c>
      <c r="J502" s="350">
        <v>744.3</v>
      </c>
      <c r="K502" s="349">
        <v>22</v>
      </c>
      <c r="L502" s="314">
        <v>2046972</v>
      </c>
      <c r="M502" s="314">
        <v>0</v>
      </c>
      <c r="N502" s="314">
        <v>0</v>
      </c>
      <c r="O502" s="314">
        <v>2046972</v>
      </c>
      <c r="P502" s="314">
        <v>0</v>
      </c>
      <c r="Q502" s="350">
        <f>L502/I502</f>
        <v>2750.1975010076585</v>
      </c>
      <c r="R502" s="315">
        <v>7822</v>
      </c>
      <c r="S502" s="316">
        <v>43100</v>
      </c>
    </row>
    <row r="503" spans="1:19" s="1" customFormat="1" ht="15.6">
      <c r="A503" s="107"/>
      <c r="B503" s="1411" t="s">
        <v>207</v>
      </c>
      <c r="C503" s="1411"/>
      <c r="D503" s="1411"/>
      <c r="E503" s="1411"/>
      <c r="F503" s="1411"/>
      <c r="G503" s="1411"/>
      <c r="H503" s="128">
        <f>SUM(H504:H510)</f>
        <v>59226.13</v>
      </c>
      <c r="I503" s="128">
        <f t="shared" ref="I503:K503" si="156">SUM(I504:I510)</f>
        <v>51865.630000000005</v>
      </c>
      <c r="J503" s="128">
        <f t="shared" si="156"/>
        <v>50847.83</v>
      </c>
      <c r="K503" s="128">
        <f t="shared" si="156"/>
        <v>2200</v>
      </c>
      <c r="L503" s="366">
        <f t="shared" ref="L503" si="157">SUM(L504:L510)</f>
        <v>21667282</v>
      </c>
      <c r="M503" s="366">
        <f t="shared" ref="M503:N503" si="158">SUM(M504:M510)</f>
        <v>0</v>
      </c>
      <c r="N503" s="366">
        <f t="shared" si="158"/>
        <v>0</v>
      </c>
      <c r="O503" s="366">
        <f t="shared" ref="O503" si="159">SUM(O504:O510)</f>
        <v>21667282</v>
      </c>
      <c r="P503" s="366">
        <f t="shared" ref="P503" si="160">SUM(P504:P510)</f>
        <v>0</v>
      </c>
      <c r="Q503" s="106" t="s">
        <v>40</v>
      </c>
      <c r="R503" s="106" t="s">
        <v>40</v>
      </c>
      <c r="S503" s="316">
        <v>43100</v>
      </c>
    </row>
    <row r="504" spans="1:19" s="21" customFormat="1" ht="15.6">
      <c r="A504" s="308">
        <v>107</v>
      </c>
      <c r="B504" s="460" t="s">
        <v>522</v>
      </c>
      <c r="C504" s="387">
        <v>1979</v>
      </c>
      <c r="D504" s="387"/>
      <c r="E504" s="311" t="s">
        <v>219</v>
      </c>
      <c r="F504" s="461">
        <v>5</v>
      </c>
      <c r="G504" s="461">
        <v>8</v>
      </c>
      <c r="H504" s="462">
        <v>4398.5</v>
      </c>
      <c r="I504" s="462">
        <v>3926.3</v>
      </c>
      <c r="J504" s="389">
        <v>3885.1</v>
      </c>
      <c r="K504" s="390">
        <v>168</v>
      </c>
      <c r="L504" s="314">
        <v>2609742</v>
      </c>
      <c r="M504" s="314">
        <v>0</v>
      </c>
      <c r="N504" s="314">
        <v>0</v>
      </c>
      <c r="O504" s="314">
        <f t="shared" ref="O504:O510" si="161">L504</f>
        <v>2609742</v>
      </c>
      <c r="P504" s="314">
        <v>0</v>
      </c>
      <c r="Q504" s="391">
        <f t="shared" ref="Q504:Q510" si="162">L504/I504</f>
        <v>664.68227084023124</v>
      </c>
      <c r="R504" s="315">
        <v>7822</v>
      </c>
      <c r="S504" s="316">
        <v>43100</v>
      </c>
    </row>
    <row r="505" spans="1:19" s="21" customFormat="1" ht="15.6">
      <c r="A505" s="308">
        <v>108</v>
      </c>
      <c r="B505" s="460" t="s">
        <v>523</v>
      </c>
      <c r="C505" s="387">
        <v>1987</v>
      </c>
      <c r="D505" s="387"/>
      <c r="E505" s="311" t="s">
        <v>219</v>
      </c>
      <c r="F505" s="461">
        <v>9</v>
      </c>
      <c r="G505" s="461">
        <v>3</v>
      </c>
      <c r="H505" s="462">
        <v>7692.2</v>
      </c>
      <c r="I505" s="462">
        <v>6696</v>
      </c>
      <c r="J505" s="389">
        <v>6564</v>
      </c>
      <c r="K505" s="390">
        <v>298</v>
      </c>
      <c r="L505" s="314">
        <v>2313974</v>
      </c>
      <c r="M505" s="314">
        <v>0</v>
      </c>
      <c r="N505" s="314">
        <v>0</v>
      </c>
      <c r="O505" s="314">
        <f t="shared" si="161"/>
        <v>2313974</v>
      </c>
      <c r="P505" s="314">
        <v>0</v>
      </c>
      <c r="Q505" s="391">
        <f t="shared" si="162"/>
        <v>345.57556750298687</v>
      </c>
      <c r="R505" s="315">
        <v>7822</v>
      </c>
      <c r="S505" s="316">
        <v>43100</v>
      </c>
    </row>
    <row r="506" spans="1:19" s="21" customFormat="1" ht="15.6">
      <c r="A506" s="308">
        <v>109</v>
      </c>
      <c r="B506" s="460" t="s">
        <v>524</v>
      </c>
      <c r="C506" s="387">
        <v>1985</v>
      </c>
      <c r="D506" s="387"/>
      <c r="E506" s="311" t="s">
        <v>219</v>
      </c>
      <c r="F506" s="461">
        <v>9</v>
      </c>
      <c r="G506" s="461">
        <v>6</v>
      </c>
      <c r="H506" s="462">
        <v>13232.03</v>
      </c>
      <c r="I506" s="462">
        <v>11510.63</v>
      </c>
      <c r="J506" s="389">
        <v>11085.93</v>
      </c>
      <c r="K506" s="390">
        <v>487</v>
      </c>
      <c r="L506" s="314">
        <v>4688365</v>
      </c>
      <c r="M506" s="314">
        <v>0</v>
      </c>
      <c r="N506" s="314">
        <v>0</v>
      </c>
      <c r="O506" s="314">
        <f t="shared" si="161"/>
        <v>4688365</v>
      </c>
      <c r="P506" s="314">
        <v>0</v>
      </c>
      <c r="Q506" s="391">
        <f t="shared" si="162"/>
        <v>407.30741931588454</v>
      </c>
      <c r="R506" s="315">
        <v>7822</v>
      </c>
      <c r="S506" s="316">
        <v>43100</v>
      </c>
    </row>
    <row r="507" spans="1:19" s="21" customFormat="1" ht="15.6">
      <c r="A507" s="308">
        <v>110</v>
      </c>
      <c r="B507" s="460" t="s">
        <v>525</v>
      </c>
      <c r="C507" s="387">
        <v>1981</v>
      </c>
      <c r="D507" s="387"/>
      <c r="E507" s="311" t="s">
        <v>219</v>
      </c>
      <c r="F507" s="461">
        <v>9</v>
      </c>
      <c r="G507" s="461">
        <v>1</v>
      </c>
      <c r="H507" s="462">
        <v>2545</v>
      </c>
      <c r="I507" s="462">
        <v>2208.1999999999998</v>
      </c>
      <c r="J507" s="389">
        <v>2208.1999999999998</v>
      </c>
      <c r="K507" s="390">
        <v>90</v>
      </c>
      <c r="L507" s="314">
        <v>924354</v>
      </c>
      <c r="M507" s="314">
        <v>0</v>
      </c>
      <c r="N507" s="314">
        <v>0</v>
      </c>
      <c r="O507" s="314">
        <f t="shared" si="161"/>
        <v>924354</v>
      </c>
      <c r="P507" s="314">
        <v>0</v>
      </c>
      <c r="Q507" s="391">
        <f t="shared" si="162"/>
        <v>418.60067022914592</v>
      </c>
      <c r="R507" s="315">
        <v>7822</v>
      </c>
      <c r="S507" s="316">
        <v>43100</v>
      </c>
    </row>
    <row r="508" spans="1:19" s="21" customFormat="1" ht="15.6">
      <c r="A508" s="308">
        <v>111</v>
      </c>
      <c r="B508" s="460" t="s">
        <v>526</v>
      </c>
      <c r="C508" s="387">
        <v>1981</v>
      </c>
      <c r="D508" s="387"/>
      <c r="E508" s="311" t="s">
        <v>219</v>
      </c>
      <c r="F508" s="461">
        <v>9</v>
      </c>
      <c r="G508" s="461">
        <v>2</v>
      </c>
      <c r="H508" s="462">
        <v>5082</v>
      </c>
      <c r="I508" s="462">
        <v>4531.1000000000004</v>
      </c>
      <c r="J508" s="389">
        <v>4352</v>
      </c>
      <c r="K508" s="390">
        <v>209</v>
      </c>
      <c r="L508" s="314">
        <v>1813705</v>
      </c>
      <c r="M508" s="314">
        <v>0</v>
      </c>
      <c r="N508" s="314">
        <v>0</v>
      </c>
      <c r="O508" s="314">
        <f t="shared" si="161"/>
        <v>1813705</v>
      </c>
      <c r="P508" s="314">
        <v>0</v>
      </c>
      <c r="Q508" s="391">
        <f t="shared" si="162"/>
        <v>400.27918165566859</v>
      </c>
      <c r="R508" s="315">
        <v>7822</v>
      </c>
      <c r="S508" s="316">
        <v>43100</v>
      </c>
    </row>
    <row r="509" spans="1:19" s="21" customFormat="1" ht="15.6">
      <c r="A509" s="308">
        <v>112</v>
      </c>
      <c r="B509" s="460" t="s">
        <v>527</v>
      </c>
      <c r="C509" s="387">
        <v>1987</v>
      </c>
      <c r="D509" s="387"/>
      <c r="E509" s="311" t="s">
        <v>219</v>
      </c>
      <c r="F509" s="461">
        <v>9</v>
      </c>
      <c r="G509" s="461">
        <v>6</v>
      </c>
      <c r="H509" s="462">
        <v>12965.8</v>
      </c>
      <c r="I509" s="462">
        <v>11429.2</v>
      </c>
      <c r="J509" s="389">
        <v>11247.7</v>
      </c>
      <c r="K509" s="390">
        <v>474</v>
      </c>
      <c r="L509" s="314">
        <v>4665548</v>
      </c>
      <c r="M509" s="314">
        <v>0</v>
      </c>
      <c r="N509" s="314">
        <v>0</v>
      </c>
      <c r="O509" s="314">
        <f t="shared" si="161"/>
        <v>4665548</v>
      </c>
      <c r="P509" s="314">
        <v>0</v>
      </c>
      <c r="Q509" s="391">
        <f t="shared" si="162"/>
        <v>408.21299828509427</v>
      </c>
      <c r="R509" s="315">
        <v>7822</v>
      </c>
      <c r="S509" s="316">
        <v>43100</v>
      </c>
    </row>
    <row r="510" spans="1:19" s="21" customFormat="1" ht="15.6">
      <c r="A510" s="308">
        <v>113</v>
      </c>
      <c r="B510" s="460" t="s">
        <v>528</v>
      </c>
      <c r="C510" s="387">
        <v>1983</v>
      </c>
      <c r="D510" s="387"/>
      <c r="E510" s="311" t="s">
        <v>219</v>
      </c>
      <c r="F510" s="461">
        <v>9</v>
      </c>
      <c r="G510" s="461">
        <v>6</v>
      </c>
      <c r="H510" s="462">
        <v>13310.6</v>
      </c>
      <c r="I510" s="462">
        <v>11564.2</v>
      </c>
      <c r="J510" s="389">
        <v>11504.9</v>
      </c>
      <c r="K510" s="390">
        <v>474</v>
      </c>
      <c r="L510" s="314">
        <v>4651594</v>
      </c>
      <c r="M510" s="314">
        <v>0</v>
      </c>
      <c r="N510" s="314">
        <v>0</v>
      </c>
      <c r="O510" s="314">
        <f t="shared" si="161"/>
        <v>4651594</v>
      </c>
      <c r="P510" s="314">
        <v>0</v>
      </c>
      <c r="Q510" s="391">
        <f t="shared" si="162"/>
        <v>402.24088134068933</v>
      </c>
      <c r="R510" s="315">
        <v>7822</v>
      </c>
      <c r="S510" s="316">
        <v>43100</v>
      </c>
    </row>
    <row r="511" spans="1:19" s="21" customFormat="1" ht="15.6">
      <c r="A511" s="308"/>
      <c r="B511" s="345"/>
      <c r="C511" s="387"/>
      <c r="D511" s="387"/>
      <c r="E511" s="311"/>
      <c r="F511" s="346"/>
      <c r="G511" s="346"/>
      <c r="H511" s="388"/>
      <c r="I511" s="389"/>
      <c r="J511" s="389"/>
      <c r="K511" s="390"/>
      <c r="L511" s="314"/>
      <c r="M511" s="314"/>
      <c r="N511" s="314"/>
      <c r="O511" s="314"/>
      <c r="P511" s="314"/>
      <c r="Q511" s="391"/>
      <c r="R511" s="315"/>
      <c r="S511" s="316"/>
    </row>
    <row r="512" spans="1:19" s="21" customFormat="1" ht="15.6">
      <c r="A512" s="308"/>
      <c r="B512" s="345"/>
      <c r="C512" s="387"/>
      <c r="D512" s="387"/>
      <c r="E512" s="311"/>
      <c r="F512" s="346"/>
      <c r="G512" s="346"/>
      <c r="H512" s="388"/>
      <c r="I512" s="389"/>
      <c r="J512" s="389"/>
      <c r="K512" s="390"/>
      <c r="L512" s="314"/>
      <c r="M512" s="314"/>
      <c r="N512" s="314"/>
      <c r="O512" s="314"/>
      <c r="P512" s="314"/>
      <c r="Q512" s="391"/>
      <c r="R512" s="315"/>
      <c r="S512" s="316"/>
    </row>
    <row r="513" spans="1:19" s="21" customFormat="1" ht="15.6">
      <c r="A513" s="308"/>
      <c r="B513" s="345"/>
      <c r="C513" s="346"/>
      <c r="D513" s="346"/>
      <c r="E513" s="311"/>
      <c r="F513" s="346"/>
      <c r="G513" s="346"/>
      <c r="H513" s="347"/>
      <c r="I513" s="392"/>
      <c r="J513" s="392"/>
      <c r="K513" s="349"/>
      <c r="L513" s="314"/>
      <c r="M513" s="314"/>
      <c r="N513" s="314"/>
      <c r="O513" s="314"/>
      <c r="P513" s="314"/>
      <c r="Q513" s="391"/>
      <c r="R513" s="315"/>
      <c r="S513" s="316"/>
    </row>
    <row r="514" spans="1:19" s="21" customFormat="1" ht="15.6">
      <c r="A514" s="308"/>
      <c r="B514" s="345"/>
      <c r="C514" s="387"/>
      <c r="D514" s="387"/>
      <c r="E514" s="311"/>
      <c r="F514" s="387"/>
      <c r="G514" s="387"/>
      <c r="H514" s="388"/>
      <c r="I514" s="389"/>
      <c r="J514" s="389"/>
      <c r="K514" s="390"/>
      <c r="L514" s="314"/>
      <c r="M514" s="314"/>
      <c r="N514" s="314"/>
      <c r="O514" s="314"/>
      <c r="P514" s="314"/>
      <c r="Q514" s="391"/>
      <c r="R514" s="315"/>
      <c r="S514" s="316"/>
    </row>
    <row r="515" spans="1:19" s="36" customFormat="1" ht="15.6">
      <c r="A515" s="107"/>
      <c r="B515" s="1411" t="s">
        <v>67</v>
      </c>
      <c r="C515" s="1411"/>
      <c r="D515" s="1411"/>
      <c r="E515" s="1411"/>
      <c r="F515" s="1411"/>
      <c r="G515" s="1411"/>
      <c r="H515" s="128">
        <f>H516+H518</f>
        <v>4794.6000000000004</v>
      </c>
      <c r="I515" s="162">
        <f t="shared" ref="I515:P515" si="163">I516+I518</f>
        <v>4684.8999999999996</v>
      </c>
      <c r="J515" s="106">
        <f>J516+J518</f>
        <v>4161</v>
      </c>
      <c r="K515" s="119">
        <f>K516+K518</f>
        <v>162</v>
      </c>
      <c r="L515" s="113">
        <f>L516+L518</f>
        <v>2859283.07</v>
      </c>
      <c r="M515" s="113">
        <f t="shared" si="163"/>
        <v>0</v>
      </c>
      <c r="N515" s="113">
        <f t="shared" si="163"/>
        <v>260236.27</v>
      </c>
      <c r="O515" s="113">
        <f>O516+O518</f>
        <v>2599046.7999999998</v>
      </c>
      <c r="P515" s="113">
        <f t="shared" si="163"/>
        <v>0</v>
      </c>
      <c r="Q515" s="114" t="s">
        <v>40</v>
      </c>
      <c r="R515" s="108" t="s">
        <v>40</v>
      </c>
      <c r="S515" s="316">
        <v>43100</v>
      </c>
    </row>
    <row r="516" spans="1:19" s="1" customFormat="1" ht="15.6">
      <c r="A516" s="107"/>
      <c r="B516" s="1411" t="s">
        <v>90</v>
      </c>
      <c r="C516" s="1411"/>
      <c r="D516" s="1411"/>
      <c r="E516" s="1411"/>
      <c r="F516" s="1411"/>
      <c r="G516" s="1411"/>
      <c r="H516" s="128">
        <f>H517</f>
        <v>1507.8</v>
      </c>
      <c r="I516" s="106">
        <f t="shared" ref="I516:P516" si="164">I517</f>
        <v>1398.1</v>
      </c>
      <c r="J516" s="106">
        <f t="shared" si="164"/>
        <v>1200.7</v>
      </c>
      <c r="K516" s="119">
        <f t="shared" si="164"/>
        <v>62</v>
      </c>
      <c r="L516" s="113">
        <f>L517</f>
        <v>728197.07</v>
      </c>
      <c r="M516" s="113">
        <f t="shared" si="164"/>
        <v>0</v>
      </c>
      <c r="N516" s="113">
        <f t="shared" si="164"/>
        <v>260236.27</v>
      </c>
      <c r="O516" s="113">
        <f t="shared" si="164"/>
        <v>467960.8</v>
      </c>
      <c r="P516" s="113">
        <f t="shared" si="164"/>
        <v>0</v>
      </c>
      <c r="Q516" s="114" t="s">
        <v>40</v>
      </c>
      <c r="R516" s="108" t="s">
        <v>40</v>
      </c>
      <c r="S516" s="316">
        <v>43100</v>
      </c>
    </row>
    <row r="517" spans="1:19" s="23" customFormat="1" ht="15.6">
      <c r="A517" s="107">
        <f>A514+1</f>
        <v>1</v>
      </c>
      <c r="B517" s="263" t="s">
        <v>429</v>
      </c>
      <c r="C517" s="118">
        <v>1983</v>
      </c>
      <c r="D517" s="182"/>
      <c r="E517" s="109" t="s">
        <v>219</v>
      </c>
      <c r="F517" s="118">
        <v>3</v>
      </c>
      <c r="G517" s="118">
        <v>3</v>
      </c>
      <c r="H517" s="128">
        <v>1507.8</v>
      </c>
      <c r="I517" s="106">
        <v>1398.1</v>
      </c>
      <c r="J517" s="106">
        <v>1200.7</v>
      </c>
      <c r="K517" s="119">
        <v>62</v>
      </c>
      <c r="L517" s="113">
        <v>728197.07</v>
      </c>
      <c r="M517" s="113">
        <v>0</v>
      </c>
      <c r="N517" s="113">
        <v>260236.27</v>
      </c>
      <c r="O517" s="113">
        <v>467960.8</v>
      </c>
      <c r="P517" s="113">
        <v>0</v>
      </c>
      <c r="Q517" s="106">
        <f>L517/I517</f>
        <v>520.84762892496963</v>
      </c>
      <c r="R517" s="114">
        <v>6774</v>
      </c>
      <c r="S517" s="316">
        <v>43100</v>
      </c>
    </row>
    <row r="518" spans="1:19" s="23" customFormat="1" ht="15.6">
      <c r="A518" s="308"/>
      <c r="B518" s="1459" t="s">
        <v>127</v>
      </c>
      <c r="C518" s="1459"/>
      <c r="D518" s="1459"/>
      <c r="E518" s="1459"/>
      <c r="F518" s="1459"/>
      <c r="G518" s="1459"/>
      <c r="H518" s="347">
        <f t="shared" ref="H518:M518" si="165">H519</f>
        <v>3286.8</v>
      </c>
      <c r="I518" s="350">
        <f t="shared" si="165"/>
        <v>3286.8</v>
      </c>
      <c r="J518" s="350">
        <f t="shared" si="165"/>
        <v>2960.3</v>
      </c>
      <c r="K518" s="349">
        <f t="shared" si="165"/>
        <v>100</v>
      </c>
      <c r="L518" s="314">
        <f t="shared" si="165"/>
        <v>2131086</v>
      </c>
      <c r="M518" s="314">
        <f t="shared" si="165"/>
        <v>0</v>
      </c>
      <c r="N518" s="314">
        <f t="shared" ref="N518:P518" si="166">N519</f>
        <v>0</v>
      </c>
      <c r="O518" s="314">
        <f t="shared" si="166"/>
        <v>2131086</v>
      </c>
      <c r="P518" s="314">
        <f t="shared" si="166"/>
        <v>0</v>
      </c>
      <c r="Q518" s="350" t="s">
        <v>40</v>
      </c>
      <c r="R518" s="310" t="s">
        <v>40</v>
      </c>
      <c r="S518" s="316">
        <v>43100</v>
      </c>
    </row>
    <row r="519" spans="1:19" s="23" customFormat="1" ht="25.95" customHeight="1">
      <c r="A519" s="308">
        <f>A517+1</f>
        <v>2</v>
      </c>
      <c r="B519" s="914" t="s">
        <v>686</v>
      </c>
      <c r="C519" s="308">
        <v>1977</v>
      </c>
      <c r="D519" s="308"/>
      <c r="E519" s="311" t="s">
        <v>219</v>
      </c>
      <c r="F519" s="308">
        <v>5</v>
      </c>
      <c r="G519" s="308">
        <v>4</v>
      </c>
      <c r="H519" s="759">
        <v>3286.8</v>
      </c>
      <c r="I519" s="308">
        <v>3286.8</v>
      </c>
      <c r="J519" s="308">
        <v>2960.3</v>
      </c>
      <c r="K519" s="586">
        <v>100</v>
      </c>
      <c r="L519" s="314">
        <v>2131086</v>
      </c>
      <c r="M519" s="314">
        <v>0</v>
      </c>
      <c r="N519" s="314">
        <v>0</v>
      </c>
      <c r="O519" s="314">
        <f>L519</f>
        <v>2131086</v>
      </c>
      <c r="P519" s="314">
        <v>0</v>
      </c>
      <c r="Q519" s="608">
        <f>L519/I519</f>
        <v>648.37714494340992</v>
      </c>
      <c r="R519" s="315">
        <v>7822</v>
      </c>
      <c r="S519" s="316">
        <v>43100</v>
      </c>
    </row>
    <row r="520" spans="1:19" s="23" customFormat="1" ht="21.75" customHeight="1">
      <c r="A520" s="1425" t="s">
        <v>206</v>
      </c>
      <c r="B520" s="1425"/>
      <c r="C520" s="1425"/>
      <c r="D520" s="1425"/>
      <c r="E520" s="1425"/>
      <c r="F520" s="1425"/>
      <c r="G520" s="1425"/>
      <c r="H520" s="1425"/>
      <c r="I520" s="1425"/>
      <c r="J520" s="1425"/>
      <c r="K520" s="1425"/>
      <c r="L520" s="1425"/>
      <c r="M520" s="1425"/>
      <c r="N520" s="1425"/>
      <c r="O520" s="1425"/>
      <c r="P520" s="1425"/>
      <c r="Q520" s="1425"/>
      <c r="R520" s="1425"/>
      <c r="S520" s="1425"/>
    </row>
    <row r="521" spans="1:19" s="23" customFormat="1" ht="19.5" customHeight="1">
      <c r="A521" s="107"/>
      <c r="B521" s="1424" t="s">
        <v>205</v>
      </c>
      <c r="C521" s="1424"/>
      <c r="D521" s="1424"/>
      <c r="E521" s="1424"/>
      <c r="F521" s="1424"/>
      <c r="G521" s="1424"/>
      <c r="H521" s="181">
        <f>H523+H532</f>
        <v>52786.899999999994</v>
      </c>
      <c r="I521" s="181">
        <f t="shared" ref="I521:P521" si="167">I523+I532</f>
        <v>46873.700000000004</v>
      </c>
      <c r="J521" s="181">
        <f t="shared" si="167"/>
        <v>46061</v>
      </c>
      <c r="K521" s="154">
        <f t="shared" si="167"/>
        <v>1629</v>
      </c>
      <c r="L521" s="113">
        <f t="shared" si="167"/>
        <v>7387178.6400000006</v>
      </c>
      <c r="M521" s="113">
        <f t="shared" si="167"/>
        <v>0</v>
      </c>
      <c r="N521" s="113">
        <f t="shared" si="167"/>
        <v>1365892</v>
      </c>
      <c r="O521" s="113">
        <f t="shared" si="167"/>
        <v>6021286.6400000006</v>
      </c>
      <c r="P521" s="113">
        <f t="shared" si="167"/>
        <v>0</v>
      </c>
      <c r="Q521" s="114" t="s">
        <v>40</v>
      </c>
      <c r="R521" s="108" t="s">
        <v>40</v>
      </c>
      <c r="S521" s="108" t="s">
        <v>40</v>
      </c>
    </row>
    <row r="522" spans="1:19" s="1" customFormat="1" ht="21.75" customHeight="1">
      <c r="A522" s="1425" t="s">
        <v>35</v>
      </c>
      <c r="B522" s="1425"/>
      <c r="C522" s="1425"/>
      <c r="D522" s="1425"/>
      <c r="E522" s="1425"/>
      <c r="F522" s="1425"/>
      <c r="G522" s="1425"/>
      <c r="H522" s="1425"/>
      <c r="I522" s="1425"/>
      <c r="J522" s="1425"/>
      <c r="K522" s="1425"/>
      <c r="L522" s="1425"/>
      <c r="M522" s="1425"/>
      <c r="N522" s="1425"/>
      <c r="O522" s="1425"/>
      <c r="P522" s="1425"/>
      <c r="Q522" s="1425"/>
      <c r="R522" s="1425"/>
      <c r="S522" s="1425"/>
    </row>
    <row r="523" spans="1:19" s="1" customFormat="1" ht="21.75" customHeight="1">
      <c r="A523" s="269"/>
      <c r="B523" s="1424" t="s">
        <v>20</v>
      </c>
      <c r="C523" s="1424"/>
      <c r="D523" s="1424"/>
      <c r="E523" s="1424"/>
      <c r="F523" s="1424"/>
      <c r="G523" s="1424"/>
      <c r="H523" s="111">
        <f>H524</f>
        <v>23801.1</v>
      </c>
      <c r="I523" s="111">
        <f t="shared" ref="I523:J523" si="168">I524</f>
        <v>20069.3</v>
      </c>
      <c r="J523" s="111">
        <f t="shared" si="168"/>
        <v>20069.3</v>
      </c>
      <c r="K523" s="112">
        <f>K524</f>
        <v>702</v>
      </c>
      <c r="L523" s="113">
        <f>L524</f>
        <v>2447351.64</v>
      </c>
      <c r="M523" s="113">
        <f t="shared" ref="M523:P523" si="169">M524</f>
        <v>0</v>
      </c>
      <c r="N523" s="113">
        <f t="shared" si="169"/>
        <v>0</v>
      </c>
      <c r="O523" s="113">
        <f t="shared" si="169"/>
        <v>2447351.64</v>
      </c>
      <c r="P523" s="113">
        <f t="shared" si="169"/>
        <v>0</v>
      </c>
      <c r="Q523" s="114" t="s">
        <v>40</v>
      </c>
      <c r="R523" s="108" t="s">
        <v>40</v>
      </c>
      <c r="S523" s="316">
        <v>43100</v>
      </c>
    </row>
    <row r="524" spans="1:19" s="37" customFormat="1" ht="15.75" customHeight="1">
      <c r="A524" s="99"/>
      <c r="B524" s="1424" t="s">
        <v>53</v>
      </c>
      <c r="C524" s="1424"/>
      <c r="D524" s="1424"/>
      <c r="E524" s="1424"/>
      <c r="F524" s="1424"/>
      <c r="G524" s="1424"/>
      <c r="H524" s="111">
        <f>H525</f>
        <v>23801.1</v>
      </c>
      <c r="I524" s="114">
        <f t="shared" ref="I524:P524" si="170">I525</f>
        <v>20069.3</v>
      </c>
      <c r="J524" s="114">
        <f t="shared" si="170"/>
        <v>20069.3</v>
      </c>
      <c r="K524" s="112">
        <f t="shared" si="170"/>
        <v>702</v>
      </c>
      <c r="L524" s="113">
        <f t="shared" si="170"/>
        <v>2447351.64</v>
      </c>
      <c r="M524" s="113">
        <f t="shared" si="170"/>
        <v>0</v>
      </c>
      <c r="N524" s="113">
        <f t="shared" si="170"/>
        <v>0</v>
      </c>
      <c r="O524" s="113">
        <f t="shared" si="170"/>
        <v>2447351.64</v>
      </c>
      <c r="P524" s="113">
        <f t="shared" si="170"/>
        <v>0</v>
      </c>
      <c r="Q524" s="114" t="s">
        <v>40</v>
      </c>
      <c r="R524" s="108" t="s">
        <v>40</v>
      </c>
      <c r="S524" s="316">
        <v>43100</v>
      </c>
    </row>
    <row r="525" spans="1:19" s="37" customFormat="1" ht="15.75" customHeight="1">
      <c r="A525" s="99"/>
      <c r="B525" s="1424" t="s">
        <v>88</v>
      </c>
      <c r="C525" s="1424"/>
      <c r="D525" s="1424"/>
      <c r="E525" s="1424"/>
      <c r="F525" s="1424"/>
      <c r="G525" s="1424"/>
      <c r="H525" s="111">
        <f t="shared" ref="H525:P525" si="171">SUM(H526:H530)</f>
        <v>23801.1</v>
      </c>
      <c r="I525" s="114">
        <f t="shared" si="171"/>
        <v>20069.3</v>
      </c>
      <c r="J525" s="114">
        <f t="shared" si="171"/>
        <v>20069.3</v>
      </c>
      <c r="K525" s="112">
        <f t="shared" si="171"/>
        <v>702</v>
      </c>
      <c r="L525" s="113">
        <f t="shared" si="171"/>
        <v>2447351.64</v>
      </c>
      <c r="M525" s="113">
        <f t="shared" si="171"/>
        <v>0</v>
      </c>
      <c r="N525" s="113">
        <f t="shared" si="171"/>
        <v>0</v>
      </c>
      <c r="O525" s="113">
        <f t="shared" si="171"/>
        <v>2447351.64</v>
      </c>
      <c r="P525" s="113">
        <f t="shared" si="171"/>
        <v>0</v>
      </c>
      <c r="Q525" s="114" t="s">
        <v>40</v>
      </c>
      <c r="R525" s="108" t="s">
        <v>40</v>
      </c>
      <c r="S525" s="316">
        <v>43100</v>
      </c>
    </row>
    <row r="526" spans="1:19" s="33" customFormat="1" ht="15.6">
      <c r="A526" s="269">
        <f>A519+1</f>
        <v>3</v>
      </c>
      <c r="B526" s="183" t="s">
        <v>359</v>
      </c>
      <c r="C526" s="184">
        <v>1975</v>
      </c>
      <c r="D526" s="129"/>
      <c r="E526" s="109" t="s">
        <v>219</v>
      </c>
      <c r="F526" s="99">
        <v>5</v>
      </c>
      <c r="G526" s="99">
        <v>4</v>
      </c>
      <c r="H526" s="180">
        <f>2075.9+150</f>
        <v>2225.9</v>
      </c>
      <c r="I526" s="100">
        <v>2075.9</v>
      </c>
      <c r="J526" s="100">
        <v>2075.9</v>
      </c>
      <c r="K526" s="101">
        <v>112</v>
      </c>
      <c r="L526" s="113">
        <v>203849</v>
      </c>
      <c r="M526" s="113">
        <v>0</v>
      </c>
      <c r="N526" s="113">
        <v>0</v>
      </c>
      <c r="O526" s="113">
        <f>L526</f>
        <v>203849</v>
      </c>
      <c r="P526" s="113">
        <v>0</v>
      </c>
      <c r="Q526" s="114">
        <f>L526/I526</f>
        <v>98.197890071776087</v>
      </c>
      <c r="R526" s="114">
        <v>6774</v>
      </c>
      <c r="S526" s="316">
        <v>43100</v>
      </c>
    </row>
    <row r="527" spans="1:19" s="33" customFormat="1" ht="15.6">
      <c r="A527" s="269">
        <f>A526+1</f>
        <v>4</v>
      </c>
      <c r="B527" s="183" t="s">
        <v>360</v>
      </c>
      <c r="C527" s="184">
        <v>1991</v>
      </c>
      <c r="D527" s="129"/>
      <c r="E527" s="109" t="s">
        <v>219</v>
      </c>
      <c r="F527" s="99">
        <v>9</v>
      </c>
      <c r="G527" s="99">
        <v>2</v>
      </c>
      <c r="H527" s="180">
        <f>4259.3+1200.8</f>
        <v>5460.1</v>
      </c>
      <c r="I527" s="100">
        <v>4259.3</v>
      </c>
      <c r="J527" s="100">
        <v>4259.3</v>
      </c>
      <c r="K527" s="101">
        <v>132</v>
      </c>
      <c r="L527" s="113">
        <v>489343.64</v>
      </c>
      <c r="M527" s="113">
        <v>0</v>
      </c>
      <c r="N527" s="113">
        <v>0</v>
      </c>
      <c r="O527" s="113">
        <f>L527</f>
        <v>489343.64</v>
      </c>
      <c r="P527" s="113">
        <v>0</v>
      </c>
      <c r="Q527" s="114">
        <f>L527/I527</f>
        <v>114.88827741647688</v>
      </c>
      <c r="R527" s="114">
        <v>6774</v>
      </c>
      <c r="S527" s="316">
        <v>43100</v>
      </c>
    </row>
    <row r="528" spans="1:19" s="33" customFormat="1" ht="15.6">
      <c r="A528" s="269">
        <f t="shared" ref="A528:A530" si="172">A527+1</f>
        <v>5</v>
      </c>
      <c r="B528" s="183" t="s">
        <v>432</v>
      </c>
      <c r="C528" s="184">
        <v>1978</v>
      </c>
      <c r="D528" s="129"/>
      <c r="E528" s="109" t="s">
        <v>219</v>
      </c>
      <c r="F528" s="99">
        <v>5</v>
      </c>
      <c r="G528" s="99">
        <v>6</v>
      </c>
      <c r="H528" s="180">
        <v>6071.5</v>
      </c>
      <c r="I528" s="100">
        <v>4592.3</v>
      </c>
      <c r="J528" s="100">
        <v>4592.3</v>
      </c>
      <c r="K528" s="101">
        <v>181</v>
      </c>
      <c r="L528" s="113">
        <v>395010</v>
      </c>
      <c r="M528" s="113">
        <v>0</v>
      </c>
      <c r="N528" s="113">
        <v>0</v>
      </c>
      <c r="O528" s="113">
        <f>L528</f>
        <v>395010</v>
      </c>
      <c r="P528" s="113">
        <v>0</v>
      </c>
      <c r="Q528" s="114">
        <f>L528/I528</f>
        <v>86.015721969383534</v>
      </c>
      <c r="R528" s="114">
        <v>6774</v>
      </c>
      <c r="S528" s="316">
        <v>43100</v>
      </c>
    </row>
    <row r="529" spans="1:19" s="33" customFormat="1" ht="15.6">
      <c r="A529" s="269">
        <f t="shared" si="172"/>
        <v>6</v>
      </c>
      <c r="B529" s="183" t="s">
        <v>431</v>
      </c>
      <c r="C529" s="184">
        <v>1980</v>
      </c>
      <c r="D529" s="129"/>
      <c r="E529" s="109" t="s">
        <v>219</v>
      </c>
      <c r="F529" s="99">
        <v>5</v>
      </c>
      <c r="G529" s="99">
        <v>6</v>
      </c>
      <c r="H529" s="180">
        <f>493.2+4644.3</f>
        <v>5137.5</v>
      </c>
      <c r="I529" s="100">
        <v>4644.3</v>
      </c>
      <c r="J529" s="100">
        <v>4644.3</v>
      </c>
      <c r="K529" s="101">
        <v>177</v>
      </c>
      <c r="L529" s="113">
        <v>285326</v>
      </c>
      <c r="M529" s="113">
        <v>0</v>
      </c>
      <c r="N529" s="113">
        <v>0</v>
      </c>
      <c r="O529" s="113">
        <f>L529</f>
        <v>285326</v>
      </c>
      <c r="P529" s="113">
        <v>0</v>
      </c>
      <c r="Q529" s="114">
        <f>L529/I529</f>
        <v>61.435738432056496</v>
      </c>
      <c r="R529" s="114">
        <v>6774</v>
      </c>
      <c r="S529" s="316">
        <v>43100</v>
      </c>
    </row>
    <row r="530" spans="1:19" s="33" customFormat="1" ht="31.2">
      <c r="A530" s="269">
        <f t="shared" si="172"/>
        <v>7</v>
      </c>
      <c r="B530" s="183" t="s">
        <v>358</v>
      </c>
      <c r="C530" s="184">
        <v>1973</v>
      </c>
      <c r="D530" s="129"/>
      <c r="E530" s="109" t="s">
        <v>218</v>
      </c>
      <c r="F530" s="99">
        <v>5</v>
      </c>
      <c r="G530" s="99">
        <v>6</v>
      </c>
      <c r="H530" s="180">
        <v>4906.1000000000004</v>
      </c>
      <c r="I530" s="100">
        <v>4497.5</v>
      </c>
      <c r="J530" s="100">
        <v>4497.5</v>
      </c>
      <c r="K530" s="101">
        <v>100</v>
      </c>
      <c r="L530" s="113">
        <v>1073823</v>
      </c>
      <c r="M530" s="113">
        <v>0</v>
      </c>
      <c r="N530" s="113">
        <v>0</v>
      </c>
      <c r="O530" s="113">
        <f>L530</f>
        <v>1073823</v>
      </c>
      <c r="P530" s="113">
        <v>0</v>
      </c>
      <c r="Q530" s="114">
        <f>L530/I530</f>
        <v>238.75997776542525</v>
      </c>
      <c r="R530" s="114">
        <v>6774</v>
      </c>
      <c r="S530" s="316">
        <v>43100</v>
      </c>
    </row>
    <row r="531" spans="1:19" s="1" customFormat="1" ht="34.5" customHeight="1">
      <c r="A531" s="1425" t="s">
        <v>37</v>
      </c>
      <c r="B531" s="1425"/>
      <c r="C531" s="1425"/>
      <c r="D531" s="1425"/>
      <c r="E531" s="1425"/>
      <c r="F531" s="1425"/>
      <c r="G531" s="1425"/>
      <c r="H531" s="1425"/>
      <c r="I531" s="1425"/>
      <c r="J531" s="1425"/>
      <c r="K531" s="1425"/>
      <c r="L531" s="1425"/>
      <c r="M531" s="1425"/>
      <c r="N531" s="1425"/>
      <c r="O531" s="1425"/>
      <c r="P531" s="1425"/>
      <c r="Q531" s="1425"/>
      <c r="R531" s="1425"/>
      <c r="S531" s="1425"/>
    </row>
    <row r="532" spans="1:19" s="1" customFormat="1" ht="15.6">
      <c r="A532" s="269"/>
      <c r="B532" s="1424" t="s">
        <v>20</v>
      </c>
      <c r="C532" s="1424"/>
      <c r="D532" s="1424"/>
      <c r="E532" s="1424"/>
      <c r="F532" s="1424"/>
      <c r="G532" s="1424"/>
      <c r="H532" s="111">
        <f>H533+H536</f>
        <v>28985.8</v>
      </c>
      <c r="I532" s="111">
        <f t="shared" ref="I532:L532" si="173">I533+I536</f>
        <v>26804.400000000005</v>
      </c>
      <c r="J532" s="111">
        <f t="shared" si="173"/>
        <v>25991.700000000004</v>
      </c>
      <c r="K532" s="112">
        <f>K533+K536</f>
        <v>927</v>
      </c>
      <c r="L532" s="113">
        <f t="shared" si="173"/>
        <v>4939827</v>
      </c>
      <c r="M532" s="113">
        <f t="shared" ref="M532" si="174">M533+M536</f>
        <v>0</v>
      </c>
      <c r="N532" s="113">
        <f t="shared" ref="N532" si="175">N533+N536</f>
        <v>1365892</v>
      </c>
      <c r="O532" s="113">
        <f t="shared" ref="O532" si="176">O533+O536</f>
        <v>3573935</v>
      </c>
      <c r="P532" s="113">
        <f t="shared" ref="P532" si="177">P533+P536</f>
        <v>0</v>
      </c>
      <c r="Q532" s="114" t="s">
        <v>40</v>
      </c>
      <c r="R532" s="108" t="s">
        <v>40</v>
      </c>
      <c r="S532" s="108" t="s">
        <v>40</v>
      </c>
    </row>
    <row r="533" spans="1:19" s="1" customFormat="1" ht="15.75" customHeight="1">
      <c r="A533" s="269"/>
      <c r="B533" s="1447" t="s">
        <v>58</v>
      </c>
      <c r="C533" s="1447"/>
      <c r="D533" s="1447"/>
      <c r="E533" s="1447"/>
      <c r="F533" s="1447"/>
      <c r="G533" s="1447"/>
      <c r="H533" s="127">
        <f>H534</f>
        <v>2121.5</v>
      </c>
      <c r="I533" s="104">
        <f t="shared" ref="I533:P533" si="178">I534</f>
        <v>1804.4</v>
      </c>
      <c r="J533" s="104">
        <f t="shared" si="178"/>
        <v>1335</v>
      </c>
      <c r="K533" s="105">
        <f t="shared" si="178"/>
        <v>48</v>
      </c>
      <c r="L533" s="113">
        <f t="shared" si="178"/>
        <v>215709</v>
      </c>
      <c r="M533" s="113">
        <f t="shared" si="178"/>
        <v>0</v>
      </c>
      <c r="N533" s="113">
        <f t="shared" si="178"/>
        <v>0</v>
      </c>
      <c r="O533" s="113">
        <f t="shared" si="178"/>
        <v>215709</v>
      </c>
      <c r="P533" s="113">
        <f t="shared" si="178"/>
        <v>0</v>
      </c>
      <c r="Q533" s="104" t="str">
        <f>Q534</f>
        <v>Х</v>
      </c>
      <c r="R533" s="104" t="str">
        <f t="shared" ref="R533" si="179">R534</f>
        <v>Х</v>
      </c>
      <c r="S533" s="104">
        <f t="shared" ref="S533" si="180">S534</f>
        <v>43100</v>
      </c>
    </row>
    <row r="534" spans="1:19" s="1" customFormat="1" ht="15.75" customHeight="1">
      <c r="A534" s="269"/>
      <c r="B534" s="1447" t="s">
        <v>87</v>
      </c>
      <c r="C534" s="1447"/>
      <c r="D534" s="1447"/>
      <c r="E534" s="1447"/>
      <c r="F534" s="1447"/>
      <c r="G534" s="1447"/>
      <c r="H534" s="127">
        <f>H535</f>
        <v>2121.5</v>
      </c>
      <c r="I534" s="104">
        <f t="shared" ref="I534:N534" si="181">I535</f>
        <v>1804.4</v>
      </c>
      <c r="J534" s="104">
        <f t="shared" si="181"/>
        <v>1335</v>
      </c>
      <c r="K534" s="105">
        <f t="shared" si="181"/>
        <v>48</v>
      </c>
      <c r="L534" s="113">
        <f>L535</f>
        <v>215709</v>
      </c>
      <c r="M534" s="113">
        <f t="shared" si="181"/>
        <v>0</v>
      </c>
      <c r="N534" s="113">
        <f t="shared" si="181"/>
        <v>0</v>
      </c>
      <c r="O534" s="113">
        <f>L534</f>
        <v>215709</v>
      </c>
      <c r="P534" s="113">
        <v>0</v>
      </c>
      <c r="Q534" s="104" t="s">
        <v>40</v>
      </c>
      <c r="R534" s="269" t="s">
        <v>40</v>
      </c>
      <c r="S534" s="316">
        <v>43100</v>
      </c>
    </row>
    <row r="535" spans="1:19" s="1" customFormat="1" ht="31.2">
      <c r="A535" s="269">
        <f>A530+1</f>
        <v>8</v>
      </c>
      <c r="B535" s="264" t="s">
        <v>433</v>
      </c>
      <c r="C535" s="99">
        <v>1959</v>
      </c>
      <c r="D535" s="109"/>
      <c r="E535" s="109" t="s">
        <v>218</v>
      </c>
      <c r="F535" s="185" t="s">
        <v>73</v>
      </c>
      <c r="G535" s="185" t="s">
        <v>74</v>
      </c>
      <c r="H535" s="180">
        <v>2121.5</v>
      </c>
      <c r="I535" s="100">
        <v>1804.4</v>
      </c>
      <c r="J535" s="100">
        <f>1379-44</f>
        <v>1335</v>
      </c>
      <c r="K535" s="101">
        <v>48</v>
      </c>
      <c r="L535" s="113">
        <v>215709</v>
      </c>
      <c r="M535" s="113">
        <v>0</v>
      </c>
      <c r="N535" s="113">
        <v>0</v>
      </c>
      <c r="O535" s="113">
        <f>L535</f>
        <v>215709</v>
      </c>
      <c r="P535" s="113">
        <v>0</v>
      </c>
      <c r="Q535" s="100">
        <f>L535/I535</f>
        <v>119.54610951008645</v>
      </c>
      <c r="R535" s="114">
        <v>6774</v>
      </c>
      <c r="S535" s="316">
        <v>43100</v>
      </c>
    </row>
    <row r="536" spans="1:19" s="1" customFormat="1" ht="33" customHeight="1">
      <c r="A536" s="387"/>
      <c r="B536" s="1437" t="s">
        <v>59</v>
      </c>
      <c r="C536" s="1437"/>
      <c r="D536" s="1437"/>
      <c r="E536" s="1437"/>
      <c r="F536" s="1437"/>
      <c r="G536" s="1437"/>
      <c r="H536" s="388">
        <f>H537+H545</f>
        <v>26864.3</v>
      </c>
      <c r="I536" s="388">
        <f t="shared" ref="I536:P536" si="182">I537+I545</f>
        <v>25000.000000000004</v>
      </c>
      <c r="J536" s="388">
        <f t="shared" si="182"/>
        <v>24656.700000000004</v>
      </c>
      <c r="K536" s="388">
        <f t="shared" si="182"/>
        <v>879</v>
      </c>
      <c r="L536" s="789">
        <f t="shared" si="182"/>
        <v>4724118</v>
      </c>
      <c r="M536" s="789">
        <f t="shared" si="182"/>
        <v>0</v>
      </c>
      <c r="N536" s="789">
        <f t="shared" si="182"/>
        <v>1365892</v>
      </c>
      <c r="O536" s="789">
        <f t="shared" si="182"/>
        <v>3358226</v>
      </c>
      <c r="P536" s="789">
        <f t="shared" si="182"/>
        <v>0</v>
      </c>
      <c r="Q536" s="391" t="str">
        <f>Q537</f>
        <v>Х</v>
      </c>
      <c r="R536" s="391" t="str">
        <f t="shared" ref="R536" si="183">R537</f>
        <v>Х</v>
      </c>
      <c r="S536" s="316">
        <v>43100</v>
      </c>
    </row>
    <row r="537" spans="1:19" s="1" customFormat="1" ht="31.95" customHeight="1">
      <c r="A537" s="308"/>
      <c r="B537" s="1433" t="s">
        <v>86</v>
      </c>
      <c r="C537" s="1433"/>
      <c r="D537" s="1433"/>
      <c r="E537" s="1433"/>
      <c r="F537" s="1433"/>
      <c r="G537" s="1433"/>
      <c r="H537" s="391">
        <f>SUM(H538:H544)</f>
        <v>4504.3</v>
      </c>
      <c r="I537" s="391">
        <f t="shared" ref="I537:P537" si="184">SUM(I538:I544)</f>
        <v>4381.0999999999995</v>
      </c>
      <c r="J537" s="391">
        <f t="shared" si="184"/>
        <v>4294.7999999999993</v>
      </c>
      <c r="K537" s="391">
        <f t="shared" si="184"/>
        <v>203</v>
      </c>
      <c r="L537" s="789">
        <f t="shared" si="184"/>
        <v>1839043</v>
      </c>
      <c r="M537" s="789">
        <f t="shared" si="184"/>
        <v>0</v>
      </c>
      <c r="N537" s="789">
        <f t="shared" si="184"/>
        <v>505745</v>
      </c>
      <c r="O537" s="789">
        <f t="shared" si="184"/>
        <v>1333298</v>
      </c>
      <c r="P537" s="789">
        <f t="shared" si="184"/>
        <v>0</v>
      </c>
      <c r="Q537" s="391" t="s">
        <v>40</v>
      </c>
      <c r="R537" s="387" t="s">
        <v>40</v>
      </c>
      <c r="S537" s="316">
        <v>43100</v>
      </c>
    </row>
    <row r="538" spans="1:19" s="1" customFormat="1" ht="31.2">
      <c r="A538" s="387">
        <v>1</v>
      </c>
      <c r="B538" s="915" t="s">
        <v>361</v>
      </c>
      <c r="C538" s="387">
        <v>1973</v>
      </c>
      <c r="D538" s="387"/>
      <c r="E538" s="311" t="s">
        <v>218</v>
      </c>
      <c r="F538" s="387">
        <v>2</v>
      </c>
      <c r="G538" s="387">
        <v>2</v>
      </c>
      <c r="H538" s="391">
        <v>524.29999999999995</v>
      </c>
      <c r="I538" s="391">
        <v>506.7</v>
      </c>
      <c r="J538" s="391">
        <v>506.7</v>
      </c>
      <c r="K538" s="387">
        <v>21</v>
      </c>
      <c r="L538" s="314">
        <v>392000</v>
      </c>
      <c r="M538" s="314">
        <v>0</v>
      </c>
      <c r="N538" s="314">
        <v>117600</v>
      </c>
      <c r="O538" s="314">
        <v>274400</v>
      </c>
      <c r="P538" s="314">
        <v>0</v>
      </c>
      <c r="Q538" s="391">
        <f>L538/I538</f>
        <v>773.63331359778965</v>
      </c>
      <c r="R538" s="315">
        <v>7822</v>
      </c>
      <c r="S538" s="316">
        <v>43100</v>
      </c>
    </row>
    <row r="539" spans="1:19" s="1" customFormat="1" ht="31.2">
      <c r="A539" s="387">
        <f>A538+1</f>
        <v>2</v>
      </c>
      <c r="B539" s="915" t="s">
        <v>434</v>
      </c>
      <c r="C539" s="387">
        <v>1992</v>
      </c>
      <c r="D539" s="387"/>
      <c r="E539" s="311" t="s">
        <v>218</v>
      </c>
      <c r="F539" s="387">
        <v>2</v>
      </c>
      <c r="G539" s="387">
        <v>2</v>
      </c>
      <c r="H539" s="391">
        <v>575.70000000000005</v>
      </c>
      <c r="I539" s="391">
        <v>558.1</v>
      </c>
      <c r="J539" s="391">
        <v>558.1</v>
      </c>
      <c r="K539" s="387">
        <v>25</v>
      </c>
      <c r="L539" s="314">
        <v>340900</v>
      </c>
      <c r="M539" s="314">
        <v>0</v>
      </c>
      <c r="N539" s="314">
        <v>102270</v>
      </c>
      <c r="O539" s="314">
        <v>238630</v>
      </c>
      <c r="P539" s="314">
        <v>0</v>
      </c>
      <c r="Q539" s="391">
        <f t="shared" ref="Q539:Q544" si="185">L539/I539</f>
        <v>610.82243325568891</v>
      </c>
      <c r="R539" s="315">
        <v>7822</v>
      </c>
      <c r="S539" s="316">
        <v>43100</v>
      </c>
    </row>
    <row r="540" spans="1:19" s="1" customFormat="1" ht="34.200000000000003" customHeight="1">
      <c r="A540" s="387">
        <f t="shared" ref="A540:A580" si="186">A539+1</f>
        <v>3</v>
      </c>
      <c r="B540" s="915" t="s">
        <v>362</v>
      </c>
      <c r="C540" s="387">
        <v>1974</v>
      </c>
      <c r="D540" s="387"/>
      <c r="E540" s="311" t="s">
        <v>219</v>
      </c>
      <c r="F540" s="387">
        <v>2</v>
      </c>
      <c r="G540" s="387">
        <v>2</v>
      </c>
      <c r="H540" s="391">
        <v>753.3</v>
      </c>
      <c r="I540" s="391">
        <v>735.7</v>
      </c>
      <c r="J540" s="391">
        <v>735.7</v>
      </c>
      <c r="K540" s="387">
        <v>26</v>
      </c>
      <c r="L540" s="314">
        <v>399000</v>
      </c>
      <c r="M540" s="314">
        <v>0</v>
      </c>
      <c r="N540" s="314">
        <v>119700</v>
      </c>
      <c r="O540" s="314">
        <v>279300</v>
      </c>
      <c r="P540" s="314">
        <v>0</v>
      </c>
      <c r="Q540" s="391">
        <f t="shared" si="185"/>
        <v>542.34062797335866</v>
      </c>
      <c r="R540" s="315">
        <v>7822</v>
      </c>
      <c r="S540" s="316">
        <v>43100</v>
      </c>
    </row>
    <row r="541" spans="1:19" s="1" customFormat="1" ht="31.2">
      <c r="A541" s="387">
        <f t="shared" si="186"/>
        <v>4</v>
      </c>
      <c r="B541" s="915" t="s">
        <v>363</v>
      </c>
      <c r="C541" s="387">
        <v>1976</v>
      </c>
      <c r="D541" s="387"/>
      <c r="E541" s="311" t="s">
        <v>218</v>
      </c>
      <c r="F541" s="387">
        <v>2</v>
      </c>
      <c r="G541" s="387">
        <v>2</v>
      </c>
      <c r="H541" s="391">
        <v>789.3</v>
      </c>
      <c r="I541" s="391">
        <v>771.7</v>
      </c>
      <c r="J541" s="391">
        <v>771.7</v>
      </c>
      <c r="K541" s="387">
        <v>41</v>
      </c>
      <c r="L541" s="314">
        <v>216335</v>
      </c>
      <c r="M541" s="314">
        <v>0</v>
      </c>
      <c r="N541" s="314">
        <v>43267</v>
      </c>
      <c r="O541" s="314">
        <v>173068</v>
      </c>
      <c r="P541" s="314">
        <v>0</v>
      </c>
      <c r="Q541" s="391">
        <f t="shared" si="185"/>
        <v>280.33562265128933</v>
      </c>
      <c r="R541" s="315">
        <v>7822</v>
      </c>
      <c r="S541" s="316">
        <v>43100</v>
      </c>
    </row>
    <row r="542" spans="1:19" s="1" customFormat="1" ht="31.2">
      <c r="A542" s="387">
        <f t="shared" si="186"/>
        <v>5</v>
      </c>
      <c r="B542" s="915" t="s">
        <v>364</v>
      </c>
      <c r="C542" s="387">
        <v>1967</v>
      </c>
      <c r="D542" s="387"/>
      <c r="E542" s="311" t="s">
        <v>218</v>
      </c>
      <c r="F542" s="387">
        <v>2</v>
      </c>
      <c r="G542" s="387">
        <v>1</v>
      </c>
      <c r="H542" s="391">
        <v>310.8</v>
      </c>
      <c r="I542" s="391">
        <v>302</v>
      </c>
      <c r="J542" s="391">
        <v>271.60000000000002</v>
      </c>
      <c r="K542" s="387">
        <v>21</v>
      </c>
      <c r="L542" s="314">
        <v>243345</v>
      </c>
      <c r="M542" s="314">
        <v>0</v>
      </c>
      <c r="N542" s="314">
        <v>48669</v>
      </c>
      <c r="O542" s="314">
        <v>194676</v>
      </c>
      <c r="P542" s="314">
        <v>0</v>
      </c>
      <c r="Q542" s="391">
        <f t="shared" si="185"/>
        <v>805.77814569536429</v>
      </c>
      <c r="R542" s="315">
        <v>7822</v>
      </c>
      <c r="S542" s="316">
        <v>43100</v>
      </c>
    </row>
    <row r="543" spans="1:19" s="1" customFormat="1" ht="31.2">
      <c r="A543" s="387">
        <f t="shared" si="186"/>
        <v>6</v>
      </c>
      <c r="B543" s="915" t="s">
        <v>365</v>
      </c>
      <c r="C543" s="387">
        <v>1968</v>
      </c>
      <c r="D543" s="387"/>
      <c r="E543" s="311" t="s">
        <v>218</v>
      </c>
      <c r="F543" s="387" t="s">
        <v>70</v>
      </c>
      <c r="G543" s="387">
        <v>2</v>
      </c>
      <c r="H543" s="391">
        <v>538.20000000000005</v>
      </c>
      <c r="I543" s="391">
        <v>520.6</v>
      </c>
      <c r="J543" s="391">
        <v>464.7</v>
      </c>
      <c r="K543" s="387">
        <v>24</v>
      </c>
      <c r="L543" s="314">
        <v>139342</v>
      </c>
      <c r="M543" s="314">
        <v>0</v>
      </c>
      <c r="N543" s="314">
        <v>41803</v>
      </c>
      <c r="O543" s="314">
        <v>97539</v>
      </c>
      <c r="P543" s="314">
        <v>0</v>
      </c>
      <c r="Q543" s="391">
        <f t="shared" si="185"/>
        <v>267.65655013446025</v>
      </c>
      <c r="R543" s="315">
        <v>7822</v>
      </c>
      <c r="S543" s="316">
        <v>43100</v>
      </c>
    </row>
    <row r="544" spans="1:19" s="1" customFormat="1" ht="31.2">
      <c r="A544" s="387">
        <f t="shared" si="186"/>
        <v>7</v>
      </c>
      <c r="B544" s="915" t="s">
        <v>366</v>
      </c>
      <c r="C544" s="387">
        <v>1978</v>
      </c>
      <c r="D544" s="387"/>
      <c r="E544" s="311" t="s">
        <v>218</v>
      </c>
      <c r="F544" s="387">
        <v>2</v>
      </c>
      <c r="G544" s="387">
        <v>3</v>
      </c>
      <c r="H544" s="391">
        <v>1012.7</v>
      </c>
      <c r="I544" s="391">
        <v>986.3</v>
      </c>
      <c r="J544" s="391">
        <v>986.3</v>
      </c>
      <c r="K544" s="387">
        <v>45</v>
      </c>
      <c r="L544" s="314">
        <v>108121</v>
      </c>
      <c r="M544" s="314">
        <v>0</v>
      </c>
      <c r="N544" s="314">
        <v>32436</v>
      </c>
      <c r="O544" s="314">
        <v>75685</v>
      </c>
      <c r="P544" s="314">
        <v>0</v>
      </c>
      <c r="Q544" s="391">
        <f t="shared" si="185"/>
        <v>109.62283280949002</v>
      </c>
      <c r="R544" s="315">
        <v>7822</v>
      </c>
      <c r="S544" s="316">
        <v>43100</v>
      </c>
    </row>
    <row r="545" spans="1:19" s="1" customFormat="1" ht="28.2" customHeight="1">
      <c r="A545" s="387"/>
      <c r="B545" s="1433" t="s">
        <v>85</v>
      </c>
      <c r="C545" s="1433"/>
      <c r="D545" s="1433"/>
      <c r="E545" s="1433"/>
      <c r="F545" s="1433"/>
      <c r="G545" s="1433"/>
      <c r="H545" s="312">
        <f>SUM(H546:H580)</f>
        <v>22360</v>
      </c>
      <c r="I545" s="312">
        <f t="shared" ref="I545:P545" si="187">SUM(I546:I580)</f>
        <v>20618.900000000005</v>
      </c>
      <c r="J545" s="312">
        <f t="shared" si="187"/>
        <v>20361.900000000005</v>
      </c>
      <c r="K545" s="312">
        <f t="shared" si="187"/>
        <v>676</v>
      </c>
      <c r="L545" s="709">
        <f t="shared" si="187"/>
        <v>2885075</v>
      </c>
      <c r="M545" s="709">
        <f t="shared" si="187"/>
        <v>0</v>
      </c>
      <c r="N545" s="709">
        <f t="shared" si="187"/>
        <v>860147</v>
      </c>
      <c r="O545" s="709">
        <f t="shared" si="187"/>
        <v>2024928</v>
      </c>
      <c r="P545" s="709">
        <f t="shared" si="187"/>
        <v>0</v>
      </c>
      <c r="Q545" s="315" t="s">
        <v>40</v>
      </c>
      <c r="R545" s="310" t="s">
        <v>40</v>
      </c>
      <c r="S545" s="316">
        <v>43100</v>
      </c>
    </row>
    <row r="546" spans="1:19" s="1" customFormat="1" ht="46.95" customHeight="1">
      <c r="A546" s="387">
        <v>8</v>
      </c>
      <c r="B546" s="915" t="s">
        <v>890</v>
      </c>
      <c r="C546" s="387">
        <v>1981</v>
      </c>
      <c r="D546" s="387"/>
      <c r="E546" s="311" t="s">
        <v>218</v>
      </c>
      <c r="F546" s="387">
        <v>2</v>
      </c>
      <c r="G546" s="387">
        <v>1</v>
      </c>
      <c r="H546" s="391">
        <v>371.8</v>
      </c>
      <c r="I546" s="391">
        <v>346</v>
      </c>
      <c r="J546" s="391">
        <v>346</v>
      </c>
      <c r="K546" s="387">
        <v>11</v>
      </c>
      <c r="L546" s="314">
        <f>N546+O546</f>
        <v>25264</v>
      </c>
      <c r="M546" s="314">
        <v>0</v>
      </c>
      <c r="N546" s="314">
        <v>7579</v>
      </c>
      <c r="O546" s="314">
        <v>17685</v>
      </c>
      <c r="P546" s="314">
        <v>0</v>
      </c>
      <c r="Q546" s="391">
        <f>L546/I546</f>
        <v>73.017341040462426</v>
      </c>
      <c r="R546" s="315">
        <v>7822</v>
      </c>
      <c r="S546" s="316">
        <v>43100</v>
      </c>
    </row>
    <row r="547" spans="1:19" s="1" customFormat="1" ht="43.95" customHeight="1">
      <c r="A547" s="387">
        <f t="shared" si="186"/>
        <v>9</v>
      </c>
      <c r="B547" s="915" t="s">
        <v>891</v>
      </c>
      <c r="C547" s="387">
        <v>1981</v>
      </c>
      <c r="D547" s="387"/>
      <c r="E547" s="311" t="s">
        <v>218</v>
      </c>
      <c r="F547" s="387" t="s">
        <v>71</v>
      </c>
      <c r="G547" s="387">
        <v>1</v>
      </c>
      <c r="H547" s="391">
        <v>384.5</v>
      </c>
      <c r="I547" s="391">
        <v>361.4</v>
      </c>
      <c r="J547" s="391">
        <v>361.4</v>
      </c>
      <c r="K547" s="387">
        <v>9</v>
      </c>
      <c r="L547" s="314">
        <f t="shared" ref="L547:L580" si="188">N547+O547</f>
        <v>25312</v>
      </c>
      <c r="M547" s="314">
        <v>0</v>
      </c>
      <c r="N547" s="314">
        <v>7593</v>
      </c>
      <c r="O547" s="314">
        <v>17719</v>
      </c>
      <c r="P547" s="314">
        <v>0</v>
      </c>
      <c r="Q547" s="391">
        <f t="shared" ref="Q547:Q580" si="189">L547/I547</f>
        <v>70.038738240177096</v>
      </c>
      <c r="R547" s="315">
        <v>7822</v>
      </c>
      <c r="S547" s="316">
        <v>43100</v>
      </c>
    </row>
    <row r="548" spans="1:19" s="1" customFormat="1" ht="31.2">
      <c r="A548" s="387">
        <f t="shared" si="186"/>
        <v>10</v>
      </c>
      <c r="B548" s="915" t="s">
        <v>892</v>
      </c>
      <c r="C548" s="387">
        <v>1982</v>
      </c>
      <c r="D548" s="387"/>
      <c r="E548" s="311" t="s">
        <v>218</v>
      </c>
      <c r="F548" s="387">
        <v>2</v>
      </c>
      <c r="G548" s="387">
        <v>1</v>
      </c>
      <c r="H548" s="391">
        <v>381.1</v>
      </c>
      <c r="I548" s="391">
        <v>356.8</v>
      </c>
      <c r="J548" s="391">
        <v>356.8</v>
      </c>
      <c r="K548" s="387">
        <v>12</v>
      </c>
      <c r="L548" s="314">
        <f t="shared" si="188"/>
        <v>25264</v>
      </c>
      <c r="M548" s="314">
        <v>0</v>
      </c>
      <c r="N548" s="314">
        <v>7579</v>
      </c>
      <c r="O548" s="314">
        <v>17685</v>
      </c>
      <c r="P548" s="314">
        <v>0</v>
      </c>
      <c r="Q548" s="391">
        <f t="shared" si="189"/>
        <v>70.807174887892373</v>
      </c>
      <c r="R548" s="315">
        <v>7822</v>
      </c>
      <c r="S548" s="316">
        <v>43100</v>
      </c>
    </row>
    <row r="549" spans="1:19" s="1" customFormat="1" ht="31.2">
      <c r="A549" s="387">
        <f t="shared" si="186"/>
        <v>11</v>
      </c>
      <c r="B549" s="915" t="s">
        <v>893</v>
      </c>
      <c r="C549" s="387">
        <v>1992</v>
      </c>
      <c r="D549" s="387"/>
      <c r="E549" s="311" t="s">
        <v>218</v>
      </c>
      <c r="F549" s="387">
        <v>2</v>
      </c>
      <c r="G549" s="387">
        <v>2</v>
      </c>
      <c r="H549" s="391">
        <v>723.9</v>
      </c>
      <c r="I549" s="391">
        <v>648.20000000000005</v>
      </c>
      <c r="J549" s="391">
        <v>648.20000000000005</v>
      </c>
      <c r="K549" s="387">
        <v>20</v>
      </c>
      <c r="L549" s="314">
        <f t="shared" si="188"/>
        <v>284600</v>
      </c>
      <c r="M549" s="314">
        <v>0</v>
      </c>
      <c r="N549" s="314">
        <v>85380</v>
      </c>
      <c r="O549" s="314">
        <v>199220</v>
      </c>
      <c r="P549" s="314">
        <v>0</v>
      </c>
      <c r="Q549" s="391">
        <f t="shared" si="189"/>
        <v>439.06201789571116</v>
      </c>
      <c r="R549" s="315">
        <v>7822</v>
      </c>
      <c r="S549" s="316">
        <v>43100</v>
      </c>
    </row>
    <row r="550" spans="1:19" s="1" customFormat="1" ht="31.2">
      <c r="A550" s="387">
        <f t="shared" si="186"/>
        <v>12</v>
      </c>
      <c r="B550" s="915" t="s">
        <v>894</v>
      </c>
      <c r="C550" s="387">
        <v>1984</v>
      </c>
      <c r="D550" s="387"/>
      <c r="E550" s="311" t="s">
        <v>218</v>
      </c>
      <c r="F550" s="387">
        <v>2</v>
      </c>
      <c r="G550" s="387">
        <v>1</v>
      </c>
      <c r="H550" s="391">
        <v>380.9</v>
      </c>
      <c r="I550" s="391">
        <v>356.2</v>
      </c>
      <c r="J550" s="391">
        <v>313.3</v>
      </c>
      <c r="K550" s="387">
        <v>11</v>
      </c>
      <c r="L550" s="314">
        <f t="shared" si="188"/>
        <v>25505</v>
      </c>
      <c r="M550" s="314">
        <v>0</v>
      </c>
      <c r="N550" s="314">
        <v>7651</v>
      </c>
      <c r="O550" s="314">
        <v>17854</v>
      </c>
      <c r="P550" s="314">
        <v>0</v>
      </c>
      <c r="Q550" s="391">
        <f t="shared" si="189"/>
        <v>71.603032004491865</v>
      </c>
      <c r="R550" s="315">
        <v>7822</v>
      </c>
      <c r="S550" s="316">
        <v>43100</v>
      </c>
    </row>
    <row r="551" spans="1:19" s="1" customFormat="1" ht="31.2">
      <c r="A551" s="387">
        <f t="shared" si="186"/>
        <v>13</v>
      </c>
      <c r="B551" s="915" t="s">
        <v>895</v>
      </c>
      <c r="C551" s="387">
        <v>1985</v>
      </c>
      <c r="D551" s="387"/>
      <c r="E551" s="311" t="s">
        <v>218</v>
      </c>
      <c r="F551" s="387">
        <v>2</v>
      </c>
      <c r="G551" s="387">
        <v>1</v>
      </c>
      <c r="H551" s="391">
        <v>397.7</v>
      </c>
      <c r="I551" s="391">
        <v>371.1</v>
      </c>
      <c r="J551" s="391">
        <v>371.1</v>
      </c>
      <c r="K551" s="387">
        <v>10</v>
      </c>
      <c r="L551" s="314">
        <v>25168</v>
      </c>
      <c r="M551" s="314">
        <v>0</v>
      </c>
      <c r="N551" s="314">
        <v>7550</v>
      </c>
      <c r="O551" s="314">
        <v>17618</v>
      </c>
      <c r="P551" s="314">
        <v>0</v>
      </c>
      <c r="Q551" s="391">
        <f t="shared" si="189"/>
        <v>67.819994610617087</v>
      </c>
      <c r="R551" s="315">
        <v>7822</v>
      </c>
      <c r="S551" s="316">
        <v>43100</v>
      </c>
    </row>
    <row r="552" spans="1:19" s="1" customFormat="1" ht="39.6" customHeight="1">
      <c r="A552" s="387">
        <f t="shared" si="186"/>
        <v>14</v>
      </c>
      <c r="B552" s="915" t="s">
        <v>896</v>
      </c>
      <c r="C552" s="387">
        <v>1993</v>
      </c>
      <c r="D552" s="387"/>
      <c r="E552" s="311" t="s">
        <v>218</v>
      </c>
      <c r="F552" s="387">
        <v>2</v>
      </c>
      <c r="G552" s="387">
        <v>2</v>
      </c>
      <c r="H552" s="391">
        <v>642</v>
      </c>
      <c r="I552" s="391">
        <v>605.29999999999995</v>
      </c>
      <c r="J552" s="391">
        <v>605.29999999999995</v>
      </c>
      <c r="K552" s="387">
        <v>19</v>
      </c>
      <c r="L552" s="314">
        <f t="shared" si="188"/>
        <v>299445</v>
      </c>
      <c r="M552" s="314">
        <v>0</v>
      </c>
      <c r="N552" s="314">
        <v>89834</v>
      </c>
      <c r="O552" s="314">
        <v>209611</v>
      </c>
      <c r="P552" s="314">
        <v>0</v>
      </c>
      <c r="Q552" s="391">
        <f t="shared" si="189"/>
        <v>494.70510490665788</v>
      </c>
      <c r="R552" s="315">
        <v>7822</v>
      </c>
      <c r="S552" s="316">
        <v>43100</v>
      </c>
    </row>
    <row r="553" spans="1:19" s="1" customFormat="1" ht="38.4" customHeight="1">
      <c r="A553" s="387">
        <f t="shared" si="186"/>
        <v>15</v>
      </c>
      <c r="B553" s="915" t="s">
        <v>897</v>
      </c>
      <c r="C553" s="387">
        <v>1984</v>
      </c>
      <c r="D553" s="387"/>
      <c r="E553" s="311" t="s">
        <v>218</v>
      </c>
      <c r="F553" s="387">
        <v>2</v>
      </c>
      <c r="G553" s="387">
        <v>1</v>
      </c>
      <c r="H553" s="391">
        <v>387.4</v>
      </c>
      <c r="I553" s="391">
        <v>362.2</v>
      </c>
      <c r="J553" s="391">
        <v>362.2</v>
      </c>
      <c r="K553" s="387">
        <v>8</v>
      </c>
      <c r="L553" s="314">
        <f t="shared" si="188"/>
        <v>32502</v>
      </c>
      <c r="M553" s="314">
        <v>0</v>
      </c>
      <c r="N553" s="314">
        <v>9751</v>
      </c>
      <c r="O553" s="314">
        <v>22751</v>
      </c>
      <c r="P553" s="314">
        <v>0</v>
      </c>
      <c r="Q553" s="391">
        <f t="shared" si="189"/>
        <v>89.734953064605193</v>
      </c>
      <c r="R553" s="315">
        <v>7822</v>
      </c>
      <c r="S553" s="316">
        <v>43100</v>
      </c>
    </row>
    <row r="554" spans="1:19" s="1" customFormat="1" ht="31.2">
      <c r="A554" s="387">
        <f t="shared" si="186"/>
        <v>16</v>
      </c>
      <c r="B554" s="915" t="s">
        <v>898</v>
      </c>
      <c r="C554" s="387">
        <v>1991</v>
      </c>
      <c r="D554" s="387"/>
      <c r="E554" s="311" t="s">
        <v>218</v>
      </c>
      <c r="F554" s="387">
        <v>2</v>
      </c>
      <c r="G554" s="387">
        <v>2</v>
      </c>
      <c r="H554" s="391">
        <v>640.4</v>
      </c>
      <c r="I554" s="391">
        <v>604.70000000000005</v>
      </c>
      <c r="J554" s="391">
        <v>604.70000000000005</v>
      </c>
      <c r="K554" s="387">
        <v>19</v>
      </c>
      <c r="L554" s="314">
        <f t="shared" si="188"/>
        <v>50721</v>
      </c>
      <c r="M554" s="314">
        <v>0</v>
      </c>
      <c r="N554" s="314">
        <v>15216</v>
      </c>
      <c r="O554" s="314">
        <v>35505</v>
      </c>
      <c r="P554" s="314">
        <v>0</v>
      </c>
      <c r="Q554" s="391">
        <f t="shared" si="189"/>
        <v>83.877956011245246</v>
      </c>
      <c r="R554" s="315">
        <v>7822</v>
      </c>
      <c r="S554" s="316">
        <v>43100</v>
      </c>
    </row>
    <row r="555" spans="1:19" s="1" customFormat="1" ht="31.2">
      <c r="A555" s="387">
        <f t="shared" si="186"/>
        <v>17</v>
      </c>
      <c r="B555" s="915" t="s">
        <v>899</v>
      </c>
      <c r="C555" s="387">
        <v>1989</v>
      </c>
      <c r="D555" s="387"/>
      <c r="E555" s="311" t="s">
        <v>218</v>
      </c>
      <c r="F555" s="387">
        <v>2</v>
      </c>
      <c r="G555" s="387">
        <v>2</v>
      </c>
      <c r="H555" s="391">
        <v>644.9</v>
      </c>
      <c r="I555" s="391">
        <v>588.6</v>
      </c>
      <c r="J555" s="391">
        <v>588.6</v>
      </c>
      <c r="K555" s="387">
        <v>24</v>
      </c>
      <c r="L555" s="314">
        <f t="shared" si="188"/>
        <v>257869</v>
      </c>
      <c r="M555" s="314">
        <v>0</v>
      </c>
      <c r="N555" s="314">
        <v>77360</v>
      </c>
      <c r="O555" s="314">
        <v>180509</v>
      </c>
      <c r="P555" s="314">
        <v>0</v>
      </c>
      <c r="Q555" s="391">
        <f t="shared" si="189"/>
        <v>438.10567448182127</v>
      </c>
      <c r="R555" s="315">
        <v>7822</v>
      </c>
      <c r="S555" s="316">
        <v>43100</v>
      </c>
    </row>
    <row r="556" spans="1:19" s="1" customFormat="1" ht="31.2">
      <c r="A556" s="387">
        <f t="shared" si="186"/>
        <v>18</v>
      </c>
      <c r="B556" s="915" t="s">
        <v>900</v>
      </c>
      <c r="C556" s="387">
        <v>1987</v>
      </c>
      <c r="D556" s="387"/>
      <c r="E556" s="311" t="s">
        <v>218</v>
      </c>
      <c r="F556" s="387">
        <v>2</v>
      </c>
      <c r="G556" s="387">
        <v>1</v>
      </c>
      <c r="H556" s="391">
        <v>394</v>
      </c>
      <c r="I556" s="391">
        <v>359.3</v>
      </c>
      <c r="J556" s="391">
        <v>301.8</v>
      </c>
      <c r="K556" s="387">
        <v>14</v>
      </c>
      <c r="L556" s="314">
        <f t="shared" si="188"/>
        <v>28738</v>
      </c>
      <c r="M556" s="314">
        <v>0</v>
      </c>
      <c r="N556" s="314">
        <v>8621</v>
      </c>
      <c r="O556" s="314">
        <v>20117</v>
      </c>
      <c r="P556" s="314">
        <v>0</v>
      </c>
      <c r="Q556" s="391">
        <f t="shared" si="189"/>
        <v>79.983300862788752</v>
      </c>
      <c r="R556" s="315">
        <v>7822</v>
      </c>
      <c r="S556" s="316">
        <v>43100</v>
      </c>
    </row>
    <row r="557" spans="1:19" s="1" customFormat="1" ht="31.2">
      <c r="A557" s="387">
        <f t="shared" si="186"/>
        <v>19</v>
      </c>
      <c r="B557" s="915" t="s">
        <v>901</v>
      </c>
      <c r="C557" s="387">
        <v>1985</v>
      </c>
      <c r="D557" s="387"/>
      <c r="E557" s="311" t="s">
        <v>218</v>
      </c>
      <c r="F557" s="387">
        <v>2</v>
      </c>
      <c r="G557" s="387">
        <v>1</v>
      </c>
      <c r="H557" s="391">
        <v>396.4</v>
      </c>
      <c r="I557" s="391">
        <v>361.4</v>
      </c>
      <c r="J557" s="391">
        <v>361.4</v>
      </c>
      <c r="K557" s="387">
        <v>7</v>
      </c>
      <c r="L557" s="314">
        <f t="shared" si="188"/>
        <v>32453</v>
      </c>
      <c r="M557" s="314">
        <v>0</v>
      </c>
      <c r="N557" s="314">
        <v>9736</v>
      </c>
      <c r="O557" s="314">
        <v>22717</v>
      </c>
      <c r="P557" s="314">
        <v>0</v>
      </c>
      <c r="Q557" s="391">
        <f t="shared" si="189"/>
        <v>89.798007747648043</v>
      </c>
      <c r="R557" s="315">
        <v>7822</v>
      </c>
      <c r="S557" s="316">
        <v>43100</v>
      </c>
    </row>
    <row r="558" spans="1:19" s="1" customFormat="1" ht="31.2">
      <c r="A558" s="387">
        <f t="shared" si="186"/>
        <v>20</v>
      </c>
      <c r="B558" s="915" t="s">
        <v>902</v>
      </c>
      <c r="C558" s="387">
        <v>1987</v>
      </c>
      <c r="D558" s="387"/>
      <c r="E558" s="311" t="s">
        <v>218</v>
      </c>
      <c r="F558" s="387">
        <v>2</v>
      </c>
      <c r="G558" s="387">
        <v>1</v>
      </c>
      <c r="H558" s="391">
        <v>354.6</v>
      </c>
      <c r="I558" s="391">
        <v>354.6</v>
      </c>
      <c r="J558" s="391">
        <v>354.6</v>
      </c>
      <c r="K558" s="387">
        <v>10</v>
      </c>
      <c r="L558" s="314">
        <f t="shared" si="188"/>
        <v>25023</v>
      </c>
      <c r="M558" s="314">
        <v>0</v>
      </c>
      <c r="N558" s="314">
        <v>7507</v>
      </c>
      <c r="O558" s="314">
        <v>17516</v>
      </c>
      <c r="P558" s="314">
        <v>0</v>
      </c>
      <c r="Q558" s="391">
        <f t="shared" si="189"/>
        <v>70.566835871404393</v>
      </c>
      <c r="R558" s="315">
        <v>7822</v>
      </c>
      <c r="S558" s="316">
        <v>43100</v>
      </c>
    </row>
    <row r="559" spans="1:19" s="1" customFormat="1" ht="31.2">
      <c r="A559" s="387">
        <f t="shared" si="186"/>
        <v>21</v>
      </c>
      <c r="B559" s="915" t="s">
        <v>903</v>
      </c>
      <c r="C559" s="387">
        <v>1989</v>
      </c>
      <c r="D559" s="387"/>
      <c r="E559" s="311" t="s">
        <v>218</v>
      </c>
      <c r="F559" s="387">
        <v>2</v>
      </c>
      <c r="G559" s="387">
        <v>1</v>
      </c>
      <c r="H559" s="391">
        <v>432.9</v>
      </c>
      <c r="I559" s="391">
        <v>397.2</v>
      </c>
      <c r="J559" s="391">
        <v>324.7</v>
      </c>
      <c r="K559" s="387">
        <v>19</v>
      </c>
      <c r="L559" s="314">
        <f t="shared" si="188"/>
        <v>25119</v>
      </c>
      <c r="M559" s="314">
        <v>0</v>
      </c>
      <c r="N559" s="314">
        <v>7535</v>
      </c>
      <c r="O559" s="314">
        <v>17584</v>
      </c>
      <c r="P559" s="314">
        <v>0</v>
      </c>
      <c r="Q559" s="391">
        <f t="shared" si="189"/>
        <v>63.240181268882175</v>
      </c>
      <c r="R559" s="315">
        <v>7822</v>
      </c>
      <c r="S559" s="316">
        <v>43100</v>
      </c>
    </row>
    <row r="560" spans="1:19" s="1" customFormat="1" ht="38.4" customHeight="1">
      <c r="A560" s="387">
        <f t="shared" si="186"/>
        <v>22</v>
      </c>
      <c r="B560" s="915" t="s">
        <v>904</v>
      </c>
      <c r="C560" s="387">
        <v>1971</v>
      </c>
      <c r="D560" s="387"/>
      <c r="E560" s="311" t="s">
        <v>218</v>
      </c>
      <c r="F560" s="387">
        <v>2</v>
      </c>
      <c r="G560" s="387">
        <v>2</v>
      </c>
      <c r="H560" s="391">
        <v>767.1</v>
      </c>
      <c r="I560" s="391">
        <v>701.2</v>
      </c>
      <c r="J560" s="391">
        <v>701.2</v>
      </c>
      <c r="K560" s="387">
        <v>16</v>
      </c>
      <c r="L560" s="314">
        <f t="shared" si="188"/>
        <v>51107</v>
      </c>
      <c r="M560" s="314">
        <v>0</v>
      </c>
      <c r="N560" s="314">
        <v>15332</v>
      </c>
      <c r="O560" s="314">
        <v>35775</v>
      </c>
      <c r="P560" s="314">
        <v>0</v>
      </c>
      <c r="Q560" s="391">
        <f t="shared" si="189"/>
        <v>72.885054192812319</v>
      </c>
      <c r="R560" s="315">
        <v>7822</v>
      </c>
      <c r="S560" s="316">
        <v>43100</v>
      </c>
    </row>
    <row r="561" spans="1:19" s="1" customFormat="1" ht="44.4" customHeight="1">
      <c r="A561" s="387">
        <f t="shared" si="186"/>
        <v>23</v>
      </c>
      <c r="B561" s="915" t="s">
        <v>905</v>
      </c>
      <c r="C561" s="387">
        <v>1969</v>
      </c>
      <c r="D561" s="387"/>
      <c r="E561" s="311" t="s">
        <v>218</v>
      </c>
      <c r="F561" s="387">
        <v>2</v>
      </c>
      <c r="G561" s="387">
        <v>2</v>
      </c>
      <c r="H561" s="391">
        <v>567</v>
      </c>
      <c r="I561" s="391">
        <v>473.9</v>
      </c>
      <c r="J561" s="391">
        <v>473.9</v>
      </c>
      <c r="K561" s="387">
        <v>18</v>
      </c>
      <c r="L561" s="314">
        <f t="shared" si="188"/>
        <v>87488</v>
      </c>
      <c r="M561" s="314">
        <v>0</v>
      </c>
      <c r="N561" s="314">
        <v>26246</v>
      </c>
      <c r="O561" s="314">
        <v>61242</v>
      </c>
      <c r="P561" s="314">
        <v>0</v>
      </c>
      <c r="Q561" s="391">
        <f t="shared" si="189"/>
        <v>184.61278750791308</v>
      </c>
      <c r="R561" s="315">
        <v>7822</v>
      </c>
      <c r="S561" s="316">
        <v>43100</v>
      </c>
    </row>
    <row r="562" spans="1:19" s="1" customFormat="1" ht="31.2">
      <c r="A562" s="387">
        <f t="shared" si="186"/>
        <v>24</v>
      </c>
      <c r="B562" s="915" t="s">
        <v>906</v>
      </c>
      <c r="C562" s="387">
        <v>1969</v>
      </c>
      <c r="D562" s="387"/>
      <c r="E562" s="311" t="s">
        <v>218</v>
      </c>
      <c r="F562" s="387">
        <v>2</v>
      </c>
      <c r="G562" s="387">
        <v>2</v>
      </c>
      <c r="H562" s="391">
        <v>501.6</v>
      </c>
      <c r="I562" s="391">
        <v>477.6</v>
      </c>
      <c r="J562" s="391">
        <v>477.6</v>
      </c>
      <c r="K562" s="387">
        <v>7</v>
      </c>
      <c r="L562" s="314">
        <f t="shared" si="188"/>
        <v>87102</v>
      </c>
      <c r="M562" s="314">
        <v>0</v>
      </c>
      <c r="N562" s="314">
        <v>26130</v>
      </c>
      <c r="O562" s="314">
        <v>60972</v>
      </c>
      <c r="P562" s="314">
        <v>0</v>
      </c>
      <c r="Q562" s="391">
        <f t="shared" si="189"/>
        <v>182.37437185929647</v>
      </c>
      <c r="R562" s="315">
        <v>7822</v>
      </c>
      <c r="S562" s="316">
        <v>43100</v>
      </c>
    </row>
    <row r="563" spans="1:19" s="1" customFormat="1" ht="31.2">
      <c r="A563" s="387">
        <f t="shared" si="186"/>
        <v>25</v>
      </c>
      <c r="B563" s="915" t="s">
        <v>907</v>
      </c>
      <c r="C563" s="387">
        <v>1972</v>
      </c>
      <c r="D563" s="387"/>
      <c r="E563" s="311" t="s">
        <v>218</v>
      </c>
      <c r="F563" s="387">
        <v>2</v>
      </c>
      <c r="G563" s="387">
        <v>2</v>
      </c>
      <c r="H563" s="391">
        <v>767.3</v>
      </c>
      <c r="I563" s="391">
        <v>709.1</v>
      </c>
      <c r="J563" s="391">
        <v>669.7</v>
      </c>
      <c r="K563" s="387">
        <v>22</v>
      </c>
      <c r="L563" s="314">
        <f t="shared" si="188"/>
        <v>53713</v>
      </c>
      <c r="M563" s="314">
        <v>0</v>
      </c>
      <c r="N563" s="314">
        <v>10743</v>
      </c>
      <c r="O563" s="314">
        <v>42970</v>
      </c>
      <c r="P563" s="314">
        <v>0</v>
      </c>
      <c r="Q563" s="391">
        <f t="shared" si="189"/>
        <v>75.748131434212382</v>
      </c>
      <c r="R563" s="315">
        <v>7822</v>
      </c>
      <c r="S563" s="316">
        <v>43100</v>
      </c>
    </row>
    <row r="564" spans="1:19" s="1" customFormat="1" ht="31.2">
      <c r="A564" s="387">
        <f t="shared" si="186"/>
        <v>26</v>
      </c>
      <c r="B564" s="915" t="s">
        <v>908</v>
      </c>
      <c r="C564" s="387">
        <v>1972</v>
      </c>
      <c r="D564" s="387"/>
      <c r="E564" s="311" t="s">
        <v>218</v>
      </c>
      <c r="F564" s="387">
        <v>2</v>
      </c>
      <c r="G564" s="387">
        <v>2</v>
      </c>
      <c r="H564" s="391">
        <v>778.6</v>
      </c>
      <c r="I564" s="391">
        <v>719.6</v>
      </c>
      <c r="J564" s="391">
        <v>719.6</v>
      </c>
      <c r="K564" s="387">
        <v>28</v>
      </c>
      <c r="L564" s="314">
        <f t="shared" si="188"/>
        <v>242578</v>
      </c>
      <c r="M564" s="314">
        <v>0</v>
      </c>
      <c r="N564" s="314">
        <v>72774</v>
      </c>
      <c r="O564" s="314">
        <v>169804</v>
      </c>
      <c r="P564" s="314">
        <v>0</v>
      </c>
      <c r="Q564" s="391">
        <f t="shared" si="189"/>
        <v>337.10116731517508</v>
      </c>
      <c r="R564" s="315">
        <v>7822</v>
      </c>
      <c r="S564" s="316">
        <v>43100</v>
      </c>
    </row>
    <row r="565" spans="1:19" s="1" customFormat="1" ht="31.2">
      <c r="A565" s="387">
        <f t="shared" si="186"/>
        <v>27</v>
      </c>
      <c r="B565" s="915" t="s">
        <v>390</v>
      </c>
      <c r="C565" s="387">
        <v>1973</v>
      </c>
      <c r="D565" s="387"/>
      <c r="E565" s="311" t="s">
        <v>218</v>
      </c>
      <c r="F565" s="387">
        <v>2</v>
      </c>
      <c r="G565" s="387">
        <v>2</v>
      </c>
      <c r="H565" s="391">
        <v>780.6</v>
      </c>
      <c r="I565" s="391">
        <v>716</v>
      </c>
      <c r="J565" s="391">
        <v>716</v>
      </c>
      <c r="K565" s="387">
        <v>18</v>
      </c>
      <c r="L565" s="314">
        <f t="shared" si="188"/>
        <v>52265</v>
      </c>
      <c r="M565" s="314">
        <v>0</v>
      </c>
      <c r="N565" s="314">
        <v>15679</v>
      </c>
      <c r="O565" s="314">
        <v>36586</v>
      </c>
      <c r="P565" s="314">
        <v>0</v>
      </c>
      <c r="Q565" s="391">
        <f t="shared" si="189"/>
        <v>72.995810055865917</v>
      </c>
      <c r="R565" s="315">
        <v>7822</v>
      </c>
      <c r="S565" s="316">
        <v>43100</v>
      </c>
    </row>
    <row r="566" spans="1:19" s="1" customFormat="1" ht="31.2">
      <c r="A566" s="387">
        <f t="shared" si="186"/>
        <v>28</v>
      </c>
      <c r="B566" s="915" t="s">
        <v>909</v>
      </c>
      <c r="C566" s="387">
        <v>1969</v>
      </c>
      <c r="D566" s="387"/>
      <c r="E566" s="311" t="s">
        <v>218</v>
      </c>
      <c r="F566" s="387">
        <v>2</v>
      </c>
      <c r="G566" s="387">
        <v>2</v>
      </c>
      <c r="H566" s="391">
        <v>522.9</v>
      </c>
      <c r="I566" s="391">
        <v>480.5</v>
      </c>
      <c r="J566" s="391">
        <v>480.5</v>
      </c>
      <c r="K566" s="387">
        <v>16</v>
      </c>
      <c r="L566" s="314">
        <f t="shared" si="188"/>
        <v>81602</v>
      </c>
      <c r="M566" s="314">
        <v>0</v>
      </c>
      <c r="N566" s="314">
        <v>24481</v>
      </c>
      <c r="O566" s="314">
        <v>57121</v>
      </c>
      <c r="P566" s="314">
        <v>0</v>
      </c>
      <c r="Q566" s="391">
        <f t="shared" si="189"/>
        <v>169.82726326742977</v>
      </c>
      <c r="R566" s="315">
        <v>7822</v>
      </c>
      <c r="S566" s="316">
        <v>43100</v>
      </c>
    </row>
    <row r="567" spans="1:19" s="1" customFormat="1" ht="31.2">
      <c r="A567" s="387">
        <f t="shared" si="186"/>
        <v>29</v>
      </c>
      <c r="B567" s="915" t="s">
        <v>232</v>
      </c>
      <c r="C567" s="387">
        <v>1970</v>
      </c>
      <c r="D567" s="387"/>
      <c r="E567" s="311" t="s">
        <v>218</v>
      </c>
      <c r="F567" s="387">
        <v>2</v>
      </c>
      <c r="G567" s="387">
        <v>2</v>
      </c>
      <c r="H567" s="391">
        <v>528.20000000000005</v>
      </c>
      <c r="I567" s="391">
        <v>485.6</v>
      </c>
      <c r="J567" s="391">
        <v>485.6</v>
      </c>
      <c r="K567" s="387">
        <v>14</v>
      </c>
      <c r="L567" s="314">
        <f t="shared" si="188"/>
        <v>87295</v>
      </c>
      <c r="M567" s="314">
        <v>0</v>
      </c>
      <c r="N567" s="314">
        <v>26188</v>
      </c>
      <c r="O567" s="314">
        <v>61107</v>
      </c>
      <c r="P567" s="314">
        <v>0</v>
      </c>
      <c r="Q567" s="391">
        <f t="shared" si="189"/>
        <v>179.76729818780888</v>
      </c>
      <c r="R567" s="315">
        <v>7822</v>
      </c>
      <c r="S567" s="316">
        <v>43100</v>
      </c>
    </row>
    <row r="568" spans="1:19" s="1" customFormat="1" ht="36" customHeight="1">
      <c r="A568" s="387">
        <f t="shared" si="186"/>
        <v>30</v>
      </c>
      <c r="B568" s="915" t="s">
        <v>910</v>
      </c>
      <c r="C568" s="387">
        <v>1973</v>
      </c>
      <c r="D568" s="387"/>
      <c r="E568" s="311" t="s">
        <v>218</v>
      </c>
      <c r="F568" s="387">
        <v>2</v>
      </c>
      <c r="G568" s="387">
        <v>2</v>
      </c>
      <c r="H568" s="391">
        <v>772.5</v>
      </c>
      <c r="I568" s="391">
        <v>713.3</v>
      </c>
      <c r="J568" s="391">
        <v>668.6</v>
      </c>
      <c r="K568" s="387">
        <v>19</v>
      </c>
      <c r="L568" s="314">
        <f t="shared" si="188"/>
        <v>51879</v>
      </c>
      <c r="M568" s="314">
        <v>0</v>
      </c>
      <c r="N568" s="314">
        <v>15564</v>
      </c>
      <c r="O568" s="314">
        <v>36315</v>
      </c>
      <c r="P568" s="314">
        <v>0</v>
      </c>
      <c r="Q568" s="391">
        <f t="shared" si="189"/>
        <v>72.730968736856866</v>
      </c>
      <c r="R568" s="315">
        <v>7822</v>
      </c>
      <c r="S568" s="316">
        <v>43100</v>
      </c>
    </row>
    <row r="569" spans="1:19" s="1" customFormat="1" ht="31.2">
      <c r="A569" s="387">
        <f t="shared" si="186"/>
        <v>31</v>
      </c>
      <c r="B569" s="915" t="s">
        <v>911</v>
      </c>
      <c r="C569" s="387">
        <v>1973</v>
      </c>
      <c r="D569" s="387"/>
      <c r="E569" s="311" t="s">
        <v>218</v>
      </c>
      <c r="F569" s="387">
        <v>2</v>
      </c>
      <c r="G569" s="387">
        <v>2</v>
      </c>
      <c r="H569" s="391">
        <v>774</v>
      </c>
      <c r="I569" s="391">
        <v>715.5</v>
      </c>
      <c r="J569" s="391">
        <v>715.5</v>
      </c>
      <c r="K569" s="387">
        <v>22</v>
      </c>
      <c r="L569" s="314">
        <f t="shared" si="188"/>
        <v>51879</v>
      </c>
      <c r="M569" s="314">
        <v>0</v>
      </c>
      <c r="N569" s="314">
        <v>15564</v>
      </c>
      <c r="O569" s="314">
        <v>36315</v>
      </c>
      <c r="P569" s="314">
        <v>0</v>
      </c>
      <c r="Q569" s="391">
        <f t="shared" si="189"/>
        <v>72.507337526205447</v>
      </c>
      <c r="R569" s="315">
        <v>7822</v>
      </c>
      <c r="S569" s="316">
        <v>43100</v>
      </c>
    </row>
    <row r="570" spans="1:19" s="1" customFormat="1" ht="31.2">
      <c r="A570" s="387">
        <f t="shared" si="186"/>
        <v>32</v>
      </c>
      <c r="B570" s="915" t="s">
        <v>912</v>
      </c>
      <c r="C570" s="387">
        <v>1974</v>
      </c>
      <c r="D570" s="387"/>
      <c r="E570" s="311" t="s">
        <v>218</v>
      </c>
      <c r="F570" s="387">
        <v>2</v>
      </c>
      <c r="G570" s="387">
        <v>2</v>
      </c>
      <c r="H570" s="391">
        <v>768.7</v>
      </c>
      <c r="I570" s="391">
        <v>710.7</v>
      </c>
      <c r="J570" s="391">
        <v>710.7</v>
      </c>
      <c r="K570" s="387">
        <v>27</v>
      </c>
      <c r="L570" s="314">
        <f t="shared" si="188"/>
        <v>52072</v>
      </c>
      <c r="M570" s="314">
        <v>0</v>
      </c>
      <c r="N570" s="314">
        <v>15621</v>
      </c>
      <c r="O570" s="314">
        <v>36451</v>
      </c>
      <c r="P570" s="314">
        <v>0</v>
      </c>
      <c r="Q570" s="391">
        <f t="shared" si="189"/>
        <v>73.26860841423948</v>
      </c>
      <c r="R570" s="315">
        <v>7822</v>
      </c>
      <c r="S570" s="316">
        <v>43100</v>
      </c>
    </row>
    <row r="571" spans="1:19" s="1" customFormat="1" ht="31.2">
      <c r="A571" s="387">
        <f t="shared" si="186"/>
        <v>33</v>
      </c>
      <c r="B571" s="915" t="s">
        <v>913</v>
      </c>
      <c r="C571" s="387">
        <v>1974</v>
      </c>
      <c r="D571" s="387"/>
      <c r="E571" s="311" t="s">
        <v>218</v>
      </c>
      <c r="F571" s="387">
        <v>2</v>
      </c>
      <c r="G571" s="387">
        <v>2</v>
      </c>
      <c r="H571" s="391">
        <v>765</v>
      </c>
      <c r="I571" s="391">
        <v>707.5</v>
      </c>
      <c r="J571" s="391">
        <v>707.5</v>
      </c>
      <c r="K571" s="387">
        <v>20</v>
      </c>
      <c r="L571" s="314">
        <f t="shared" si="188"/>
        <v>51879</v>
      </c>
      <c r="M571" s="314">
        <v>0</v>
      </c>
      <c r="N571" s="314">
        <v>15564</v>
      </c>
      <c r="O571" s="314">
        <v>36315</v>
      </c>
      <c r="P571" s="314">
        <v>0</v>
      </c>
      <c r="Q571" s="391">
        <f t="shared" si="189"/>
        <v>73.327208480565375</v>
      </c>
      <c r="R571" s="315">
        <v>7822</v>
      </c>
      <c r="S571" s="316">
        <v>43100</v>
      </c>
    </row>
    <row r="572" spans="1:19" s="1" customFormat="1" ht="39.6" customHeight="1">
      <c r="A572" s="387">
        <f t="shared" si="186"/>
        <v>34</v>
      </c>
      <c r="B572" s="915" t="s">
        <v>914</v>
      </c>
      <c r="C572" s="387">
        <v>1980</v>
      </c>
      <c r="D572" s="387"/>
      <c r="E572" s="311" t="s">
        <v>218</v>
      </c>
      <c r="F572" s="387">
        <v>2</v>
      </c>
      <c r="G572" s="387">
        <v>3</v>
      </c>
      <c r="H572" s="391">
        <v>1055</v>
      </c>
      <c r="I572" s="391">
        <v>957.4</v>
      </c>
      <c r="J572" s="391">
        <v>957.4</v>
      </c>
      <c r="K572" s="387">
        <v>42</v>
      </c>
      <c r="L572" s="314">
        <f t="shared" si="188"/>
        <v>77819</v>
      </c>
      <c r="M572" s="314">
        <v>0</v>
      </c>
      <c r="N572" s="314">
        <v>23346</v>
      </c>
      <c r="O572" s="314">
        <v>54473</v>
      </c>
      <c r="P572" s="314">
        <v>0</v>
      </c>
      <c r="Q572" s="391">
        <f t="shared" si="189"/>
        <v>81.281595989137244</v>
      </c>
      <c r="R572" s="315">
        <v>7822</v>
      </c>
      <c r="S572" s="316">
        <v>43100</v>
      </c>
    </row>
    <row r="573" spans="1:19" s="1" customFormat="1" ht="31.2">
      <c r="A573" s="387">
        <f t="shared" si="186"/>
        <v>35</v>
      </c>
      <c r="B573" s="915" t="s">
        <v>915</v>
      </c>
      <c r="C573" s="387">
        <v>1973</v>
      </c>
      <c r="D573" s="387"/>
      <c r="E573" s="311" t="s">
        <v>218</v>
      </c>
      <c r="F573" s="387">
        <v>2</v>
      </c>
      <c r="G573" s="387">
        <v>2</v>
      </c>
      <c r="H573" s="391">
        <v>778.9</v>
      </c>
      <c r="I573" s="391">
        <v>721.8</v>
      </c>
      <c r="J573" s="391">
        <v>721.8</v>
      </c>
      <c r="K573" s="387">
        <v>27</v>
      </c>
      <c r="L573" s="314">
        <f t="shared" si="188"/>
        <v>51879</v>
      </c>
      <c r="M573" s="314">
        <v>0</v>
      </c>
      <c r="N573" s="314">
        <v>15564</v>
      </c>
      <c r="O573" s="314">
        <v>36315</v>
      </c>
      <c r="P573" s="314">
        <v>0</v>
      </c>
      <c r="Q573" s="391">
        <f t="shared" si="189"/>
        <v>71.874480465502913</v>
      </c>
      <c r="R573" s="315">
        <v>7822</v>
      </c>
      <c r="S573" s="316">
        <v>43100</v>
      </c>
    </row>
    <row r="574" spans="1:19" s="1" customFormat="1" ht="31.2">
      <c r="A574" s="387">
        <f t="shared" si="186"/>
        <v>36</v>
      </c>
      <c r="B574" s="915" t="s">
        <v>916</v>
      </c>
      <c r="C574" s="387">
        <v>1975</v>
      </c>
      <c r="D574" s="387"/>
      <c r="E574" s="311" t="s">
        <v>218</v>
      </c>
      <c r="F574" s="387">
        <v>2</v>
      </c>
      <c r="G574" s="387">
        <v>2</v>
      </c>
      <c r="H574" s="391">
        <v>772.3</v>
      </c>
      <c r="I574" s="391">
        <v>713.3</v>
      </c>
      <c r="J574" s="391">
        <v>713.3</v>
      </c>
      <c r="K574" s="387">
        <v>28</v>
      </c>
      <c r="L574" s="314">
        <f t="shared" si="188"/>
        <v>51783</v>
      </c>
      <c r="M574" s="314">
        <v>0</v>
      </c>
      <c r="N574" s="314">
        <v>15535</v>
      </c>
      <c r="O574" s="314">
        <v>36248</v>
      </c>
      <c r="P574" s="314">
        <v>0</v>
      </c>
      <c r="Q574" s="391">
        <f t="shared" si="189"/>
        <v>72.596383008551811</v>
      </c>
      <c r="R574" s="315">
        <v>7822</v>
      </c>
      <c r="S574" s="316">
        <v>43100</v>
      </c>
    </row>
    <row r="575" spans="1:19" s="1" customFormat="1" ht="31.2">
      <c r="A575" s="387">
        <f t="shared" si="186"/>
        <v>37</v>
      </c>
      <c r="B575" s="915" t="s">
        <v>917</v>
      </c>
      <c r="C575" s="387">
        <v>1978</v>
      </c>
      <c r="D575" s="387"/>
      <c r="E575" s="311" t="s">
        <v>218</v>
      </c>
      <c r="F575" s="387">
        <v>2</v>
      </c>
      <c r="G575" s="387">
        <v>2</v>
      </c>
      <c r="H575" s="391">
        <v>795.8</v>
      </c>
      <c r="I575" s="391">
        <v>734</v>
      </c>
      <c r="J575" s="391">
        <v>734</v>
      </c>
      <c r="K575" s="387">
        <v>21</v>
      </c>
      <c r="L575" s="314">
        <f t="shared" si="188"/>
        <v>51011</v>
      </c>
      <c r="M575" s="314">
        <v>0</v>
      </c>
      <c r="N575" s="314">
        <v>15303</v>
      </c>
      <c r="O575" s="314">
        <v>35708</v>
      </c>
      <c r="P575" s="314">
        <v>0</v>
      </c>
      <c r="Q575" s="391">
        <f t="shared" si="189"/>
        <v>69.497275204359667</v>
      </c>
      <c r="R575" s="315">
        <v>7822</v>
      </c>
      <c r="S575" s="316">
        <v>43100</v>
      </c>
    </row>
    <row r="576" spans="1:19" s="1" customFormat="1" ht="31.2">
      <c r="A576" s="387">
        <f t="shared" si="186"/>
        <v>38</v>
      </c>
      <c r="B576" s="915" t="s">
        <v>918</v>
      </c>
      <c r="C576" s="387">
        <v>1978</v>
      </c>
      <c r="D576" s="387"/>
      <c r="E576" s="311" t="s">
        <v>218</v>
      </c>
      <c r="F576" s="387">
        <v>2</v>
      </c>
      <c r="G576" s="387">
        <v>3</v>
      </c>
      <c r="H576" s="391">
        <v>1025.0999999999999</v>
      </c>
      <c r="I576" s="391">
        <v>945.7</v>
      </c>
      <c r="J576" s="391">
        <v>945.7</v>
      </c>
      <c r="K576" s="387">
        <v>36</v>
      </c>
      <c r="L576" s="314">
        <f t="shared" si="188"/>
        <v>78398</v>
      </c>
      <c r="M576" s="314">
        <v>0</v>
      </c>
      <c r="N576" s="314">
        <v>23519</v>
      </c>
      <c r="O576" s="314">
        <v>54879</v>
      </c>
      <c r="P576" s="314">
        <v>0</v>
      </c>
      <c r="Q576" s="391">
        <f t="shared" si="189"/>
        <v>82.899439568573541</v>
      </c>
      <c r="R576" s="315">
        <v>7822</v>
      </c>
      <c r="S576" s="316">
        <v>43100</v>
      </c>
    </row>
    <row r="577" spans="1:48" s="1" customFormat="1" ht="31.2">
      <c r="A577" s="387">
        <f t="shared" si="186"/>
        <v>39</v>
      </c>
      <c r="B577" s="915" t="s">
        <v>919</v>
      </c>
      <c r="C577" s="387">
        <v>1979</v>
      </c>
      <c r="D577" s="387"/>
      <c r="E577" s="311" t="s">
        <v>218</v>
      </c>
      <c r="F577" s="387">
        <v>2</v>
      </c>
      <c r="G577" s="387">
        <v>3</v>
      </c>
      <c r="H577" s="391">
        <v>1023.9</v>
      </c>
      <c r="I577" s="391">
        <v>938.7</v>
      </c>
      <c r="J577" s="391">
        <v>938.7</v>
      </c>
      <c r="K577" s="387">
        <v>30</v>
      </c>
      <c r="L577" s="314">
        <f t="shared" si="188"/>
        <v>78012</v>
      </c>
      <c r="M577" s="314">
        <v>0</v>
      </c>
      <c r="N577" s="314">
        <v>23404</v>
      </c>
      <c r="O577" s="314">
        <v>54608</v>
      </c>
      <c r="P577" s="314">
        <v>0</v>
      </c>
      <c r="Q577" s="391">
        <f t="shared" si="189"/>
        <v>83.106423777564714</v>
      </c>
      <c r="R577" s="315">
        <v>7822</v>
      </c>
      <c r="S577" s="316">
        <v>43100</v>
      </c>
    </row>
    <row r="578" spans="1:48" s="1" customFormat="1" ht="31.2">
      <c r="A578" s="387">
        <f t="shared" si="186"/>
        <v>40</v>
      </c>
      <c r="B578" s="915" t="s">
        <v>920</v>
      </c>
      <c r="C578" s="387">
        <v>1975</v>
      </c>
      <c r="D578" s="387"/>
      <c r="E578" s="311" t="s">
        <v>218</v>
      </c>
      <c r="F578" s="387" t="s">
        <v>70</v>
      </c>
      <c r="G578" s="387" t="s">
        <v>70</v>
      </c>
      <c r="H578" s="391">
        <v>774.5</v>
      </c>
      <c r="I578" s="391">
        <v>716.2</v>
      </c>
      <c r="J578" s="391">
        <v>716.2</v>
      </c>
      <c r="K578" s="387">
        <v>23</v>
      </c>
      <c r="L578" s="314">
        <f t="shared" si="188"/>
        <v>52265</v>
      </c>
      <c r="M578" s="314">
        <v>0</v>
      </c>
      <c r="N578" s="314">
        <v>15679</v>
      </c>
      <c r="O578" s="314">
        <v>36586</v>
      </c>
      <c r="P578" s="314">
        <v>0</v>
      </c>
      <c r="Q578" s="391">
        <f t="shared" si="189"/>
        <v>72.975425858698685</v>
      </c>
      <c r="R578" s="315">
        <v>7822</v>
      </c>
      <c r="S578" s="316">
        <v>43100</v>
      </c>
    </row>
    <row r="579" spans="1:48" s="1" customFormat="1" ht="31.2">
      <c r="A579" s="387">
        <f t="shared" si="186"/>
        <v>41</v>
      </c>
      <c r="B579" s="915" t="s">
        <v>921</v>
      </c>
      <c r="C579" s="387">
        <v>1976</v>
      </c>
      <c r="D579" s="387"/>
      <c r="E579" s="311" t="s">
        <v>218</v>
      </c>
      <c r="F579" s="387">
        <v>2</v>
      </c>
      <c r="G579" s="387">
        <v>2</v>
      </c>
      <c r="H579" s="391">
        <v>768</v>
      </c>
      <c r="I579" s="391">
        <v>710.9</v>
      </c>
      <c r="J579" s="391">
        <v>710.9</v>
      </c>
      <c r="K579" s="387">
        <v>34</v>
      </c>
      <c r="L579" s="314">
        <f t="shared" si="188"/>
        <v>242964</v>
      </c>
      <c r="M579" s="314">
        <v>0</v>
      </c>
      <c r="N579" s="314">
        <v>72889</v>
      </c>
      <c r="O579" s="314">
        <v>170075</v>
      </c>
      <c r="P579" s="314">
        <v>0</v>
      </c>
      <c r="Q579" s="391">
        <f t="shared" si="189"/>
        <v>341.76958784639191</v>
      </c>
      <c r="R579" s="315">
        <v>7822</v>
      </c>
      <c r="S579" s="316">
        <v>43100</v>
      </c>
    </row>
    <row r="580" spans="1:48" s="1" customFormat="1" ht="31.2">
      <c r="A580" s="387">
        <f t="shared" si="186"/>
        <v>42</v>
      </c>
      <c r="B580" s="915" t="s">
        <v>922</v>
      </c>
      <c r="C580" s="387">
        <v>1976</v>
      </c>
      <c r="D580" s="387"/>
      <c r="E580" s="311" t="s">
        <v>218</v>
      </c>
      <c r="F580" s="387">
        <v>2</v>
      </c>
      <c r="G580" s="387">
        <v>2</v>
      </c>
      <c r="H580" s="391">
        <v>540.5</v>
      </c>
      <c r="I580" s="391">
        <v>497.4</v>
      </c>
      <c r="J580" s="391">
        <v>497.4</v>
      </c>
      <c r="K580" s="387">
        <v>15</v>
      </c>
      <c r="L580" s="314">
        <f t="shared" si="188"/>
        <v>87102</v>
      </c>
      <c r="M580" s="314">
        <v>0</v>
      </c>
      <c r="N580" s="314">
        <v>26130</v>
      </c>
      <c r="O580" s="314">
        <v>60972</v>
      </c>
      <c r="P580" s="314">
        <v>0</v>
      </c>
      <c r="Q580" s="391">
        <f t="shared" si="189"/>
        <v>175.11459589867312</v>
      </c>
      <c r="R580" s="315">
        <v>7822</v>
      </c>
      <c r="S580" s="316">
        <v>43100</v>
      </c>
    </row>
    <row r="581" spans="1:48" s="1" customFormat="1" ht="15.6">
      <c r="A581" s="1462" t="s">
        <v>474</v>
      </c>
      <c r="B581" s="1463"/>
      <c r="C581" s="1463"/>
      <c r="D581" s="1463"/>
      <c r="E581" s="1463"/>
      <c r="F581" s="1463"/>
      <c r="G581" s="1463"/>
      <c r="H581" s="1463"/>
      <c r="I581" s="1463"/>
      <c r="J581" s="1463"/>
      <c r="K581" s="1463"/>
      <c r="L581" s="1463"/>
      <c r="M581" s="1463"/>
      <c r="N581" s="1463"/>
      <c r="O581" s="1463"/>
      <c r="P581" s="1463"/>
      <c r="Q581" s="1463"/>
      <c r="R581" s="1463"/>
      <c r="S581" s="1464"/>
    </row>
    <row r="582" spans="1:48">
      <c r="A582" s="1425" t="s">
        <v>34</v>
      </c>
      <c r="B582" s="1425"/>
      <c r="C582" s="1425"/>
      <c r="D582" s="1425"/>
      <c r="E582" s="1425"/>
      <c r="F582" s="1425"/>
      <c r="G582" s="1425"/>
      <c r="H582" s="1425"/>
      <c r="I582" s="1425"/>
      <c r="J582" s="1425"/>
      <c r="K582" s="1425"/>
      <c r="L582" s="1425"/>
      <c r="M582" s="1425"/>
      <c r="N582" s="1425"/>
      <c r="O582" s="1425"/>
      <c r="P582" s="1425"/>
      <c r="Q582" s="1425"/>
      <c r="R582" s="1425"/>
      <c r="S582" s="1425"/>
    </row>
    <row r="583" spans="1:48" ht="18.75" customHeight="1">
      <c r="A583" s="302"/>
      <c r="B583" s="1447" t="s">
        <v>205</v>
      </c>
      <c r="C583" s="1447"/>
      <c r="D583" s="1447"/>
      <c r="E583" s="1447"/>
      <c r="F583" s="1447"/>
      <c r="G583" s="1447"/>
      <c r="H583" s="104">
        <f t="shared" ref="H583:O583" si="190">H584+H753+H767+H770+H796+H809+H825+H834+H841+H844+H863+H867+H882+H886+H889+H896+H908+H916+H929+H937+H968+H973+H978+H992+H996+H1013+H1007+H1016+H1025+H1028+H1032+H1038+H1043+H1048+H1060</f>
        <v>289715.61</v>
      </c>
      <c r="I583" s="104">
        <f t="shared" si="190"/>
        <v>242939.8</v>
      </c>
      <c r="J583" s="104">
        <f t="shared" si="190"/>
        <v>215863.93000000002</v>
      </c>
      <c r="K583" s="105">
        <f t="shared" si="190"/>
        <v>10295</v>
      </c>
      <c r="L583" s="113">
        <f t="shared" si="190"/>
        <v>608660559.45000005</v>
      </c>
      <c r="M583" s="113">
        <f t="shared" si="190"/>
        <v>0</v>
      </c>
      <c r="N583" s="113">
        <f t="shared" si="190"/>
        <v>2372919.13</v>
      </c>
      <c r="O583" s="113">
        <f t="shared" si="190"/>
        <v>606287640.31999993</v>
      </c>
      <c r="P583" s="113">
        <f>P584+P753+P767+P770+P796+P809+P825+P834+P841+P844+P863+P867+P882+P886+P889+P896+P908+P916+P929+P937+P968+P973+P978+P992+P996+P1013+P1007+P1016+P1025+P1028+P1032+P1043+P1048+P1060</f>
        <v>0</v>
      </c>
      <c r="Q583" s="106" t="s">
        <v>40</v>
      </c>
      <c r="R583" s="106" t="s">
        <v>40</v>
      </c>
      <c r="S583" s="106" t="s">
        <v>40</v>
      </c>
    </row>
    <row r="584" spans="1:48" s="1" customFormat="1" ht="15.75" customHeight="1">
      <c r="A584" s="302"/>
      <c r="B584" s="1447" t="s">
        <v>89</v>
      </c>
      <c r="C584" s="1447"/>
      <c r="D584" s="1447"/>
      <c r="E584" s="1447"/>
      <c r="F584" s="1447"/>
      <c r="G584" s="1447"/>
      <c r="H584" s="104">
        <f>SUM(H585:H752)</f>
        <v>0</v>
      </c>
      <c r="I584" s="104">
        <f t="shared" ref="I584" si="191">SUM(I585:I752)</f>
        <v>0</v>
      </c>
      <c r="J584" s="104">
        <f>SUM(J585:J752)</f>
        <v>0</v>
      </c>
      <c r="K584" s="105">
        <f>SUM(K585:K752)</f>
        <v>0</v>
      </c>
      <c r="L584" s="113">
        <v>336230870.63</v>
      </c>
      <c r="M584" s="113">
        <f t="shared" ref="M584:N584" si="192">SUM(M585:M752)</f>
        <v>0</v>
      </c>
      <c r="N584" s="113">
        <f t="shared" si="192"/>
        <v>0</v>
      </c>
      <c r="O584" s="113">
        <f>SUM(O585:O752)</f>
        <v>336230870.63</v>
      </c>
      <c r="P584" s="113">
        <f t="shared" ref="P584" si="193">SUM(P585:P752)</f>
        <v>0</v>
      </c>
      <c r="Q584" s="106" t="s">
        <v>40</v>
      </c>
      <c r="R584" s="106" t="s">
        <v>40</v>
      </c>
      <c r="S584" s="106" t="s">
        <v>40</v>
      </c>
    </row>
    <row r="585" spans="1:48" s="3" customFormat="1" ht="15.6">
      <c r="A585" s="107">
        <v>1</v>
      </c>
      <c r="B585" s="301" t="s">
        <v>324</v>
      </c>
      <c r="C585" s="108">
        <v>1975</v>
      </c>
      <c r="D585" s="108"/>
      <c r="E585" s="109" t="s">
        <v>219</v>
      </c>
      <c r="F585" s="110">
        <v>5</v>
      </c>
      <c r="G585" s="110">
        <v>10</v>
      </c>
      <c r="H585" s="111"/>
      <c r="I585" s="111"/>
      <c r="J585" s="111"/>
      <c r="K585" s="112"/>
      <c r="L585" s="113">
        <v>5982216</v>
      </c>
      <c r="M585" s="113">
        <v>0</v>
      </c>
      <c r="N585" s="113">
        <v>0</v>
      </c>
      <c r="O585" s="113">
        <f t="shared" ref="O585:O648" si="194">L585</f>
        <v>5982216</v>
      </c>
      <c r="P585" s="113">
        <v>0</v>
      </c>
      <c r="Q585" s="114" t="e">
        <f t="shared" ref="Q585:Q648" si="195">L585/I585</f>
        <v>#DIV/0!</v>
      </c>
      <c r="R585" s="115"/>
      <c r="S585" s="326">
        <v>43465</v>
      </c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</row>
    <row r="586" spans="1:48" customFormat="1" ht="15.6">
      <c r="A586" s="107">
        <f>A585+1</f>
        <v>2</v>
      </c>
      <c r="B586" s="301" t="s">
        <v>325</v>
      </c>
      <c r="C586" s="108">
        <v>1978</v>
      </c>
      <c r="D586" s="108"/>
      <c r="E586" s="109" t="s">
        <v>219</v>
      </c>
      <c r="F586" s="110">
        <v>9</v>
      </c>
      <c r="G586" s="110">
        <v>5</v>
      </c>
      <c r="H586" s="111"/>
      <c r="I586" s="111"/>
      <c r="J586" s="111"/>
      <c r="K586" s="112"/>
      <c r="L586" s="113">
        <v>9379653</v>
      </c>
      <c r="M586" s="113">
        <v>0</v>
      </c>
      <c r="N586" s="113">
        <v>0</v>
      </c>
      <c r="O586" s="113">
        <f t="shared" si="194"/>
        <v>9379653</v>
      </c>
      <c r="P586" s="113">
        <v>0</v>
      </c>
      <c r="Q586" s="114" t="e">
        <f t="shared" si="195"/>
        <v>#DIV/0!</v>
      </c>
      <c r="R586" s="115"/>
      <c r="S586" s="326">
        <v>43465</v>
      </c>
    </row>
    <row r="587" spans="1:48" customFormat="1" ht="15.6">
      <c r="A587" s="107">
        <f t="shared" ref="A587:A650" si="196">A586+1</f>
        <v>3</v>
      </c>
      <c r="B587" s="305" t="s">
        <v>321</v>
      </c>
      <c r="C587" s="108">
        <v>1982</v>
      </c>
      <c r="D587" s="108"/>
      <c r="E587" s="109" t="s">
        <v>219</v>
      </c>
      <c r="F587" s="110">
        <v>9</v>
      </c>
      <c r="G587" s="110">
        <v>2</v>
      </c>
      <c r="H587" s="111"/>
      <c r="I587" s="111"/>
      <c r="J587" s="111"/>
      <c r="K587" s="112"/>
      <c r="L587" s="113">
        <v>3763756</v>
      </c>
      <c r="M587" s="113">
        <v>0</v>
      </c>
      <c r="N587" s="113">
        <v>0</v>
      </c>
      <c r="O587" s="113">
        <f t="shared" si="194"/>
        <v>3763756</v>
      </c>
      <c r="P587" s="113">
        <v>0</v>
      </c>
      <c r="Q587" s="114" t="e">
        <f t="shared" si="195"/>
        <v>#DIV/0!</v>
      </c>
      <c r="R587" s="115"/>
      <c r="S587" s="326">
        <v>43465</v>
      </c>
    </row>
    <row r="588" spans="1:48" customFormat="1" ht="15.6">
      <c r="A588" s="107">
        <f t="shared" si="196"/>
        <v>4</v>
      </c>
      <c r="B588" s="305" t="s">
        <v>346</v>
      </c>
      <c r="C588" s="108">
        <v>1982</v>
      </c>
      <c r="D588" s="108"/>
      <c r="E588" s="109" t="s">
        <v>219</v>
      </c>
      <c r="F588" s="110">
        <v>9</v>
      </c>
      <c r="G588" s="110">
        <v>1</v>
      </c>
      <c r="H588" s="111"/>
      <c r="I588" s="111"/>
      <c r="J588" s="111"/>
      <c r="K588" s="112"/>
      <c r="L588" s="113">
        <v>1095812</v>
      </c>
      <c r="M588" s="113">
        <v>0</v>
      </c>
      <c r="N588" s="113">
        <v>0</v>
      </c>
      <c r="O588" s="113">
        <f t="shared" si="194"/>
        <v>1095812</v>
      </c>
      <c r="P588" s="113">
        <v>0</v>
      </c>
      <c r="Q588" s="114" t="e">
        <f t="shared" si="195"/>
        <v>#DIV/0!</v>
      </c>
      <c r="R588" s="115"/>
      <c r="S588" s="326">
        <v>43465</v>
      </c>
    </row>
    <row r="589" spans="1:48" customFormat="1" ht="15.6">
      <c r="A589" s="107">
        <f t="shared" si="196"/>
        <v>5</v>
      </c>
      <c r="B589" s="305" t="s">
        <v>322</v>
      </c>
      <c r="C589" s="108">
        <v>1976</v>
      </c>
      <c r="D589" s="108"/>
      <c r="E589" s="109" t="s">
        <v>219</v>
      </c>
      <c r="F589" s="110">
        <v>9</v>
      </c>
      <c r="G589" s="110">
        <v>3</v>
      </c>
      <c r="H589" s="111"/>
      <c r="I589" s="111"/>
      <c r="J589" s="111"/>
      <c r="K589" s="112"/>
      <c r="L589" s="113">
        <v>5619141</v>
      </c>
      <c r="M589" s="113">
        <v>0</v>
      </c>
      <c r="N589" s="113">
        <v>0</v>
      </c>
      <c r="O589" s="113">
        <f t="shared" si="194"/>
        <v>5619141</v>
      </c>
      <c r="P589" s="113">
        <v>0</v>
      </c>
      <c r="Q589" s="114" t="e">
        <f t="shared" si="195"/>
        <v>#DIV/0!</v>
      </c>
      <c r="R589" s="115"/>
      <c r="S589" s="326">
        <v>43465</v>
      </c>
    </row>
    <row r="590" spans="1:48" customFormat="1" ht="15.6">
      <c r="A590" s="107">
        <f t="shared" si="196"/>
        <v>6</v>
      </c>
      <c r="B590" s="305" t="s">
        <v>320</v>
      </c>
      <c r="C590" s="107">
        <v>1982</v>
      </c>
      <c r="D590" s="108"/>
      <c r="E590" s="109" t="s">
        <v>219</v>
      </c>
      <c r="F590" s="108">
        <v>9</v>
      </c>
      <c r="G590" s="108">
        <v>2</v>
      </c>
      <c r="H590" s="117"/>
      <c r="I590" s="117"/>
      <c r="J590" s="117"/>
      <c r="K590" s="101"/>
      <c r="L590" s="113">
        <v>3748388</v>
      </c>
      <c r="M590" s="113">
        <v>0</v>
      </c>
      <c r="N590" s="113">
        <v>0</v>
      </c>
      <c r="O590" s="113">
        <f t="shared" si="194"/>
        <v>3748388</v>
      </c>
      <c r="P590" s="113">
        <v>0</v>
      </c>
      <c r="Q590" s="114" t="e">
        <f t="shared" si="195"/>
        <v>#DIV/0!</v>
      </c>
      <c r="R590" s="115"/>
      <c r="S590" s="326">
        <v>43465</v>
      </c>
    </row>
    <row r="591" spans="1:48" customFormat="1" ht="15.6">
      <c r="A591" s="107">
        <f t="shared" si="196"/>
        <v>7</v>
      </c>
      <c r="B591" s="301" t="s">
        <v>327</v>
      </c>
      <c r="C591" s="108">
        <v>1981</v>
      </c>
      <c r="D591" s="108"/>
      <c r="E591" s="109" t="s">
        <v>219</v>
      </c>
      <c r="F591" s="110">
        <v>9</v>
      </c>
      <c r="G591" s="110">
        <v>8</v>
      </c>
      <c r="H591" s="111"/>
      <c r="I591" s="111"/>
      <c r="J591" s="111"/>
      <c r="K591" s="112"/>
      <c r="L591" s="113">
        <v>15157748</v>
      </c>
      <c r="M591" s="113">
        <v>0</v>
      </c>
      <c r="N591" s="113">
        <v>0</v>
      </c>
      <c r="O591" s="113">
        <f t="shared" si="194"/>
        <v>15157748</v>
      </c>
      <c r="P591" s="113">
        <v>0</v>
      </c>
      <c r="Q591" s="114" t="e">
        <f t="shared" si="195"/>
        <v>#DIV/0!</v>
      </c>
      <c r="R591" s="115"/>
      <c r="S591" s="326">
        <v>43465</v>
      </c>
    </row>
    <row r="592" spans="1:48" customFormat="1" ht="31.2">
      <c r="A592" s="107">
        <f t="shared" si="196"/>
        <v>8</v>
      </c>
      <c r="B592" s="301" t="s">
        <v>323</v>
      </c>
      <c r="C592" s="108">
        <v>1954</v>
      </c>
      <c r="D592" s="108"/>
      <c r="E592" s="109" t="s">
        <v>218</v>
      </c>
      <c r="F592" s="110">
        <v>2</v>
      </c>
      <c r="G592" s="110">
        <v>2</v>
      </c>
      <c r="H592" s="111"/>
      <c r="I592" s="111"/>
      <c r="J592" s="111"/>
      <c r="K592" s="112"/>
      <c r="L592" s="113">
        <v>1030213</v>
      </c>
      <c r="M592" s="113">
        <v>0</v>
      </c>
      <c r="N592" s="113">
        <v>0</v>
      </c>
      <c r="O592" s="113">
        <f t="shared" si="194"/>
        <v>1030213</v>
      </c>
      <c r="P592" s="113">
        <v>0</v>
      </c>
      <c r="Q592" s="114" t="e">
        <f t="shared" si="195"/>
        <v>#DIV/0!</v>
      </c>
      <c r="R592" s="115"/>
      <c r="S592" s="326">
        <v>43465</v>
      </c>
    </row>
    <row r="593" spans="1:30" customFormat="1" ht="31.2">
      <c r="A593" s="107">
        <f t="shared" si="196"/>
        <v>9</v>
      </c>
      <c r="B593" s="305" t="s">
        <v>319</v>
      </c>
      <c r="C593" s="118">
        <v>1860</v>
      </c>
      <c r="D593" s="118"/>
      <c r="E593" s="109" t="s">
        <v>218</v>
      </c>
      <c r="F593" s="118">
        <v>3</v>
      </c>
      <c r="G593" s="118">
        <v>1</v>
      </c>
      <c r="H593" s="118"/>
      <c r="I593" s="118"/>
      <c r="J593" s="118"/>
      <c r="K593" s="119"/>
      <c r="L593" s="113">
        <v>530465</v>
      </c>
      <c r="M593" s="113">
        <v>0</v>
      </c>
      <c r="N593" s="113">
        <v>0</v>
      </c>
      <c r="O593" s="113">
        <f t="shared" si="194"/>
        <v>530465</v>
      </c>
      <c r="P593" s="113">
        <v>0</v>
      </c>
      <c r="Q593" s="114" t="e">
        <f t="shared" si="195"/>
        <v>#DIV/0!</v>
      </c>
      <c r="R593" s="115"/>
      <c r="S593" s="326">
        <v>43465</v>
      </c>
    </row>
    <row r="594" spans="1:30" customFormat="1" ht="31.2">
      <c r="A594" s="107">
        <f t="shared" si="196"/>
        <v>10</v>
      </c>
      <c r="B594" s="305" t="s">
        <v>326</v>
      </c>
      <c r="C594" s="108">
        <v>1958</v>
      </c>
      <c r="D594" s="108"/>
      <c r="E594" s="109" t="s">
        <v>218</v>
      </c>
      <c r="F594" s="110">
        <v>2</v>
      </c>
      <c r="G594" s="110">
        <v>2</v>
      </c>
      <c r="H594" s="111"/>
      <c r="I594" s="111"/>
      <c r="J594" s="111"/>
      <c r="K594" s="112"/>
      <c r="L594" s="113">
        <v>1983854</v>
      </c>
      <c r="M594" s="113">
        <v>0</v>
      </c>
      <c r="N594" s="113">
        <v>0</v>
      </c>
      <c r="O594" s="113">
        <f t="shared" si="194"/>
        <v>1983854</v>
      </c>
      <c r="P594" s="113">
        <v>0</v>
      </c>
      <c r="Q594" s="114" t="e">
        <f t="shared" si="195"/>
        <v>#DIV/0!</v>
      </c>
      <c r="R594" s="115"/>
      <c r="S594" s="326">
        <v>43465</v>
      </c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</row>
    <row r="595" spans="1:30" customFormat="1" ht="31.2">
      <c r="A595" s="107">
        <f t="shared" si="196"/>
        <v>11</v>
      </c>
      <c r="B595" s="305" t="s">
        <v>388</v>
      </c>
      <c r="C595" s="108">
        <v>1961</v>
      </c>
      <c r="D595" s="108"/>
      <c r="E595" s="109" t="s">
        <v>218</v>
      </c>
      <c r="F595" s="110">
        <v>5</v>
      </c>
      <c r="G595" s="110">
        <v>2</v>
      </c>
      <c r="H595" s="111"/>
      <c r="I595" s="111"/>
      <c r="J595" s="111"/>
      <c r="K595" s="112"/>
      <c r="L595" s="113">
        <v>1206304</v>
      </c>
      <c r="M595" s="113">
        <v>0</v>
      </c>
      <c r="N595" s="113">
        <v>0</v>
      </c>
      <c r="O595" s="113">
        <f t="shared" si="194"/>
        <v>1206304</v>
      </c>
      <c r="P595" s="113">
        <v>0</v>
      </c>
      <c r="Q595" s="114" t="e">
        <f t="shared" si="195"/>
        <v>#DIV/0!</v>
      </c>
      <c r="R595" s="115"/>
      <c r="S595" s="326">
        <v>43465</v>
      </c>
    </row>
    <row r="596" spans="1:30" customFormat="1" ht="31.2">
      <c r="A596" s="107">
        <f t="shared" si="196"/>
        <v>12</v>
      </c>
      <c r="B596" s="301" t="s">
        <v>419</v>
      </c>
      <c r="C596" s="108">
        <v>1961</v>
      </c>
      <c r="D596" s="116"/>
      <c r="E596" s="109" t="s">
        <v>218</v>
      </c>
      <c r="F596" s="110">
        <v>5</v>
      </c>
      <c r="G596" s="110">
        <v>3</v>
      </c>
      <c r="H596" s="111"/>
      <c r="I596" s="111"/>
      <c r="J596" s="111"/>
      <c r="K596" s="112"/>
      <c r="L596" s="113">
        <v>402530.2</v>
      </c>
      <c r="M596" s="113">
        <v>0</v>
      </c>
      <c r="N596" s="113">
        <v>0</v>
      </c>
      <c r="O596" s="113">
        <f t="shared" si="194"/>
        <v>402530.2</v>
      </c>
      <c r="P596" s="113">
        <v>0</v>
      </c>
      <c r="Q596" s="114" t="e">
        <f t="shared" si="195"/>
        <v>#DIV/0!</v>
      </c>
      <c r="R596" s="115"/>
      <c r="S596" s="326">
        <v>43465</v>
      </c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</row>
    <row r="597" spans="1:30" customFormat="1" ht="31.2">
      <c r="A597" s="107">
        <f t="shared" si="196"/>
        <v>13</v>
      </c>
      <c r="B597" s="301" t="s">
        <v>387</v>
      </c>
      <c r="C597" s="118">
        <v>1967</v>
      </c>
      <c r="D597" s="118"/>
      <c r="E597" s="109" t="s">
        <v>218</v>
      </c>
      <c r="F597" s="118">
        <v>5</v>
      </c>
      <c r="G597" s="118">
        <v>8</v>
      </c>
      <c r="H597" s="111"/>
      <c r="I597" s="111"/>
      <c r="J597" s="111"/>
      <c r="K597" s="112"/>
      <c r="L597" s="113">
        <v>2861497</v>
      </c>
      <c r="M597" s="113">
        <v>0</v>
      </c>
      <c r="N597" s="113">
        <v>0</v>
      </c>
      <c r="O597" s="113">
        <f t="shared" si="194"/>
        <v>2861497</v>
      </c>
      <c r="P597" s="113">
        <v>0</v>
      </c>
      <c r="Q597" s="114" t="e">
        <f t="shared" si="195"/>
        <v>#DIV/0!</v>
      </c>
      <c r="R597" s="115"/>
      <c r="S597" s="326">
        <v>43465</v>
      </c>
    </row>
    <row r="598" spans="1:30" customFormat="1" ht="15.6">
      <c r="A598" s="107">
        <f t="shared" si="196"/>
        <v>14</v>
      </c>
      <c r="B598" s="305" t="s">
        <v>334</v>
      </c>
      <c r="C598" s="108">
        <v>1974</v>
      </c>
      <c r="D598" s="108"/>
      <c r="E598" s="109" t="s">
        <v>219</v>
      </c>
      <c r="F598" s="110">
        <v>5</v>
      </c>
      <c r="G598" s="110">
        <v>4</v>
      </c>
      <c r="H598" s="111"/>
      <c r="I598" s="111"/>
      <c r="J598" s="111"/>
      <c r="K598" s="112"/>
      <c r="L598" s="113">
        <v>1535065.47</v>
      </c>
      <c r="M598" s="113">
        <v>0</v>
      </c>
      <c r="N598" s="113">
        <v>0</v>
      </c>
      <c r="O598" s="113">
        <f t="shared" si="194"/>
        <v>1535065.47</v>
      </c>
      <c r="P598" s="113">
        <v>0</v>
      </c>
      <c r="Q598" s="114" t="e">
        <f t="shared" si="195"/>
        <v>#DIV/0!</v>
      </c>
      <c r="R598" s="115"/>
      <c r="S598" s="326">
        <v>43465</v>
      </c>
    </row>
    <row r="599" spans="1:30" customFormat="1" ht="15.6">
      <c r="A599" s="107">
        <f t="shared" si="196"/>
        <v>15</v>
      </c>
      <c r="B599" s="305" t="s">
        <v>330</v>
      </c>
      <c r="C599" s="118">
        <v>1966</v>
      </c>
      <c r="D599" s="118"/>
      <c r="E599" s="109" t="s">
        <v>219</v>
      </c>
      <c r="F599" s="118">
        <v>5</v>
      </c>
      <c r="G599" s="118">
        <v>4</v>
      </c>
      <c r="H599" s="111"/>
      <c r="I599" s="111"/>
      <c r="J599" s="111"/>
      <c r="K599" s="112"/>
      <c r="L599" s="113">
        <v>930534</v>
      </c>
      <c r="M599" s="113">
        <v>0</v>
      </c>
      <c r="N599" s="113">
        <v>0</v>
      </c>
      <c r="O599" s="113">
        <f t="shared" si="194"/>
        <v>930534</v>
      </c>
      <c r="P599" s="113">
        <v>0</v>
      </c>
      <c r="Q599" s="114" t="e">
        <f t="shared" si="195"/>
        <v>#DIV/0!</v>
      </c>
      <c r="R599" s="115"/>
      <c r="S599" s="326">
        <v>43465</v>
      </c>
    </row>
    <row r="600" spans="1:30" customFormat="1" ht="15.6">
      <c r="A600" s="107">
        <f t="shared" si="196"/>
        <v>16</v>
      </c>
      <c r="B600" s="305" t="s">
        <v>328</v>
      </c>
      <c r="C600" s="118">
        <v>1970</v>
      </c>
      <c r="D600" s="118"/>
      <c r="E600" s="109" t="s">
        <v>219</v>
      </c>
      <c r="F600" s="118">
        <v>5</v>
      </c>
      <c r="G600" s="118">
        <v>4</v>
      </c>
      <c r="H600" s="111"/>
      <c r="I600" s="111"/>
      <c r="J600" s="111"/>
      <c r="K600" s="112"/>
      <c r="L600" s="113">
        <v>662518</v>
      </c>
      <c r="M600" s="113">
        <v>0</v>
      </c>
      <c r="N600" s="113">
        <v>0</v>
      </c>
      <c r="O600" s="113">
        <f t="shared" si="194"/>
        <v>662518</v>
      </c>
      <c r="P600" s="113">
        <v>0</v>
      </c>
      <c r="Q600" s="114" t="e">
        <f t="shared" si="195"/>
        <v>#DIV/0!</v>
      </c>
      <c r="R600" s="115"/>
      <c r="S600" s="326">
        <v>43465</v>
      </c>
    </row>
    <row r="601" spans="1:30" customFormat="1" ht="31.2">
      <c r="A601" s="107">
        <f t="shared" si="196"/>
        <v>17</v>
      </c>
      <c r="B601" s="305" t="s">
        <v>333</v>
      </c>
      <c r="C601" s="108">
        <v>1979</v>
      </c>
      <c r="D601" s="108"/>
      <c r="E601" s="109" t="s">
        <v>218</v>
      </c>
      <c r="F601" s="110">
        <v>5</v>
      </c>
      <c r="G601" s="110">
        <v>4</v>
      </c>
      <c r="H601" s="111"/>
      <c r="I601" s="111"/>
      <c r="J601" s="111"/>
      <c r="K601" s="112"/>
      <c r="L601" s="113">
        <v>2346663</v>
      </c>
      <c r="M601" s="113">
        <v>0</v>
      </c>
      <c r="N601" s="113">
        <v>0</v>
      </c>
      <c r="O601" s="113">
        <f t="shared" si="194"/>
        <v>2346663</v>
      </c>
      <c r="P601" s="113">
        <v>0</v>
      </c>
      <c r="Q601" s="114" t="e">
        <f t="shared" si="195"/>
        <v>#DIV/0!</v>
      </c>
      <c r="R601" s="115"/>
      <c r="S601" s="326">
        <v>43465</v>
      </c>
    </row>
    <row r="602" spans="1:30" customFormat="1" ht="15.6">
      <c r="A602" s="107">
        <f t="shared" si="196"/>
        <v>18</v>
      </c>
      <c r="B602" s="305" t="s">
        <v>331</v>
      </c>
      <c r="C602" s="118">
        <v>1972</v>
      </c>
      <c r="D602" s="118"/>
      <c r="E602" s="109" t="s">
        <v>219</v>
      </c>
      <c r="F602" s="118">
        <v>5</v>
      </c>
      <c r="G602" s="118">
        <v>4</v>
      </c>
      <c r="H602" s="111"/>
      <c r="I602" s="111"/>
      <c r="J602" s="111"/>
      <c r="K602" s="112"/>
      <c r="L602" s="113">
        <v>727019</v>
      </c>
      <c r="M602" s="113">
        <v>0</v>
      </c>
      <c r="N602" s="113">
        <v>0</v>
      </c>
      <c r="O602" s="113">
        <f t="shared" si="194"/>
        <v>727019</v>
      </c>
      <c r="P602" s="113">
        <v>0</v>
      </c>
      <c r="Q602" s="114" t="e">
        <f t="shared" si="195"/>
        <v>#DIV/0!</v>
      </c>
      <c r="R602" s="115"/>
      <c r="S602" s="326">
        <v>43465</v>
      </c>
    </row>
    <row r="603" spans="1:30" customFormat="1" ht="31.2">
      <c r="A603" s="107">
        <f t="shared" si="196"/>
        <v>19</v>
      </c>
      <c r="B603" s="305" t="s">
        <v>329</v>
      </c>
      <c r="C603" s="118">
        <v>1963</v>
      </c>
      <c r="D603" s="118"/>
      <c r="E603" s="109" t="s">
        <v>218</v>
      </c>
      <c r="F603" s="118">
        <v>4</v>
      </c>
      <c r="G603" s="118">
        <v>3</v>
      </c>
      <c r="H603" s="118"/>
      <c r="I603" s="118"/>
      <c r="J603" s="118"/>
      <c r="K603" s="119"/>
      <c r="L603" s="113">
        <v>538121</v>
      </c>
      <c r="M603" s="113">
        <v>0</v>
      </c>
      <c r="N603" s="113">
        <v>0</v>
      </c>
      <c r="O603" s="113">
        <f t="shared" si="194"/>
        <v>538121</v>
      </c>
      <c r="P603" s="113">
        <v>0</v>
      </c>
      <c r="Q603" s="114" t="e">
        <f t="shared" si="195"/>
        <v>#DIV/0!</v>
      </c>
      <c r="R603" s="115"/>
      <c r="S603" s="326">
        <v>43465</v>
      </c>
    </row>
    <row r="604" spans="1:30" customFormat="1" ht="31.2">
      <c r="A604" s="107">
        <f t="shared" si="196"/>
        <v>20</v>
      </c>
      <c r="B604" s="305" t="s">
        <v>332</v>
      </c>
      <c r="C604" s="118">
        <v>1963</v>
      </c>
      <c r="D604" s="118"/>
      <c r="E604" s="109" t="s">
        <v>218</v>
      </c>
      <c r="F604" s="118">
        <v>4</v>
      </c>
      <c r="G604" s="118">
        <v>3</v>
      </c>
      <c r="H604" s="118"/>
      <c r="I604" s="118"/>
      <c r="J604" s="118"/>
      <c r="K604" s="119"/>
      <c r="L604" s="113">
        <v>1756852</v>
      </c>
      <c r="M604" s="113">
        <v>0</v>
      </c>
      <c r="N604" s="113">
        <v>0</v>
      </c>
      <c r="O604" s="113">
        <f t="shared" si="194"/>
        <v>1756852</v>
      </c>
      <c r="P604" s="113">
        <v>0</v>
      </c>
      <c r="Q604" s="114" t="e">
        <f t="shared" si="195"/>
        <v>#DIV/0!</v>
      </c>
      <c r="R604" s="115"/>
      <c r="S604" s="326">
        <v>43465</v>
      </c>
    </row>
    <row r="605" spans="1:30" customFormat="1" ht="15.6">
      <c r="A605" s="107">
        <f t="shared" si="196"/>
        <v>21</v>
      </c>
      <c r="B605" s="305" t="s">
        <v>316</v>
      </c>
      <c r="C605" s="108">
        <v>1974</v>
      </c>
      <c r="D605" s="108"/>
      <c r="E605" s="109" t="s">
        <v>219</v>
      </c>
      <c r="F605" s="110">
        <v>5</v>
      </c>
      <c r="G605" s="110">
        <v>4</v>
      </c>
      <c r="H605" s="111"/>
      <c r="I605" s="111"/>
      <c r="J605" s="111"/>
      <c r="K605" s="112"/>
      <c r="L605" s="113">
        <v>676398.28</v>
      </c>
      <c r="M605" s="113">
        <v>0</v>
      </c>
      <c r="N605" s="113">
        <v>0</v>
      </c>
      <c r="O605" s="113">
        <f t="shared" si="194"/>
        <v>676398.28</v>
      </c>
      <c r="P605" s="113">
        <v>0</v>
      </c>
      <c r="Q605" s="114" t="e">
        <f t="shared" si="195"/>
        <v>#DIV/0!</v>
      </c>
      <c r="R605" s="115"/>
      <c r="S605" s="326">
        <v>43465</v>
      </c>
    </row>
    <row r="606" spans="1:30" customFormat="1" ht="31.2">
      <c r="A606" s="107">
        <f t="shared" si="196"/>
        <v>22</v>
      </c>
      <c r="B606" s="301" t="s">
        <v>313</v>
      </c>
      <c r="C606" s="108">
        <v>1951</v>
      </c>
      <c r="D606" s="108"/>
      <c r="E606" s="109" t="s">
        <v>218</v>
      </c>
      <c r="F606" s="110">
        <v>2</v>
      </c>
      <c r="G606" s="110">
        <v>1</v>
      </c>
      <c r="H606" s="111"/>
      <c r="I606" s="111"/>
      <c r="J606" s="111"/>
      <c r="K606" s="112"/>
      <c r="L606" s="113">
        <v>766539</v>
      </c>
      <c r="M606" s="113">
        <v>0</v>
      </c>
      <c r="N606" s="113">
        <v>0</v>
      </c>
      <c r="O606" s="113">
        <f t="shared" si="194"/>
        <v>766539</v>
      </c>
      <c r="P606" s="113">
        <v>0</v>
      </c>
      <c r="Q606" s="114" t="e">
        <f t="shared" si="195"/>
        <v>#DIV/0!</v>
      </c>
      <c r="R606" s="115"/>
      <c r="S606" s="326">
        <v>43465</v>
      </c>
    </row>
    <row r="607" spans="1:30" customFormat="1" ht="31.2">
      <c r="A607" s="107">
        <f t="shared" si="196"/>
        <v>23</v>
      </c>
      <c r="B607" s="305" t="s">
        <v>312</v>
      </c>
      <c r="C607" s="118">
        <v>1983</v>
      </c>
      <c r="D607" s="118"/>
      <c r="E607" s="109" t="s">
        <v>218</v>
      </c>
      <c r="F607" s="118">
        <v>9</v>
      </c>
      <c r="G607" s="118">
        <v>2</v>
      </c>
      <c r="H607" s="118"/>
      <c r="I607" s="118"/>
      <c r="J607" s="118"/>
      <c r="K607" s="119"/>
      <c r="L607" s="113">
        <v>1186114</v>
      </c>
      <c r="M607" s="113">
        <v>0</v>
      </c>
      <c r="N607" s="113">
        <v>0</v>
      </c>
      <c r="O607" s="113">
        <f t="shared" si="194"/>
        <v>1186114</v>
      </c>
      <c r="P607" s="113">
        <v>0</v>
      </c>
      <c r="Q607" s="114" t="e">
        <f t="shared" si="195"/>
        <v>#DIV/0!</v>
      </c>
      <c r="R607" s="115"/>
      <c r="S607" s="326">
        <v>43465</v>
      </c>
    </row>
    <row r="608" spans="1:30" customFormat="1" ht="31.2">
      <c r="A608" s="107">
        <f t="shared" si="196"/>
        <v>24</v>
      </c>
      <c r="B608" s="301" t="s">
        <v>311</v>
      </c>
      <c r="C608" s="118">
        <v>1958</v>
      </c>
      <c r="D608" s="118"/>
      <c r="E608" s="109" t="s">
        <v>218</v>
      </c>
      <c r="F608" s="118">
        <v>3</v>
      </c>
      <c r="G608" s="118">
        <v>2</v>
      </c>
      <c r="H608" s="118"/>
      <c r="I608" s="118"/>
      <c r="J608" s="118"/>
      <c r="K608" s="119"/>
      <c r="L608" s="113">
        <v>178272.59</v>
      </c>
      <c r="M608" s="113">
        <v>0</v>
      </c>
      <c r="N608" s="113">
        <v>0</v>
      </c>
      <c r="O608" s="113">
        <f t="shared" si="194"/>
        <v>178272.59</v>
      </c>
      <c r="P608" s="113">
        <v>0</v>
      </c>
      <c r="Q608" s="114" t="e">
        <f t="shared" si="195"/>
        <v>#DIV/0!</v>
      </c>
      <c r="R608" s="115"/>
      <c r="S608" s="326">
        <v>43465</v>
      </c>
    </row>
    <row r="609" spans="1:48" customFormat="1" ht="31.2">
      <c r="A609" s="107">
        <f t="shared" si="196"/>
        <v>25</v>
      </c>
      <c r="B609" s="305" t="s">
        <v>315</v>
      </c>
      <c r="C609" s="108">
        <v>1963</v>
      </c>
      <c r="D609" s="108"/>
      <c r="E609" s="109" t="s">
        <v>218</v>
      </c>
      <c r="F609" s="110">
        <v>4</v>
      </c>
      <c r="G609" s="110">
        <v>2</v>
      </c>
      <c r="H609" s="111"/>
      <c r="I609" s="111"/>
      <c r="J609" s="111"/>
      <c r="K609" s="112"/>
      <c r="L609" s="113">
        <v>1087116</v>
      </c>
      <c r="M609" s="113">
        <v>0</v>
      </c>
      <c r="N609" s="113">
        <v>0</v>
      </c>
      <c r="O609" s="113">
        <f t="shared" si="194"/>
        <v>1087116</v>
      </c>
      <c r="P609" s="113">
        <v>0</v>
      </c>
      <c r="Q609" s="114" t="e">
        <f t="shared" si="195"/>
        <v>#DIV/0!</v>
      </c>
      <c r="R609" s="115"/>
      <c r="S609" s="326">
        <v>43465</v>
      </c>
    </row>
    <row r="610" spans="1:48" customFormat="1" ht="31.2">
      <c r="A610" s="107">
        <f t="shared" si="196"/>
        <v>26</v>
      </c>
      <c r="B610" s="305" t="s">
        <v>351</v>
      </c>
      <c r="C610" s="108">
        <v>1984</v>
      </c>
      <c r="D610" s="108"/>
      <c r="E610" s="109" t="s">
        <v>218</v>
      </c>
      <c r="F610" s="110">
        <v>9</v>
      </c>
      <c r="G610" s="110">
        <v>2</v>
      </c>
      <c r="H610" s="111"/>
      <c r="I610" s="111"/>
      <c r="J610" s="111"/>
      <c r="K610" s="112"/>
      <c r="L610" s="113">
        <v>1411363</v>
      </c>
      <c r="M610" s="113">
        <v>0</v>
      </c>
      <c r="N610" s="113">
        <v>0</v>
      </c>
      <c r="O610" s="113">
        <f t="shared" si="194"/>
        <v>1411363</v>
      </c>
      <c r="P610" s="113">
        <v>0</v>
      </c>
      <c r="Q610" s="114" t="e">
        <f t="shared" si="195"/>
        <v>#DIV/0!</v>
      </c>
      <c r="R610" s="115"/>
      <c r="S610" s="326">
        <v>43465</v>
      </c>
    </row>
    <row r="611" spans="1:48" customFormat="1" ht="31.2">
      <c r="A611" s="107">
        <f t="shared" si="196"/>
        <v>27</v>
      </c>
      <c r="B611" s="305" t="s">
        <v>314</v>
      </c>
      <c r="C611" s="108">
        <v>1964</v>
      </c>
      <c r="D611" s="108"/>
      <c r="E611" s="109" t="s">
        <v>218</v>
      </c>
      <c r="F611" s="110">
        <v>4</v>
      </c>
      <c r="G611" s="110">
        <v>2</v>
      </c>
      <c r="H611" s="111"/>
      <c r="I611" s="111"/>
      <c r="J611" s="111"/>
      <c r="K611" s="112"/>
      <c r="L611" s="113">
        <v>1136666</v>
      </c>
      <c r="M611" s="113">
        <v>0</v>
      </c>
      <c r="N611" s="113">
        <v>0</v>
      </c>
      <c r="O611" s="113">
        <f t="shared" si="194"/>
        <v>1136666</v>
      </c>
      <c r="P611" s="113">
        <v>0</v>
      </c>
      <c r="Q611" s="114" t="e">
        <f t="shared" si="195"/>
        <v>#DIV/0!</v>
      </c>
      <c r="R611" s="115"/>
      <c r="S611" s="326">
        <v>43465</v>
      </c>
    </row>
    <row r="612" spans="1:48" customFormat="1" ht="31.2">
      <c r="A612" s="107">
        <f t="shared" si="196"/>
        <v>28</v>
      </c>
      <c r="B612" s="305" t="s">
        <v>369</v>
      </c>
      <c r="C612" s="118">
        <v>1959</v>
      </c>
      <c r="D612" s="118"/>
      <c r="E612" s="109" t="s">
        <v>218</v>
      </c>
      <c r="F612" s="118">
        <v>4</v>
      </c>
      <c r="G612" s="118">
        <v>6</v>
      </c>
      <c r="H612" s="118"/>
      <c r="I612" s="118"/>
      <c r="J612" s="118"/>
      <c r="K612" s="119"/>
      <c r="L612" s="113">
        <v>1385674</v>
      </c>
      <c r="M612" s="113">
        <v>0</v>
      </c>
      <c r="N612" s="113">
        <v>0</v>
      </c>
      <c r="O612" s="113">
        <f t="shared" si="194"/>
        <v>1385674</v>
      </c>
      <c r="P612" s="113">
        <v>0</v>
      </c>
      <c r="Q612" s="114" t="e">
        <f t="shared" si="195"/>
        <v>#DIV/0!</v>
      </c>
      <c r="R612" s="115"/>
      <c r="S612" s="326">
        <v>43465</v>
      </c>
    </row>
    <row r="613" spans="1:48" customFormat="1" ht="31.2">
      <c r="A613" s="107">
        <f t="shared" si="196"/>
        <v>29</v>
      </c>
      <c r="B613" s="305" t="s">
        <v>370</v>
      </c>
      <c r="C613" s="118">
        <v>1937</v>
      </c>
      <c r="D613" s="118"/>
      <c r="E613" s="109" t="s">
        <v>218</v>
      </c>
      <c r="F613" s="118">
        <v>4</v>
      </c>
      <c r="G613" s="118">
        <v>9</v>
      </c>
      <c r="H613" s="118"/>
      <c r="I613" s="118"/>
      <c r="J613" s="118"/>
      <c r="K613" s="119"/>
      <c r="L613" s="113">
        <v>4619990</v>
      </c>
      <c r="M613" s="113">
        <v>0</v>
      </c>
      <c r="N613" s="113">
        <v>0</v>
      </c>
      <c r="O613" s="113">
        <f t="shared" si="194"/>
        <v>4619990</v>
      </c>
      <c r="P613" s="113">
        <v>0</v>
      </c>
      <c r="Q613" s="114" t="e">
        <f t="shared" si="195"/>
        <v>#DIV/0!</v>
      </c>
      <c r="R613" s="115"/>
      <c r="S613" s="326">
        <v>43465</v>
      </c>
    </row>
    <row r="614" spans="1:48" customFormat="1" ht="31.2">
      <c r="A614" s="107">
        <f t="shared" si="196"/>
        <v>30</v>
      </c>
      <c r="B614" s="305" t="s">
        <v>373</v>
      </c>
      <c r="C614" s="118">
        <v>1960</v>
      </c>
      <c r="D614" s="118"/>
      <c r="E614" s="109" t="s">
        <v>218</v>
      </c>
      <c r="F614" s="118">
        <v>4</v>
      </c>
      <c r="G614" s="118">
        <v>3</v>
      </c>
      <c r="H614" s="118"/>
      <c r="I614" s="118"/>
      <c r="J614" s="118"/>
      <c r="K614" s="119"/>
      <c r="L614" s="113">
        <v>1865304</v>
      </c>
      <c r="M614" s="113">
        <v>0</v>
      </c>
      <c r="N614" s="113">
        <v>0</v>
      </c>
      <c r="O614" s="113">
        <f t="shared" si="194"/>
        <v>1865304</v>
      </c>
      <c r="P614" s="113">
        <v>0</v>
      </c>
      <c r="Q614" s="114" t="e">
        <f t="shared" si="195"/>
        <v>#DIV/0!</v>
      </c>
      <c r="R614" s="115"/>
      <c r="S614" s="326">
        <v>43465</v>
      </c>
    </row>
    <row r="615" spans="1:48" customFormat="1" ht="31.2">
      <c r="A615" s="107">
        <f t="shared" si="196"/>
        <v>31</v>
      </c>
      <c r="B615" s="305" t="s">
        <v>381</v>
      </c>
      <c r="C615" s="108">
        <v>1961</v>
      </c>
      <c r="D615" s="108"/>
      <c r="E615" s="109" t="s">
        <v>218</v>
      </c>
      <c r="F615" s="110">
        <v>5</v>
      </c>
      <c r="G615" s="110">
        <v>4</v>
      </c>
      <c r="H615" s="111"/>
      <c r="I615" s="111"/>
      <c r="J615" s="111"/>
      <c r="K615" s="112"/>
      <c r="L615" s="113">
        <v>1870910</v>
      </c>
      <c r="M615" s="113">
        <v>0</v>
      </c>
      <c r="N615" s="113">
        <v>0</v>
      </c>
      <c r="O615" s="113">
        <f t="shared" si="194"/>
        <v>1870910</v>
      </c>
      <c r="P615" s="113">
        <v>0</v>
      </c>
      <c r="Q615" s="114" t="e">
        <f t="shared" si="195"/>
        <v>#DIV/0!</v>
      </c>
      <c r="R615" s="115"/>
      <c r="S615" s="326">
        <v>43465</v>
      </c>
    </row>
    <row r="616" spans="1:48" customFormat="1" ht="31.2">
      <c r="A616" s="107">
        <f t="shared" si="196"/>
        <v>32</v>
      </c>
      <c r="B616" s="305" t="s">
        <v>382</v>
      </c>
      <c r="C616" s="108">
        <v>1960</v>
      </c>
      <c r="D616" s="108"/>
      <c r="E616" s="109" t="s">
        <v>218</v>
      </c>
      <c r="F616" s="110">
        <v>5</v>
      </c>
      <c r="G616" s="110">
        <v>4</v>
      </c>
      <c r="H616" s="111"/>
      <c r="I616" s="111"/>
      <c r="J616" s="111"/>
      <c r="K616" s="112"/>
      <c r="L616" s="113">
        <v>1533757</v>
      </c>
      <c r="M616" s="113">
        <v>0</v>
      </c>
      <c r="N616" s="113">
        <v>0</v>
      </c>
      <c r="O616" s="113">
        <f t="shared" si="194"/>
        <v>1533757</v>
      </c>
      <c r="P616" s="113">
        <v>0</v>
      </c>
      <c r="Q616" s="114" t="e">
        <f t="shared" si="195"/>
        <v>#DIV/0!</v>
      </c>
      <c r="R616" s="115"/>
      <c r="S616" s="326">
        <v>43465</v>
      </c>
    </row>
    <row r="617" spans="1:48" customFormat="1" ht="31.2">
      <c r="A617" s="107">
        <f t="shared" si="196"/>
        <v>33</v>
      </c>
      <c r="B617" s="305" t="s">
        <v>371</v>
      </c>
      <c r="C617" s="118">
        <v>1960</v>
      </c>
      <c r="D617" s="118"/>
      <c r="E617" s="109" t="s">
        <v>218</v>
      </c>
      <c r="F617" s="118">
        <v>5</v>
      </c>
      <c r="G617" s="118">
        <v>4</v>
      </c>
      <c r="H617" s="118"/>
      <c r="I617" s="118"/>
      <c r="J617" s="118"/>
      <c r="K617" s="119"/>
      <c r="L617" s="113">
        <v>939858</v>
      </c>
      <c r="M617" s="113">
        <v>0</v>
      </c>
      <c r="N617" s="113">
        <v>0</v>
      </c>
      <c r="O617" s="113">
        <f t="shared" si="194"/>
        <v>939858</v>
      </c>
      <c r="P617" s="113">
        <v>0</v>
      </c>
      <c r="Q617" s="114" t="e">
        <f t="shared" si="195"/>
        <v>#DIV/0!</v>
      </c>
      <c r="R617" s="115"/>
      <c r="S617" s="326">
        <v>43465</v>
      </c>
    </row>
    <row r="618" spans="1:48" customFormat="1" ht="15.6">
      <c r="A618" s="107">
        <f t="shared" si="196"/>
        <v>34</v>
      </c>
      <c r="B618" s="301" t="s">
        <v>377</v>
      </c>
      <c r="C618" s="108">
        <v>1973</v>
      </c>
      <c r="D618" s="108"/>
      <c r="E618" s="109" t="s">
        <v>219</v>
      </c>
      <c r="F618" s="110">
        <v>5</v>
      </c>
      <c r="G618" s="110">
        <v>6</v>
      </c>
      <c r="H618" s="111"/>
      <c r="I618" s="111"/>
      <c r="J618" s="111"/>
      <c r="K618" s="112"/>
      <c r="L618" s="113">
        <v>2368392</v>
      </c>
      <c r="M618" s="113">
        <v>0</v>
      </c>
      <c r="N618" s="113">
        <v>0</v>
      </c>
      <c r="O618" s="113">
        <f t="shared" si="194"/>
        <v>2368392</v>
      </c>
      <c r="P618" s="113">
        <v>0</v>
      </c>
      <c r="Q618" s="114" t="e">
        <f t="shared" si="195"/>
        <v>#DIV/0!</v>
      </c>
      <c r="R618" s="115"/>
      <c r="S618" s="326">
        <v>43465</v>
      </c>
    </row>
    <row r="619" spans="1:48" customFormat="1" ht="31.2">
      <c r="A619" s="107">
        <f t="shared" si="196"/>
        <v>35</v>
      </c>
      <c r="B619" s="301" t="s">
        <v>378</v>
      </c>
      <c r="C619" s="108">
        <v>1961</v>
      </c>
      <c r="D619" s="108"/>
      <c r="E619" s="109" t="s">
        <v>218</v>
      </c>
      <c r="F619" s="110">
        <v>5</v>
      </c>
      <c r="G619" s="110">
        <v>2</v>
      </c>
      <c r="H619" s="111"/>
      <c r="I619" s="111"/>
      <c r="J619" s="111"/>
      <c r="K619" s="112"/>
      <c r="L619" s="113">
        <v>2433930.91</v>
      </c>
      <c r="M619" s="113">
        <v>0</v>
      </c>
      <c r="N619" s="113">
        <v>0</v>
      </c>
      <c r="O619" s="113">
        <f t="shared" si="194"/>
        <v>2433930.91</v>
      </c>
      <c r="P619" s="113">
        <v>0</v>
      </c>
      <c r="Q619" s="114" t="e">
        <f t="shared" si="195"/>
        <v>#DIV/0!</v>
      </c>
      <c r="R619" s="115"/>
      <c r="S619" s="326">
        <v>43465</v>
      </c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</row>
    <row r="620" spans="1:48" customFormat="1" ht="31.2">
      <c r="A620" s="107">
        <f t="shared" si="196"/>
        <v>36</v>
      </c>
      <c r="B620" s="305" t="s">
        <v>383</v>
      </c>
      <c r="C620" s="108">
        <v>1964</v>
      </c>
      <c r="D620" s="108"/>
      <c r="E620" s="109" t="s">
        <v>218</v>
      </c>
      <c r="F620" s="110">
        <v>5</v>
      </c>
      <c r="G620" s="110">
        <v>4</v>
      </c>
      <c r="H620" s="111"/>
      <c r="I620" s="111"/>
      <c r="J620" s="111"/>
      <c r="K620" s="112"/>
      <c r="L620" s="113">
        <v>1721850</v>
      </c>
      <c r="M620" s="113">
        <v>0</v>
      </c>
      <c r="N620" s="113">
        <v>0</v>
      </c>
      <c r="O620" s="113">
        <f t="shared" si="194"/>
        <v>1721850</v>
      </c>
      <c r="P620" s="113">
        <v>0</v>
      </c>
      <c r="Q620" s="114" t="e">
        <f t="shared" si="195"/>
        <v>#DIV/0!</v>
      </c>
      <c r="R620" s="115"/>
      <c r="S620" s="326">
        <v>43465</v>
      </c>
    </row>
    <row r="621" spans="1:48" s="3" customFormat="1" ht="31.2">
      <c r="A621" s="107">
        <f t="shared" si="196"/>
        <v>37</v>
      </c>
      <c r="B621" s="305" t="s">
        <v>368</v>
      </c>
      <c r="C621" s="118">
        <v>1957</v>
      </c>
      <c r="D621" s="118"/>
      <c r="E621" s="109" t="s">
        <v>218</v>
      </c>
      <c r="F621" s="118">
        <v>4</v>
      </c>
      <c r="G621" s="118">
        <v>4</v>
      </c>
      <c r="H621" s="118"/>
      <c r="I621" s="118"/>
      <c r="J621" s="118"/>
      <c r="K621" s="119"/>
      <c r="L621" s="113">
        <v>814117</v>
      </c>
      <c r="M621" s="113">
        <v>0</v>
      </c>
      <c r="N621" s="113">
        <v>0</v>
      </c>
      <c r="O621" s="113">
        <f t="shared" si="194"/>
        <v>814117</v>
      </c>
      <c r="P621" s="113">
        <v>0</v>
      </c>
      <c r="Q621" s="114" t="e">
        <f t="shared" si="195"/>
        <v>#DIV/0!</v>
      </c>
      <c r="R621" s="115"/>
      <c r="S621" s="326">
        <v>43465</v>
      </c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</row>
    <row r="622" spans="1:48" customFormat="1" ht="31.2">
      <c r="A622" s="107">
        <f t="shared" si="196"/>
        <v>38</v>
      </c>
      <c r="B622" s="305" t="s">
        <v>375</v>
      </c>
      <c r="C622" s="108">
        <v>1957</v>
      </c>
      <c r="D622" s="108"/>
      <c r="E622" s="109" t="s">
        <v>218</v>
      </c>
      <c r="F622" s="110">
        <v>4</v>
      </c>
      <c r="G622" s="110">
        <v>4</v>
      </c>
      <c r="H622" s="111"/>
      <c r="I622" s="111"/>
      <c r="J622" s="111"/>
      <c r="K622" s="112"/>
      <c r="L622" s="113">
        <v>3045081</v>
      </c>
      <c r="M622" s="113">
        <v>0</v>
      </c>
      <c r="N622" s="113">
        <v>0</v>
      </c>
      <c r="O622" s="113">
        <f t="shared" si="194"/>
        <v>3045081</v>
      </c>
      <c r="P622" s="113">
        <v>0</v>
      </c>
      <c r="Q622" s="114" t="e">
        <f t="shared" si="195"/>
        <v>#DIV/0!</v>
      </c>
      <c r="R622" s="115"/>
      <c r="S622" s="326">
        <v>43465</v>
      </c>
    </row>
    <row r="623" spans="1:48" customFormat="1" ht="31.2">
      <c r="A623" s="107">
        <f t="shared" si="196"/>
        <v>39</v>
      </c>
      <c r="B623" s="305" t="s">
        <v>380</v>
      </c>
      <c r="C623" s="108">
        <v>1954</v>
      </c>
      <c r="D623" s="108"/>
      <c r="E623" s="109" t="s">
        <v>218</v>
      </c>
      <c r="F623" s="110">
        <v>3</v>
      </c>
      <c r="G623" s="110">
        <v>3</v>
      </c>
      <c r="H623" s="111"/>
      <c r="I623" s="111"/>
      <c r="J623" s="111"/>
      <c r="K623" s="112"/>
      <c r="L623" s="113">
        <v>2244806</v>
      </c>
      <c r="M623" s="113">
        <v>0</v>
      </c>
      <c r="N623" s="113">
        <v>0</v>
      </c>
      <c r="O623" s="113">
        <f t="shared" si="194"/>
        <v>2244806</v>
      </c>
      <c r="P623" s="113">
        <v>0</v>
      </c>
      <c r="Q623" s="114" t="e">
        <f t="shared" si="195"/>
        <v>#DIV/0!</v>
      </c>
      <c r="R623" s="115"/>
      <c r="S623" s="326">
        <v>43465</v>
      </c>
    </row>
    <row r="624" spans="1:48" customFormat="1" ht="31.2">
      <c r="A624" s="107">
        <f t="shared" si="196"/>
        <v>40</v>
      </c>
      <c r="B624" s="305" t="s">
        <v>374</v>
      </c>
      <c r="C624" s="108">
        <v>1963</v>
      </c>
      <c r="D624" s="108"/>
      <c r="E624" s="109" t="s">
        <v>218</v>
      </c>
      <c r="F624" s="110">
        <v>4</v>
      </c>
      <c r="G624" s="110">
        <v>2</v>
      </c>
      <c r="H624" s="111"/>
      <c r="I624" s="111"/>
      <c r="J624" s="111"/>
      <c r="K624" s="112"/>
      <c r="L624" s="113">
        <v>1361273</v>
      </c>
      <c r="M624" s="113">
        <v>0</v>
      </c>
      <c r="N624" s="113">
        <v>0</v>
      </c>
      <c r="O624" s="113">
        <f t="shared" si="194"/>
        <v>1361273</v>
      </c>
      <c r="P624" s="113">
        <v>0</v>
      </c>
      <c r="Q624" s="114" t="e">
        <f t="shared" si="195"/>
        <v>#DIV/0!</v>
      </c>
      <c r="R624" s="115"/>
      <c r="S624" s="326">
        <v>43465</v>
      </c>
    </row>
    <row r="625" spans="1:48" customFormat="1" ht="31.2">
      <c r="A625" s="107">
        <f t="shared" si="196"/>
        <v>41</v>
      </c>
      <c r="B625" s="305" t="s">
        <v>469</v>
      </c>
      <c r="C625" s="108">
        <v>1959</v>
      </c>
      <c r="D625" s="108"/>
      <c r="E625" s="109" t="s">
        <v>218</v>
      </c>
      <c r="F625" s="110">
        <v>4</v>
      </c>
      <c r="G625" s="110">
        <v>4</v>
      </c>
      <c r="H625" s="111"/>
      <c r="I625" s="111"/>
      <c r="J625" s="111"/>
      <c r="K625" s="112"/>
      <c r="L625" s="113">
        <v>2421596</v>
      </c>
      <c r="M625" s="113">
        <v>0</v>
      </c>
      <c r="N625" s="113">
        <v>0</v>
      </c>
      <c r="O625" s="113">
        <f t="shared" si="194"/>
        <v>2421596</v>
      </c>
      <c r="P625" s="113">
        <v>0</v>
      </c>
      <c r="Q625" s="114" t="e">
        <f t="shared" si="195"/>
        <v>#DIV/0!</v>
      </c>
      <c r="R625" s="115"/>
      <c r="S625" s="326">
        <v>43465</v>
      </c>
    </row>
    <row r="626" spans="1:48" customFormat="1" ht="31.2">
      <c r="A626" s="107">
        <f t="shared" si="196"/>
        <v>42</v>
      </c>
      <c r="B626" s="305" t="s">
        <v>379</v>
      </c>
      <c r="C626" s="108">
        <v>1967</v>
      </c>
      <c r="D626" s="108"/>
      <c r="E626" s="109" t="s">
        <v>218</v>
      </c>
      <c r="F626" s="110">
        <v>6</v>
      </c>
      <c r="G626" s="110">
        <v>5</v>
      </c>
      <c r="H626" s="111"/>
      <c r="I626" s="111"/>
      <c r="J626" s="111"/>
      <c r="K626" s="112"/>
      <c r="L626" s="113">
        <v>2056315</v>
      </c>
      <c r="M626" s="113">
        <v>0</v>
      </c>
      <c r="N626" s="113">
        <v>0</v>
      </c>
      <c r="O626" s="113">
        <f t="shared" si="194"/>
        <v>2056315</v>
      </c>
      <c r="P626" s="113">
        <v>0</v>
      </c>
      <c r="Q626" s="114" t="e">
        <f t="shared" si="195"/>
        <v>#DIV/0!</v>
      </c>
      <c r="R626" s="115"/>
      <c r="S626" s="326">
        <v>43465</v>
      </c>
    </row>
    <row r="627" spans="1:48" customFormat="1" ht="31.2">
      <c r="A627" s="107">
        <f t="shared" si="196"/>
        <v>43</v>
      </c>
      <c r="B627" s="305" t="s">
        <v>372</v>
      </c>
      <c r="C627" s="118">
        <v>1975</v>
      </c>
      <c r="D627" s="118"/>
      <c r="E627" s="109" t="s">
        <v>218</v>
      </c>
      <c r="F627" s="118">
        <v>9</v>
      </c>
      <c r="G627" s="118">
        <v>5</v>
      </c>
      <c r="H627" s="118"/>
      <c r="I627" s="118"/>
      <c r="J627" s="118"/>
      <c r="K627" s="119"/>
      <c r="L627" s="113">
        <v>9473593</v>
      </c>
      <c r="M627" s="113">
        <v>0</v>
      </c>
      <c r="N627" s="113">
        <v>0</v>
      </c>
      <c r="O627" s="113">
        <f t="shared" si="194"/>
        <v>9473593</v>
      </c>
      <c r="P627" s="113">
        <v>0</v>
      </c>
      <c r="Q627" s="114" t="e">
        <f t="shared" si="195"/>
        <v>#DIV/0!</v>
      </c>
      <c r="R627" s="115"/>
      <c r="S627" s="326">
        <v>43465</v>
      </c>
    </row>
    <row r="628" spans="1:48" customFormat="1" ht="31.2">
      <c r="A628" s="107">
        <f t="shared" si="196"/>
        <v>44</v>
      </c>
      <c r="B628" s="301" t="s">
        <v>344</v>
      </c>
      <c r="C628" s="107">
        <v>1968</v>
      </c>
      <c r="D628" s="108"/>
      <c r="E628" s="109" t="s">
        <v>218</v>
      </c>
      <c r="F628" s="108">
        <v>5</v>
      </c>
      <c r="G628" s="108">
        <v>6</v>
      </c>
      <c r="H628" s="117"/>
      <c r="I628" s="117"/>
      <c r="J628" s="102"/>
      <c r="K628" s="101"/>
      <c r="L628" s="113">
        <v>4441828</v>
      </c>
      <c r="M628" s="113">
        <v>0</v>
      </c>
      <c r="N628" s="113">
        <v>0</v>
      </c>
      <c r="O628" s="113">
        <f t="shared" si="194"/>
        <v>4441828</v>
      </c>
      <c r="P628" s="113">
        <v>0</v>
      </c>
      <c r="Q628" s="114" t="e">
        <f t="shared" si="195"/>
        <v>#DIV/0!</v>
      </c>
      <c r="R628" s="115"/>
      <c r="S628" s="326">
        <v>43465</v>
      </c>
    </row>
    <row r="629" spans="1:48" customFormat="1" ht="15.6">
      <c r="A629" s="107">
        <f t="shared" si="196"/>
        <v>45</v>
      </c>
      <c r="B629" s="305" t="s">
        <v>348</v>
      </c>
      <c r="C629" s="108">
        <v>1977</v>
      </c>
      <c r="D629" s="108"/>
      <c r="E629" s="109" t="s">
        <v>219</v>
      </c>
      <c r="F629" s="110">
        <v>5</v>
      </c>
      <c r="G629" s="110">
        <v>8</v>
      </c>
      <c r="H629" s="111"/>
      <c r="I629" s="111"/>
      <c r="J629" s="111"/>
      <c r="K629" s="112"/>
      <c r="L629" s="113">
        <v>3051089</v>
      </c>
      <c r="M629" s="113">
        <v>0</v>
      </c>
      <c r="N629" s="113">
        <v>0</v>
      </c>
      <c r="O629" s="113">
        <f t="shared" si="194"/>
        <v>3051089</v>
      </c>
      <c r="P629" s="113">
        <v>0</v>
      </c>
      <c r="Q629" s="114" t="e">
        <f t="shared" si="195"/>
        <v>#DIV/0!</v>
      </c>
      <c r="R629" s="115"/>
      <c r="S629" s="326">
        <v>43465</v>
      </c>
    </row>
    <row r="630" spans="1:48" customFormat="1" ht="31.2">
      <c r="A630" s="107">
        <f t="shared" si="196"/>
        <v>46</v>
      </c>
      <c r="B630" s="301" t="s">
        <v>386</v>
      </c>
      <c r="C630" s="118">
        <v>1956</v>
      </c>
      <c r="D630" s="118"/>
      <c r="E630" s="109" t="s">
        <v>218</v>
      </c>
      <c r="F630" s="118">
        <v>2</v>
      </c>
      <c r="G630" s="118">
        <v>2</v>
      </c>
      <c r="H630" s="118"/>
      <c r="I630" s="118"/>
      <c r="J630" s="118"/>
      <c r="K630" s="119"/>
      <c r="L630" s="113">
        <v>869749</v>
      </c>
      <c r="M630" s="113">
        <v>0</v>
      </c>
      <c r="N630" s="113">
        <v>0</v>
      </c>
      <c r="O630" s="113">
        <f t="shared" si="194"/>
        <v>869749</v>
      </c>
      <c r="P630" s="113">
        <v>0</v>
      </c>
      <c r="Q630" s="114" t="e">
        <f t="shared" si="195"/>
        <v>#DIV/0!</v>
      </c>
      <c r="R630" s="115"/>
      <c r="S630" s="326">
        <v>43465</v>
      </c>
    </row>
    <row r="631" spans="1:48" customFormat="1" ht="31.2">
      <c r="A631" s="107">
        <f t="shared" si="196"/>
        <v>47</v>
      </c>
      <c r="B631" s="301" t="s">
        <v>461</v>
      </c>
      <c r="C631" s="108">
        <v>1956</v>
      </c>
      <c r="D631" s="108"/>
      <c r="E631" s="109" t="s">
        <v>218</v>
      </c>
      <c r="F631" s="110">
        <v>2</v>
      </c>
      <c r="G631" s="110">
        <v>2</v>
      </c>
      <c r="H631" s="111"/>
      <c r="I631" s="111"/>
      <c r="J631" s="111"/>
      <c r="K631" s="112"/>
      <c r="L631" s="113">
        <v>869880</v>
      </c>
      <c r="M631" s="113">
        <v>0</v>
      </c>
      <c r="N631" s="113">
        <v>0</v>
      </c>
      <c r="O631" s="113">
        <f t="shared" si="194"/>
        <v>869880</v>
      </c>
      <c r="P631" s="113">
        <v>0</v>
      </c>
      <c r="Q631" s="114" t="e">
        <f t="shared" si="195"/>
        <v>#DIV/0!</v>
      </c>
      <c r="R631" s="115"/>
      <c r="S631" s="326">
        <v>43465</v>
      </c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</row>
    <row r="632" spans="1:48" customFormat="1" ht="31.2">
      <c r="A632" s="107">
        <f t="shared" si="196"/>
        <v>48</v>
      </c>
      <c r="B632" s="305" t="s">
        <v>462</v>
      </c>
      <c r="C632" s="108">
        <v>1959</v>
      </c>
      <c r="D632" s="116"/>
      <c r="E632" s="109" t="s">
        <v>218</v>
      </c>
      <c r="F632" s="110">
        <v>2</v>
      </c>
      <c r="G632" s="110">
        <v>2</v>
      </c>
      <c r="H632" s="111"/>
      <c r="I632" s="111"/>
      <c r="J632" s="111"/>
      <c r="K632" s="112"/>
      <c r="L632" s="113">
        <v>172302</v>
      </c>
      <c r="M632" s="113">
        <v>0</v>
      </c>
      <c r="N632" s="113">
        <v>0</v>
      </c>
      <c r="O632" s="113">
        <f t="shared" si="194"/>
        <v>172302</v>
      </c>
      <c r="P632" s="113">
        <v>0</v>
      </c>
      <c r="Q632" s="114" t="e">
        <f t="shared" si="195"/>
        <v>#DIV/0!</v>
      </c>
      <c r="R632" s="115"/>
      <c r="S632" s="326">
        <v>43465</v>
      </c>
    </row>
    <row r="633" spans="1:48" customFormat="1" ht="31.2">
      <c r="A633" s="107">
        <f t="shared" si="196"/>
        <v>49</v>
      </c>
      <c r="B633" s="305" t="s">
        <v>389</v>
      </c>
      <c r="C633" s="108">
        <v>1910</v>
      </c>
      <c r="D633" s="108"/>
      <c r="E633" s="109" t="s">
        <v>218</v>
      </c>
      <c r="F633" s="110">
        <v>4</v>
      </c>
      <c r="G633" s="110">
        <v>1</v>
      </c>
      <c r="H633" s="111"/>
      <c r="I633" s="111"/>
      <c r="J633" s="111"/>
      <c r="K633" s="112"/>
      <c r="L633" s="113">
        <v>3706393</v>
      </c>
      <c r="M633" s="113">
        <v>0</v>
      </c>
      <c r="N633" s="113">
        <v>0</v>
      </c>
      <c r="O633" s="113">
        <f t="shared" si="194"/>
        <v>3706393</v>
      </c>
      <c r="P633" s="113">
        <v>0</v>
      </c>
      <c r="Q633" s="114" t="e">
        <f t="shared" si="195"/>
        <v>#DIV/0!</v>
      </c>
      <c r="R633" s="115"/>
      <c r="S633" s="326">
        <v>43465</v>
      </c>
    </row>
    <row r="634" spans="1:48" customFormat="1" ht="31.2">
      <c r="A634" s="107">
        <f t="shared" si="196"/>
        <v>50</v>
      </c>
      <c r="B634" s="305" t="s">
        <v>317</v>
      </c>
      <c r="C634" s="118">
        <v>1914</v>
      </c>
      <c r="D634" s="118"/>
      <c r="E634" s="109" t="s">
        <v>218</v>
      </c>
      <c r="F634" s="118">
        <v>4</v>
      </c>
      <c r="G634" s="118">
        <v>5</v>
      </c>
      <c r="H634" s="118"/>
      <c r="I634" s="118"/>
      <c r="J634" s="118"/>
      <c r="K634" s="119"/>
      <c r="L634" s="113">
        <v>698585</v>
      </c>
      <c r="M634" s="113">
        <v>0</v>
      </c>
      <c r="N634" s="113">
        <v>0</v>
      </c>
      <c r="O634" s="113">
        <f t="shared" si="194"/>
        <v>698585</v>
      </c>
      <c r="P634" s="113">
        <v>0</v>
      </c>
      <c r="Q634" s="114" t="e">
        <f t="shared" si="195"/>
        <v>#DIV/0!</v>
      </c>
      <c r="R634" s="115"/>
      <c r="S634" s="326">
        <v>43465</v>
      </c>
    </row>
    <row r="635" spans="1:48" customFormat="1" ht="31.2">
      <c r="A635" s="107">
        <f t="shared" si="196"/>
        <v>51</v>
      </c>
      <c r="B635" s="305" t="s">
        <v>384</v>
      </c>
      <c r="C635" s="118" t="s">
        <v>190</v>
      </c>
      <c r="D635" s="118"/>
      <c r="E635" s="109" t="s">
        <v>218</v>
      </c>
      <c r="F635" s="118">
        <v>2</v>
      </c>
      <c r="G635" s="118">
        <v>3</v>
      </c>
      <c r="H635" s="118"/>
      <c r="I635" s="118"/>
      <c r="J635" s="118"/>
      <c r="K635" s="119"/>
      <c r="L635" s="113">
        <v>951740</v>
      </c>
      <c r="M635" s="113">
        <v>0</v>
      </c>
      <c r="N635" s="113">
        <v>0</v>
      </c>
      <c r="O635" s="113">
        <f t="shared" si="194"/>
        <v>951740</v>
      </c>
      <c r="P635" s="113">
        <v>0</v>
      </c>
      <c r="Q635" s="114" t="e">
        <f t="shared" si="195"/>
        <v>#DIV/0!</v>
      </c>
      <c r="R635" s="115"/>
      <c r="S635" s="326">
        <v>43465</v>
      </c>
    </row>
    <row r="636" spans="1:48" customFormat="1" ht="31.2">
      <c r="A636" s="107">
        <f t="shared" si="196"/>
        <v>52</v>
      </c>
      <c r="B636" s="301" t="s">
        <v>247</v>
      </c>
      <c r="C636" s="118">
        <v>1953</v>
      </c>
      <c r="D636" s="118"/>
      <c r="E636" s="109" t="s">
        <v>218</v>
      </c>
      <c r="F636" s="118">
        <v>3</v>
      </c>
      <c r="G636" s="118">
        <v>3</v>
      </c>
      <c r="H636" s="118"/>
      <c r="I636" s="118"/>
      <c r="J636" s="118"/>
      <c r="K636" s="119"/>
      <c r="L636" s="113">
        <v>2056139</v>
      </c>
      <c r="M636" s="113">
        <v>0</v>
      </c>
      <c r="N636" s="113">
        <v>0</v>
      </c>
      <c r="O636" s="113">
        <f t="shared" si="194"/>
        <v>2056139</v>
      </c>
      <c r="P636" s="113">
        <v>0</v>
      </c>
      <c r="Q636" s="114" t="e">
        <f t="shared" si="195"/>
        <v>#DIV/0!</v>
      </c>
      <c r="R636" s="115"/>
      <c r="S636" s="326">
        <v>43465</v>
      </c>
    </row>
    <row r="637" spans="1:48" customFormat="1" ht="31.2">
      <c r="A637" s="107">
        <f t="shared" si="196"/>
        <v>53</v>
      </c>
      <c r="B637" s="305" t="s">
        <v>274</v>
      </c>
      <c r="C637" s="107">
        <v>1958</v>
      </c>
      <c r="D637" s="108"/>
      <c r="E637" s="109" t="s">
        <v>218</v>
      </c>
      <c r="F637" s="108">
        <v>2</v>
      </c>
      <c r="G637" s="108">
        <v>2</v>
      </c>
      <c r="H637" s="117"/>
      <c r="I637" s="117"/>
      <c r="J637" s="117"/>
      <c r="K637" s="101"/>
      <c r="L637" s="113">
        <v>1321356</v>
      </c>
      <c r="M637" s="113">
        <v>0</v>
      </c>
      <c r="N637" s="113">
        <v>0</v>
      </c>
      <c r="O637" s="113">
        <f t="shared" si="194"/>
        <v>1321356</v>
      </c>
      <c r="P637" s="113">
        <v>0</v>
      </c>
      <c r="Q637" s="114" t="e">
        <f t="shared" si="195"/>
        <v>#DIV/0!</v>
      </c>
      <c r="R637" s="115"/>
      <c r="S637" s="326">
        <v>43465</v>
      </c>
    </row>
    <row r="638" spans="1:48" customFormat="1" ht="31.2">
      <c r="A638" s="107">
        <f t="shared" si="196"/>
        <v>54</v>
      </c>
      <c r="B638" s="305" t="s">
        <v>338</v>
      </c>
      <c r="C638" s="118">
        <v>1959</v>
      </c>
      <c r="D638" s="118"/>
      <c r="E638" s="109" t="s">
        <v>218</v>
      </c>
      <c r="F638" s="118">
        <v>2</v>
      </c>
      <c r="G638" s="118">
        <v>2</v>
      </c>
      <c r="H638" s="118"/>
      <c r="I638" s="118"/>
      <c r="J638" s="118"/>
      <c r="K638" s="119"/>
      <c r="L638" s="113">
        <v>1679278</v>
      </c>
      <c r="M638" s="113">
        <v>0</v>
      </c>
      <c r="N638" s="113">
        <v>0</v>
      </c>
      <c r="O638" s="113">
        <f t="shared" si="194"/>
        <v>1679278</v>
      </c>
      <c r="P638" s="113">
        <v>0</v>
      </c>
      <c r="Q638" s="114" t="e">
        <f t="shared" si="195"/>
        <v>#DIV/0!</v>
      </c>
      <c r="R638" s="115"/>
      <c r="S638" s="326">
        <v>43465</v>
      </c>
    </row>
    <row r="639" spans="1:48" customFormat="1" ht="31.2">
      <c r="A639" s="107">
        <f t="shared" si="196"/>
        <v>55</v>
      </c>
      <c r="B639" s="305" t="s">
        <v>272</v>
      </c>
      <c r="C639" s="118">
        <v>1959</v>
      </c>
      <c r="D639" s="118"/>
      <c r="E639" s="109" t="s">
        <v>218</v>
      </c>
      <c r="F639" s="118">
        <v>2</v>
      </c>
      <c r="G639" s="118">
        <v>2</v>
      </c>
      <c r="H639" s="118"/>
      <c r="I639" s="118"/>
      <c r="J639" s="118"/>
      <c r="K639" s="119"/>
      <c r="L639" s="113">
        <v>1100896</v>
      </c>
      <c r="M639" s="113">
        <v>0</v>
      </c>
      <c r="N639" s="113">
        <v>0</v>
      </c>
      <c r="O639" s="113">
        <f t="shared" si="194"/>
        <v>1100896</v>
      </c>
      <c r="P639" s="113">
        <v>0</v>
      </c>
      <c r="Q639" s="114" t="e">
        <f t="shared" si="195"/>
        <v>#DIV/0!</v>
      </c>
      <c r="R639" s="115"/>
      <c r="S639" s="326">
        <v>43465</v>
      </c>
    </row>
    <row r="640" spans="1:48" customFormat="1" ht="31.2">
      <c r="A640" s="107">
        <f t="shared" si="196"/>
        <v>56</v>
      </c>
      <c r="B640" s="305" t="s">
        <v>337</v>
      </c>
      <c r="C640" s="118">
        <v>1959</v>
      </c>
      <c r="D640" s="118"/>
      <c r="E640" s="109" t="s">
        <v>218</v>
      </c>
      <c r="F640" s="118">
        <v>2</v>
      </c>
      <c r="G640" s="118">
        <v>2</v>
      </c>
      <c r="H640" s="118"/>
      <c r="I640" s="118"/>
      <c r="J640" s="118"/>
      <c r="K640" s="119"/>
      <c r="L640" s="113">
        <v>1729707</v>
      </c>
      <c r="M640" s="113">
        <v>0</v>
      </c>
      <c r="N640" s="113">
        <v>0</v>
      </c>
      <c r="O640" s="113">
        <f t="shared" si="194"/>
        <v>1729707</v>
      </c>
      <c r="P640" s="113">
        <v>0</v>
      </c>
      <c r="Q640" s="114" t="e">
        <f t="shared" si="195"/>
        <v>#DIV/0!</v>
      </c>
      <c r="R640" s="115"/>
      <c r="S640" s="326">
        <v>43465</v>
      </c>
    </row>
    <row r="641" spans="1:19" customFormat="1" ht="31.2">
      <c r="A641" s="107">
        <f t="shared" si="196"/>
        <v>57</v>
      </c>
      <c r="B641" s="301" t="s">
        <v>257</v>
      </c>
      <c r="C641" s="118">
        <v>1959</v>
      </c>
      <c r="D641" s="118"/>
      <c r="E641" s="109" t="s">
        <v>218</v>
      </c>
      <c r="F641" s="118">
        <v>2</v>
      </c>
      <c r="G641" s="118">
        <v>2</v>
      </c>
      <c r="H641" s="118"/>
      <c r="I641" s="118"/>
      <c r="J641" s="118"/>
      <c r="K641" s="119"/>
      <c r="L641" s="113">
        <v>451222.57</v>
      </c>
      <c r="M641" s="113">
        <v>0</v>
      </c>
      <c r="N641" s="113">
        <v>0</v>
      </c>
      <c r="O641" s="113">
        <f t="shared" si="194"/>
        <v>451222.57</v>
      </c>
      <c r="P641" s="113">
        <v>0</v>
      </c>
      <c r="Q641" s="114" t="e">
        <f t="shared" si="195"/>
        <v>#DIV/0!</v>
      </c>
      <c r="R641" s="115"/>
      <c r="S641" s="326">
        <v>43465</v>
      </c>
    </row>
    <row r="642" spans="1:19" customFormat="1" ht="31.2">
      <c r="A642" s="107">
        <f t="shared" si="196"/>
        <v>58</v>
      </c>
      <c r="B642" s="305" t="s">
        <v>307</v>
      </c>
      <c r="C642" s="108">
        <v>1959</v>
      </c>
      <c r="D642" s="108"/>
      <c r="E642" s="109" t="s">
        <v>218</v>
      </c>
      <c r="F642" s="110">
        <v>2</v>
      </c>
      <c r="G642" s="110">
        <v>1</v>
      </c>
      <c r="H642" s="111"/>
      <c r="I642" s="111"/>
      <c r="J642" s="111"/>
      <c r="K642" s="112"/>
      <c r="L642" s="113">
        <v>703675.57</v>
      </c>
      <c r="M642" s="113">
        <v>0</v>
      </c>
      <c r="N642" s="113">
        <v>0</v>
      </c>
      <c r="O642" s="113">
        <f t="shared" si="194"/>
        <v>703675.57</v>
      </c>
      <c r="P642" s="113">
        <v>0</v>
      </c>
      <c r="Q642" s="114" t="e">
        <f t="shared" si="195"/>
        <v>#DIV/0!</v>
      </c>
      <c r="R642" s="115"/>
      <c r="S642" s="326">
        <v>43465</v>
      </c>
    </row>
    <row r="643" spans="1:19" customFormat="1" ht="31.2">
      <c r="A643" s="107">
        <f t="shared" si="196"/>
        <v>59</v>
      </c>
      <c r="B643" s="305" t="s">
        <v>268</v>
      </c>
      <c r="C643" s="118">
        <v>1959</v>
      </c>
      <c r="D643" s="118"/>
      <c r="E643" s="109" t="s">
        <v>218</v>
      </c>
      <c r="F643" s="118">
        <v>4</v>
      </c>
      <c r="G643" s="118">
        <v>3</v>
      </c>
      <c r="H643" s="118"/>
      <c r="I643" s="118"/>
      <c r="J643" s="118"/>
      <c r="K643" s="119"/>
      <c r="L643" s="113">
        <v>1053533.22</v>
      </c>
      <c r="M643" s="113">
        <v>0</v>
      </c>
      <c r="N643" s="113">
        <v>0</v>
      </c>
      <c r="O643" s="113">
        <f t="shared" si="194"/>
        <v>1053533.22</v>
      </c>
      <c r="P643" s="113">
        <v>0</v>
      </c>
      <c r="Q643" s="114" t="e">
        <f t="shared" si="195"/>
        <v>#DIV/0!</v>
      </c>
      <c r="R643" s="115"/>
      <c r="S643" s="326">
        <v>43465</v>
      </c>
    </row>
    <row r="644" spans="1:19" customFormat="1" ht="31.2">
      <c r="A644" s="107">
        <f t="shared" si="196"/>
        <v>60</v>
      </c>
      <c r="B644" s="301" t="s">
        <v>246</v>
      </c>
      <c r="C644" s="118">
        <v>1979</v>
      </c>
      <c r="D644" s="118"/>
      <c r="E644" s="109" t="s">
        <v>218</v>
      </c>
      <c r="F644" s="118">
        <v>9</v>
      </c>
      <c r="G644" s="118">
        <v>1</v>
      </c>
      <c r="H644" s="118"/>
      <c r="I644" s="118"/>
      <c r="J644" s="118"/>
      <c r="K644" s="119"/>
      <c r="L644" s="113">
        <v>1253738</v>
      </c>
      <c r="M644" s="113">
        <v>0</v>
      </c>
      <c r="N644" s="113">
        <v>0</v>
      </c>
      <c r="O644" s="113">
        <f t="shared" si="194"/>
        <v>1253738</v>
      </c>
      <c r="P644" s="113">
        <v>0</v>
      </c>
      <c r="Q644" s="114" t="e">
        <f t="shared" si="195"/>
        <v>#DIV/0!</v>
      </c>
      <c r="R644" s="115"/>
      <c r="S644" s="326">
        <v>43465</v>
      </c>
    </row>
    <row r="645" spans="1:19" customFormat="1" ht="15.6">
      <c r="A645" s="107">
        <f t="shared" si="196"/>
        <v>61</v>
      </c>
      <c r="B645" s="305" t="s">
        <v>470</v>
      </c>
      <c r="C645" s="108">
        <v>1984</v>
      </c>
      <c r="D645" s="108"/>
      <c r="E645" s="109" t="s">
        <v>219</v>
      </c>
      <c r="F645" s="110">
        <v>9</v>
      </c>
      <c r="G645" s="110">
        <v>1</v>
      </c>
      <c r="H645" s="111"/>
      <c r="I645" s="111"/>
      <c r="J645" s="111"/>
      <c r="K645" s="112"/>
      <c r="L645" s="113">
        <v>1870046</v>
      </c>
      <c r="M645" s="113">
        <v>0</v>
      </c>
      <c r="N645" s="113">
        <v>0</v>
      </c>
      <c r="O645" s="113">
        <f t="shared" si="194"/>
        <v>1870046</v>
      </c>
      <c r="P645" s="113">
        <v>0</v>
      </c>
      <c r="Q645" s="114" t="e">
        <f t="shared" si="195"/>
        <v>#DIV/0!</v>
      </c>
      <c r="R645" s="115"/>
      <c r="S645" s="326">
        <v>43465</v>
      </c>
    </row>
    <row r="646" spans="1:19" customFormat="1" ht="15.6">
      <c r="A646" s="107">
        <f t="shared" si="196"/>
        <v>62</v>
      </c>
      <c r="B646" s="305" t="s">
        <v>350</v>
      </c>
      <c r="C646" s="108">
        <v>1984</v>
      </c>
      <c r="D646" s="108"/>
      <c r="E646" s="109" t="s">
        <v>219</v>
      </c>
      <c r="F646" s="110">
        <v>9</v>
      </c>
      <c r="G646" s="110">
        <v>2</v>
      </c>
      <c r="H646" s="111"/>
      <c r="I646" s="111"/>
      <c r="J646" s="111"/>
      <c r="K646" s="112"/>
      <c r="L646" s="113">
        <v>3720676</v>
      </c>
      <c r="M646" s="113">
        <v>0</v>
      </c>
      <c r="N646" s="113">
        <v>0</v>
      </c>
      <c r="O646" s="113">
        <f t="shared" si="194"/>
        <v>3720676</v>
      </c>
      <c r="P646" s="113">
        <v>0</v>
      </c>
      <c r="Q646" s="114" t="e">
        <f t="shared" si="195"/>
        <v>#DIV/0!</v>
      </c>
      <c r="R646" s="115"/>
      <c r="S646" s="326">
        <v>43465</v>
      </c>
    </row>
    <row r="647" spans="1:19" customFormat="1" ht="31.2">
      <c r="A647" s="107">
        <f t="shared" si="196"/>
        <v>63</v>
      </c>
      <c r="B647" s="305" t="s">
        <v>251</v>
      </c>
      <c r="C647" s="118">
        <v>1977</v>
      </c>
      <c r="D647" s="118"/>
      <c r="E647" s="109" t="s">
        <v>218</v>
      </c>
      <c r="F647" s="118">
        <v>5</v>
      </c>
      <c r="G647" s="118">
        <v>6</v>
      </c>
      <c r="H647" s="118"/>
      <c r="I647" s="118"/>
      <c r="J647" s="118"/>
      <c r="K647" s="119"/>
      <c r="L647" s="113">
        <v>3687908</v>
      </c>
      <c r="M647" s="113">
        <v>0</v>
      </c>
      <c r="N647" s="113">
        <v>0</v>
      </c>
      <c r="O647" s="113">
        <f t="shared" si="194"/>
        <v>3687908</v>
      </c>
      <c r="P647" s="113">
        <v>0</v>
      </c>
      <c r="Q647" s="114" t="e">
        <f t="shared" si="195"/>
        <v>#DIV/0!</v>
      </c>
      <c r="R647" s="115"/>
      <c r="S647" s="326">
        <v>43465</v>
      </c>
    </row>
    <row r="648" spans="1:19" customFormat="1" ht="31.2">
      <c r="A648" s="107">
        <f t="shared" si="196"/>
        <v>64</v>
      </c>
      <c r="B648" s="305" t="s">
        <v>226</v>
      </c>
      <c r="C648" s="118">
        <v>1933</v>
      </c>
      <c r="D648" s="118"/>
      <c r="E648" s="109" t="s">
        <v>218</v>
      </c>
      <c r="F648" s="118">
        <v>4</v>
      </c>
      <c r="G648" s="118">
        <v>5</v>
      </c>
      <c r="H648" s="118"/>
      <c r="I648" s="118"/>
      <c r="J648" s="118"/>
      <c r="K648" s="119"/>
      <c r="L648" s="113">
        <v>1760967.35</v>
      </c>
      <c r="M648" s="113">
        <v>0</v>
      </c>
      <c r="N648" s="113">
        <v>0</v>
      </c>
      <c r="O648" s="113">
        <f t="shared" si="194"/>
        <v>1760967.35</v>
      </c>
      <c r="P648" s="113">
        <v>0</v>
      </c>
      <c r="Q648" s="114" t="e">
        <f t="shared" si="195"/>
        <v>#DIV/0!</v>
      </c>
      <c r="R648" s="115"/>
      <c r="S648" s="326">
        <v>43465</v>
      </c>
    </row>
    <row r="649" spans="1:19" customFormat="1" ht="31.2">
      <c r="A649" s="107">
        <f t="shared" si="196"/>
        <v>65</v>
      </c>
      <c r="B649" s="305" t="s">
        <v>271</v>
      </c>
      <c r="C649" s="118">
        <v>1961</v>
      </c>
      <c r="D649" s="118"/>
      <c r="E649" s="109" t="s">
        <v>218</v>
      </c>
      <c r="F649" s="118">
        <v>5</v>
      </c>
      <c r="G649" s="118">
        <v>4</v>
      </c>
      <c r="H649" s="118"/>
      <c r="I649" s="118"/>
      <c r="J649" s="118"/>
      <c r="K649" s="119"/>
      <c r="L649" s="113">
        <v>881947</v>
      </c>
      <c r="M649" s="113">
        <v>0</v>
      </c>
      <c r="N649" s="113">
        <v>0</v>
      </c>
      <c r="O649" s="113">
        <f t="shared" ref="O649:O712" si="197">L649</f>
        <v>881947</v>
      </c>
      <c r="P649" s="113">
        <v>0</v>
      </c>
      <c r="Q649" s="114" t="e">
        <f t="shared" ref="Q649:Q712" si="198">L649/I649</f>
        <v>#DIV/0!</v>
      </c>
      <c r="R649" s="115"/>
      <c r="S649" s="326">
        <v>43465</v>
      </c>
    </row>
    <row r="650" spans="1:19" customFormat="1" ht="31.2">
      <c r="A650" s="107">
        <f t="shared" si="196"/>
        <v>66</v>
      </c>
      <c r="B650" s="305" t="s">
        <v>287</v>
      </c>
      <c r="C650" s="108">
        <v>1960</v>
      </c>
      <c r="D650" s="108"/>
      <c r="E650" s="109" t="s">
        <v>218</v>
      </c>
      <c r="F650" s="110">
        <v>2</v>
      </c>
      <c r="G650" s="110">
        <v>2</v>
      </c>
      <c r="H650" s="111"/>
      <c r="I650" s="111"/>
      <c r="J650" s="111"/>
      <c r="K650" s="112"/>
      <c r="L650" s="113">
        <v>517739</v>
      </c>
      <c r="M650" s="113">
        <v>0</v>
      </c>
      <c r="N650" s="113">
        <v>0</v>
      </c>
      <c r="O650" s="113">
        <f t="shared" si="197"/>
        <v>517739</v>
      </c>
      <c r="P650" s="113">
        <v>0</v>
      </c>
      <c r="Q650" s="114" t="e">
        <f t="shared" si="198"/>
        <v>#DIV/0!</v>
      </c>
      <c r="R650" s="115"/>
      <c r="S650" s="326">
        <v>43465</v>
      </c>
    </row>
    <row r="651" spans="1:19" customFormat="1" ht="31.2">
      <c r="A651" s="107">
        <f t="shared" ref="A651:A714" si="199">A650+1</f>
        <v>67</v>
      </c>
      <c r="B651" s="301" t="s">
        <v>289</v>
      </c>
      <c r="C651" s="108">
        <v>1966</v>
      </c>
      <c r="D651" s="108"/>
      <c r="E651" s="109" t="s">
        <v>218</v>
      </c>
      <c r="F651" s="110">
        <v>5</v>
      </c>
      <c r="G651" s="110">
        <v>4</v>
      </c>
      <c r="H651" s="111"/>
      <c r="I651" s="111"/>
      <c r="J651" s="111"/>
      <c r="K651" s="112"/>
      <c r="L651" s="113">
        <v>1728895</v>
      </c>
      <c r="M651" s="113">
        <v>0</v>
      </c>
      <c r="N651" s="113">
        <v>0</v>
      </c>
      <c r="O651" s="113">
        <f t="shared" si="197"/>
        <v>1728895</v>
      </c>
      <c r="P651" s="113">
        <v>0</v>
      </c>
      <c r="Q651" s="114" t="e">
        <f t="shared" si="198"/>
        <v>#DIV/0!</v>
      </c>
      <c r="R651" s="115"/>
      <c r="S651" s="326">
        <v>43465</v>
      </c>
    </row>
    <row r="652" spans="1:19" customFormat="1" ht="15.6">
      <c r="A652" s="107">
        <f t="shared" si="199"/>
        <v>68</v>
      </c>
      <c r="B652" s="305" t="s">
        <v>259</v>
      </c>
      <c r="C652" s="118">
        <v>1925</v>
      </c>
      <c r="D652" s="118"/>
      <c r="E652" s="109" t="s">
        <v>221</v>
      </c>
      <c r="F652" s="118">
        <v>2</v>
      </c>
      <c r="G652" s="118">
        <v>2</v>
      </c>
      <c r="H652" s="118"/>
      <c r="I652" s="118"/>
      <c r="J652" s="118"/>
      <c r="K652" s="119"/>
      <c r="L652" s="113">
        <v>682529</v>
      </c>
      <c r="M652" s="113">
        <v>0</v>
      </c>
      <c r="N652" s="113">
        <v>0</v>
      </c>
      <c r="O652" s="113">
        <f t="shared" si="197"/>
        <v>682529</v>
      </c>
      <c r="P652" s="113">
        <v>0</v>
      </c>
      <c r="Q652" s="114" t="e">
        <f t="shared" si="198"/>
        <v>#DIV/0!</v>
      </c>
      <c r="R652" s="115"/>
      <c r="S652" s="326">
        <v>43465</v>
      </c>
    </row>
    <row r="653" spans="1:19" customFormat="1" ht="15.6">
      <c r="A653" s="107">
        <f t="shared" si="199"/>
        <v>69</v>
      </c>
      <c r="B653" s="305" t="s">
        <v>291</v>
      </c>
      <c r="C653" s="108">
        <v>1900</v>
      </c>
      <c r="D653" s="108"/>
      <c r="E653" s="109" t="s">
        <v>221</v>
      </c>
      <c r="F653" s="110">
        <v>2</v>
      </c>
      <c r="G653" s="110">
        <v>2</v>
      </c>
      <c r="H653" s="111"/>
      <c r="I653" s="111"/>
      <c r="J653" s="111"/>
      <c r="K653" s="112"/>
      <c r="L653" s="113">
        <v>582157</v>
      </c>
      <c r="M653" s="113">
        <v>0</v>
      </c>
      <c r="N653" s="113">
        <v>0</v>
      </c>
      <c r="O653" s="113">
        <f t="shared" si="197"/>
        <v>582157</v>
      </c>
      <c r="P653" s="113">
        <v>0</v>
      </c>
      <c r="Q653" s="114" t="e">
        <f t="shared" si="198"/>
        <v>#DIV/0!</v>
      </c>
      <c r="R653" s="115"/>
      <c r="S653" s="326">
        <v>43465</v>
      </c>
    </row>
    <row r="654" spans="1:19" customFormat="1" ht="31.2">
      <c r="A654" s="107">
        <f t="shared" si="199"/>
        <v>70</v>
      </c>
      <c r="B654" s="305" t="s">
        <v>224</v>
      </c>
      <c r="C654" s="118">
        <v>1934</v>
      </c>
      <c r="D654" s="118"/>
      <c r="E654" s="109" t="s">
        <v>218</v>
      </c>
      <c r="F654" s="118">
        <v>3</v>
      </c>
      <c r="G654" s="118">
        <v>5</v>
      </c>
      <c r="H654" s="118"/>
      <c r="I654" s="118"/>
      <c r="J654" s="118"/>
      <c r="K654" s="119"/>
      <c r="L654" s="113">
        <v>701704</v>
      </c>
      <c r="M654" s="113">
        <v>0</v>
      </c>
      <c r="N654" s="113">
        <v>0</v>
      </c>
      <c r="O654" s="113">
        <f t="shared" si="197"/>
        <v>701704</v>
      </c>
      <c r="P654" s="113">
        <v>0</v>
      </c>
      <c r="Q654" s="114" t="e">
        <f t="shared" si="198"/>
        <v>#DIV/0!</v>
      </c>
      <c r="R654" s="115"/>
      <c r="S654" s="326">
        <v>43465</v>
      </c>
    </row>
    <row r="655" spans="1:19" customFormat="1" ht="15.6">
      <c r="A655" s="107">
        <f t="shared" si="199"/>
        <v>71</v>
      </c>
      <c r="B655" s="305" t="s">
        <v>261</v>
      </c>
      <c r="C655" s="118">
        <v>1970</v>
      </c>
      <c r="D655" s="118"/>
      <c r="E655" s="109" t="s">
        <v>219</v>
      </c>
      <c r="F655" s="118">
        <v>5</v>
      </c>
      <c r="G655" s="118">
        <v>6</v>
      </c>
      <c r="H655" s="118"/>
      <c r="I655" s="118"/>
      <c r="J655" s="118"/>
      <c r="K655" s="119"/>
      <c r="L655" s="113">
        <v>1969149</v>
      </c>
      <c r="M655" s="113">
        <v>0</v>
      </c>
      <c r="N655" s="113">
        <v>0</v>
      </c>
      <c r="O655" s="113">
        <f t="shared" si="197"/>
        <v>1969149</v>
      </c>
      <c r="P655" s="113">
        <v>0</v>
      </c>
      <c r="Q655" s="114" t="e">
        <f t="shared" si="198"/>
        <v>#DIV/0!</v>
      </c>
      <c r="R655" s="115"/>
      <c r="S655" s="326">
        <v>43465</v>
      </c>
    </row>
    <row r="656" spans="1:19" customFormat="1" ht="31.2">
      <c r="A656" s="107">
        <f t="shared" si="199"/>
        <v>72</v>
      </c>
      <c r="B656" s="305" t="s">
        <v>239</v>
      </c>
      <c r="C656" s="118">
        <v>1956</v>
      </c>
      <c r="D656" s="118"/>
      <c r="E656" s="109" t="s">
        <v>218</v>
      </c>
      <c r="F656" s="118">
        <v>3</v>
      </c>
      <c r="G656" s="118">
        <v>3</v>
      </c>
      <c r="H656" s="118"/>
      <c r="I656" s="118"/>
      <c r="J656" s="118"/>
      <c r="K656" s="119"/>
      <c r="L656" s="113">
        <v>1023088</v>
      </c>
      <c r="M656" s="113">
        <v>0</v>
      </c>
      <c r="N656" s="113">
        <v>0</v>
      </c>
      <c r="O656" s="113">
        <f t="shared" si="197"/>
        <v>1023088</v>
      </c>
      <c r="P656" s="113">
        <v>0</v>
      </c>
      <c r="Q656" s="114" t="e">
        <f t="shared" si="198"/>
        <v>#DIV/0!</v>
      </c>
      <c r="R656" s="115"/>
      <c r="S656" s="326">
        <v>43465</v>
      </c>
    </row>
    <row r="657" spans="1:30" customFormat="1" ht="31.2">
      <c r="A657" s="107">
        <f t="shared" si="199"/>
        <v>73</v>
      </c>
      <c r="B657" s="305" t="s">
        <v>336</v>
      </c>
      <c r="C657" s="118">
        <v>1957</v>
      </c>
      <c r="D657" s="118"/>
      <c r="E657" s="109" t="s">
        <v>218</v>
      </c>
      <c r="F657" s="118">
        <v>3</v>
      </c>
      <c r="G657" s="118">
        <v>3</v>
      </c>
      <c r="H657" s="118"/>
      <c r="I657" s="118"/>
      <c r="J657" s="118"/>
      <c r="K657" s="119"/>
      <c r="L657" s="113">
        <v>3334570</v>
      </c>
      <c r="M657" s="113">
        <v>0</v>
      </c>
      <c r="N657" s="113">
        <v>0</v>
      </c>
      <c r="O657" s="113">
        <f t="shared" si="197"/>
        <v>3334570</v>
      </c>
      <c r="P657" s="113">
        <v>0</v>
      </c>
      <c r="Q657" s="114" t="e">
        <f t="shared" si="198"/>
        <v>#DIV/0!</v>
      </c>
      <c r="R657" s="115"/>
      <c r="S657" s="326">
        <v>43465</v>
      </c>
    </row>
    <row r="658" spans="1:30" customFormat="1" ht="31.2">
      <c r="A658" s="107">
        <f t="shared" si="199"/>
        <v>74</v>
      </c>
      <c r="B658" s="305" t="s">
        <v>306</v>
      </c>
      <c r="C658" s="108">
        <v>1970</v>
      </c>
      <c r="D658" s="108"/>
      <c r="E658" s="109" t="s">
        <v>218</v>
      </c>
      <c r="F658" s="110">
        <v>5</v>
      </c>
      <c r="G658" s="110">
        <v>2</v>
      </c>
      <c r="H658" s="111"/>
      <c r="I658" s="111"/>
      <c r="J658" s="111"/>
      <c r="K658" s="112"/>
      <c r="L658" s="113">
        <v>1127374.33</v>
      </c>
      <c r="M658" s="113">
        <v>0</v>
      </c>
      <c r="N658" s="113">
        <v>0</v>
      </c>
      <c r="O658" s="113">
        <f t="shared" si="197"/>
        <v>1127374.33</v>
      </c>
      <c r="P658" s="113">
        <v>0</v>
      </c>
      <c r="Q658" s="114" t="e">
        <f t="shared" si="198"/>
        <v>#DIV/0!</v>
      </c>
      <c r="R658" s="115"/>
      <c r="S658" s="326">
        <v>43465</v>
      </c>
    </row>
    <row r="659" spans="1:30" customFormat="1" ht="15.6">
      <c r="A659" s="107">
        <f t="shared" si="199"/>
        <v>75</v>
      </c>
      <c r="B659" s="301" t="s">
        <v>234</v>
      </c>
      <c r="C659" s="118">
        <v>1968</v>
      </c>
      <c r="D659" s="118"/>
      <c r="E659" s="109" t="s">
        <v>219</v>
      </c>
      <c r="F659" s="118">
        <v>5</v>
      </c>
      <c r="G659" s="118">
        <v>6</v>
      </c>
      <c r="H659" s="111"/>
      <c r="I659" s="118"/>
      <c r="J659" s="118"/>
      <c r="K659" s="119"/>
      <c r="L659" s="113">
        <v>1161456</v>
      </c>
      <c r="M659" s="113">
        <v>0</v>
      </c>
      <c r="N659" s="113">
        <v>0</v>
      </c>
      <c r="O659" s="113">
        <f t="shared" si="197"/>
        <v>1161456</v>
      </c>
      <c r="P659" s="113">
        <v>0</v>
      </c>
      <c r="Q659" s="114" t="e">
        <f t="shared" si="198"/>
        <v>#DIV/0!</v>
      </c>
      <c r="R659" s="115"/>
      <c r="S659" s="326">
        <v>43465</v>
      </c>
    </row>
    <row r="660" spans="1:30" customFormat="1" ht="31.2">
      <c r="A660" s="107">
        <f t="shared" si="199"/>
        <v>76</v>
      </c>
      <c r="B660" s="301" t="s">
        <v>277</v>
      </c>
      <c r="C660" s="107">
        <v>1971</v>
      </c>
      <c r="D660" s="108"/>
      <c r="E660" s="109" t="s">
        <v>218</v>
      </c>
      <c r="F660" s="108">
        <v>5</v>
      </c>
      <c r="G660" s="108">
        <v>4</v>
      </c>
      <c r="H660" s="117"/>
      <c r="I660" s="117"/>
      <c r="J660" s="117"/>
      <c r="K660" s="101"/>
      <c r="L660" s="113">
        <v>1197250.23</v>
      </c>
      <c r="M660" s="113">
        <v>0</v>
      </c>
      <c r="N660" s="113">
        <v>0</v>
      </c>
      <c r="O660" s="113">
        <f t="shared" si="197"/>
        <v>1197250.23</v>
      </c>
      <c r="P660" s="113">
        <v>0</v>
      </c>
      <c r="Q660" s="114" t="e">
        <f t="shared" si="198"/>
        <v>#DIV/0!</v>
      </c>
      <c r="R660" s="115"/>
      <c r="S660" s="326">
        <v>43465</v>
      </c>
    </row>
    <row r="661" spans="1:30" customFormat="1" ht="31.2">
      <c r="A661" s="107">
        <f t="shared" si="199"/>
        <v>77</v>
      </c>
      <c r="B661" s="305" t="s">
        <v>303</v>
      </c>
      <c r="C661" s="108">
        <v>1954</v>
      </c>
      <c r="D661" s="108"/>
      <c r="E661" s="109" t="s">
        <v>218</v>
      </c>
      <c r="F661" s="110">
        <v>4</v>
      </c>
      <c r="G661" s="110">
        <v>3</v>
      </c>
      <c r="H661" s="111"/>
      <c r="I661" s="111"/>
      <c r="J661" s="111"/>
      <c r="K661" s="112"/>
      <c r="L661" s="113">
        <v>2784233</v>
      </c>
      <c r="M661" s="113">
        <v>0</v>
      </c>
      <c r="N661" s="113">
        <v>0</v>
      </c>
      <c r="O661" s="113">
        <f t="shared" si="197"/>
        <v>2784233</v>
      </c>
      <c r="P661" s="113">
        <v>0</v>
      </c>
      <c r="Q661" s="114" t="e">
        <f t="shared" si="198"/>
        <v>#DIV/0!</v>
      </c>
      <c r="R661" s="115"/>
      <c r="S661" s="326">
        <v>43465</v>
      </c>
    </row>
    <row r="662" spans="1:30" customFormat="1" ht="31.2">
      <c r="A662" s="107">
        <f t="shared" si="199"/>
        <v>78</v>
      </c>
      <c r="B662" s="305" t="s">
        <v>293</v>
      </c>
      <c r="C662" s="108">
        <v>1968</v>
      </c>
      <c r="D662" s="108"/>
      <c r="E662" s="109" t="s">
        <v>218</v>
      </c>
      <c r="F662" s="110">
        <v>5</v>
      </c>
      <c r="G662" s="110">
        <v>4</v>
      </c>
      <c r="H662" s="111"/>
      <c r="I662" s="111"/>
      <c r="J662" s="111"/>
      <c r="K662" s="112"/>
      <c r="L662" s="113">
        <v>2369961</v>
      </c>
      <c r="M662" s="113">
        <v>0</v>
      </c>
      <c r="N662" s="113">
        <v>0</v>
      </c>
      <c r="O662" s="113">
        <f t="shared" si="197"/>
        <v>2369961</v>
      </c>
      <c r="P662" s="113">
        <v>0</v>
      </c>
      <c r="Q662" s="114" t="e">
        <f t="shared" si="198"/>
        <v>#DIV/0!</v>
      </c>
      <c r="R662" s="115"/>
      <c r="S662" s="326">
        <v>43465</v>
      </c>
    </row>
    <row r="663" spans="1:30" customFormat="1" ht="31.2">
      <c r="A663" s="107">
        <f t="shared" si="199"/>
        <v>79</v>
      </c>
      <c r="B663" s="301" t="s">
        <v>463</v>
      </c>
      <c r="C663" s="107">
        <v>1959</v>
      </c>
      <c r="D663" s="108"/>
      <c r="E663" s="109" t="s">
        <v>218</v>
      </c>
      <c r="F663" s="108">
        <v>2</v>
      </c>
      <c r="G663" s="108">
        <v>1</v>
      </c>
      <c r="H663" s="117"/>
      <c r="I663" s="117"/>
      <c r="J663" s="117"/>
      <c r="K663" s="101"/>
      <c r="L663" s="113">
        <v>672819</v>
      </c>
      <c r="M663" s="113">
        <v>0</v>
      </c>
      <c r="N663" s="113">
        <v>0</v>
      </c>
      <c r="O663" s="113">
        <f t="shared" si="197"/>
        <v>672819</v>
      </c>
      <c r="P663" s="113">
        <v>0</v>
      </c>
      <c r="Q663" s="114" t="e">
        <f t="shared" si="198"/>
        <v>#DIV/0!</v>
      </c>
      <c r="R663" s="115"/>
      <c r="S663" s="326">
        <v>43465</v>
      </c>
    </row>
    <row r="664" spans="1:30" customFormat="1" ht="15.6">
      <c r="A664" s="107">
        <f t="shared" si="199"/>
        <v>80</v>
      </c>
      <c r="B664" s="305" t="s">
        <v>340</v>
      </c>
      <c r="C664" s="107">
        <v>1968</v>
      </c>
      <c r="D664" s="108"/>
      <c r="E664" s="109" t="s">
        <v>219</v>
      </c>
      <c r="F664" s="108">
        <v>5</v>
      </c>
      <c r="G664" s="108">
        <v>5</v>
      </c>
      <c r="H664" s="117"/>
      <c r="I664" s="117"/>
      <c r="J664" s="117"/>
      <c r="K664" s="101"/>
      <c r="L664" s="113">
        <v>1651491</v>
      </c>
      <c r="M664" s="113">
        <v>0</v>
      </c>
      <c r="N664" s="113">
        <v>0</v>
      </c>
      <c r="O664" s="113">
        <f t="shared" si="197"/>
        <v>1651491</v>
      </c>
      <c r="P664" s="113">
        <v>0</v>
      </c>
      <c r="Q664" s="114" t="e">
        <f t="shared" si="198"/>
        <v>#DIV/0!</v>
      </c>
      <c r="R664" s="115"/>
      <c r="S664" s="326">
        <v>43465</v>
      </c>
    </row>
    <row r="665" spans="1:30" customFormat="1" ht="31.2">
      <c r="A665" s="107">
        <f t="shared" si="199"/>
        <v>81</v>
      </c>
      <c r="B665" s="301" t="s">
        <v>254</v>
      </c>
      <c r="C665" s="118">
        <v>1962</v>
      </c>
      <c r="D665" s="118"/>
      <c r="E665" s="109" t="s">
        <v>218</v>
      </c>
      <c r="F665" s="118">
        <v>3</v>
      </c>
      <c r="G665" s="118">
        <v>3</v>
      </c>
      <c r="H665" s="118"/>
      <c r="I665" s="118"/>
      <c r="J665" s="118"/>
      <c r="K665" s="119"/>
      <c r="L665" s="113">
        <v>1432926</v>
      </c>
      <c r="M665" s="113">
        <v>0</v>
      </c>
      <c r="N665" s="113">
        <v>0</v>
      </c>
      <c r="O665" s="113">
        <f t="shared" si="197"/>
        <v>1432926</v>
      </c>
      <c r="P665" s="113">
        <v>0</v>
      </c>
      <c r="Q665" s="114" t="e">
        <f t="shared" si="198"/>
        <v>#DIV/0!</v>
      </c>
      <c r="R665" s="115"/>
      <c r="S665" s="326">
        <v>43465</v>
      </c>
    </row>
    <row r="666" spans="1:30" customFormat="1" ht="31.2">
      <c r="A666" s="107">
        <f t="shared" si="199"/>
        <v>82</v>
      </c>
      <c r="B666" s="301" t="s">
        <v>343</v>
      </c>
      <c r="C666" s="107">
        <v>1955</v>
      </c>
      <c r="D666" s="108"/>
      <c r="E666" s="109" t="s">
        <v>218</v>
      </c>
      <c r="F666" s="108">
        <v>2</v>
      </c>
      <c r="G666" s="108">
        <v>2</v>
      </c>
      <c r="H666" s="117"/>
      <c r="I666" s="117"/>
      <c r="J666" s="117"/>
      <c r="K666" s="101"/>
      <c r="L666" s="113">
        <v>1137886</v>
      </c>
      <c r="M666" s="113">
        <v>0</v>
      </c>
      <c r="N666" s="113">
        <v>0</v>
      </c>
      <c r="O666" s="113">
        <f t="shared" si="197"/>
        <v>1137886</v>
      </c>
      <c r="P666" s="113">
        <v>0</v>
      </c>
      <c r="Q666" s="114" t="e">
        <f t="shared" si="198"/>
        <v>#DIV/0!</v>
      </c>
      <c r="R666" s="115"/>
      <c r="S666" s="326">
        <v>43465</v>
      </c>
    </row>
    <row r="667" spans="1:30" customFormat="1" ht="31.2">
      <c r="A667" s="107">
        <f t="shared" si="199"/>
        <v>83</v>
      </c>
      <c r="B667" s="305" t="s">
        <v>305</v>
      </c>
      <c r="C667" s="108">
        <v>1971</v>
      </c>
      <c r="D667" s="108"/>
      <c r="E667" s="109" t="s">
        <v>218</v>
      </c>
      <c r="F667" s="110">
        <v>5</v>
      </c>
      <c r="G667" s="110">
        <v>4</v>
      </c>
      <c r="H667" s="111"/>
      <c r="I667" s="111"/>
      <c r="J667" s="111"/>
      <c r="K667" s="112"/>
      <c r="L667" s="113">
        <v>1814838</v>
      </c>
      <c r="M667" s="113">
        <v>0</v>
      </c>
      <c r="N667" s="113">
        <v>0</v>
      </c>
      <c r="O667" s="113">
        <f t="shared" si="197"/>
        <v>1814838</v>
      </c>
      <c r="P667" s="113">
        <v>0</v>
      </c>
      <c r="Q667" s="114" t="e">
        <f t="shared" si="198"/>
        <v>#DIV/0!</v>
      </c>
      <c r="R667" s="115"/>
      <c r="S667" s="326">
        <v>43465</v>
      </c>
    </row>
    <row r="668" spans="1:30" customFormat="1" ht="31.2">
      <c r="A668" s="107">
        <f t="shared" si="199"/>
        <v>84</v>
      </c>
      <c r="B668" s="305" t="s">
        <v>345</v>
      </c>
      <c r="C668" s="108">
        <v>1970</v>
      </c>
      <c r="D668" s="108"/>
      <c r="E668" s="109" t="s">
        <v>218</v>
      </c>
      <c r="F668" s="110">
        <v>5</v>
      </c>
      <c r="G668" s="110">
        <v>4</v>
      </c>
      <c r="H668" s="111"/>
      <c r="I668" s="111"/>
      <c r="J668" s="111"/>
      <c r="K668" s="112"/>
      <c r="L668" s="113">
        <v>1544359.54</v>
      </c>
      <c r="M668" s="113">
        <v>0</v>
      </c>
      <c r="N668" s="113">
        <v>0</v>
      </c>
      <c r="O668" s="113">
        <f t="shared" si="197"/>
        <v>1544359.54</v>
      </c>
      <c r="P668" s="113">
        <v>0</v>
      </c>
      <c r="Q668" s="114" t="e">
        <f t="shared" si="198"/>
        <v>#DIV/0!</v>
      </c>
      <c r="R668" s="115"/>
      <c r="S668" s="326">
        <v>43465</v>
      </c>
    </row>
    <row r="669" spans="1:30" customFormat="1" ht="31.2">
      <c r="A669" s="107">
        <f t="shared" si="199"/>
        <v>85</v>
      </c>
      <c r="B669" s="301" t="s">
        <v>447</v>
      </c>
      <c r="C669" s="108">
        <v>1987</v>
      </c>
      <c r="D669" s="108"/>
      <c r="E669" s="109" t="s">
        <v>219</v>
      </c>
      <c r="F669" s="110">
        <v>9</v>
      </c>
      <c r="G669" s="110">
        <v>1</v>
      </c>
      <c r="H669" s="111"/>
      <c r="I669" s="111"/>
      <c r="J669" s="111"/>
      <c r="K669" s="112"/>
      <c r="L669" s="113">
        <v>1787034</v>
      </c>
      <c r="M669" s="113">
        <v>0</v>
      </c>
      <c r="N669" s="113">
        <v>0</v>
      </c>
      <c r="O669" s="113">
        <f t="shared" si="197"/>
        <v>1787034</v>
      </c>
      <c r="P669" s="113">
        <v>0</v>
      </c>
      <c r="Q669" s="114" t="e">
        <f t="shared" si="198"/>
        <v>#DIV/0!</v>
      </c>
      <c r="R669" s="115"/>
      <c r="S669" s="326">
        <v>43465</v>
      </c>
    </row>
    <row r="670" spans="1:30" customFormat="1" ht="15.6">
      <c r="A670" s="107">
        <f t="shared" si="199"/>
        <v>86</v>
      </c>
      <c r="B670" s="301" t="s">
        <v>223</v>
      </c>
      <c r="C670" s="118">
        <v>1983</v>
      </c>
      <c r="D670" s="118"/>
      <c r="E670" s="109" t="s">
        <v>219</v>
      </c>
      <c r="F670" s="118">
        <v>9</v>
      </c>
      <c r="G670" s="118">
        <v>4</v>
      </c>
      <c r="H670" s="118"/>
      <c r="I670" s="118"/>
      <c r="J670" s="118"/>
      <c r="K670" s="119"/>
      <c r="L670" s="113">
        <v>437998.57</v>
      </c>
      <c r="M670" s="113">
        <v>0</v>
      </c>
      <c r="N670" s="113">
        <v>0</v>
      </c>
      <c r="O670" s="113">
        <f t="shared" si="197"/>
        <v>437998.57</v>
      </c>
      <c r="P670" s="113">
        <v>0</v>
      </c>
      <c r="Q670" s="114" t="e">
        <f t="shared" si="198"/>
        <v>#DIV/0!</v>
      </c>
      <c r="R670" s="115"/>
      <c r="S670" s="326">
        <v>43465</v>
      </c>
      <c r="T670" s="3"/>
      <c r="U670" s="3"/>
      <c r="V670" s="3"/>
      <c r="W670" s="3"/>
      <c r="X670" s="3"/>
      <c r="Y670" s="3"/>
    </row>
    <row r="671" spans="1:30" customFormat="1" ht="31.2">
      <c r="A671" s="107">
        <f t="shared" si="199"/>
        <v>87</v>
      </c>
      <c r="B671" s="301" t="s">
        <v>446</v>
      </c>
      <c r="C671" s="108">
        <v>1976</v>
      </c>
      <c r="D671" s="108"/>
      <c r="E671" s="109" t="s">
        <v>219</v>
      </c>
      <c r="F671" s="110">
        <v>5</v>
      </c>
      <c r="G671" s="110">
        <v>4</v>
      </c>
      <c r="H671" s="111"/>
      <c r="I671" s="111"/>
      <c r="J671" s="111"/>
      <c r="K671" s="112"/>
      <c r="L671" s="113">
        <v>1116228</v>
      </c>
      <c r="M671" s="113">
        <v>0</v>
      </c>
      <c r="N671" s="113">
        <v>0</v>
      </c>
      <c r="O671" s="113">
        <f t="shared" si="197"/>
        <v>1116228</v>
      </c>
      <c r="P671" s="113">
        <v>0</v>
      </c>
      <c r="Q671" s="114" t="e">
        <f t="shared" si="198"/>
        <v>#DIV/0!</v>
      </c>
      <c r="R671" s="115"/>
      <c r="S671" s="326">
        <v>43465</v>
      </c>
      <c r="Z671" s="3"/>
      <c r="AA671" s="3"/>
      <c r="AB671" s="3"/>
      <c r="AC671" s="3"/>
      <c r="AD671" s="3"/>
    </row>
    <row r="672" spans="1:30" customFormat="1" ht="31.2">
      <c r="A672" s="107">
        <f t="shared" si="199"/>
        <v>88</v>
      </c>
      <c r="B672" s="301" t="s">
        <v>448</v>
      </c>
      <c r="C672" s="108">
        <v>1983</v>
      </c>
      <c r="D672" s="108"/>
      <c r="E672" s="109" t="s">
        <v>219</v>
      </c>
      <c r="F672" s="110">
        <v>5</v>
      </c>
      <c r="G672" s="110">
        <v>3</v>
      </c>
      <c r="H672" s="111"/>
      <c r="I672" s="111"/>
      <c r="J672" s="111"/>
      <c r="K672" s="112"/>
      <c r="L672" s="113">
        <v>1313728</v>
      </c>
      <c r="M672" s="113">
        <v>0</v>
      </c>
      <c r="N672" s="113">
        <v>0</v>
      </c>
      <c r="O672" s="113">
        <f t="shared" si="197"/>
        <v>1313728</v>
      </c>
      <c r="P672" s="113">
        <v>0</v>
      </c>
      <c r="Q672" s="114" t="e">
        <f t="shared" si="198"/>
        <v>#DIV/0!</v>
      </c>
      <c r="R672" s="115"/>
      <c r="S672" s="326">
        <v>43465</v>
      </c>
      <c r="T672" s="62"/>
      <c r="U672" s="62"/>
      <c r="V672" s="62"/>
      <c r="W672" s="62"/>
      <c r="X672" s="62"/>
      <c r="Y672" s="62"/>
    </row>
    <row r="673" spans="1:30" customFormat="1" ht="31.2">
      <c r="A673" s="107">
        <f t="shared" si="199"/>
        <v>89</v>
      </c>
      <c r="B673" s="305" t="s">
        <v>241</v>
      </c>
      <c r="C673" s="118">
        <v>1958</v>
      </c>
      <c r="D673" s="118"/>
      <c r="E673" s="109" t="s">
        <v>218</v>
      </c>
      <c r="F673" s="118">
        <v>2</v>
      </c>
      <c r="G673" s="118">
        <v>1</v>
      </c>
      <c r="H673" s="118"/>
      <c r="I673" s="118"/>
      <c r="J673" s="118"/>
      <c r="K673" s="119"/>
      <c r="L673" s="113">
        <v>359651</v>
      </c>
      <c r="M673" s="113">
        <v>0</v>
      </c>
      <c r="N673" s="113">
        <v>0</v>
      </c>
      <c r="O673" s="113">
        <f t="shared" si="197"/>
        <v>359651</v>
      </c>
      <c r="P673" s="113">
        <v>0</v>
      </c>
      <c r="Q673" s="114" t="e">
        <f t="shared" si="198"/>
        <v>#DIV/0!</v>
      </c>
      <c r="R673" s="115"/>
      <c r="S673" s="326">
        <v>43465</v>
      </c>
      <c r="Z673" s="62"/>
      <c r="AA673" s="62"/>
      <c r="AB673" s="62"/>
      <c r="AC673" s="62"/>
      <c r="AD673" s="62"/>
    </row>
    <row r="674" spans="1:30" customFormat="1" ht="15.6">
      <c r="A674" s="107">
        <f t="shared" si="199"/>
        <v>90</v>
      </c>
      <c r="B674" s="305" t="s">
        <v>233</v>
      </c>
      <c r="C674" s="118">
        <v>1965</v>
      </c>
      <c r="D674" s="118"/>
      <c r="E674" s="109" t="s">
        <v>219</v>
      </c>
      <c r="F674" s="118">
        <v>5</v>
      </c>
      <c r="G674" s="118">
        <v>5</v>
      </c>
      <c r="H674" s="118"/>
      <c r="I674" s="118"/>
      <c r="J674" s="118"/>
      <c r="K674" s="119"/>
      <c r="L674" s="113">
        <v>906779</v>
      </c>
      <c r="M674" s="113">
        <v>0</v>
      </c>
      <c r="N674" s="113">
        <v>0</v>
      </c>
      <c r="O674" s="113">
        <f t="shared" si="197"/>
        <v>906779</v>
      </c>
      <c r="P674" s="113">
        <v>0</v>
      </c>
      <c r="Q674" s="114" t="e">
        <f t="shared" si="198"/>
        <v>#DIV/0!</v>
      </c>
      <c r="R674" s="115"/>
      <c r="S674" s="326">
        <v>43465</v>
      </c>
    </row>
    <row r="675" spans="1:30" customFormat="1" ht="31.2">
      <c r="A675" s="107">
        <f t="shared" si="199"/>
        <v>91</v>
      </c>
      <c r="B675" s="305" t="s">
        <v>278</v>
      </c>
      <c r="C675" s="107">
        <v>1958</v>
      </c>
      <c r="D675" s="108"/>
      <c r="E675" s="109" t="s">
        <v>218</v>
      </c>
      <c r="F675" s="108">
        <v>2</v>
      </c>
      <c r="G675" s="108">
        <v>1</v>
      </c>
      <c r="H675" s="117"/>
      <c r="I675" s="117"/>
      <c r="J675" s="117"/>
      <c r="K675" s="101"/>
      <c r="L675" s="113">
        <v>886559</v>
      </c>
      <c r="M675" s="113">
        <v>0</v>
      </c>
      <c r="N675" s="113">
        <v>0</v>
      </c>
      <c r="O675" s="113">
        <f t="shared" si="197"/>
        <v>886559</v>
      </c>
      <c r="P675" s="113">
        <v>0</v>
      </c>
      <c r="Q675" s="114" t="e">
        <f t="shared" si="198"/>
        <v>#DIV/0!</v>
      </c>
      <c r="R675" s="115"/>
      <c r="S675" s="326">
        <v>43465</v>
      </c>
    </row>
    <row r="676" spans="1:30" customFormat="1" ht="31.2">
      <c r="A676" s="107">
        <f t="shared" si="199"/>
        <v>92</v>
      </c>
      <c r="B676" s="305" t="s">
        <v>347</v>
      </c>
      <c r="C676" s="108">
        <v>1959</v>
      </c>
      <c r="D676" s="108"/>
      <c r="E676" s="109" t="s">
        <v>218</v>
      </c>
      <c r="F676" s="110">
        <v>2</v>
      </c>
      <c r="G676" s="110">
        <v>1</v>
      </c>
      <c r="H676" s="111"/>
      <c r="I676" s="111"/>
      <c r="J676" s="111"/>
      <c r="K676" s="112"/>
      <c r="L676" s="113">
        <v>642210</v>
      </c>
      <c r="M676" s="113">
        <v>0</v>
      </c>
      <c r="N676" s="113">
        <v>0</v>
      </c>
      <c r="O676" s="113">
        <f t="shared" si="197"/>
        <v>642210</v>
      </c>
      <c r="P676" s="113">
        <v>0</v>
      </c>
      <c r="Q676" s="114" t="e">
        <f t="shared" si="198"/>
        <v>#DIV/0!</v>
      </c>
      <c r="R676" s="115"/>
      <c r="S676" s="326">
        <v>43465</v>
      </c>
    </row>
    <row r="677" spans="1:30" customFormat="1" ht="31.2">
      <c r="A677" s="107">
        <f t="shared" si="199"/>
        <v>93</v>
      </c>
      <c r="B677" s="301" t="s">
        <v>266</v>
      </c>
      <c r="C677" s="118">
        <v>1957</v>
      </c>
      <c r="D677" s="118"/>
      <c r="E677" s="109" t="s">
        <v>218</v>
      </c>
      <c r="F677" s="118">
        <v>4</v>
      </c>
      <c r="G677" s="118">
        <v>3</v>
      </c>
      <c r="H677" s="118"/>
      <c r="I677" s="118"/>
      <c r="J677" s="118"/>
      <c r="K677" s="119"/>
      <c r="L677" s="113">
        <v>1952489</v>
      </c>
      <c r="M677" s="113">
        <v>0</v>
      </c>
      <c r="N677" s="113">
        <v>0</v>
      </c>
      <c r="O677" s="113">
        <f t="shared" si="197"/>
        <v>1952489</v>
      </c>
      <c r="P677" s="113">
        <v>0</v>
      </c>
      <c r="Q677" s="114" t="e">
        <f t="shared" si="198"/>
        <v>#DIV/0!</v>
      </c>
      <c r="R677" s="115"/>
      <c r="S677" s="326">
        <v>43465</v>
      </c>
    </row>
    <row r="678" spans="1:30" customFormat="1" ht="15.6">
      <c r="A678" s="107">
        <f t="shared" si="199"/>
        <v>94</v>
      </c>
      <c r="B678" s="301" t="s">
        <v>310</v>
      </c>
      <c r="C678" s="108">
        <v>1983</v>
      </c>
      <c r="D678" s="108"/>
      <c r="E678" s="109" t="s">
        <v>219</v>
      </c>
      <c r="F678" s="110">
        <v>9</v>
      </c>
      <c r="G678" s="110">
        <v>8</v>
      </c>
      <c r="H678" s="111"/>
      <c r="I678" s="111"/>
      <c r="J678" s="111"/>
      <c r="K678" s="112"/>
      <c r="L678" s="113">
        <v>15157748</v>
      </c>
      <c r="M678" s="113">
        <v>0</v>
      </c>
      <c r="N678" s="113">
        <v>0</v>
      </c>
      <c r="O678" s="113">
        <f t="shared" si="197"/>
        <v>15157748</v>
      </c>
      <c r="P678" s="113">
        <v>0</v>
      </c>
      <c r="Q678" s="114" t="e">
        <f t="shared" si="198"/>
        <v>#DIV/0!</v>
      </c>
      <c r="R678" s="115"/>
      <c r="S678" s="326">
        <v>43465</v>
      </c>
    </row>
    <row r="679" spans="1:30" customFormat="1" ht="31.2">
      <c r="A679" s="107">
        <f t="shared" si="199"/>
        <v>95</v>
      </c>
      <c r="B679" s="305" t="s">
        <v>281</v>
      </c>
      <c r="C679" s="107">
        <v>1959</v>
      </c>
      <c r="D679" s="108"/>
      <c r="E679" s="109" t="s">
        <v>218</v>
      </c>
      <c r="F679" s="108">
        <v>4</v>
      </c>
      <c r="G679" s="108">
        <v>5</v>
      </c>
      <c r="H679" s="117"/>
      <c r="I679" s="117"/>
      <c r="J679" s="117"/>
      <c r="K679" s="101"/>
      <c r="L679" s="113">
        <v>2542298.37</v>
      </c>
      <c r="M679" s="113">
        <v>0</v>
      </c>
      <c r="N679" s="113">
        <v>0</v>
      </c>
      <c r="O679" s="113">
        <f t="shared" si="197"/>
        <v>2542298.37</v>
      </c>
      <c r="P679" s="113">
        <v>0</v>
      </c>
      <c r="Q679" s="114" t="e">
        <f t="shared" si="198"/>
        <v>#DIV/0!</v>
      </c>
      <c r="R679" s="115"/>
      <c r="S679" s="326">
        <v>43465</v>
      </c>
    </row>
    <row r="680" spans="1:30" customFormat="1" ht="15.6">
      <c r="A680" s="107">
        <f t="shared" si="199"/>
        <v>96</v>
      </c>
      <c r="B680" s="301" t="s">
        <v>248</v>
      </c>
      <c r="C680" s="118">
        <v>1983</v>
      </c>
      <c r="D680" s="118"/>
      <c r="E680" s="109" t="s">
        <v>219</v>
      </c>
      <c r="F680" s="118">
        <v>9</v>
      </c>
      <c r="G680" s="118">
        <v>1</v>
      </c>
      <c r="H680" s="118"/>
      <c r="I680" s="118"/>
      <c r="J680" s="118"/>
      <c r="K680" s="119"/>
      <c r="L680" s="113">
        <v>1114586</v>
      </c>
      <c r="M680" s="113">
        <v>0</v>
      </c>
      <c r="N680" s="113">
        <v>0</v>
      </c>
      <c r="O680" s="113">
        <f t="shared" si="197"/>
        <v>1114586</v>
      </c>
      <c r="P680" s="113">
        <v>0</v>
      </c>
      <c r="Q680" s="114" t="e">
        <f t="shared" si="198"/>
        <v>#DIV/0!</v>
      </c>
      <c r="R680" s="115"/>
      <c r="S680" s="326">
        <v>43465</v>
      </c>
      <c r="T680" s="3"/>
      <c r="U680" s="3"/>
      <c r="V680" s="3"/>
      <c r="W680" s="3"/>
      <c r="X680" s="3"/>
      <c r="Y680" s="3"/>
    </row>
    <row r="681" spans="1:30" customFormat="1" ht="15.6">
      <c r="A681" s="107">
        <f t="shared" si="199"/>
        <v>97</v>
      </c>
      <c r="B681" s="301" t="s">
        <v>301</v>
      </c>
      <c r="C681" s="108">
        <v>1975</v>
      </c>
      <c r="D681" s="108"/>
      <c r="E681" s="109" t="s">
        <v>219</v>
      </c>
      <c r="F681" s="110">
        <v>9</v>
      </c>
      <c r="G681" s="110">
        <v>3</v>
      </c>
      <c r="H681" s="111"/>
      <c r="I681" s="111"/>
      <c r="J681" s="111"/>
      <c r="K681" s="112"/>
      <c r="L681" s="113">
        <v>5623853</v>
      </c>
      <c r="M681" s="113">
        <v>0</v>
      </c>
      <c r="N681" s="113">
        <v>0</v>
      </c>
      <c r="O681" s="113">
        <f t="shared" si="197"/>
        <v>5623853</v>
      </c>
      <c r="P681" s="113">
        <v>0</v>
      </c>
      <c r="Q681" s="114" t="e">
        <f t="shared" si="198"/>
        <v>#DIV/0!</v>
      </c>
      <c r="R681" s="115"/>
      <c r="S681" s="326">
        <v>43465</v>
      </c>
      <c r="Z681" s="3"/>
      <c r="AA681" s="3"/>
      <c r="AB681" s="3"/>
      <c r="AC681" s="3"/>
      <c r="AD681" s="3"/>
    </row>
    <row r="682" spans="1:30" customFormat="1" ht="15.6">
      <c r="A682" s="107">
        <f t="shared" si="199"/>
        <v>98</v>
      </c>
      <c r="B682" s="301" t="s">
        <v>244</v>
      </c>
      <c r="C682" s="118">
        <v>1976</v>
      </c>
      <c r="D682" s="118"/>
      <c r="E682" s="109" t="s">
        <v>219</v>
      </c>
      <c r="F682" s="118">
        <v>9</v>
      </c>
      <c r="G682" s="118">
        <v>4</v>
      </c>
      <c r="H682" s="118"/>
      <c r="I682" s="118"/>
      <c r="J682" s="118"/>
      <c r="K682" s="119"/>
      <c r="L682" s="113">
        <v>2721106</v>
      </c>
      <c r="M682" s="113">
        <v>0</v>
      </c>
      <c r="N682" s="113">
        <v>0</v>
      </c>
      <c r="O682" s="113">
        <f t="shared" si="197"/>
        <v>2721106</v>
      </c>
      <c r="P682" s="113">
        <v>0</v>
      </c>
      <c r="Q682" s="114" t="e">
        <f t="shared" si="198"/>
        <v>#DIV/0!</v>
      </c>
      <c r="R682" s="115"/>
      <c r="S682" s="326">
        <v>43465</v>
      </c>
    </row>
    <row r="683" spans="1:30" customFormat="1" ht="15.6">
      <c r="A683" s="107">
        <f t="shared" si="199"/>
        <v>99</v>
      </c>
      <c r="B683" s="305" t="s">
        <v>288</v>
      </c>
      <c r="C683" s="107">
        <v>1973</v>
      </c>
      <c r="D683" s="108"/>
      <c r="E683" s="109" t="s">
        <v>219</v>
      </c>
      <c r="F683" s="108">
        <v>9</v>
      </c>
      <c r="G683" s="108">
        <v>6</v>
      </c>
      <c r="H683" s="117"/>
      <c r="I683" s="117"/>
      <c r="J683" s="117"/>
      <c r="K683" s="101"/>
      <c r="L683" s="113">
        <v>9789326.5500000007</v>
      </c>
      <c r="M683" s="113">
        <v>0</v>
      </c>
      <c r="N683" s="113">
        <v>0</v>
      </c>
      <c r="O683" s="113">
        <f t="shared" si="197"/>
        <v>9789326.5500000007</v>
      </c>
      <c r="P683" s="113">
        <v>0</v>
      </c>
      <c r="Q683" s="114" t="e">
        <f t="shared" si="198"/>
        <v>#DIV/0!</v>
      </c>
      <c r="R683" s="115"/>
      <c r="S683" s="326">
        <v>43465</v>
      </c>
    </row>
    <row r="684" spans="1:30" customFormat="1" ht="31.2">
      <c r="A684" s="107">
        <f t="shared" si="199"/>
        <v>100</v>
      </c>
      <c r="B684" s="305" t="s">
        <v>249</v>
      </c>
      <c r="C684" s="118" t="s">
        <v>190</v>
      </c>
      <c r="D684" s="118"/>
      <c r="E684" s="109" t="s">
        <v>218</v>
      </c>
      <c r="F684" s="118">
        <v>3</v>
      </c>
      <c r="G684" s="118">
        <v>3</v>
      </c>
      <c r="H684" s="118"/>
      <c r="I684" s="118"/>
      <c r="J684" s="118"/>
      <c r="K684" s="119"/>
      <c r="L684" s="113">
        <v>1615074</v>
      </c>
      <c r="M684" s="113">
        <v>0</v>
      </c>
      <c r="N684" s="113">
        <v>0</v>
      </c>
      <c r="O684" s="113">
        <f t="shared" si="197"/>
        <v>1615074</v>
      </c>
      <c r="P684" s="113">
        <v>0</v>
      </c>
      <c r="Q684" s="114" t="e">
        <f t="shared" si="198"/>
        <v>#DIV/0!</v>
      </c>
      <c r="R684" s="115"/>
      <c r="S684" s="326">
        <v>43465</v>
      </c>
    </row>
    <row r="685" spans="1:30" customFormat="1" ht="31.2">
      <c r="A685" s="107">
        <f t="shared" si="199"/>
        <v>101</v>
      </c>
      <c r="B685" s="301" t="s">
        <v>265</v>
      </c>
      <c r="C685" s="118">
        <v>1953</v>
      </c>
      <c r="D685" s="118"/>
      <c r="E685" s="109" t="s">
        <v>218</v>
      </c>
      <c r="F685" s="118">
        <v>2</v>
      </c>
      <c r="G685" s="118">
        <v>2</v>
      </c>
      <c r="H685" s="118"/>
      <c r="I685" s="118"/>
      <c r="J685" s="118"/>
      <c r="K685" s="119"/>
      <c r="L685" s="113">
        <v>824390</v>
      </c>
      <c r="M685" s="113">
        <v>0</v>
      </c>
      <c r="N685" s="113">
        <v>0</v>
      </c>
      <c r="O685" s="113">
        <f t="shared" si="197"/>
        <v>824390</v>
      </c>
      <c r="P685" s="113">
        <v>0</v>
      </c>
      <c r="Q685" s="114" t="e">
        <f t="shared" si="198"/>
        <v>#DIV/0!</v>
      </c>
      <c r="R685" s="115"/>
      <c r="S685" s="326">
        <v>43465</v>
      </c>
    </row>
    <row r="686" spans="1:30" customFormat="1" ht="15.6">
      <c r="A686" s="107">
        <f t="shared" si="199"/>
        <v>102</v>
      </c>
      <c r="B686" s="305" t="s">
        <v>292</v>
      </c>
      <c r="C686" s="108">
        <v>1951</v>
      </c>
      <c r="D686" s="108"/>
      <c r="E686" s="109" t="s">
        <v>220</v>
      </c>
      <c r="F686" s="110">
        <v>2</v>
      </c>
      <c r="G686" s="110">
        <v>3</v>
      </c>
      <c r="H686" s="111"/>
      <c r="I686" s="111"/>
      <c r="J686" s="111"/>
      <c r="K686" s="112"/>
      <c r="L686" s="113">
        <v>2661189</v>
      </c>
      <c r="M686" s="113">
        <v>0</v>
      </c>
      <c r="N686" s="113">
        <v>0</v>
      </c>
      <c r="O686" s="113">
        <f t="shared" si="197"/>
        <v>2661189</v>
      </c>
      <c r="P686" s="113">
        <v>0</v>
      </c>
      <c r="Q686" s="114" t="e">
        <f t="shared" si="198"/>
        <v>#DIV/0!</v>
      </c>
      <c r="R686" s="115"/>
      <c r="S686" s="326">
        <v>43465</v>
      </c>
    </row>
    <row r="687" spans="1:30" s="62" customFormat="1" ht="31.2">
      <c r="A687" s="107">
        <f t="shared" si="199"/>
        <v>103</v>
      </c>
      <c r="B687" s="305" t="s">
        <v>276</v>
      </c>
      <c r="C687" s="107">
        <v>1959</v>
      </c>
      <c r="D687" s="108"/>
      <c r="E687" s="109" t="s">
        <v>218</v>
      </c>
      <c r="F687" s="108">
        <v>2</v>
      </c>
      <c r="G687" s="108">
        <v>1</v>
      </c>
      <c r="H687" s="117"/>
      <c r="I687" s="117"/>
      <c r="J687" s="117"/>
      <c r="K687" s="101"/>
      <c r="L687" s="113">
        <v>278220</v>
      </c>
      <c r="M687" s="113">
        <v>0</v>
      </c>
      <c r="N687" s="113">
        <v>0</v>
      </c>
      <c r="O687" s="113">
        <f t="shared" si="197"/>
        <v>278220</v>
      </c>
      <c r="P687" s="113">
        <v>0</v>
      </c>
      <c r="Q687" s="114" t="e">
        <f t="shared" si="198"/>
        <v>#DIV/0!</v>
      </c>
      <c r="R687" s="115"/>
      <c r="S687" s="326">
        <v>43465</v>
      </c>
      <c r="T687"/>
      <c r="U687"/>
      <c r="V687"/>
      <c r="W687"/>
      <c r="X687"/>
      <c r="Y687"/>
      <c r="Z687"/>
      <c r="AA687"/>
      <c r="AB687"/>
      <c r="AC687"/>
      <c r="AD687"/>
    </row>
    <row r="688" spans="1:30" customFormat="1" ht="31.2">
      <c r="A688" s="107">
        <f t="shared" si="199"/>
        <v>104</v>
      </c>
      <c r="B688" s="301" t="s">
        <v>229</v>
      </c>
      <c r="C688" s="118">
        <v>1928</v>
      </c>
      <c r="D688" s="118"/>
      <c r="E688" s="109" t="s">
        <v>218</v>
      </c>
      <c r="F688" s="118">
        <v>3</v>
      </c>
      <c r="G688" s="118">
        <v>6</v>
      </c>
      <c r="H688" s="118"/>
      <c r="I688" s="118"/>
      <c r="J688" s="118"/>
      <c r="K688" s="119"/>
      <c r="L688" s="113">
        <v>2511472</v>
      </c>
      <c r="M688" s="113">
        <v>0</v>
      </c>
      <c r="N688" s="113">
        <v>0</v>
      </c>
      <c r="O688" s="113">
        <f t="shared" si="197"/>
        <v>2511472</v>
      </c>
      <c r="P688" s="113">
        <v>0</v>
      </c>
      <c r="Q688" s="114" t="e">
        <f t="shared" si="198"/>
        <v>#DIV/0!</v>
      </c>
      <c r="R688" s="115"/>
      <c r="S688" s="326">
        <v>43465</v>
      </c>
    </row>
    <row r="689" spans="1:30" customFormat="1" ht="31.2">
      <c r="A689" s="107">
        <f t="shared" si="199"/>
        <v>105</v>
      </c>
      <c r="B689" s="301" t="s">
        <v>309</v>
      </c>
      <c r="C689" s="108">
        <v>1964</v>
      </c>
      <c r="D689" s="108"/>
      <c r="E689" s="109" t="s">
        <v>218</v>
      </c>
      <c r="F689" s="110">
        <v>4</v>
      </c>
      <c r="G689" s="110">
        <v>2</v>
      </c>
      <c r="H689" s="111"/>
      <c r="I689" s="111"/>
      <c r="J689" s="111"/>
      <c r="K689" s="112"/>
      <c r="L689" s="113">
        <v>871988</v>
      </c>
      <c r="M689" s="113">
        <v>0</v>
      </c>
      <c r="N689" s="113">
        <v>0</v>
      </c>
      <c r="O689" s="113">
        <f t="shared" si="197"/>
        <v>871988</v>
      </c>
      <c r="P689" s="113">
        <v>0</v>
      </c>
      <c r="Q689" s="114" t="e">
        <f t="shared" si="198"/>
        <v>#DIV/0!</v>
      </c>
      <c r="R689" s="115"/>
      <c r="S689" s="326">
        <v>43465</v>
      </c>
    </row>
    <row r="690" spans="1:30" customFormat="1" ht="31.2">
      <c r="A690" s="107">
        <f t="shared" si="199"/>
        <v>106</v>
      </c>
      <c r="B690" s="301" t="s">
        <v>308</v>
      </c>
      <c r="C690" s="108">
        <v>1966</v>
      </c>
      <c r="D690" s="108"/>
      <c r="E690" s="109" t="s">
        <v>218</v>
      </c>
      <c r="F690" s="110">
        <v>4</v>
      </c>
      <c r="G690" s="110">
        <v>4</v>
      </c>
      <c r="H690" s="111"/>
      <c r="I690" s="111"/>
      <c r="J690" s="111"/>
      <c r="K690" s="112"/>
      <c r="L690" s="113">
        <v>2113335</v>
      </c>
      <c r="M690" s="113">
        <v>0</v>
      </c>
      <c r="N690" s="113">
        <v>0</v>
      </c>
      <c r="O690" s="113">
        <f t="shared" si="197"/>
        <v>2113335</v>
      </c>
      <c r="P690" s="113">
        <v>0</v>
      </c>
      <c r="Q690" s="114" t="e">
        <f t="shared" si="198"/>
        <v>#DIV/0!</v>
      </c>
      <c r="R690" s="115"/>
      <c r="S690" s="326">
        <v>43465</v>
      </c>
    </row>
    <row r="691" spans="1:30" customFormat="1" ht="31.2">
      <c r="A691" s="107">
        <f t="shared" si="199"/>
        <v>107</v>
      </c>
      <c r="B691" s="305" t="s">
        <v>296</v>
      </c>
      <c r="C691" s="108">
        <v>1960</v>
      </c>
      <c r="D691" s="108"/>
      <c r="E691" s="109" t="s">
        <v>218</v>
      </c>
      <c r="F691" s="110">
        <v>2</v>
      </c>
      <c r="G691" s="110">
        <v>2</v>
      </c>
      <c r="H691" s="111"/>
      <c r="I691" s="111"/>
      <c r="J691" s="111"/>
      <c r="K691" s="112"/>
      <c r="L691" s="113">
        <v>996585</v>
      </c>
      <c r="M691" s="113">
        <v>0</v>
      </c>
      <c r="N691" s="113">
        <v>0</v>
      </c>
      <c r="O691" s="113">
        <f t="shared" si="197"/>
        <v>996585</v>
      </c>
      <c r="P691" s="113">
        <v>0</v>
      </c>
      <c r="Q691" s="114" t="e">
        <f t="shared" si="198"/>
        <v>#DIV/0!</v>
      </c>
      <c r="R691" s="115"/>
      <c r="S691" s="326">
        <v>43465</v>
      </c>
    </row>
    <row r="692" spans="1:30" customFormat="1" ht="31.2">
      <c r="A692" s="107">
        <f t="shared" si="199"/>
        <v>108</v>
      </c>
      <c r="B692" s="305" t="s">
        <v>240</v>
      </c>
      <c r="C692" s="118">
        <v>1955</v>
      </c>
      <c r="D692" s="118"/>
      <c r="E692" s="109" t="s">
        <v>218</v>
      </c>
      <c r="F692" s="118">
        <v>2</v>
      </c>
      <c r="G692" s="118">
        <v>2</v>
      </c>
      <c r="H692" s="118"/>
      <c r="I692" s="118"/>
      <c r="J692" s="118"/>
      <c r="K692" s="119"/>
      <c r="L692" s="113">
        <v>637739</v>
      </c>
      <c r="M692" s="113">
        <v>0</v>
      </c>
      <c r="N692" s="113">
        <v>0</v>
      </c>
      <c r="O692" s="113">
        <f t="shared" si="197"/>
        <v>637739</v>
      </c>
      <c r="P692" s="113">
        <v>0</v>
      </c>
      <c r="Q692" s="114" t="e">
        <f t="shared" si="198"/>
        <v>#DIV/0!</v>
      </c>
      <c r="R692" s="115"/>
      <c r="S692" s="326">
        <v>43465</v>
      </c>
    </row>
    <row r="693" spans="1:30" customFormat="1" ht="15.6">
      <c r="A693" s="107">
        <f t="shared" si="199"/>
        <v>109</v>
      </c>
      <c r="B693" s="301" t="s">
        <v>243</v>
      </c>
      <c r="C693" s="118">
        <v>1976</v>
      </c>
      <c r="D693" s="118"/>
      <c r="E693" s="109" t="s">
        <v>219</v>
      </c>
      <c r="F693" s="118">
        <v>9</v>
      </c>
      <c r="G693" s="118">
        <v>2</v>
      </c>
      <c r="H693" s="118"/>
      <c r="I693" s="118"/>
      <c r="J693" s="118"/>
      <c r="K693" s="119"/>
      <c r="L693" s="113">
        <v>1357217</v>
      </c>
      <c r="M693" s="113">
        <v>0</v>
      </c>
      <c r="N693" s="113">
        <v>0</v>
      </c>
      <c r="O693" s="113">
        <f t="shared" si="197"/>
        <v>1357217</v>
      </c>
      <c r="P693" s="113">
        <v>0</v>
      </c>
      <c r="Q693" s="114" t="e">
        <f t="shared" si="198"/>
        <v>#DIV/0!</v>
      </c>
      <c r="R693" s="115"/>
      <c r="S693" s="326">
        <v>43465</v>
      </c>
    </row>
    <row r="694" spans="1:30" customFormat="1" ht="31.2">
      <c r="A694" s="107">
        <f t="shared" si="199"/>
        <v>110</v>
      </c>
      <c r="B694" s="305" t="s">
        <v>269</v>
      </c>
      <c r="C694" s="118">
        <v>1952</v>
      </c>
      <c r="D694" s="118"/>
      <c r="E694" s="109" t="s">
        <v>218</v>
      </c>
      <c r="F694" s="118">
        <v>2</v>
      </c>
      <c r="G694" s="118">
        <v>2</v>
      </c>
      <c r="H694" s="118"/>
      <c r="I694" s="118"/>
      <c r="J694" s="118"/>
      <c r="K694" s="119"/>
      <c r="L694" s="113">
        <v>836226</v>
      </c>
      <c r="M694" s="113">
        <v>0</v>
      </c>
      <c r="N694" s="113">
        <v>0</v>
      </c>
      <c r="O694" s="113">
        <f t="shared" si="197"/>
        <v>836226</v>
      </c>
      <c r="P694" s="113">
        <v>0</v>
      </c>
      <c r="Q694" s="114" t="e">
        <f t="shared" si="198"/>
        <v>#DIV/0!</v>
      </c>
      <c r="R694" s="115"/>
      <c r="S694" s="326">
        <v>43465</v>
      </c>
    </row>
    <row r="695" spans="1:30" customFormat="1" ht="31.2">
      <c r="A695" s="107">
        <f t="shared" si="199"/>
        <v>111</v>
      </c>
      <c r="B695" s="305" t="s">
        <v>299</v>
      </c>
      <c r="C695" s="108">
        <v>1952</v>
      </c>
      <c r="D695" s="108"/>
      <c r="E695" s="109" t="s">
        <v>218</v>
      </c>
      <c r="F695" s="110">
        <v>2</v>
      </c>
      <c r="G695" s="110">
        <v>2</v>
      </c>
      <c r="H695" s="111"/>
      <c r="I695" s="111"/>
      <c r="J695" s="111"/>
      <c r="K695" s="112"/>
      <c r="L695" s="113">
        <v>640078</v>
      </c>
      <c r="M695" s="113">
        <v>0</v>
      </c>
      <c r="N695" s="113">
        <v>0</v>
      </c>
      <c r="O695" s="113">
        <f t="shared" si="197"/>
        <v>640078</v>
      </c>
      <c r="P695" s="113">
        <v>0</v>
      </c>
      <c r="Q695" s="114" t="e">
        <f t="shared" si="198"/>
        <v>#DIV/0!</v>
      </c>
      <c r="R695" s="115"/>
      <c r="S695" s="326">
        <v>43465</v>
      </c>
    </row>
    <row r="696" spans="1:30" customFormat="1" ht="31.2">
      <c r="A696" s="107">
        <f t="shared" si="199"/>
        <v>112</v>
      </c>
      <c r="B696" s="301" t="s">
        <v>236</v>
      </c>
      <c r="C696" s="118">
        <v>1959</v>
      </c>
      <c r="D696" s="118"/>
      <c r="E696" s="109" t="s">
        <v>218</v>
      </c>
      <c r="F696" s="118">
        <v>2</v>
      </c>
      <c r="G696" s="118">
        <v>2</v>
      </c>
      <c r="H696" s="118"/>
      <c r="I696" s="118"/>
      <c r="J696" s="118"/>
      <c r="K696" s="119"/>
      <c r="L696" s="113">
        <v>202649</v>
      </c>
      <c r="M696" s="113">
        <v>0</v>
      </c>
      <c r="N696" s="113">
        <v>0</v>
      </c>
      <c r="O696" s="113">
        <f t="shared" si="197"/>
        <v>202649</v>
      </c>
      <c r="P696" s="113">
        <v>0</v>
      </c>
      <c r="Q696" s="114" t="e">
        <f t="shared" si="198"/>
        <v>#DIV/0!</v>
      </c>
      <c r="R696" s="115"/>
      <c r="S696" s="326">
        <v>43465</v>
      </c>
    </row>
    <row r="697" spans="1:30" customFormat="1" ht="31.2">
      <c r="A697" s="107">
        <f t="shared" si="199"/>
        <v>113</v>
      </c>
      <c r="B697" s="305" t="s">
        <v>285</v>
      </c>
      <c r="C697" s="108">
        <v>1954</v>
      </c>
      <c r="D697" s="108"/>
      <c r="E697" s="109" t="s">
        <v>218</v>
      </c>
      <c r="F697" s="121" t="s">
        <v>191</v>
      </c>
      <c r="G697" s="110">
        <v>10</v>
      </c>
      <c r="H697" s="111"/>
      <c r="I697" s="111"/>
      <c r="J697" s="111"/>
      <c r="K697" s="112"/>
      <c r="L697" s="113">
        <v>7892437</v>
      </c>
      <c r="M697" s="113">
        <v>0</v>
      </c>
      <c r="N697" s="113">
        <v>0</v>
      </c>
      <c r="O697" s="113">
        <f t="shared" si="197"/>
        <v>7892437</v>
      </c>
      <c r="P697" s="113">
        <v>0</v>
      </c>
      <c r="Q697" s="114" t="e">
        <f t="shared" si="198"/>
        <v>#DIV/0!</v>
      </c>
      <c r="R697" s="115"/>
      <c r="S697" s="326">
        <v>43465</v>
      </c>
    </row>
    <row r="698" spans="1:30" customFormat="1" ht="31.2">
      <c r="A698" s="107">
        <f t="shared" si="199"/>
        <v>114</v>
      </c>
      <c r="B698" s="305" t="s">
        <v>237</v>
      </c>
      <c r="C698" s="118">
        <v>1950</v>
      </c>
      <c r="D698" s="118"/>
      <c r="E698" s="109" t="s">
        <v>218</v>
      </c>
      <c r="F698" s="118">
        <v>2</v>
      </c>
      <c r="G698" s="118">
        <v>1</v>
      </c>
      <c r="H698" s="118"/>
      <c r="I698" s="118"/>
      <c r="J698" s="118"/>
      <c r="K698" s="119"/>
      <c r="L698" s="113">
        <v>523389</v>
      </c>
      <c r="M698" s="113">
        <v>0</v>
      </c>
      <c r="N698" s="113">
        <v>0</v>
      </c>
      <c r="O698" s="113">
        <f t="shared" si="197"/>
        <v>523389</v>
      </c>
      <c r="P698" s="113">
        <v>0</v>
      </c>
      <c r="Q698" s="114" t="e">
        <f t="shared" si="198"/>
        <v>#DIV/0!</v>
      </c>
      <c r="R698" s="115"/>
      <c r="S698" s="326">
        <v>43465</v>
      </c>
    </row>
    <row r="699" spans="1:30" customFormat="1" ht="15.6">
      <c r="A699" s="107">
        <f t="shared" si="199"/>
        <v>115</v>
      </c>
      <c r="B699" s="305" t="s">
        <v>264</v>
      </c>
      <c r="C699" s="118">
        <v>1950</v>
      </c>
      <c r="D699" s="118"/>
      <c r="E699" s="109" t="s">
        <v>220</v>
      </c>
      <c r="F699" s="118">
        <v>2</v>
      </c>
      <c r="G699" s="118">
        <v>3</v>
      </c>
      <c r="H699" s="118"/>
      <c r="I699" s="118"/>
      <c r="J699" s="118"/>
      <c r="K699" s="119"/>
      <c r="L699" s="113">
        <v>1038920</v>
      </c>
      <c r="M699" s="113">
        <v>0</v>
      </c>
      <c r="N699" s="113">
        <v>0</v>
      </c>
      <c r="O699" s="113">
        <f t="shared" si="197"/>
        <v>1038920</v>
      </c>
      <c r="P699" s="113">
        <v>0</v>
      </c>
      <c r="Q699" s="114" t="e">
        <f t="shared" si="198"/>
        <v>#DIV/0!</v>
      </c>
      <c r="R699" s="115"/>
      <c r="S699" s="326">
        <v>43465</v>
      </c>
    </row>
    <row r="700" spans="1:30" s="3" customFormat="1" ht="15.6">
      <c r="A700" s="107">
        <f t="shared" si="199"/>
        <v>116</v>
      </c>
      <c r="B700" s="305" t="s">
        <v>258</v>
      </c>
      <c r="C700" s="118">
        <v>1950</v>
      </c>
      <c r="D700" s="118"/>
      <c r="E700" s="109" t="s">
        <v>220</v>
      </c>
      <c r="F700" s="118">
        <v>2</v>
      </c>
      <c r="G700" s="118">
        <v>2</v>
      </c>
      <c r="H700" s="118"/>
      <c r="I700" s="118"/>
      <c r="J700" s="118"/>
      <c r="K700" s="119"/>
      <c r="L700" s="113">
        <v>1742553</v>
      </c>
      <c r="M700" s="113">
        <v>0</v>
      </c>
      <c r="N700" s="113">
        <v>0</v>
      </c>
      <c r="O700" s="113">
        <f t="shared" si="197"/>
        <v>1742553</v>
      </c>
      <c r="P700" s="113">
        <v>0</v>
      </c>
      <c r="Q700" s="114" t="e">
        <f t="shared" si="198"/>
        <v>#DIV/0!</v>
      </c>
      <c r="R700" s="115"/>
      <c r="S700" s="326">
        <v>43465</v>
      </c>
      <c r="T700"/>
      <c r="U700"/>
      <c r="V700"/>
      <c r="W700"/>
      <c r="X700"/>
      <c r="Y700"/>
      <c r="Z700"/>
      <c r="AA700"/>
      <c r="AB700"/>
      <c r="AC700"/>
      <c r="AD700"/>
    </row>
    <row r="701" spans="1:30" customFormat="1" ht="31.2">
      <c r="A701" s="107">
        <f t="shared" si="199"/>
        <v>117</v>
      </c>
      <c r="B701" s="305" t="s">
        <v>250</v>
      </c>
      <c r="C701" s="118">
        <v>1948</v>
      </c>
      <c r="D701" s="118"/>
      <c r="E701" s="109" t="s">
        <v>218</v>
      </c>
      <c r="F701" s="118">
        <v>2</v>
      </c>
      <c r="G701" s="118">
        <v>3</v>
      </c>
      <c r="H701" s="118"/>
      <c r="I701" s="118"/>
      <c r="J701" s="118"/>
      <c r="K701" s="119"/>
      <c r="L701" s="113">
        <v>2124581</v>
      </c>
      <c r="M701" s="113">
        <v>0</v>
      </c>
      <c r="N701" s="113">
        <v>0</v>
      </c>
      <c r="O701" s="113">
        <f t="shared" si="197"/>
        <v>2124581</v>
      </c>
      <c r="P701" s="113">
        <v>0</v>
      </c>
      <c r="Q701" s="114" t="e">
        <f t="shared" si="198"/>
        <v>#DIV/0!</v>
      </c>
      <c r="R701" s="115"/>
      <c r="S701" s="326">
        <v>43465</v>
      </c>
    </row>
    <row r="702" spans="1:30" customFormat="1" ht="15.6">
      <c r="A702" s="107">
        <f t="shared" si="199"/>
        <v>118</v>
      </c>
      <c r="B702" s="305" t="s">
        <v>282</v>
      </c>
      <c r="C702" s="107">
        <v>1948</v>
      </c>
      <c r="D702" s="108"/>
      <c r="E702" s="109" t="s">
        <v>220</v>
      </c>
      <c r="F702" s="108">
        <v>2</v>
      </c>
      <c r="G702" s="108">
        <v>3</v>
      </c>
      <c r="H702" s="117"/>
      <c r="I702" s="117"/>
      <c r="J702" s="117"/>
      <c r="K702" s="101"/>
      <c r="L702" s="113">
        <v>2347478</v>
      </c>
      <c r="M702" s="113">
        <v>0</v>
      </c>
      <c r="N702" s="113">
        <v>0</v>
      </c>
      <c r="O702" s="113">
        <f t="shared" si="197"/>
        <v>2347478</v>
      </c>
      <c r="P702" s="113">
        <v>0</v>
      </c>
      <c r="Q702" s="114" t="e">
        <f t="shared" si="198"/>
        <v>#DIV/0!</v>
      </c>
      <c r="R702" s="115"/>
      <c r="S702" s="326">
        <v>43465</v>
      </c>
    </row>
    <row r="703" spans="1:30" customFormat="1" ht="31.2">
      <c r="A703" s="107">
        <f t="shared" si="199"/>
        <v>119</v>
      </c>
      <c r="B703" s="301" t="s">
        <v>267</v>
      </c>
      <c r="C703" s="118">
        <v>1948</v>
      </c>
      <c r="D703" s="118"/>
      <c r="E703" s="109" t="s">
        <v>218</v>
      </c>
      <c r="F703" s="118">
        <v>2</v>
      </c>
      <c r="G703" s="118">
        <v>3</v>
      </c>
      <c r="H703" s="118"/>
      <c r="I703" s="118"/>
      <c r="J703" s="118"/>
      <c r="K703" s="119"/>
      <c r="L703" s="113">
        <v>2468472</v>
      </c>
      <c r="M703" s="113">
        <v>0</v>
      </c>
      <c r="N703" s="113">
        <v>0</v>
      </c>
      <c r="O703" s="113">
        <f t="shared" si="197"/>
        <v>2468472</v>
      </c>
      <c r="P703" s="113">
        <v>0</v>
      </c>
      <c r="Q703" s="114" t="e">
        <f t="shared" si="198"/>
        <v>#DIV/0!</v>
      </c>
      <c r="R703" s="115"/>
      <c r="S703" s="326">
        <v>43465</v>
      </c>
    </row>
    <row r="704" spans="1:30" customFormat="1" ht="31.2">
      <c r="A704" s="107">
        <f t="shared" si="199"/>
        <v>120</v>
      </c>
      <c r="B704" s="305" t="s">
        <v>284</v>
      </c>
      <c r="C704" s="108">
        <v>1950</v>
      </c>
      <c r="D704" s="116"/>
      <c r="E704" s="109" t="s">
        <v>218</v>
      </c>
      <c r="F704" s="110">
        <v>2</v>
      </c>
      <c r="G704" s="110">
        <v>2</v>
      </c>
      <c r="H704" s="111"/>
      <c r="I704" s="111"/>
      <c r="J704" s="111"/>
      <c r="K704" s="112"/>
      <c r="L704" s="113">
        <v>1612780</v>
      </c>
      <c r="M704" s="113">
        <v>0</v>
      </c>
      <c r="N704" s="113">
        <v>0</v>
      </c>
      <c r="O704" s="113">
        <f t="shared" si="197"/>
        <v>1612780</v>
      </c>
      <c r="P704" s="113">
        <v>0</v>
      </c>
      <c r="Q704" s="114" t="e">
        <f t="shared" si="198"/>
        <v>#DIV/0!</v>
      </c>
      <c r="R704" s="115"/>
      <c r="S704" s="326">
        <v>43465</v>
      </c>
    </row>
    <row r="705" spans="1:19" customFormat="1" ht="31.2">
      <c r="A705" s="107">
        <f t="shared" si="199"/>
        <v>121</v>
      </c>
      <c r="B705" s="305" t="s">
        <v>256</v>
      </c>
      <c r="C705" s="118">
        <v>1947</v>
      </c>
      <c r="D705" s="118"/>
      <c r="E705" s="109" t="s">
        <v>218</v>
      </c>
      <c r="F705" s="118">
        <v>2</v>
      </c>
      <c r="G705" s="118">
        <v>2</v>
      </c>
      <c r="H705" s="118"/>
      <c r="I705" s="118"/>
      <c r="J705" s="118"/>
      <c r="K705" s="119"/>
      <c r="L705" s="113">
        <v>2580419</v>
      </c>
      <c r="M705" s="113">
        <v>0</v>
      </c>
      <c r="N705" s="113">
        <v>0</v>
      </c>
      <c r="O705" s="113">
        <f t="shared" si="197"/>
        <v>2580419</v>
      </c>
      <c r="P705" s="113">
        <v>0</v>
      </c>
      <c r="Q705" s="114" t="e">
        <f t="shared" si="198"/>
        <v>#DIV/0!</v>
      </c>
      <c r="R705" s="115"/>
      <c r="S705" s="326">
        <v>43465</v>
      </c>
    </row>
    <row r="706" spans="1:19" customFormat="1" ht="15.6">
      <c r="A706" s="107">
        <f t="shared" si="199"/>
        <v>122</v>
      </c>
      <c r="B706" s="301" t="s">
        <v>335</v>
      </c>
      <c r="C706" s="118">
        <v>1963</v>
      </c>
      <c r="D706" s="118"/>
      <c r="E706" s="109" t="s">
        <v>219</v>
      </c>
      <c r="F706" s="118">
        <v>5</v>
      </c>
      <c r="G706" s="118">
        <v>4</v>
      </c>
      <c r="H706" s="118"/>
      <c r="I706" s="118"/>
      <c r="J706" s="118"/>
      <c r="K706" s="119"/>
      <c r="L706" s="113">
        <v>1681645</v>
      </c>
      <c r="M706" s="113">
        <v>0</v>
      </c>
      <c r="N706" s="113">
        <v>0</v>
      </c>
      <c r="O706" s="113">
        <f t="shared" si="197"/>
        <v>1681645</v>
      </c>
      <c r="P706" s="113">
        <v>0</v>
      </c>
      <c r="Q706" s="114" t="e">
        <f t="shared" si="198"/>
        <v>#DIV/0!</v>
      </c>
      <c r="R706" s="115"/>
      <c r="S706" s="326">
        <v>43465</v>
      </c>
    </row>
    <row r="707" spans="1:19" customFormat="1" ht="31.2">
      <c r="A707" s="107">
        <f t="shared" si="199"/>
        <v>123</v>
      </c>
      <c r="B707" s="305" t="s">
        <v>255</v>
      </c>
      <c r="C707" s="118">
        <v>1950</v>
      </c>
      <c r="D707" s="118"/>
      <c r="E707" s="109" t="s">
        <v>218</v>
      </c>
      <c r="F707" s="118">
        <v>2</v>
      </c>
      <c r="G707" s="118">
        <v>2</v>
      </c>
      <c r="H707" s="118"/>
      <c r="I707" s="118"/>
      <c r="J707" s="118"/>
      <c r="K707" s="119"/>
      <c r="L707" s="113">
        <v>1318880</v>
      </c>
      <c r="M707" s="113">
        <v>0</v>
      </c>
      <c r="N707" s="113">
        <v>0</v>
      </c>
      <c r="O707" s="113">
        <f t="shared" si="197"/>
        <v>1318880</v>
      </c>
      <c r="P707" s="113">
        <v>0</v>
      </c>
      <c r="Q707" s="114" t="e">
        <f t="shared" si="198"/>
        <v>#DIV/0!</v>
      </c>
      <c r="R707" s="115"/>
      <c r="S707" s="326">
        <v>43465</v>
      </c>
    </row>
    <row r="708" spans="1:19" customFormat="1" ht="15.6">
      <c r="A708" s="107">
        <f t="shared" si="199"/>
        <v>124</v>
      </c>
      <c r="B708" s="305" t="s">
        <v>245</v>
      </c>
      <c r="C708" s="118">
        <v>1949</v>
      </c>
      <c r="D708" s="118"/>
      <c r="E708" s="109" t="s">
        <v>220</v>
      </c>
      <c r="F708" s="118">
        <v>2</v>
      </c>
      <c r="G708" s="118">
        <v>1</v>
      </c>
      <c r="H708" s="118"/>
      <c r="I708" s="118"/>
      <c r="J708" s="118"/>
      <c r="K708" s="119"/>
      <c r="L708" s="113">
        <v>1566345</v>
      </c>
      <c r="M708" s="113">
        <v>0</v>
      </c>
      <c r="N708" s="113">
        <v>0</v>
      </c>
      <c r="O708" s="113">
        <f t="shared" si="197"/>
        <v>1566345</v>
      </c>
      <c r="P708" s="113">
        <v>0</v>
      </c>
      <c r="Q708" s="114" t="e">
        <f t="shared" si="198"/>
        <v>#DIV/0!</v>
      </c>
      <c r="R708" s="115"/>
      <c r="S708" s="326">
        <v>43465</v>
      </c>
    </row>
    <row r="709" spans="1:19" customFormat="1" ht="31.2">
      <c r="A709" s="107">
        <f t="shared" si="199"/>
        <v>125</v>
      </c>
      <c r="B709" s="301" t="s">
        <v>449</v>
      </c>
      <c r="C709" s="108">
        <v>1984</v>
      </c>
      <c r="D709" s="108"/>
      <c r="E709" s="109" t="s">
        <v>219</v>
      </c>
      <c r="F709" s="110">
        <v>9</v>
      </c>
      <c r="G709" s="110">
        <v>1</v>
      </c>
      <c r="H709" s="111"/>
      <c r="I709" s="111"/>
      <c r="J709" s="111"/>
      <c r="K709" s="112"/>
      <c r="L709" s="113">
        <v>1910088</v>
      </c>
      <c r="M709" s="113">
        <v>0</v>
      </c>
      <c r="N709" s="113">
        <v>0</v>
      </c>
      <c r="O709" s="113">
        <f t="shared" si="197"/>
        <v>1910088</v>
      </c>
      <c r="P709" s="113">
        <v>0</v>
      </c>
      <c r="Q709" s="114" t="e">
        <f t="shared" si="198"/>
        <v>#DIV/0!</v>
      </c>
      <c r="R709" s="115"/>
      <c r="S709" s="326">
        <v>43465</v>
      </c>
    </row>
    <row r="710" spans="1:19" customFormat="1" ht="31.2">
      <c r="A710" s="107">
        <f t="shared" si="199"/>
        <v>126</v>
      </c>
      <c r="B710" s="305" t="s">
        <v>280</v>
      </c>
      <c r="C710" s="107">
        <v>1966</v>
      </c>
      <c r="D710" s="108"/>
      <c r="E710" s="109" t="s">
        <v>218</v>
      </c>
      <c r="F710" s="108">
        <v>5</v>
      </c>
      <c r="G710" s="108">
        <v>3</v>
      </c>
      <c r="H710" s="117"/>
      <c r="I710" s="117"/>
      <c r="J710" s="117"/>
      <c r="K710" s="101"/>
      <c r="L710" s="113">
        <v>2694957</v>
      </c>
      <c r="M710" s="113">
        <v>0</v>
      </c>
      <c r="N710" s="113">
        <v>0</v>
      </c>
      <c r="O710" s="113">
        <f t="shared" si="197"/>
        <v>2694957</v>
      </c>
      <c r="P710" s="113">
        <v>0</v>
      </c>
      <c r="Q710" s="114" t="e">
        <f t="shared" si="198"/>
        <v>#DIV/0!</v>
      </c>
      <c r="R710" s="115"/>
      <c r="S710" s="326">
        <v>43465</v>
      </c>
    </row>
    <row r="711" spans="1:19" customFormat="1" ht="31.2">
      <c r="A711" s="107">
        <f t="shared" si="199"/>
        <v>127</v>
      </c>
      <c r="B711" s="305" t="s">
        <v>367</v>
      </c>
      <c r="C711" s="118">
        <v>1958</v>
      </c>
      <c r="D711" s="118"/>
      <c r="E711" s="109" t="s">
        <v>218</v>
      </c>
      <c r="F711" s="118">
        <v>2</v>
      </c>
      <c r="G711" s="118">
        <v>1</v>
      </c>
      <c r="H711" s="118"/>
      <c r="I711" s="118"/>
      <c r="J711" s="118"/>
      <c r="K711" s="119"/>
      <c r="L711" s="113">
        <v>580578</v>
      </c>
      <c r="M711" s="113">
        <v>0</v>
      </c>
      <c r="N711" s="113">
        <v>0</v>
      </c>
      <c r="O711" s="113">
        <f t="shared" si="197"/>
        <v>580578</v>
      </c>
      <c r="P711" s="113">
        <v>0</v>
      </c>
      <c r="Q711" s="114" t="e">
        <f t="shared" si="198"/>
        <v>#DIV/0!</v>
      </c>
      <c r="R711" s="115"/>
      <c r="S711" s="326">
        <v>43465</v>
      </c>
    </row>
    <row r="712" spans="1:19" customFormat="1" ht="31.2">
      <c r="A712" s="107">
        <f t="shared" si="199"/>
        <v>128</v>
      </c>
      <c r="B712" s="305" t="s">
        <v>464</v>
      </c>
      <c r="C712" s="118">
        <v>1971</v>
      </c>
      <c r="D712" s="118"/>
      <c r="E712" s="109" t="s">
        <v>218</v>
      </c>
      <c r="F712" s="118">
        <v>2</v>
      </c>
      <c r="G712" s="118">
        <v>1</v>
      </c>
      <c r="H712" s="118"/>
      <c r="I712" s="118"/>
      <c r="J712" s="118"/>
      <c r="K712" s="119"/>
      <c r="L712" s="113">
        <v>615357</v>
      </c>
      <c r="M712" s="113">
        <v>0</v>
      </c>
      <c r="N712" s="113">
        <v>0</v>
      </c>
      <c r="O712" s="113">
        <f t="shared" si="197"/>
        <v>615357</v>
      </c>
      <c r="P712" s="113">
        <v>0</v>
      </c>
      <c r="Q712" s="114" t="e">
        <f t="shared" si="198"/>
        <v>#DIV/0!</v>
      </c>
      <c r="R712" s="115"/>
      <c r="S712" s="326">
        <v>43465</v>
      </c>
    </row>
    <row r="713" spans="1:19" customFormat="1" ht="31.2">
      <c r="A713" s="107">
        <f t="shared" si="199"/>
        <v>129</v>
      </c>
      <c r="B713" s="305" t="s">
        <v>385</v>
      </c>
      <c r="C713" s="118">
        <v>1957</v>
      </c>
      <c r="D713" s="118"/>
      <c r="E713" s="109" t="s">
        <v>218</v>
      </c>
      <c r="F713" s="118">
        <v>2</v>
      </c>
      <c r="G713" s="118">
        <v>1</v>
      </c>
      <c r="H713" s="118"/>
      <c r="I713" s="118"/>
      <c r="J713" s="118"/>
      <c r="K713" s="119"/>
      <c r="L713" s="113">
        <v>269948.13</v>
      </c>
      <c r="M713" s="113">
        <v>0</v>
      </c>
      <c r="N713" s="113">
        <v>0</v>
      </c>
      <c r="O713" s="113">
        <f t="shared" ref="O713:O752" si="200">L713</f>
        <v>269948.13</v>
      </c>
      <c r="P713" s="113">
        <v>0</v>
      </c>
      <c r="Q713" s="114" t="e">
        <f t="shared" ref="Q713:Q752" si="201">L713/I713</f>
        <v>#DIV/0!</v>
      </c>
      <c r="R713" s="115"/>
      <c r="S713" s="326">
        <v>43465</v>
      </c>
    </row>
    <row r="714" spans="1:19" customFormat="1" ht="15.6">
      <c r="A714" s="107">
        <f t="shared" si="199"/>
        <v>130</v>
      </c>
      <c r="B714" s="305" t="s">
        <v>238</v>
      </c>
      <c r="C714" s="118">
        <v>1924</v>
      </c>
      <c r="D714" s="118"/>
      <c r="E714" s="109" t="s">
        <v>221</v>
      </c>
      <c r="F714" s="118">
        <v>2</v>
      </c>
      <c r="G714" s="118">
        <v>2</v>
      </c>
      <c r="H714" s="118"/>
      <c r="I714" s="118"/>
      <c r="J714" s="118"/>
      <c r="K714" s="119"/>
      <c r="L714" s="113">
        <v>807980</v>
      </c>
      <c r="M714" s="113">
        <v>0</v>
      </c>
      <c r="N714" s="113">
        <v>0</v>
      </c>
      <c r="O714" s="113">
        <f t="shared" si="200"/>
        <v>807980</v>
      </c>
      <c r="P714" s="113">
        <v>0</v>
      </c>
      <c r="Q714" s="114" t="e">
        <f t="shared" si="201"/>
        <v>#DIV/0!</v>
      </c>
      <c r="R714" s="115"/>
      <c r="S714" s="326">
        <v>43465</v>
      </c>
    </row>
    <row r="715" spans="1:19" customFormat="1" ht="31.2">
      <c r="A715" s="107">
        <f t="shared" ref="A715:A772" si="202">A714+1</f>
        <v>131</v>
      </c>
      <c r="B715" s="305" t="s">
        <v>273</v>
      </c>
      <c r="C715" s="107">
        <v>1949</v>
      </c>
      <c r="D715" s="108"/>
      <c r="E715" s="109" t="s">
        <v>218</v>
      </c>
      <c r="F715" s="108">
        <v>2</v>
      </c>
      <c r="G715" s="108">
        <v>1</v>
      </c>
      <c r="H715" s="117"/>
      <c r="I715" s="117"/>
      <c r="J715" s="117"/>
      <c r="K715" s="101"/>
      <c r="L715" s="113">
        <v>661525</v>
      </c>
      <c r="M715" s="113">
        <v>0</v>
      </c>
      <c r="N715" s="113">
        <v>0</v>
      </c>
      <c r="O715" s="113">
        <f t="shared" si="200"/>
        <v>661525</v>
      </c>
      <c r="P715" s="113">
        <v>0</v>
      </c>
      <c r="Q715" s="114" t="e">
        <f t="shared" si="201"/>
        <v>#DIV/0!</v>
      </c>
      <c r="R715" s="115"/>
      <c r="S715" s="326">
        <v>43465</v>
      </c>
    </row>
    <row r="716" spans="1:19" customFormat="1" ht="15.6">
      <c r="A716" s="107">
        <f t="shared" si="202"/>
        <v>132</v>
      </c>
      <c r="B716" s="305" t="s">
        <v>297</v>
      </c>
      <c r="C716" s="108">
        <v>1981</v>
      </c>
      <c r="D716" s="108"/>
      <c r="E716" s="109" t="s">
        <v>219</v>
      </c>
      <c r="F716" s="110">
        <v>9</v>
      </c>
      <c r="G716" s="110">
        <v>2</v>
      </c>
      <c r="H716" s="111"/>
      <c r="I716" s="111"/>
      <c r="J716" s="111"/>
      <c r="K716" s="112"/>
      <c r="L716" s="113">
        <v>3719885</v>
      </c>
      <c r="M716" s="113">
        <v>0</v>
      </c>
      <c r="N716" s="113">
        <v>0</v>
      </c>
      <c r="O716" s="113">
        <f t="shared" si="200"/>
        <v>3719885</v>
      </c>
      <c r="P716" s="113">
        <v>0</v>
      </c>
      <c r="Q716" s="114" t="e">
        <f t="shared" si="201"/>
        <v>#DIV/0!</v>
      </c>
      <c r="R716" s="115"/>
      <c r="S716" s="326">
        <v>43465</v>
      </c>
    </row>
    <row r="717" spans="1:19" customFormat="1" ht="31.2">
      <c r="A717" s="107">
        <f t="shared" si="202"/>
        <v>133</v>
      </c>
      <c r="B717" s="305" t="s">
        <v>263</v>
      </c>
      <c r="C717" s="118">
        <v>1949</v>
      </c>
      <c r="D717" s="118"/>
      <c r="E717" s="109" t="s">
        <v>218</v>
      </c>
      <c r="F717" s="118">
        <v>2</v>
      </c>
      <c r="G717" s="118">
        <v>2</v>
      </c>
      <c r="H717" s="118"/>
      <c r="I717" s="118"/>
      <c r="J717" s="118"/>
      <c r="K717" s="119"/>
      <c r="L717" s="113">
        <v>1726391</v>
      </c>
      <c r="M717" s="113">
        <v>0</v>
      </c>
      <c r="N717" s="113">
        <v>0</v>
      </c>
      <c r="O717" s="113">
        <f t="shared" si="200"/>
        <v>1726391</v>
      </c>
      <c r="P717" s="113">
        <v>0</v>
      </c>
      <c r="Q717" s="114" t="e">
        <f t="shared" si="201"/>
        <v>#DIV/0!</v>
      </c>
      <c r="R717" s="115"/>
      <c r="S717" s="326">
        <v>43465</v>
      </c>
    </row>
    <row r="718" spans="1:19" customFormat="1" ht="15.6">
      <c r="A718" s="107">
        <f t="shared" si="202"/>
        <v>134</v>
      </c>
      <c r="B718" s="305" t="s">
        <v>235</v>
      </c>
      <c r="C718" s="118">
        <v>1950</v>
      </c>
      <c r="D718" s="118"/>
      <c r="E718" s="109" t="s">
        <v>220</v>
      </c>
      <c r="F718" s="118">
        <v>2</v>
      </c>
      <c r="G718" s="118">
        <v>1</v>
      </c>
      <c r="H718" s="118"/>
      <c r="I718" s="118"/>
      <c r="J718" s="118"/>
      <c r="K718" s="119"/>
      <c r="L718" s="113">
        <v>1521754</v>
      </c>
      <c r="M718" s="113">
        <v>0</v>
      </c>
      <c r="N718" s="113">
        <v>0</v>
      </c>
      <c r="O718" s="113">
        <f t="shared" si="200"/>
        <v>1521754</v>
      </c>
      <c r="P718" s="113">
        <v>0</v>
      </c>
      <c r="Q718" s="114" t="e">
        <f t="shared" si="201"/>
        <v>#DIV/0!</v>
      </c>
      <c r="R718" s="115"/>
      <c r="S718" s="326">
        <v>43465</v>
      </c>
    </row>
    <row r="719" spans="1:19" customFormat="1" ht="31.2">
      <c r="A719" s="107">
        <f t="shared" si="202"/>
        <v>135</v>
      </c>
      <c r="B719" s="301" t="s">
        <v>227</v>
      </c>
      <c r="C719" s="118">
        <v>1937</v>
      </c>
      <c r="D719" s="118"/>
      <c r="E719" s="109" t="s">
        <v>218</v>
      </c>
      <c r="F719" s="118">
        <v>2</v>
      </c>
      <c r="G719" s="118">
        <v>1</v>
      </c>
      <c r="H719" s="118"/>
      <c r="I719" s="118"/>
      <c r="J719" s="118"/>
      <c r="K719" s="119"/>
      <c r="L719" s="113">
        <v>671505</v>
      </c>
      <c r="M719" s="113">
        <v>0</v>
      </c>
      <c r="N719" s="113">
        <v>0</v>
      </c>
      <c r="O719" s="113">
        <f t="shared" si="200"/>
        <v>671505</v>
      </c>
      <c r="P719" s="113">
        <v>0</v>
      </c>
      <c r="Q719" s="114" t="e">
        <f t="shared" si="201"/>
        <v>#DIV/0!</v>
      </c>
      <c r="R719" s="115"/>
      <c r="S719" s="326">
        <v>43465</v>
      </c>
    </row>
    <row r="720" spans="1:19" customFormat="1" ht="31.2">
      <c r="A720" s="107">
        <f t="shared" si="202"/>
        <v>136</v>
      </c>
      <c r="B720" s="305" t="s">
        <v>339</v>
      </c>
      <c r="C720" s="118">
        <v>1961</v>
      </c>
      <c r="D720" s="118"/>
      <c r="E720" s="109" t="s">
        <v>218</v>
      </c>
      <c r="F720" s="118">
        <v>3</v>
      </c>
      <c r="G720" s="118">
        <v>2</v>
      </c>
      <c r="H720" s="118"/>
      <c r="I720" s="118"/>
      <c r="J720" s="118"/>
      <c r="K720" s="119"/>
      <c r="L720" s="113">
        <v>1081718</v>
      </c>
      <c r="M720" s="113">
        <v>0</v>
      </c>
      <c r="N720" s="113">
        <v>0</v>
      </c>
      <c r="O720" s="113">
        <f t="shared" si="200"/>
        <v>1081718</v>
      </c>
      <c r="P720" s="113">
        <v>0</v>
      </c>
      <c r="Q720" s="114" t="e">
        <f t="shared" si="201"/>
        <v>#DIV/0!</v>
      </c>
      <c r="R720" s="115"/>
      <c r="S720" s="326">
        <v>43465</v>
      </c>
    </row>
    <row r="721" spans="1:19" customFormat="1" ht="15.6">
      <c r="A721" s="107">
        <f t="shared" si="202"/>
        <v>137</v>
      </c>
      <c r="B721" s="305" t="s">
        <v>231</v>
      </c>
      <c r="C721" s="118">
        <v>1960</v>
      </c>
      <c r="D721" s="118"/>
      <c r="E721" s="109" t="s">
        <v>220</v>
      </c>
      <c r="F721" s="118">
        <v>3</v>
      </c>
      <c r="G721" s="118">
        <v>2</v>
      </c>
      <c r="H721" s="118"/>
      <c r="I721" s="118"/>
      <c r="J721" s="118"/>
      <c r="K721" s="119"/>
      <c r="L721" s="113">
        <v>206635</v>
      </c>
      <c r="M721" s="113">
        <v>0</v>
      </c>
      <c r="N721" s="113">
        <v>0</v>
      </c>
      <c r="O721" s="113">
        <f t="shared" si="200"/>
        <v>206635</v>
      </c>
      <c r="P721" s="113">
        <v>0</v>
      </c>
      <c r="Q721" s="114" t="e">
        <f t="shared" si="201"/>
        <v>#DIV/0!</v>
      </c>
      <c r="R721" s="115"/>
      <c r="S721" s="326">
        <v>43465</v>
      </c>
    </row>
    <row r="722" spans="1:19" customFormat="1" ht="15.6">
      <c r="A722" s="107">
        <f t="shared" si="202"/>
        <v>138</v>
      </c>
      <c r="B722" s="301" t="s">
        <v>300</v>
      </c>
      <c r="C722" s="108">
        <v>1961</v>
      </c>
      <c r="D722" s="108"/>
      <c r="E722" s="109" t="s">
        <v>220</v>
      </c>
      <c r="F722" s="110">
        <v>3</v>
      </c>
      <c r="G722" s="110">
        <v>2</v>
      </c>
      <c r="H722" s="111"/>
      <c r="I722" s="111"/>
      <c r="J722" s="111"/>
      <c r="K722" s="112"/>
      <c r="L722" s="113">
        <v>1044081.04</v>
      </c>
      <c r="M722" s="113">
        <v>0</v>
      </c>
      <c r="N722" s="113">
        <v>0</v>
      </c>
      <c r="O722" s="113">
        <f t="shared" si="200"/>
        <v>1044081.04</v>
      </c>
      <c r="P722" s="113">
        <v>0</v>
      </c>
      <c r="Q722" s="114" t="e">
        <f t="shared" si="201"/>
        <v>#DIV/0!</v>
      </c>
      <c r="R722" s="115"/>
      <c r="S722" s="326">
        <v>43465</v>
      </c>
    </row>
    <row r="723" spans="1:19" customFormat="1" ht="31.2">
      <c r="A723" s="107">
        <f t="shared" si="202"/>
        <v>139</v>
      </c>
      <c r="B723" s="301" t="s">
        <v>283</v>
      </c>
      <c r="C723" s="107">
        <v>1959</v>
      </c>
      <c r="D723" s="108"/>
      <c r="E723" s="109" t="s">
        <v>218</v>
      </c>
      <c r="F723" s="108">
        <v>2</v>
      </c>
      <c r="G723" s="108">
        <v>2</v>
      </c>
      <c r="H723" s="117"/>
      <c r="I723" s="117"/>
      <c r="J723" s="117"/>
      <c r="K723" s="101"/>
      <c r="L723" s="113">
        <v>1340000</v>
      </c>
      <c r="M723" s="113">
        <v>0</v>
      </c>
      <c r="N723" s="113">
        <v>0</v>
      </c>
      <c r="O723" s="113">
        <f t="shared" si="200"/>
        <v>1340000</v>
      </c>
      <c r="P723" s="113">
        <v>0</v>
      </c>
      <c r="Q723" s="114" t="e">
        <f t="shared" si="201"/>
        <v>#DIV/0!</v>
      </c>
      <c r="R723" s="115"/>
      <c r="S723" s="326">
        <v>43465</v>
      </c>
    </row>
    <row r="724" spans="1:19" customFormat="1" ht="15.6">
      <c r="A724" s="107">
        <f t="shared" si="202"/>
        <v>140</v>
      </c>
      <c r="B724" s="305" t="s">
        <v>450</v>
      </c>
      <c r="C724" s="107">
        <v>1975</v>
      </c>
      <c r="D724" s="108"/>
      <c r="E724" s="109" t="s">
        <v>219</v>
      </c>
      <c r="F724" s="108">
        <v>5</v>
      </c>
      <c r="G724" s="108">
        <v>6</v>
      </c>
      <c r="H724" s="117"/>
      <c r="I724" s="117"/>
      <c r="J724" s="117"/>
      <c r="K724" s="101"/>
      <c r="L724" s="113">
        <v>2294529</v>
      </c>
      <c r="M724" s="113">
        <v>0</v>
      </c>
      <c r="N724" s="113">
        <v>0</v>
      </c>
      <c r="O724" s="113">
        <f t="shared" si="200"/>
        <v>2294529</v>
      </c>
      <c r="P724" s="113">
        <v>0</v>
      </c>
      <c r="Q724" s="114" t="e">
        <f t="shared" si="201"/>
        <v>#DIV/0!</v>
      </c>
      <c r="R724" s="115"/>
      <c r="S724" s="326">
        <v>43465</v>
      </c>
    </row>
    <row r="725" spans="1:19" customFormat="1" ht="15.6">
      <c r="A725" s="107">
        <f t="shared" si="202"/>
        <v>141</v>
      </c>
      <c r="B725" s="305" t="s">
        <v>230</v>
      </c>
      <c r="C725" s="118">
        <v>1981</v>
      </c>
      <c r="D725" s="118"/>
      <c r="E725" s="109" t="s">
        <v>219</v>
      </c>
      <c r="F725" s="118">
        <v>9</v>
      </c>
      <c r="G725" s="118">
        <v>2</v>
      </c>
      <c r="H725" s="118"/>
      <c r="I725" s="118"/>
      <c r="J725" s="118"/>
      <c r="K725" s="119"/>
      <c r="L725" s="113">
        <v>2615616.2000000002</v>
      </c>
      <c r="M725" s="113">
        <v>0</v>
      </c>
      <c r="N725" s="113">
        <v>0</v>
      </c>
      <c r="O725" s="113">
        <f t="shared" si="200"/>
        <v>2615616.2000000002</v>
      </c>
      <c r="P725" s="113">
        <v>0</v>
      </c>
      <c r="Q725" s="114" t="e">
        <f t="shared" si="201"/>
        <v>#DIV/0!</v>
      </c>
      <c r="R725" s="115"/>
      <c r="S725" s="326">
        <v>43465</v>
      </c>
    </row>
    <row r="726" spans="1:19" customFormat="1" ht="31.2">
      <c r="A726" s="107">
        <f t="shared" si="202"/>
        <v>142</v>
      </c>
      <c r="B726" s="301" t="s">
        <v>295</v>
      </c>
      <c r="C726" s="108">
        <v>1964</v>
      </c>
      <c r="D726" s="108"/>
      <c r="E726" s="109" t="s">
        <v>218</v>
      </c>
      <c r="F726" s="110">
        <v>5</v>
      </c>
      <c r="G726" s="110">
        <v>3</v>
      </c>
      <c r="H726" s="111"/>
      <c r="I726" s="111"/>
      <c r="J726" s="111"/>
      <c r="K726" s="112"/>
      <c r="L726" s="113">
        <v>1561539</v>
      </c>
      <c r="M726" s="113">
        <v>0</v>
      </c>
      <c r="N726" s="113">
        <v>0</v>
      </c>
      <c r="O726" s="113">
        <f t="shared" si="200"/>
        <v>1561539</v>
      </c>
      <c r="P726" s="113">
        <v>0</v>
      </c>
      <c r="Q726" s="114" t="e">
        <f t="shared" si="201"/>
        <v>#DIV/0!</v>
      </c>
      <c r="R726" s="115"/>
      <c r="S726" s="326">
        <v>43465</v>
      </c>
    </row>
    <row r="727" spans="1:19" customFormat="1" ht="31.2">
      <c r="A727" s="107">
        <f t="shared" si="202"/>
        <v>143</v>
      </c>
      <c r="B727" s="305" t="s">
        <v>294</v>
      </c>
      <c r="C727" s="108">
        <v>1960</v>
      </c>
      <c r="D727" s="108"/>
      <c r="E727" s="109" t="s">
        <v>218</v>
      </c>
      <c r="F727" s="110">
        <v>5</v>
      </c>
      <c r="G727" s="110">
        <v>2</v>
      </c>
      <c r="H727" s="111"/>
      <c r="I727" s="111"/>
      <c r="J727" s="111"/>
      <c r="K727" s="112"/>
      <c r="L727" s="113">
        <v>1421187</v>
      </c>
      <c r="M727" s="113">
        <v>0</v>
      </c>
      <c r="N727" s="113">
        <v>0</v>
      </c>
      <c r="O727" s="113">
        <f t="shared" si="200"/>
        <v>1421187</v>
      </c>
      <c r="P727" s="113">
        <v>0</v>
      </c>
      <c r="Q727" s="114" t="e">
        <f t="shared" si="201"/>
        <v>#DIV/0!</v>
      </c>
      <c r="R727" s="115"/>
      <c r="S727" s="326">
        <v>43465</v>
      </c>
    </row>
    <row r="728" spans="1:19" customFormat="1" ht="15.6">
      <c r="A728" s="107">
        <f t="shared" si="202"/>
        <v>144</v>
      </c>
      <c r="B728" s="305" t="s">
        <v>270</v>
      </c>
      <c r="C728" s="118">
        <v>1962</v>
      </c>
      <c r="D728" s="118"/>
      <c r="E728" s="109" t="s">
        <v>219</v>
      </c>
      <c r="F728" s="118">
        <v>4</v>
      </c>
      <c r="G728" s="118">
        <v>4</v>
      </c>
      <c r="H728" s="118"/>
      <c r="I728" s="118"/>
      <c r="J728" s="118"/>
      <c r="K728" s="119"/>
      <c r="L728" s="113">
        <v>2469740</v>
      </c>
      <c r="M728" s="113">
        <v>0</v>
      </c>
      <c r="N728" s="113">
        <v>0</v>
      </c>
      <c r="O728" s="113">
        <f t="shared" si="200"/>
        <v>2469740</v>
      </c>
      <c r="P728" s="113">
        <v>0</v>
      </c>
      <c r="Q728" s="114" t="e">
        <f t="shared" si="201"/>
        <v>#DIV/0!</v>
      </c>
      <c r="R728" s="115"/>
      <c r="S728" s="326">
        <v>43465</v>
      </c>
    </row>
    <row r="729" spans="1:19" customFormat="1" ht="31.2">
      <c r="A729" s="107">
        <f t="shared" si="202"/>
        <v>145</v>
      </c>
      <c r="B729" s="305" t="s">
        <v>252</v>
      </c>
      <c r="C729" s="118">
        <v>1986</v>
      </c>
      <c r="D729" s="118"/>
      <c r="E729" s="109" t="s">
        <v>218</v>
      </c>
      <c r="F729" s="118">
        <v>9</v>
      </c>
      <c r="G729" s="118">
        <v>1</v>
      </c>
      <c r="H729" s="118"/>
      <c r="I729" s="118"/>
      <c r="J729" s="118"/>
      <c r="K729" s="119"/>
      <c r="L729" s="113">
        <v>1104857</v>
      </c>
      <c r="M729" s="113">
        <v>0</v>
      </c>
      <c r="N729" s="113">
        <v>0</v>
      </c>
      <c r="O729" s="113">
        <f t="shared" si="200"/>
        <v>1104857</v>
      </c>
      <c r="P729" s="113">
        <v>0</v>
      </c>
      <c r="Q729" s="114" t="e">
        <f t="shared" si="201"/>
        <v>#DIV/0!</v>
      </c>
      <c r="R729" s="115"/>
      <c r="S729" s="326">
        <v>43465</v>
      </c>
    </row>
    <row r="730" spans="1:19" customFormat="1" ht="31.2">
      <c r="A730" s="107">
        <f t="shared" si="202"/>
        <v>146</v>
      </c>
      <c r="B730" s="305" t="s">
        <v>304</v>
      </c>
      <c r="C730" s="108">
        <v>1989</v>
      </c>
      <c r="D730" s="108"/>
      <c r="E730" s="109" t="s">
        <v>218</v>
      </c>
      <c r="F730" s="110">
        <v>9</v>
      </c>
      <c r="G730" s="110">
        <v>1</v>
      </c>
      <c r="H730" s="111"/>
      <c r="I730" s="111"/>
      <c r="J730" s="111"/>
      <c r="K730" s="112"/>
      <c r="L730" s="113">
        <v>1877378</v>
      </c>
      <c r="M730" s="113">
        <v>0</v>
      </c>
      <c r="N730" s="113">
        <v>0</v>
      </c>
      <c r="O730" s="113">
        <f t="shared" si="200"/>
        <v>1877378</v>
      </c>
      <c r="P730" s="113">
        <v>0</v>
      </c>
      <c r="Q730" s="114" t="e">
        <f t="shared" si="201"/>
        <v>#DIV/0!</v>
      </c>
      <c r="R730" s="115"/>
      <c r="S730" s="326">
        <v>43465</v>
      </c>
    </row>
    <row r="731" spans="1:19" customFormat="1" ht="31.2">
      <c r="A731" s="107">
        <f t="shared" si="202"/>
        <v>147</v>
      </c>
      <c r="B731" s="305" t="s">
        <v>228</v>
      </c>
      <c r="C731" s="118" t="s">
        <v>190</v>
      </c>
      <c r="D731" s="118"/>
      <c r="E731" s="109" t="s">
        <v>218</v>
      </c>
      <c r="F731" s="118">
        <v>4</v>
      </c>
      <c r="G731" s="118">
        <v>2</v>
      </c>
      <c r="H731" s="118"/>
      <c r="I731" s="118"/>
      <c r="J731" s="118"/>
      <c r="K731" s="119"/>
      <c r="L731" s="113">
        <v>2945836</v>
      </c>
      <c r="M731" s="113">
        <v>0</v>
      </c>
      <c r="N731" s="113">
        <v>0</v>
      </c>
      <c r="O731" s="113">
        <f t="shared" si="200"/>
        <v>2945836</v>
      </c>
      <c r="P731" s="113">
        <v>0</v>
      </c>
      <c r="Q731" s="114" t="e">
        <f t="shared" si="201"/>
        <v>#DIV/0!</v>
      </c>
      <c r="R731" s="115"/>
      <c r="S731" s="326">
        <v>43465</v>
      </c>
    </row>
    <row r="732" spans="1:19" customFormat="1" ht="31.2">
      <c r="A732" s="107">
        <f t="shared" si="202"/>
        <v>148</v>
      </c>
      <c r="B732" s="305" t="s">
        <v>225</v>
      </c>
      <c r="C732" s="118">
        <v>1932</v>
      </c>
      <c r="D732" s="118"/>
      <c r="E732" s="109" t="s">
        <v>218</v>
      </c>
      <c r="F732" s="118">
        <v>5</v>
      </c>
      <c r="G732" s="118">
        <v>5</v>
      </c>
      <c r="H732" s="118"/>
      <c r="I732" s="118"/>
      <c r="J732" s="118"/>
      <c r="K732" s="119"/>
      <c r="L732" s="113">
        <v>1118494</v>
      </c>
      <c r="M732" s="113">
        <v>0</v>
      </c>
      <c r="N732" s="113">
        <v>0</v>
      </c>
      <c r="O732" s="113">
        <f t="shared" si="200"/>
        <v>1118494</v>
      </c>
      <c r="P732" s="113">
        <v>0</v>
      </c>
      <c r="Q732" s="114" t="e">
        <f t="shared" si="201"/>
        <v>#DIV/0!</v>
      </c>
      <c r="R732" s="115"/>
      <c r="S732" s="326">
        <v>43465</v>
      </c>
    </row>
    <row r="733" spans="1:19" customFormat="1" ht="31.2">
      <c r="A733" s="107">
        <f t="shared" si="202"/>
        <v>149</v>
      </c>
      <c r="B733" s="305" t="s">
        <v>232</v>
      </c>
      <c r="C733" s="118" t="s">
        <v>190</v>
      </c>
      <c r="D733" s="118"/>
      <c r="E733" s="109" t="s">
        <v>218</v>
      </c>
      <c r="F733" s="118">
        <v>3</v>
      </c>
      <c r="G733" s="118">
        <v>2</v>
      </c>
      <c r="H733" s="118"/>
      <c r="I733" s="118"/>
      <c r="J733" s="118"/>
      <c r="K733" s="119"/>
      <c r="L733" s="113">
        <v>2540427</v>
      </c>
      <c r="M733" s="113">
        <v>0</v>
      </c>
      <c r="N733" s="113">
        <v>0</v>
      </c>
      <c r="O733" s="113">
        <f t="shared" si="200"/>
        <v>2540427</v>
      </c>
      <c r="P733" s="113">
        <v>0</v>
      </c>
      <c r="Q733" s="114" t="e">
        <f t="shared" si="201"/>
        <v>#DIV/0!</v>
      </c>
      <c r="R733" s="115"/>
      <c r="S733" s="326">
        <v>43465</v>
      </c>
    </row>
    <row r="734" spans="1:19" customFormat="1" ht="31.2">
      <c r="A734" s="107">
        <f t="shared" si="202"/>
        <v>150</v>
      </c>
      <c r="B734" s="305" t="s">
        <v>275</v>
      </c>
      <c r="C734" s="107">
        <v>1951</v>
      </c>
      <c r="D734" s="108"/>
      <c r="E734" s="109" t="s">
        <v>218</v>
      </c>
      <c r="F734" s="108">
        <v>3</v>
      </c>
      <c r="G734" s="108">
        <v>3</v>
      </c>
      <c r="H734" s="117"/>
      <c r="I734" s="117"/>
      <c r="J734" s="117"/>
      <c r="K734" s="101"/>
      <c r="L734" s="113">
        <v>2253297</v>
      </c>
      <c r="M734" s="113">
        <v>0</v>
      </c>
      <c r="N734" s="113">
        <v>0</v>
      </c>
      <c r="O734" s="113">
        <f t="shared" si="200"/>
        <v>2253297</v>
      </c>
      <c r="P734" s="113">
        <v>0</v>
      </c>
      <c r="Q734" s="114" t="e">
        <f t="shared" si="201"/>
        <v>#DIV/0!</v>
      </c>
      <c r="R734" s="115"/>
      <c r="S734" s="326">
        <v>43465</v>
      </c>
    </row>
    <row r="735" spans="1:19" customFormat="1" ht="21.75" customHeight="1">
      <c r="A735" s="107">
        <f t="shared" si="202"/>
        <v>151</v>
      </c>
      <c r="B735" s="305" t="s">
        <v>286</v>
      </c>
      <c r="C735" s="108">
        <v>1971</v>
      </c>
      <c r="D735" s="108"/>
      <c r="E735" s="109" t="s">
        <v>219</v>
      </c>
      <c r="F735" s="110">
        <v>5</v>
      </c>
      <c r="G735" s="110">
        <v>4</v>
      </c>
      <c r="H735" s="111"/>
      <c r="I735" s="111"/>
      <c r="J735" s="111"/>
      <c r="K735" s="112"/>
      <c r="L735" s="113">
        <v>1390061</v>
      </c>
      <c r="M735" s="113">
        <v>0</v>
      </c>
      <c r="N735" s="113">
        <v>0</v>
      </c>
      <c r="O735" s="113">
        <f t="shared" si="200"/>
        <v>1390061</v>
      </c>
      <c r="P735" s="113">
        <v>0</v>
      </c>
      <c r="Q735" s="114" t="e">
        <f t="shared" si="201"/>
        <v>#DIV/0!</v>
      </c>
      <c r="R735" s="115"/>
      <c r="S735" s="326">
        <v>43465</v>
      </c>
    </row>
    <row r="736" spans="1:19" customFormat="1" ht="31.2">
      <c r="A736" s="107">
        <f t="shared" si="202"/>
        <v>152</v>
      </c>
      <c r="B736" s="301" t="s">
        <v>342</v>
      </c>
      <c r="C736" s="107">
        <v>1961</v>
      </c>
      <c r="D736" s="108"/>
      <c r="E736" s="109" t="s">
        <v>218</v>
      </c>
      <c r="F736" s="108">
        <v>5</v>
      </c>
      <c r="G736" s="108">
        <v>4</v>
      </c>
      <c r="H736" s="117"/>
      <c r="I736" s="117"/>
      <c r="J736" s="117"/>
      <c r="K736" s="101"/>
      <c r="L736" s="113">
        <v>3213804</v>
      </c>
      <c r="M736" s="113">
        <v>0</v>
      </c>
      <c r="N736" s="113">
        <v>0</v>
      </c>
      <c r="O736" s="113">
        <f t="shared" si="200"/>
        <v>3213804</v>
      </c>
      <c r="P736" s="113">
        <v>0</v>
      </c>
      <c r="Q736" s="114" t="e">
        <f t="shared" si="201"/>
        <v>#DIV/0!</v>
      </c>
      <c r="R736" s="115"/>
      <c r="S736" s="326">
        <v>43465</v>
      </c>
    </row>
    <row r="737" spans="1:30" customFormat="1" ht="31.2">
      <c r="A737" s="107">
        <f t="shared" si="202"/>
        <v>153</v>
      </c>
      <c r="B737" s="305" t="s">
        <v>298</v>
      </c>
      <c r="C737" s="108">
        <v>1958</v>
      </c>
      <c r="D737" s="108"/>
      <c r="E737" s="109" t="s">
        <v>218</v>
      </c>
      <c r="F737" s="110">
        <v>4</v>
      </c>
      <c r="G737" s="110">
        <v>3</v>
      </c>
      <c r="H737" s="111"/>
      <c r="I737" s="111"/>
      <c r="J737" s="111"/>
      <c r="K737" s="112"/>
      <c r="L737" s="113">
        <v>3202371</v>
      </c>
      <c r="M737" s="113">
        <v>0</v>
      </c>
      <c r="N737" s="113">
        <v>0</v>
      </c>
      <c r="O737" s="113">
        <f t="shared" si="200"/>
        <v>3202371</v>
      </c>
      <c r="P737" s="113">
        <v>0</v>
      </c>
      <c r="Q737" s="114" t="e">
        <f t="shared" si="201"/>
        <v>#DIV/0!</v>
      </c>
      <c r="R737" s="115"/>
      <c r="S737" s="326">
        <v>43465</v>
      </c>
    </row>
    <row r="738" spans="1:30" s="3" customFormat="1" ht="31.2">
      <c r="A738" s="107">
        <f t="shared" si="202"/>
        <v>154</v>
      </c>
      <c r="B738" s="305" t="s">
        <v>253</v>
      </c>
      <c r="C738" s="118">
        <v>1959</v>
      </c>
      <c r="D738" s="118"/>
      <c r="E738" s="109" t="s">
        <v>218</v>
      </c>
      <c r="F738" s="118">
        <v>2</v>
      </c>
      <c r="G738" s="118">
        <v>1</v>
      </c>
      <c r="H738" s="118"/>
      <c r="I738" s="118"/>
      <c r="J738" s="118"/>
      <c r="K738" s="119"/>
      <c r="L738" s="113">
        <v>709022</v>
      </c>
      <c r="M738" s="113">
        <v>0</v>
      </c>
      <c r="N738" s="113">
        <v>0</v>
      </c>
      <c r="O738" s="113">
        <f t="shared" si="200"/>
        <v>709022</v>
      </c>
      <c r="P738" s="113">
        <v>0</v>
      </c>
      <c r="Q738" s="114" t="e">
        <f t="shared" si="201"/>
        <v>#DIV/0!</v>
      </c>
      <c r="R738" s="115"/>
      <c r="S738" s="326">
        <v>43465</v>
      </c>
      <c r="T738"/>
      <c r="U738"/>
      <c r="V738"/>
      <c r="W738"/>
      <c r="X738"/>
      <c r="Y738"/>
      <c r="Z738"/>
      <c r="AA738"/>
      <c r="AB738"/>
      <c r="AC738"/>
      <c r="AD738"/>
    </row>
    <row r="739" spans="1:30" customFormat="1" ht="31.2">
      <c r="A739" s="107">
        <f t="shared" si="202"/>
        <v>155</v>
      </c>
      <c r="B739" s="305" t="s">
        <v>260</v>
      </c>
      <c r="C739" s="118">
        <v>1958</v>
      </c>
      <c r="D739" s="118"/>
      <c r="E739" s="109" t="s">
        <v>218</v>
      </c>
      <c r="F739" s="118">
        <v>2</v>
      </c>
      <c r="G739" s="118">
        <v>1</v>
      </c>
      <c r="H739" s="118"/>
      <c r="I739" s="118"/>
      <c r="J739" s="118"/>
      <c r="K739" s="119"/>
      <c r="L739" s="113">
        <v>1136930</v>
      </c>
      <c r="M739" s="113">
        <v>0</v>
      </c>
      <c r="N739" s="113">
        <v>0</v>
      </c>
      <c r="O739" s="113">
        <f t="shared" si="200"/>
        <v>1136930</v>
      </c>
      <c r="P739" s="113">
        <v>0</v>
      </c>
      <c r="Q739" s="114" t="e">
        <f t="shared" si="201"/>
        <v>#DIV/0!</v>
      </c>
      <c r="R739" s="115"/>
      <c r="S739" s="326">
        <v>43465</v>
      </c>
    </row>
    <row r="740" spans="1:30" customFormat="1" ht="31.2">
      <c r="A740" s="107">
        <f t="shared" si="202"/>
        <v>156</v>
      </c>
      <c r="B740" s="305" t="s">
        <v>349</v>
      </c>
      <c r="C740" s="108">
        <v>1958</v>
      </c>
      <c r="D740" s="108"/>
      <c r="E740" s="109" t="s">
        <v>218</v>
      </c>
      <c r="F740" s="110">
        <v>2</v>
      </c>
      <c r="G740" s="110">
        <v>2</v>
      </c>
      <c r="H740" s="111"/>
      <c r="I740" s="111"/>
      <c r="J740" s="111"/>
      <c r="K740" s="112"/>
      <c r="L740" s="113">
        <v>1320636</v>
      </c>
      <c r="M740" s="113">
        <v>0</v>
      </c>
      <c r="N740" s="113">
        <v>0</v>
      </c>
      <c r="O740" s="113">
        <f t="shared" si="200"/>
        <v>1320636</v>
      </c>
      <c r="P740" s="113">
        <v>0</v>
      </c>
      <c r="Q740" s="114" t="e">
        <f t="shared" si="201"/>
        <v>#DIV/0!</v>
      </c>
      <c r="R740" s="115"/>
      <c r="S740" s="326">
        <v>43465</v>
      </c>
    </row>
    <row r="741" spans="1:30" customFormat="1" ht="15.6">
      <c r="A741" s="107">
        <f t="shared" si="202"/>
        <v>157</v>
      </c>
      <c r="B741" s="305" t="s">
        <v>302</v>
      </c>
      <c r="C741" s="108">
        <v>1986</v>
      </c>
      <c r="D741" s="108"/>
      <c r="E741" s="109" t="s">
        <v>219</v>
      </c>
      <c r="F741" s="110">
        <v>9</v>
      </c>
      <c r="G741" s="110">
        <v>3</v>
      </c>
      <c r="H741" s="111"/>
      <c r="I741" s="111"/>
      <c r="J741" s="111"/>
      <c r="K741" s="112"/>
      <c r="L741" s="113">
        <v>4265098</v>
      </c>
      <c r="M741" s="113">
        <v>0</v>
      </c>
      <c r="N741" s="113">
        <v>0</v>
      </c>
      <c r="O741" s="113">
        <f t="shared" si="200"/>
        <v>4265098</v>
      </c>
      <c r="P741" s="113">
        <v>0</v>
      </c>
      <c r="Q741" s="114" t="e">
        <f t="shared" si="201"/>
        <v>#DIV/0!</v>
      </c>
      <c r="R741" s="115"/>
      <c r="S741" s="326">
        <v>43465</v>
      </c>
    </row>
    <row r="742" spans="1:30" customFormat="1" ht="31.2">
      <c r="A742" s="107">
        <f t="shared" si="202"/>
        <v>158</v>
      </c>
      <c r="B742" s="305" t="s">
        <v>341</v>
      </c>
      <c r="C742" s="107">
        <v>1963</v>
      </c>
      <c r="D742" s="108"/>
      <c r="E742" s="109" t="s">
        <v>218</v>
      </c>
      <c r="F742" s="108">
        <v>4</v>
      </c>
      <c r="G742" s="108">
        <v>4</v>
      </c>
      <c r="H742" s="117"/>
      <c r="I742" s="117"/>
      <c r="J742" s="117"/>
      <c r="K742" s="101"/>
      <c r="L742" s="113">
        <v>2115890</v>
      </c>
      <c r="M742" s="113">
        <v>0</v>
      </c>
      <c r="N742" s="113">
        <v>0</v>
      </c>
      <c r="O742" s="113">
        <f t="shared" si="200"/>
        <v>2115890</v>
      </c>
      <c r="P742" s="113">
        <v>0</v>
      </c>
      <c r="Q742" s="114" t="e">
        <f t="shared" si="201"/>
        <v>#DIV/0!</v>
      </c>
      <c r="R742" s="115"/>
      <c r="S742" s="326">
        <v>43465</v>
      </c>
    </row>
    <row r="743" spans="1:30" customFormat="1" ht="31.2">
      <c r="A743" s="107">
        <f t="shared" si="202"/>
        <v>159</v>
      </c>
      <c r="B743" s="301" t="s">
        <v>242</v>
      </c>
      <c r="C743" s="118">
        <v>1961</v>
      </c>
      <c r="D743" s="118"/>
      <c r="E743" s="109" t="s">
        <v>218</v>
      </c>
      <c r="F743" s="118">
        <v>3</v>
      </c>
      <c r="G743" s="118">
        <v>2</v>
      </c>
      <c r="H743" s="118"/>
      <c r="I743" s="118"/>
      <c r="J743" s="118"/>
      <c r="K743" s="119"/>
      <c r="L743" s="113">
        <v>482251.51</v>
      </c>
      <c r="M743" s="113">
        <v>0</v>
      </c>
      <c r="N743" s="113">
        <v>0</v>
      </c>
      <c r="O743" s="113">
        <f t="shared" si="200"/>
        <v>482251.51</v>
      </c>
      <c r="P743" s="113">
        <v>0</v>
      </c>
      <c r="Q743" s="114" t="e">
        <f t="shared" si="201"/>
        <v>#DIV/0!</v>
      </c>
      <c r="R743" s="115"/>
      <c r="S743" s="326">
        <v>43465</v>
      </c>
    </row>
    <row r="744" spans="1:30" customFormat="1" ht="31.2">
      <c r="A744" s="107">
        <f t="shared" si="202"/>
        <v>160</v>
      </c>
      <c r="B744" s="305" t="s">
        <v>279</v>
      </c>
      <c r="C744" s="107">
        <v>1959</v>
      </c>
      <c r="D744" s="108"/>
      <c r="E744" s="109" t="s">
        <v>218</v>
      </c>
      <c r="F744" s="108">
        <v>3</v>
      </c>
      <c r="G744" s="108">
        <v>2</v>
      </c>
      <c r="H744" s="117"/>
      <c r="I744" s="117"/>
      <c r="J744" s="117"/>
      <c r="K744" s="101"/>
      <c r="L744" s="113">
        <v>1018040.92</v>
      </c>
      <c r="M744" s="113">
        <v>0</v>
      </c>
      <c r="N744" s="113">
        <v>0</v>
      </c>
      <c r="O744" s="113">
        <f t="shared" si="200"/>
        <v>1018040.92</v>
      </c>
      <c r="P744" s="113">
        <v>0</v>
      </c>
      <c r="Q744" s="114" t="e">
        <f t="shared" si="201"/>
        <v>#DIV/0!</v>
      </c>
      <c r="R744" s="115"/>
      <c r="S744" s="326">
        <v>43465</v>
      </c>
    </row>
    <row r="745" spans="1:30" customFormat="1" ht="31.2">
      <c r="A745" s="107">
        <f t="shared" si="202"/>
        <v>161</v>
      </c>
      <c r="B745" s="305" t="s">
        <v>262</v>
      </c>
      <c r="C745" s="118">
        <v>1977</v>
      </c>
      <c r="D745" s="118"/>
      <c r="E745" s="109" t="s">
        <v>218</v>
      </c>
      <c r="F745" s="118">
        <v>9</v>
      </c>
      <c r="G745" s="118">
        <v>1</v>
      </c>
      <c r="H745" s="118"/>
      <c r="I745" s="118"/>
      <c r="J745" s="118"/>
      <c r="K745" s="119"/>
      <c r="L745" s="113">
        <v>1871554</v>
      </c>
      <c r="M745" s="113">
        <v>0</v>
      </c>
      <c r="N745" s="113">
        <v>0</v>
      </c>
      <c r="O745" s="113">
        <f t="shared" si="200"/>
        <v>1871554</v>
      </c>
      <c r="P745" s="113">
        <v>0</v>
      </c>
      <c r="Q745" s="114" t="e">
        <f t="shared" si="201"/>
        <v>#DIV/0!</v>
      </c>
      <c r="R745" s="115"/>
      <c r="S745" s="326">
        <v>43465</v>
      </c>
    </row>
    <row r="746" spans="1:30" customFormat="1" ht="31.2">
      <c r="A746" s="107">
        <f t="shared" si="202"/>
        <v>162</v>
      </c>
      <c r="B746" s="301" t="s">
        <v>290</v>
      </c>
      <c r="C746" s="108">
        <v>1974</v>
      </c>
      <c r="D746" s="108"/>
      <c r="E746" s="109" t="s">
        <v>218</v>
      </c>
      <c r="F746" s="110">
        <v>5</v>
      </c>
      <c r="G746" s="110">
        <v>4</v>
      </c>
      <c r="H746" s="111"/>
      <c r="I746" s="111"/>
      <c r="J746" s="111"/>
      <c r="K746" s="112"/>
      <c r="L746" s="113">
        <v>2652530</v>
      </c>
      <c r="M746" s="113">
        <v>0</v>
      </c>
      <c r="N746" s="113">
        <v>0</v>
      </c>
      <c r="O746" s="113">
        <f t="shared" si="200"/>
        <v>2652530</v>
      </c>
      <c r="P746" s="113">
        <v>0</v>
      </c>
      <c r="Q746" s="114" t="e">
        <f t="shared" si="201"/>
        <v>#DIV/0!</v>
      </c>
      <c r="R746" s="115"/>
      <c r="S746" s="326">
        <v>43465</v>
      </c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</row>
    <row r="747" spans="1:30" customFormat="1" ht="15.6">
      <c r="A747" s="107">
        <f t="shared" si="202"/>
        <v>163</v>
      </c>
      <c r="B747" s="305" t="s">
        <v>356</v>
      </c>
      <c r="C747" s="108">
        <v>1974</v>
      </c>
      <c r="D747" s="108"/>
      <c r="E747" s="109" t="s">
        <v>219</v>
      </c>
      <c r="F747" s="110">
        <v>5</v>
      </c>
      <c r="G747" s="110">
        <v>6</v>
      </c>
      <c r="H747" s="111"/>
      <c r="I747" s="111"/>
      <c r="J747" s="111"/>
      <c r="K747" s="112"/>
      <c r="L747" s="113">
        <v>3645969</v>
      </c>
      <c r="M747" s="113">
        <v>0</v>
      </c>
      <c r="N747" s="113">
        <v>0</v>
      </c>
      <c r="O747" s="113">
        <f t="shared" si="200"/>
        <v>3645969</v>
      </c>
      <c r="P747" s="113">
        <v>0</v>
      </c>
      <c r="Q747" s="114" t="e">
        <f t="shared" si="201"/>
        <v>#DIV/0!</v>
      </c>
      <c r="R747" s="115"/>
      <c r="S747" s="326">
        <v>43465</v>
      </c>
    </row>
    <row r="748" spans="1:30" s="62" customFormat="1" ht="15.6">
      <c r="A748" s="107">
        <f t="shared" si="202"/>
        <v>164</v>
      </c>
      <c r="B748" s="305" t="s">
        <v>354</v>
      </c>
      <c r="C748" s="107">
        <v>1986</v>
      </c>
      <c r="D748" s="108"/>
      <c r="E748" s="109" t="s">
        <v>219</v>
      </c>
      <c r="F748" s="108">
        <v>9</v>
      </c>
      <c r="G748" s="108">
        <v>1</v>
      </c>
      <c r="H748" s="117"/>
      <c r="I748" s="117"/>
      <c r="J748" s="117"/>
      <c r="K748" s="101"/>
      <c r="L748" s="113">
        <v>771330</v>
      </c>
      <c r="M748" s="113">
        <v>0</v>
      </c>
      <c r="N748" s="113">
        <v>0</v>
      </c>
      <c r="O748" s="113">
        <f t="shared" si="200"/>
        <v>771330</v>
      </c>
      <c r="P748" s="113">
        <v>0</v>
      </c>
      <c r="Q748" s="114" t="e">
        <f t="shared" si="201"/>
        <v>#DIV/0!</v>
      </c>
      <c r="R748" s="115"/>
      <c r="S748" s="326">
        <v>43465</v>
      </c>
      <c r="T748"/>
      <c r="U748"/>
      <c r="V748"/>
      <c r="W748"/>
      <c r="X748"/>
      <c r="Y748"/>
      <c r="Z748"/>
      <c r="AA748"/>
      <c r="AB748"/>
      <c r="AC748"/>
      <c r="AD748"/>
    </row>
    <row r="749" spans="1:30" customFormat="1" ht="15.6">
      <c r="A749" s="107">
        <f t="shared" si="202"/>
        <v>165</v>
      </c>
      <c r="B749" s="301" t="s">
        <v>352</v>
      </c>
      <c r="C749" s="118">
        <v>1972</v>
      </c>
      <c r="D749" s="118"/>
      <c r="E749" s="109" t="s">
        <v>219</v>
      </c>
      <c r="F749" s="118">
        <v>9</v>
      </c>
      <c r="G749" s="118">
        <v>1</v>
      </c>
      <c r="H749" s="118"/>
      <c r="I749" s="118"/>
      <c r="J749" s="118"/>
      <c r="K749" s="119"/>
      <c r="L749" s="113">
        <v>1894719</v>
      </c>
      <c r="M749" s="113">
        <v>0</v>
      </c>
      <c r="N749" s="113">
        <v>0</v>
      </c>
      <c r="O749" s="113">
        <f t="shared" si="200"/>
        <v>1894719</v>
      </c>
      <c r="P749" s="113">
        <v>0</v>
      </c>
      <c r="Q749" s="114" t="e">
        <f t="shared" si="201"/>
        <v>#DIV/0!</v>
      </c>
      <c r="R749" s="115"/>
      <c r="S749" s="326">
        <v>43465</v>
      </c>
    </row>
    <row r="750" spans="1:30" customFormat="1" ht="31.2">
      <c r="A750" s="107">
        <f t="shared" si="202"/>
        <v>166</v>
      </c>
      <c r="B750" s="305" t="s">
        <v>355</v>
      </c>
      <c r="C750" s="107">
        <v>1964</v>
      </c>
      <c r="D750" s="108"/>
      <c r="E750" s="109" t="s">
        <v>218</v>
      </c>
      <c r="F750" s="108">
        <v>5</v>
      </c>
      <c r="G750" s="108">
        <v>3</v>
      </c>
      <c r="H750" s="117"/>
      <c r="I750" s="117"/>
      <c r="J750" s="117"/>
      <c r="K750" s="101"/>
      <c r="L750" s="113">
        <v>1492412</v>
      </c>
      <c r="M750" s="113">
        <v>0</v>
      </c>
      <c r="N750" s="113">
        <v>0</v>
      </c>
      <c r="O750" s="113">
        <f t="shared" si="200"/>
        <v>1492412</v>
      </c>
      <c r="P750" s="113">
        <v>0</v>
      </c>
      <c r="Q750" s="114" t="e">
        <f t="shared" si="201"/>
        <v>#DIV/0!</v>
      </c>
      <c r="R750" s="115"/>
      <c r="S750" s="326">
        <v>43465</v>
      </c>
    </row>
    <row r="751" spans="1:30" customFormat="1" ht="31.2">
      <c r="A751" s="107">
        <f t="shared" si="202"/>
        <v>167</v>
      </c>
      <c r="B751" s="301" t="s">
        <v>318</v>
      </c>
      <c r="C751" s="118">
        <v>1884</v>
      </c>
      <c r="D751" s="118"/>
      <c r="E751" s="109" t="s">
        <v>218</v>
      </c>
      <c r="F751" s="118">
        <v>2</v>
      </c>
      <c r="G751" s="118">
        <v>2</v>
      </c>
      <c r="H751" s="118"/>
      <c r="I751" s="118"/>
      <c r="J751" s="118"/>
      <c r="K751" s="119"/>
      <c r="L751" s="113">
        <v>651523.25</v>
      </c>
      <c r="M751" s="113">
        <v>0</v>
      </c>
      <c r="N751" s="113">
        <v>0</v>
      </c>
      <c r="O751" s="113">
        <f t="shared" si="200"/>
        <v>651523.25</v>
      </c>
      <c r="P751" s="113">
        <v>0</v>
      </c>
      <c r="Q751" s="114" t="e">
        <f t="shared" si="201"/>
        <v>#DIV/0!</v>
      </c>
      <c r="R751" s="115"/>
      <c r="S751" s="326">
        <v>43465</v>
      </c>
    </row>
    <row r="752" spans="1:30" customFormat="1" ht="15.6">
      <c r="A752" s="107">
        <f t="shared" si="202"/>
        <v>168</v>
      </c>
      <c r="B752" s="305" t="s">
        <v>353</v>
      </c>
      <c r="C752" s="118">
        <v>1948</v>
      </c>
      <c r="D752" s="118"/>
      <c r="E752" s="109" t="s">
        <v>220</v>
      </c>
      <c r="F752" s="118">
        <v>2</v>
      </c>
      <c r="G752" s="118">
        <v>2</v>
      </c>
      <c r="H752" s="118"/>
      <c r="I752" s="118"/>
      <c r="J752" s="118"/>
      <c r="K752" s="119"/>
      <c r="L752" s="113">
        <v>1221424.83</v>
      </c>
      <c r="M752" s="113">
        <v>0</v>
      </c>
      <c r="N752" s="113">
        <v>0</v>
      </c>
      <c r="O752" s="113">
        <f t="shared" si="200"/>
        <v>1221424.83</v>
      </c>
      <c r="P752" s="113">
        <v>0</v>
      </c>
      <c r="Q752" s="114" t="e">
        <f t="shared" si="201"/>
        <v>#DIV/0!</v>
      </c>
      <c r="R752" s="115"/>
      <c r="S752" s="326">
        <v>43465</v>
      </c>
    </row>
    <row r="753" spans="1:19" s="1" customFormat="1" ht="29.4" customHeight="1">
      <c r="A753" s="107"/>
      <c r="B753" s="1460" t="s">
        <v>91</v>
      </c>
      <c r="C753" s="1460"/>
      <c r="D753" s="1460"/>
      <c r="E753" s="1460"/>
      <c r="F753" s="1460"/>
      <c r="G753" s="1460"/>
      <c r="H753" s="104">
        <f t="shared" ref="H753:N753" si="203">SUM(H754:H766)</f>
        <v>11522.799999999997</v>
      </c>
      <c r="I753" s="104">
        <f t="shared" si="203"/>
        <v>10273.200000000003</v>
      </c>
      <c r="J753" s="104">
        <f t="shared" si="203"/>
        <v>8826.4000000000015</v>
      </c>
      <c r="K753" s="105">
        <f t="shared" si="203"/>
        <v>365</v>
      </c>
      <c r="L753" s="655">
        <f t="shared" si="203"/>
        <v>21022265</v>
      </c>
      <c r="M753" s="113">
        <f t="shared" si="203"/>
        <v>0</v>
      </c>
      <c r="N753" s="113">
        <f t="shared" si="203"/>
        <v>0</v>
      </c>
      <c r="O753" s="113">
        <f>SUM(O754:O766)</f>
        <v>21022265</v>
      </c>
      <c r="P753" s="113">
        <f t="shared" ref="P753" si="204">SUM(P754:P759)</f>
        <v>0</v>
      </c>
      <c r="Q753" s="106" t="s">
        <v>40</v>
      </c>
      <c r="R753" s="106" t="s">
        <v>40</v>
      </c>
      <c r="S753" s="326">
        <v>43465</v>
      </c>
    </row>
    <row r="754" spans="1:19" s="30" customFormat="1" ht="31.2">
      <c r="A754" s="107">
        <v>1</v>
      </c>
      <c r="B754" s="889" t="s">
        <v>949</v>
      </c>
      <c r="C754" s="108">
        <v>1965</v>
      </c>
      <c r="D754" s="108"/>
      <c r="E754" s="109" t="s">
        <v>218</v>
      </c>
      <c r="F754" s="764">
        <v>5</v>
      </c>
      <c r="G754" s="764">
        <v>4</v>
      </c>
      <c r="H754" s="764">
        <v>3272</v>
      </c>
      <c r="I754" s="764">
        <v>3153.3</v>
      </c>
      <c r="J754" s="764">
        <v>2896.4</v>
      </c>
      <c r="K754" s="764">
        <v>110</v>
      </c>
      <c r="L754" s="655">
        <f>O754</f>
        <v>2589031</v>
      </c>
      <c r="M754" s="113">
        <v>0</v>
      </c>
      <c r="N754" s="113">
        <v>0</v>
      </c>
      <c r="O754" s="113">
        <v>2589031</v>
      </c>
      <c r="P754" s="113">
        <v>0</v>
      </c>
      <c r="Q754" s="114">
        <f t="shared" ref="Q754:Q766" si="205">L754/I754</f>
        <v>821.05445089271552</v>
      </c>
      <c r="R754" s="114">
        <v>7920</v>
      </c>
      <c r="S754" s="326">
        <v>43465</v>
      </c>
    </row>
    <row r="755" spans="1:19" s="30" customFormat="1" ht="31.2">
      <c r="A755" s="107">
        <f t="shared" si="202"/>
        <v>2</v>
      </c>
      <c r="B755" s="889" t="s">
        <v>950</v>
      </c>
      <c r="C755" s="108">
        <v>1956</v>
      </c>
      <c r="D755" s="108"/>
      <c r="E755" s="109" t="s">
        <v>218</v>
      </c>
      <c r="F755" s="764">
        <v>2</v>
      </c>
      <c r="G755" s="764">
        <v>2</v>
      </c>
      <c r="H755" s="764">
        <v>743.9</v>
      </c>
      <c r="I755" s="764">
        <v>678.9</v>
      </c>
      <c r="J755" s="764">
        <v>627.9</v>
      </c>
      <c r="K755" s="764">
        <v>25</v>
      </c>
      <c r="L755" s="655">
        <f t="shared" ref="L755:L766" si="206">O755</f>
        <v>2100989</v>
      </c>
      <c r="M755" s="113">
        <v>0</v>
      </c>
      <c r="N755" s="113">
        <v>0</v>
      </c>
      <c r="O755" s="113">
        <v>2100989</v>
      </c>
      <c r="P755" s="113">
        <v>0</v>
      </c>
      <c r="Q755" s="114">
        <f t="shared" si="205"/>
        <v>3094.6958314921199</v>
      </c>
      <c r="R755" s="114">
        <v>7920</v>
      </c>
      <c r="S755" s="326">
        <v>43465</v>
      </c>
    </row>
    <row r="756" spans="1:19" s="30" customFormat="1" ht="31.2">
      <c r="A756" s="107">
        <f t="shared" si="202"/>
        <v>3</v>
      </c>
      <c r="B756" s="889" t="s">
        <v>951</v>
      </c>
      <c r="C756" s="108">
        <v>1960</v>
      </c>
      <c r="D756" s="108"/>
      <c r="E756" s="109" t="s">
        <v>218</v>
      </c>
      <c r="F756" s="764">
        <v>2</v>
      </c>
      <c r="G756" s="764">
        <v>2</v>
      </c>
      <c r="H756" s="764">
        <v>874</v>
      </c>
      <c r="I756" s="764">
        <v>771.7</v>
      </c>
      <c r="J756" s="764">
        <v>717.8</v>
      </c>
      <c r="K756" s="764">
        <v>26</v>
      </c>
      <c r="L756" s="655">
        <f t="shared" si="206"/>
        <v>1913404</v>
      </c>
      <c r="M756" s="113">
        <v>0</v>
      </c>
      <c r="N756" s="113">
        <v>0</v>
      </c>
      <c r="O756" s="113">
        <v>1913404</v>
      </c>
      <c r="P756" s="113">
        <v>0</v>
      </c>
      <c r="Q756" s="114">
        <f t="shared" si="205"/>
        <v>2479.466113774783</v>
      </c>
      <c r="R756" s="114">
        <v>7920</v>
      </c>
      <c r="S756" s="326">
        <v>43465</v>
      </c>
    </row>
    <row r="757" spans="1:19" s="30" customFormat="1" ht="31.2">
      <c r="A757" s="107">
        <v>4</v>
      </c>
      <c r="B757" s="889" t="s">
        <v>952</v>
      </c>
      <c r="C757" s="108">
        <v>1962</v>
      </c>
      <c r="D757" s="108"/>
      <c r="E757" s="109" t="s">
        <v>218</v>
      </c>
      <c r="F757" s="764">
        <v>4</v>
      </c>
      <c r="G757" s="764">
        <v>4</v>
      </c>
      <c r="H757" s="764">
        <v>3077.1</v>
      </c>
      <c r="I757" s="764">
        <v>2842.8</v>
      </c>
      <c r="J757" s="764">
        <v>2461.8000000000002</v>
      </c>
      <c r="K757" s="764">
        <v>109</v>
      </c>
      <c r="L757" s="655">
        <f t="shared" si="206"/>
        <v>2563779</v>
      </c>
      <c r="M757" s="113">
        <v>0</v>
      </c>
      <c r="N757" s="113">
        <v>0</v>
      </c>
      <c r="O757" s="113">
        <v>2563779</v>
      </c>
      <c r="P757" s="113">
        <v>0</v>
      </c>
      <c r="Q757" s="114">
        <f t="shared" si="205"/>
        <v>901.84993668214429</v>
      </c>
      <c r="R757" s="114">
        <v>7920</v>
      </c>
      <c r="S757" s="326">
        <v>43465</v>
      </c>
    </row>
    <row r="758" spans="1:19" s="30" customFormat="1" ht="30.6" customHeight="1">
      <c r="A758" s="107">
        <f t="shared" si="202"/>
        <v>5</v>
      </c>
      <c r="B758" s="889" t="s">
        <v>953</v>
      </c>
      <c r="C758" s="108">
        <v>1917</v>
      </c>
      <c r="D758" s="108"/>
      <c r="E758" s="109" t="s">
        <v>218</v>
      </c>
      <c r="F758" s="764">
        <v>3</v>
      </c>
      <c r="G758" s="764">
        <v>2</v>
      </c>
      <c r="H758" s="764">
        <v>689.3</v>
      </c>
      <c r="I758" s="764">
        <v>626.29999999999995</v>
      </c>
      <c r="J758" s="764">
        <v>366.8</v>
      </c>
      <c r="K758" s="764">
        <v>11</v>
      </c>
      <c r="L758" s="655">
        <f t="shared" si="206"/>
        <v>1211476</v>
      </c>
      <c r="M758" s="113">
        <v>0</v>
      </c>
      <c r="N758" s="113">
        <v>0</v>
      </c>
      <c r="O758" s="113">
        <v>1211476</v>
      </c>
      <c r="P758" s="113">
        <v>0</v>
      </c>
      <c r="Q758" s="114">
        <f t="shared" si="205"/>
        <v>1934.3381765926874</v>
      </c>
      <c r="R758" s="114">
        <v>7920</v>
      </c>
      <c r="S758" s="326">
        <v>43465</v>
      </c>
    </row>
    <row r="759" spans="1:19" s="30" customFormat="1" ht="31.2">
      <c r="A759" s="107">
        <f t="shared" si="202"/>
        <v>6</v>
      </c>
      <c r="B759" s="889" t="s">
        <v>954</v>
      </c>
      <c r="C759" s="108">
        <v>1917</v>
      </c>
      <c r="D759" s="108"/>
      <c r="E759" s="109" t="s">
        <v>218</v>
      </c>
      <c r="F759" s="764">
        <v>2</v>
      </c>
      <c r="G759" s="764">
        <v>2</v>
      </c>
      <c r="H759" s="764">
        <v>474.3</v>
      </c>
      <c r="I759" s="764">
        <v>194.4</v>
      </c>
      <c r="J759" s="764">
        <v>194.4</v>
      </c>
      <c r="K759" s="764">
        <v>2</v>
      </c>
      <c r="L759" s="655">
        <f t="shared" si="206"/>
        <v>3154876</v>
      </c>
      <c r="M759" s="113">
        <v>0</v>
      </c>
      <c r="N759" s="113">
        <v>0</v>
      </c>
      <c r="O759" s="113">
        <v>3154876</v>
      </c>
      <c r="P759" s="113">
        <v>0</v>
      </c>
      <c r="Q759" s="114">
        <f t="shared" si="205"/>
        <v>16228.786008230452</v>
      </c>
      <c r="R759" s="114">
        <v>7920</v>
      </c>
      <c r="S759" s="326">
        <v>43465</v>
      </c>
    </row>
    <row r="760" spans="1:19" s="30" customFormat="1" ht="31.2">
      <c r="A760" s="107">
        <v>7</v>
      </c>
      <c r="B760" s="889" t="s">
        <v>955</v>
      </c>
      <c r="C760" s="108">
        <v>1917</v>
      </c>
      <c r="D760" s="108"/>
      <c r="E760" s="109" t="s">
        <v>218</v>
      </c>
      <c r="F760" s="764">
        <v>2</v>
      </c>
      <c r="G760" s="764">
        <v>1</v>
      </c>
      <c r="H760" s="764">
        <v>357</v>
      </c>
      <c r="I760" s="764">
        <v>323.2</v>
      </c>
      <c r="J760" s="764">
        <v>126</v>
      </c>
      <c r="K760" s="764">
        <v>11</v>
      </c>
      <c r="L760" s="655">
        <f t="shared" si="206"/>
        <v>869705</v>
      </c>
      <c r="M760" s="113">
        <v>0</v>
      </c>
      <c r="N760" s="113">
        <v>0</v>
      </c>
      <c r="O760" s="113">
        <v>869705</v>
      </c>
      <c r="P760" s="113">
        <v>0</v>
      </c>
      <c r="Q760" s="114">
        <f t="shared" si="205"/>
        <v>2690.9189356435645</v>
      </c>
      <c r="R760" s="114">
        <v>7920</v>
      </c>
      <c r="S760" s="326">
        <v>43465</v>
      </c>
    </row>
    <row r="761" spans="1:19" s="30" customFormat="1" ht="31.2">
      <c r="A761" s="107">
        <v>8</v>
      </c>
      <c r="B761" s="889" t="s">
        <v>956</v>
      </c>
      <c r="C761" s="108">
        <v>1917</v>
      </c>
      <c r="D761" s="108"/>
      <c r="E761" s="109" t="s">
        <v>218</v>
      </c>
      <c r="F761" s="764">
        <v>3</v>
      </c>
      <c r="G761" s="764">
        <v>2</v>
      </c>
      <c r="H761" s="764">
        <v>490.4</v>
      </c>
      <c r="I761" s="764">
        <v>363</v>
      </c>
      <c r="J761" s="764">
        <v>371.4</v>
      </c>
      <c r="K761" s="764">
        <v>14</v>
      </c>
      <c r="L761" s="655">
        <f t="shared" si="206"/>
        <v>1873863</v>
      </c>
      <c r="M761" s="113">
        <v>0</v>
      </c>
      <c r="N761" s="113">
        <v>0</v>
      </c>
      <c r="O761" s="113">
        <v>1873863</v>
      </c>
      <c r="P761" s="113">
        <v>0</v>
      </c>
      <c r="Q761" s="114">
        <f t="shared" si="205"/>
        <v>5162.1570247933887</v>
      </c>
      <c r="R761" s="114">
        <v>7920</v>
      </c>
      <c r="S761" s="326">
        <v>43465</v>
      </c>
    </row>
    <row r="762" spans="1:19" s="30" customFormat="1" ht="31.2">
      <c r="A762" s="107">
        <v>9</v>
      </c>
      <c r="B762" s="889" t="s">
        <v>957</v>
      </c>
      <c r="C762" s="108">
        <v>1917</v>
      </c>
      <c r="D762" s="108"/>
      <c r="E762" s="109" t="s">
        <v>218</v>
      </c>
      <c r="F762" s="764">
        <v>3</v>
      </c>
      <c r="G762" s="764">
        <v>2</v>
      </c>
      <c r="H762" s="764">
        <v>555.5</v>
      </c>
      <c r="I762" s="764">
        <v>484.4</v>
      </c>
      <c r="J762" s="764">
        <v>442</v>
      </c>
      <c r="K762" s="764">
        <v>16</v>
      </c>
      <c r="L762" s="655">
        <f t="shared" si="206"/>
        <v>1044244</v>
      </c>
      <c r="M762" s="113">
        <v>0</v>
      </c>
      <c r="N762" s="113">
        <v>0</v>
      </c>
      <c r="O762" s="113">
        <v>1044244</v>
      </c>
      <c r="P762" s="113">
        <v>0</v>
      </c>
      <c r="Q762" s="114">
        <f t="shared" si="205"/>
        <v>2155.7473162675474</v>
      </c>
      <c r="R762" s="114">
        <v>7920</v>
      </c>
      <c r="S762" s="326">
        <v>43465</v>
      </c>
    </row>
    <row r="763" spans="1:19" s="30" customFormat="1" ht="31.2">
      <c r="A763" s="107">
        <v>10</v>
      </c>
      <c r="B763" s="889" t="s">
        <v>958</v>
      </c>
      <c r="C763" s="108">
        <v>1917</v>
      </c>
      <c r="D763" s="108"/>
      <c r="E763" s="109" t="s">
        <v>218</v>
      </c>
      <c r="F763" s="764">
        <v>3</v>
      </c>
      <c r="G763" s="764">
        <v>1</v>
      </c>
      <c r="H763" s="764">
        <v>336.5</v>
      </c>
      <c r="I763" s="764">
        <v>334</v>
      </c>
      <c r="J763" s="764">
        <v>262.60000000000002</v>
      </c>
      <c r="K763" s="764">
        <v>9</v>
      </c>
      <c r="L763" s="655">
        <f t="shared" si="206"/>
        <v>831874</v>
      </c>
      <c r="M763" s="113">
        <v>0</v>
      </c>
      <c r="N763" s="113">
        <v>0</v>
      </c>
      <c r="O763" s="113">
        <v>831874</v>
      </c>
      <c r="P763" s="113">
        <v>0</v>
      </c>
      <c r="Q763" s="114">
        <f t="shared" si="205"/>
        <v>2490.6407185628741</v>
      </c>
      <c r="R763" s="114">
        <v>7920</v>
      </c>
      <c r="S763" s="326">
        <v>43465</v>
      </c>
    </row>
    <row r="764" spans="1:19" s="30" customFormat="1" ht="31.2">
      <c r="A764" s="107">
        <v>11</v>
      </c>
      <c r="B764" s="889" t="s">
        <v>959</v>
      </c>
      <c r="C764" s="108">
        <v>1917</v>
      </c>
      <c r="D764" s="108"/>
      <c r="E764" s="109" t="s">
        <v>218</v>
      </c>
      <c r="F764" s="764">
        <v>2</v>
      </c>
      <c r="G764" s="764">
        <v>1</v>
      </c>
      <c r="H764" s="764">
        <v>268</v>
      </c>
      <c r="I764" s="764">
        <v>233</v>
      </c>
      <c r="J764" s="764">
        <v>189.7</v>
      </c>
      <c r="K764" s="764">
        <v>12</v>
      </c>
      <c r="L764" s="655">
        <f t="shared" si="206"/>
        <v>1249958</v>
      </c>
      <c r="M764" s="113">
        <v>0</v>
      </c>
      <c r="N764" s="113">
        <v>0</v>
      </c>
      <c r="O764" s="113">
        <v>1249958</v>
      </c>
      <c r="P764" s="113">
        <v>0</v>
      </c>
      <c r="Q764" s="114">
        <f t="shared" si="205"/>
        <v>5364.6266094420598</v>
      </c>
      <c r="R764" s="114">
        <v>7920</v>
      </c>
      <c r="S764" s="326">
        <v>43465</v>
      </c>
    </row>
    <row r="765" spans="1:19" s="30" customFormat="1" ht="31.2">
      <c r="A765" s="107">
        <v>12</v>
      </c>
      <c r="B765" s="889" t="s">
        <v>960</v>
      </c>
      <c r="C765" s="108">
        <v>1917</v>
      </c>
      <c r="D765" s="108"/>
      <c r="E765" s="109" t="s">
        <v>218</v>
      </c>
      <c r="F765" s="764">
        <v>2</v>
      </c>
      <c r="G765" s="764">
        <v>1</v>
      </c>
      <c r="H765" s="764">
        <v>222.8</v>
      </c>
      <c r="I765" s="764">
        <v>118</v>
      </c>
      <c r="J765" s="764">
        <v>43.7</v>
      </c>
      <c r="K765" s="764">
        <v>17</v>
      </c>
      <c r="L765" s="655">
        <f t="shared" si="206"/>
        <v>1054021</v>
      </c>
      <c r="M765" s="113">
        <v>0</v>
      </c>
      <c r="N765" s="113">
        <v>0</v>
      </c>
      <c r="O765" s="113">
        <v>1054021</v>
      </c>
      <c r="P765" s="113">
        <v>0</v>
      </c>
      <c r="Q765" s="114">
        <f t="shared" si="205"/>
        <v>8932.3813559322025</v>
      </c>
      <c r="R765" s="114">
        <v>7920</v>
      </c>
      <c r="S765" s="326">
        <v>43465</v>
      </c>
    </row>
    <row r="766" spans="1:19" s="30" customFormat="1" ht="31.95" customHeight="1">
      <c r="A766" s="107">
        <v>13</v>
      </c>
      <c r="B766" s="889" t="s">
        <v>961</v>
      </c>
      <c r="C766" s="108">
        <v>1917</v>
      </c>
      <c r="D766" s="108"/>
      <c r="E766" s="109" t="s">
        <v>962</v>
      </c>
      <c r="F766" s="764">
        <v>2</v>
      </c>
      <c r="G766" s="764">
        <v>1</v>
      </c>
      <c r="H766" s="764">
        <v>162</v>
      </c>
      <c r="I766" s="764">
        <v>150.19999999999999</v>
      </c>
      <c r="J766" s="764">
        <v>125.9</v>
      </c>
      <c r="K766" s="764">
        <v>3</v>
      </c>
      <c r="L766" s="655">
        <f t="shared" si="206"/>
        <v>565045</v>
      </c>
      <c r="M766" s="113">
        <v>0</v>
      </c>
      <c r="N766" s="113">
        <v>0</v>
      </c>
      <c r="O766" s="113">
        <v>565045</v>
      </c>
      <c r="P766" s="113">
        <v>0</v>
      </c>
      <c r="Q766" s="114">
        <f t="shared" si="205"/>
        <v>3761.9507323568578</v>
      </c>
      <c r="R766" s="114">
        <v>7920</v>
      </c>
      <c r="S766" s="326">
        <v>43465</v>
      </c>
    </row>
    <row r="767" spans="1:19" s="30" customFormat="1" ht="15.75" customHeight="1">
      <c r="A767" s="318"/>
      <c r="B767" s="1461" t="s">
        <v>92</v>
      </c>
      <c r="C767" s="1461"/>
      <c r="D767" s="1461"/>
      <c r="E767" s="1461"/>
      <c r="F767" s="1461"/>
      <c r="G767" s="1461"/>
      <c r="H767" s="894">
        <f>H768+H769</f>
        <v>929.5</v>
      </c>
      <c r="I767" s="894">
        <f t="shared" ref="I767:P767" si="207">I768+I769</f>
        <v>850.9</v>
      </c>
      <c r="J767" s="894">
        <f t="shared" si="207"/>
        <v>744.5</v>
      </c>
      <c r="K767" s="894">
        <f t="shared" si="207"/>
        <v>43</v>
      </c>
      <c r="L767" s="895">
        <f t="shared" si="207"/>
        <v>1681461</v>
      </c>
      <c r="M767" s="895">
        <f t="shared" si="207"/>
        <v>0</v>
      </c>
      <c r="N767" s="895">
        <f t="shared" si="207"/>
        <v>0</v>
      </c>
      <c r="O767" s="895">
        <f t="shared" si="207"/>
        <v>1681461</v>
      </c>
      <c r="P767" s="895">
        <f t="shared" si="207"/>
        <v>0</v>
      </c>
      <c r="Q767" s="325" t="s">
        <v>40</v>
      </c>
      <c r="R767" s="663" t="s">
        <v>40</v>
      </c>
      <c r="S767" s="326">
        <v>43465</v>
      </c>
    </row>
    <row r="768" spans="1:19" s="30" customFormat="1" ht="15.75" customHeight="1">
      <c r="A768" s="318"/>
      <c r="B768" s="336" t="s">
        <v>647</v>
      </c>
      <c r="C768" s="318">
        <v>1953</v>
      </c>
      <c r="D768" s="318"/>
      <c r="E768" s="318" t="s">
        <v>646</v>
      </c>
      <c r="F768" s="318">
        <v>2</v>
      </c>
      <c r="G768" s="318">
        <v>1</v>
      </c>
      <c r="H768" s="322">
        <v>431.8</v>
      </c>
      <c r="I768" s="360">
        <v>395.2</v>
      </c>
      <c r="J768" s="360">
        <v>288.8</v>
      </c>
      <c r="K768" s="323">
        <v>22</v>
      </c>
      <c r="L768" s="324">
        <v>409319</v>
      </c>
      <c r="M768" s="324">
        <v>0</v>
      </c>
      <c r="N768" s="324">
        <v>0</v>
      </c>
      <c r="O768" s="324">
        <v>409319</v>
      </c>
      <c r="P768" s="324">
        <v>0</v>
      </c>
      <c r="Q768" s="325">
        <f>L768/I768</f>
        <v>1035.7262145748989</v>
      </c>
      <c r="R768" s="663">
        <v>7920</v>
      </c>
      <c r="S768" s="326">
        <v>43465</v>
      </c>
    </row>
    <row r="769" spans="1:62" s="1" customFormat="1" ht="31.2">
      <c r="A769" s="318">
        <f>A766+1</f>
        <v>14</v>
      </c>
      <c r="B769" s="890" t="s">
        <v>648</v>
      </c>
      <c r="C769" s="375">
        <v>1961</v>
      </c>
      <c r="D769" s="375"/>
      <c r="E769" s="321" t="s">
        <v>218</v>
      </c>
      <c r="F769" s="375">
        <v>2</v>
      </c>
      <c r="G769" s="375">
        <v>1</v>
      </c>
      <c r="H769" s="694">
        <v>497.7</v>
      </c>
      <c r="I769" s="375">
        <v>455.7</v>
      </c>
      <c r="J769" s="375">
        <v>455.7</v>
      </c>
      <c r="K769" s="378">
        <v>21</v>
      </c>
      <c r="L769" s="324">
        <v>1272142</v>
      </c>
      <c r="M769" s="324">
        <v>0</v>
      </c>
      <c r="N769" s="324">
        <v>0</v>
      </c>
      <c r="O769" s="324">
        <v>1272142</v>
      </c>
      <c r="P769" s="324">
        <v>0</v>
      </c>
      <c r="Q769" s="379">
        <f>L769/I769</f>
        <v>2791.6216809304369</v>
      </c>
      <c r="R769" s="325">
        <v>7920</v>
      </c>
      <c r="S769" s="326">
        <v>43465</v>
      </c>
    </row>
    <row r="770" spans="1:62" s="1" customFormat="1" ht="15.75" customHeight="1">
      <c r="A770" s="318"/>
      <c r="B770" s="1460" t="s">
        <v>93</v>
      </c>
      <c r="C770" s="1460"/>
      <c r="D770" s="1460"/>
      <c r="E770" s="1460"/>
      <c r="F770" s="1460"/>
      <c r="G770" s="1460"/>
      <c r="H770" s="694">
        <f>SUM(H771:H772)</f>
        <v>4540.7999999999993</v>
      </c>
      <c r="I770" s="694">
        <f t="shared" ref="I770:P770" si="208">SUM(I771:I772)</f>
        <v>4540.7999999999993</v>
      </c>
      <c r="J770" s="694">
        <f t="shared" si="208"/>
        <v>3048.6</v>
      </c>
      <c r="K770" s="694">
        <f t="shared" si="208"/>
        <v>151</v>
      </c>
      <c r="L770" s="696">
        <f t="shared" si="208"/>
        <v>4013524</v>
      </c>
      <c r="M770" s="696">
        <f t="shared" si="208"/>
        <v>0</v>
      </c>
      <c r="N770" s="696">
        <f t="shared" si="208"/>
        <v>0</v>
      </c>
      <c r="O770" s="696">
        <f t="shared" si="208"/>
        <v>4013524</v>
      </c>
      <c r="P770" s="696">
        <f t="shared" si="208"/>
        <v>0</v>
      </c>
      <c r="Q770" s="344" t="s">
        <v>40</v>
      </c>
      <c r="R770" s="344" t="s">
        <v>40</v>
      </c>
      <c r="S770" s="326">
        <v>43465</v>
      </c>
    </row>
    <row r="771" spans="1:62" s="1" customFormat="1" ht="15.6">
      <c r="A771" s="318">
        <f>A769+1</f>
        <v>15</v>
      </c>
      <c r="B771" s="700" t="s">
        <v>788</v>
      </c>
      <c r="C771" s="340">
        <v>1974</v>
      </c>
      <c r="D771" s="340"/>
      <c r="E771" s="321" t="s">
        <v>219</v>
      </c>
      <c r="F771" s="343">
        <v>5</v>
      </c>
      <c r="G771" s="343">
        <v>6</v>
      </c>
      <c r="H771" s="587">
        <v>4364.8999999999996</v>
      </c>
      <c r="I771" s="341">
        <v>4364.8999999999996</v>
      </c>
      <c r="J771" s="341">
        <v>2872.7</v>
      </c>
      <c r="K771" s="343">
        <v>144</v>
      </c>
      <c r="L771" s="324">
        <v>2978035</v>
      </c>
      <c r="M771" s="324">
        <v>0</v>
      </c>
      <c r="N771" s="324">
        <v>0</v>
      </c>
      <c r="O771" s="324">
        <f t="shared" ref="O771:O772" si="209">L771</f>
        <v>2978035</v>
      </c>
      <c r="P771" s="324">
        <v>0</v>
      </c>
      <c r="Q771" s="344">
        <f>L771/I771</f>
        <v>682.2687804989805</v>
      </c>
      <c r="R771" s="325">
        <v>7920</v>
      </c>
      <c r="S771" s="326">
        <v>43465</v>
      </c>
    </row>
    <row r="772" spans="1:62" s="1" customFormat="1" ht="31.2">
      <c r="A772" s="318">
        <f t="shared" si="202"/>
        <v>16</v>
      </c>
      <c r="B772" s="700" t="s">
        <v>789</v>
      </c>
      <c r="C772" s="340">
        <v>1958</v>
      </c>
      <c r="D772" s="340"/>
      <c r="E772" s="321" t="s">
        <v>777</v>
      </c>
      <c r="F772" s="343">
        <v>1</v>
      </c>
      <c r="G772" s="343">
        <v>1</v>
      </c>
      <c r="H772" s="587">
        <v>175.9</v>
      </c>
      <c r="I772" s="341">
        <v>175.9</v>
      </c>
      <c r="J772" s="341">
        <v>175.9</v>
      </c>
      <c r="K772" s="343">
        <v>7</v>
      </c>
      <c r="L772" s="324">
        <v>1035489</v>
      </c>
      <c r="M772" s="324">
        <v>0</v>
      </c>
      <c r="N772" s="324">
        <v>0</v>
      </c>
      <c r="O772" s="324">
        <f t="shared" si="209"/>
        <v>1035489</v>
      </c>
      <c r="P772" s="324">
        <v>0</v>
      </c>
      <c r="Q772" s="344">
        <f>L772/I772</f>
        <v>5886.8050028425241</v>
      </c>
      <c r="R772" s="325">
        <v>7920</v>
      </c>
      <c r="S772" s="326">
        <v>43465</v>
      </c>
    </row>
    <row r="773" spans="1:62" s="1" customFormat="1" ht="15.6">
      <c r="A773" s="318"/>
      <c r="B773" s="695"/>
      <c r="C773" s="340"/>
      <c r="D773" s="340"/>
      <c r="E773" s="321"/>
      <c r="F773" s="343"/>
      <c r="G773" s="343"/>
      <c r="H773" s="587"/>
      <c r="I773" s="341"/>
      <c r="J773" s="341"/>
      <c r="K773" s="343"/>
      <c r="L773" s="324"/>
      <c r="M773" s="324"/>
      <c r="N773" s="324"/>
      <c r="O773" s="324"/>
      <c r="P773" s="324"/>
      <c r="Q773" s="344"/>
      <c r="R773" s="325"/>
      <c r="S773" s="326"/>
    </row>
    <row r="774" spans="1:62" s="1" customFormat="1" ht="15.6">
      <c r="A774" s="318"/>
      <c r="B774" s="695"/>
      <c r="C774" s="340"/>
      <c r="D774" s="340"/>
      <c r="E774" s="321"/>
      <c r="F774" s="343"/>
      <c r="G774" s="343"/>
      <c r="H774" s="587"/>
      <c r="I774" s="341"/>
      <c r="J774" s="341"/>
      <c r="K774" s="343"/>
      <c r="L774" s="324"/>
      <c r="M774" s="324"/>
      <c r="N774" s="324"/>
      <c r="O774" s="324"/>
      <c r="P774" s="324"/>
      <c r="Q774" s="344"/>
      <c r="R774" s="325"/>
      <c r="S774" s="326"/>
    </row>
    <row r="775" spans="1:62" s="1" customFormat="1" ht="15.6">
      <c r="A775" s="318"/>
      <c r="B775" s="695"/>
      <c r="C775" s="340"/>
      <c r="D775" s="340"/>
      <c r="E775" s="321"/>
      <c r="F775" s="343"/>
      <c r="G775" s="343"/>
      <c r="H775" s="587"/>
      <c r="I775" s="341"/>
      <c r="J775" s="341"/>
      <c r="K775" s="343"/>
      <c r="L775" s="324"/>
      <c r="M775" s="324"/>
      <c r="N775" s="324"/>
      <c r="O775" s="324"/>
      <c r="P775" s="324"/>
      <c r="Q775" s="344"/>
      <c r="R775" s="325"/>
      <c r="S775" s="326"/>
    </row>
    <row r="776" spans="1:62" s="1" customFormat="1" ht="15.6">
      <c r="A776" s="318"/>
      <c r="B776" s="695"/>
      <c r="C776" s="340"/>
      <c r="D776" s="340"/>
      <c r="E776" s="321"/>
      <c r="F776" s="343"/>
      <c r="G776" s="343"/>
      <c r="H776" s="587"/>
      <c r="I776" s="341"/>
      <c r="J776" s="341"/>
      <c r="K776" s="343"/>
      <c r="L776" s="324"/>
      <c r="M776" s="324"/>
      <c r="N776" s="324"/>
      <c r="O776" s="324"/>
      <c r="P776" s="324"/>
      <c r="Q776" s="344"/>
      <c r="R776" s="325"/>
      <c r="S776" s="326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</row>
    <row r="777" spans="1:62" s="1" customFormat="1" ht="15.6">
      <c r="A777" s="318"/>
      <c r="B777" s="695"/>
      <c r="C777" s="340"/>
      <c r="D777" s="340"/>
      <c r="E777" s="321"/>
      <c r="F777" s="343"/>
      <c r="G777" s="343"/>
      <c r="H777" s="587"/>
      <c r="I777" s="341"/>
      <c r="J777" s="341"/>
      <c r="K777" s="343"/>
      <c r="L777" s="324"/>
      <c r="M777" s="324"/>
      <c r="N777" s="324"/>
      <c r="O777" s="324"/>
      <c r="P777" s="324"/>
      <c r="Q777" s="344"/>
      <c r="R777" s="325"/>
      <c r="S777" s="326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</row>
    <row r="778" spans="1:62" s="1" customFormat="1" ht="15.6">
      <c r="A778" s="318"/>
      <c r="B778" s="695"/>
      <c r="C778" s="340"/>
      <c r="D778" s="340"/>
      <c r="E778" s="321"/>
      <c r="F778" s="343"/>
      <c r="G778" s="343"/>
      <c r="H778" s="587"/>
      <c r="I778" s="341"/>
      <c r="J778" s="341"/>
      <c r="K778" s="343"/>
      <c r="L778" s="324"/>
      <c r="M778" s="324"/>
      <c r="N778" s="324"/>
      <c r="O778" s="324"/>
      <c r="P778" s="324"/>
      <c r="Q778" s="344"/>
      <c r="R778" s="325"/>
      <c r="S778" s="326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</row>
    <row r="779" spans="1:62" s="1" customFormat="1" ht="15.6">
      <c r="A779" s="318"/>
      <c r="B779" s="695"/>
      <c r="C779" s="340"/>
      <c r="D779" s="340"/>
      <c r="E779" s="321"/>
      <c r="F779" s="343"/>
      <c r="G779" s="343"/>
      <c r="H779" s="587"/>
      <c r="I779" s="341"/>
      <c r="J779" s="341"/>
      <c r="K779" s="343"/>
      <c r="L779" s="324"/>
      <c r="M779" s="324"/>
      <c r="N779" s="324"/>
      <c r="O779" s="324"/>
      <c r="P779" s="324"/>
      <c r="Q779" s="344"/>
      <c r="R779" s="325"/>
      <c r="S779" s="326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</row>
    <row r="780" spans="1:62" s="1" customFormat="1" ht="15.6">
      <c r="A780" s="318"/>
      <c r="B780" s="695"/>
      <c r="C780" s="340"/>
      <c r="D780" s="340"/>
      <c r="E780" s="321"/>
      <c r="F780" s="343"/>
      <c r="G780" s="343"/>
      <c r="H780" s="587"/>
      <c r="I780" s="341"/>
      <c r="J780" s="341"/>
      <c r="K780" s="343"/>
      <c r="L780" s="324"/>
      <c r="M780" s="324"/>
      <c r="N780" s="324"/>
      <c r="O780" s="324"/>
      <c r="P780" s="324"/>
      <c r="Q780" s="344"/>
      <c r="R780" s="325"/>
      <c r="S780" s="326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</row>
    <row r="781" spans="1:62" s="1" customFormat="1" ht="15.6">
      <c r="A781" s="318"/>
      <c r="B781" s="695"/>
      <c r="C781" s="340"/>
      <c r="D781" s="340"/>
      <c r="E781" s="321"/>
      <c r="F781" s="343"/>
      <c r="G781" s="343"/>
      <c r="H781" s="587"/>
      <c r="I781" s="341"/>
      <c r="J781" s="341"/>
      <c r="K781" s="343"/>
      <c r="L781" s="324"/>
      <c r="M781" s="324"/>
      <c r="N781" s="324"/>
      <c r="O781" s="324"/>
      <c r="P781" s="324"/>
      <c r="Q781" s="344"/>
      <c r="R781" s="325"/>
      <c r="S781" s="326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</row>
    <row r="782" spans="1:62" s="1" customFormat="1" ht="15.6">
      <c r="A782" s="318"/>
      <c r="B782" s="695"/>
      <c r="C782" s="340"/>
      <c r="D782" s="340"/>
      <c r="E782" s="321"/>
      <c r="F782" s="343"/>
      <c r="G782" s="343"/>
      <c r="H782" s="587"/>
      <c r="I782" s="341"/>
      <c r="J782" s="341"/>
      <c r="K782" s="343"/>
      <c r="L782" s="324"/>
      <c r="M782" s="324"/>
      <c r="N782" s="324"/>
      <c r="O782" s="324"/>
      <c r="P782" s="324"/>
      <c r="Q782" s="344"/>
      <c r="R782" s="325"/>
      <c r="S782" s="326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</row>
    <row r="783" spans="1:62" s="1" customFormat="1" ht="15.6">
      <c r="A783" s="318"/>
      <c r="B783" s="695"/>
      <c r="C783" s="340"/>
      <c r="D783" s="340"/>
      <c r="E783" s="321"/>
      <c r="F783" s="343"/>
      <c r="G783" s="343"/>
      <c r="H783" s="587"/>
      <c r="I783" s="341"/>
      <c r="J783" s="341"/>
      <c r="K783" s="343"/>
      <c r="L783" s="324"/>
      <c r="M783" s="324"/>
      <c r="N783" s="324"/>
      <c r="O783" s="324"/>
      <c r="P783" s="324"/>
      <c r="Q783" s="344"/>
      <c r="R783" s="325"/>
      <c r="S783" s="326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</row>
    <row r="784" spans="1:62" s="1" customFormat="1" ht="15.6">
      <c r="A784" s="318"/>
      <c r="B784" s="695"/>
      <c r="C784" s="340"/>
      <c r="D784" s="340"/>
      <c r="E784" s="321"/>
      <c r="F784" s="343"/>
      <c r="G784" s="343"/>
      <c r="H784" s="587"/>
      <c r="I784" s="341"/>
      <c r="J784" s="341"/>
      <c r="K784" s="343"/>
      <c r="L784" s="324"/>
      <c r="M784" s="324"/>
      <c r="N784" s="324"/>
      <c r="O784" s="324"/>
      <c r="P784" s="324"/>
      <c r="Q784" s="344"/>
      <c r="R784" s="325"/>
      <c r="S784" s="326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</row>
    <row r="785" spans="1:62" s="1" customFormat="1" ht="15.6">
      <c r="A785" s="318"/>
      <c r="B785" s="695"/>
      <c r="C785" s="340"/>
      <c r="D785" s="340"/>
      <c r="E785" s="321"/>
      <c r="F785" s="343"/>
      <c r="G785" s="343"/>
      <c r="H785" s="587"/>
      <c r="I785" s="341"/>
      <c r="J785" s="341"/>
      <c r="K785" s="343"/>
      <c r="L785" s="324"/>
      <c r="M785" s="324"/>
      <c r="N785" s="324"/>
      <c r="O785" s="324"/>
      <c r="P785" s="324"/>
      <c r="Q785" s="344"/>
      <c r="R785" s="325"/>
      <c r="S785" s="326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</row>
    <row r="786" spans="1:62" s="1" customFormat="1" ht="15.6">
      <c r="A786" s="318"/>
      <c r="B786" s="695"/>
      <c r="C786" s="340"/>
      <c r="D786" s="340"/>
      <c r="E786" s="321"/>
      <c r="F786" s="343"/>
      <c r="G786" s="343"/>
      <c r="H786" s="587"/>
      <c r="I786" s="341"/>
      <c r="J786" s="341"/>
      <c r="K786" s="343"/>
      <c r="L786" s="324"/>
      <c r="M786" s="324"/>
      <c r="N786" s="324"/>
      <c r="O786" s="324"/>
      <c r="P786" s="324"/>
      <c r="Q786" s="344"/>
      <c r="R786" s="325"/>
      <c r="S786" s="326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</row>
    <row r="787" spans="1:62" s="1" customFormat="1" ht="15.6">
      <c r="A787" s="318"/>
      <c r="B787" s="695"/>
      <c r="C787" s="340"/>
      <c r="D787" s="340"/>
      <c r="E787" s="321"/>
      <c r="F787" s="343"/>
      <c r="G787" s="343"/>
      <c r="H787" s="587"/>
      <c r="I787" s="341"/>
      <c r="J787" s="341"/>
      <c r="K787" s="343"/>
      <c r="L787" s="324"/>
      <c r="M787" s="324"/>
      <c r="N787" s="324"/>
      <c r="O787" s="324"/>
      <c r="P787" s="324"/>
      <c r="Q787" s="344"/>
      <c r="R787" s="325"/>
      <c r="S787" s="326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</row>
    <row r="788" spans="1:62" s="1" customFormat="1" ht="15.6">
      <c r="A788" s="318"/>
      <c r="B788" s="695"/>
      <c r="C788" s="340"/>
      <c r="D788" s="340"/>
      <c r="E788" s="321"/>
      <c r="F788" s="343"/>
      <c r="G788" s="343"/>
      <c r="H788" s="587"/>
      <c r="I788" s="341"/>
      <c r="J788" s="341"/>
      <c r="K788" s="343"/>
      <c r="L788" s="324"/>
      <c r="M788" s="324"/>
      <c r="N788" s="324"/>
      <c r="O788" s="324"/>
      <c r="P788" s="324"/>
      <c r="Q788" s="344"/>
      <c r="R788" s="325"/>
      <c r="S788" s="326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</row>
    <row r="789" spans="1:62" s="1" customFormat="1" ht="15.6">
      <c r="A789" s="318"/>
      <c r="B789" s="695"/>
      <c r="C789" s="340"/>
      <c r="D789" s="340"/>
      <c r="E789" s="321"/>
      <c r="F789" s="343"/>
      <c r="G789" s="343"/>
      <c r="H789" s="587"/>
      <c r="I789" s="341"/>
      <c r="J789" s="341"/>
      <c r="K789" s="343"/>
      <c r="L789" s="324"/>
      <c r="M789" s="324"/>
      <c r="N789" s="324"/>
      <c r="O789" s="324"/>
      <c r="P789" s="324"/>
      <c r="Q789" s="344"/>
      <c r="R789" s="325"/>
      <c r="S789" s="326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</row>
    <row r="790" spans="1:62" s="1" customFormat="1" ht="15.6">
      <c r="A790" s="318"/>
      <c r="B790" s="695"/>
      <c r="C790" s="340"/>
      <c r="D790" s="340"/>
      <c r="E790" s="321"/>
      <c r="F790" s="343"/>
      <c r="G790" s="343"/>
      <c r="H790" s="587"/>
      <c r="I790" s="341"/>
      <c r="J790" s="341"/>
      <c r="K790" s="343"/>
      <c r="L790" s="324"/>
      <c r="M790" s="324"/>
      <c r="N790" s="324"/>
      <c r="O790" s="324"/>
      <c r="P790" s="324"/>
      <c r="Q790" s="344"/>
      <c r="R790" s="325"/>
      <c r="S790" s="326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</row>
    <row r="791" spans="1:62" s="1" customFormat="1" ht="15.6">
      <c r="A791" s="318"/>
      <c r="B791" s="695"/>
      <c r="C791" s="340"/>
      <c r="D791" s="340"/>
      <c r="E791" s="321"/>
      <c r="F791" s="343"/>
      <c r="G791" s="343"/>
      <c r="H791" s="587"/>
      <c r="I791" s="341"/>
      <c r="J791" s="341"/>
      <c r="K791" s="343"/>
      <c r="L791" s="324"/>
      <c r="M791" s="324"/>
      <c r="N791" s="324"/>
      <c r="O791" s="324"/>
      <c r="P791" s="324"/>
      <c r="Q791" s="344"/>
      <c r="R791" s="325"/>
      <c r="S791" s="326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</row>
    <row r="792" spans="1:62" s="1" customFormat="1" ht="15.6">
      <c r="A792" s="318"/>
      <c r="B792" s="695"/>
      <c r="C792" s="340"/>
      <c r="D792" s="340"/>
      <c r="E792" s="321"/>
      <c r="F792" s="343"/>
      <c r="G792" s="343"/>
      <c r="H792" s="587"/>
      <c r="I792" s="341"/>
      <c r="J792" s="341"/>
      <c r="K792" s="343"/>
      <c r="L792" s="324"/>
      <c r="M792" s="324"/>
      <c r="N792" s="324"/>
      <c r="O792" s="324"/>
      <c r="P792" s="324"/>
      <c r="Q792" s="344"/>
      <c r="R792" s="325"/>
      <c r="S792" s="326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</row>
    <row r="793" spans="1:62" s="1" customFormat="1" ht="15.6">
      <c r="A793" s="318"/>
      <c r="B793" s="695"/>
      <c r="C793" s="340"/>
      <c r="D793" s="340"/>
      <c r="E793" s="321"/>
      <c r="F793" s="343"/>
      <c r="G793" s="343"/>
      <c r="H793" s="587"/>
      <c r="I793" s="341"/>
      <c r="J793" s="341"/>
      <c r="K793" s="343"/>
      <c r="L793" s="324"/>
      <c r="M793" s="324"/>
      <c r="N793" s="324"/>
      <c r="O793" s="324"/>
      <c r="P793" s="324"/>
      <c r="Q793" s="344"/>
      <c r="R793" s="325"/>
      <c r="S793" s="326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</row>
    <row r="794" spans="1:62" s="1" customFormat="1" ht="15.6">
      <c r="A794" s="318"/>
      <c r="B794" s="695"/>
      <c r="C794" s="340"/>
      <c r="D794" s="340"/>
      <c r="E794" s="321"/>
      <c r="F794" s="343"/>
      <c r="G794" s="343"/>
      <c r="H794" s="587"/>
      <c r="I794" s="341"/>
      <c r="J794" s="341"/>
      <c r="K794" s="343"/>
      <c r="L794" s="324"/>
      <c r="M794" s="324"/>
      <c r="N794" s="324"/>
      <c r="O794" s="324"/>
      <c r="P794" s="324"/>
      <c r="Q794" s="344"/>
      <c r="R794" s="325"/>
      <c r="S794" s="326"/>
    </row>
    <row r="795" spans="1:62" s="1" customFormat="1" ht="15.6">
      <c r="A795" s="318"/>
      <c r="B795" s="695"/>
      <c r="C795" s="340"/>
      <c r="D795" s="340"/>
      <c r="E795" s="321"/>
      <c r="F795" s="343"/>
      <c r="G795" s="343"/>
      <c r="H795" s="587"/>
      <c r="I795" s="341"/>
      <c r="J795" s="341"/>
      <c r="K795" s="343"/>
      <c r="L795" s="324"/>
      <c r="M795" s="324"/>
      <c r="N795" s="324"/>
      <c r="O795" s="324"/>
      <c r="P795" s="324"/>
      <c r="Q795" s="344"/>
      <c r="R795" s="325"/>
      <c r="S795" s="326"/>
    </row>
    <row r="796" spans="1:62" s="1" customFormat="1" ht="15.6">
      <c r="A796" s="408"/>
      <c r="B796" s="1454" t="s">
        <v>94</v>
      </c>
      <c r="C796" s="1454"/>
      <c r="D796" s="1454"/>
      <c r="E796" s="1454"/>
      <c r="F796" s="1454"/>
      <c r="G796" s="1454"/>
      <c r="H796" s="409">
        <f>SUM(H797:H805)</f>
        <v>13237.699999999999</v>
      </c>
      <c r="I796" s="409">
        <f t="shared" ref="I796:P796" si="210">SUM(I797:I805)</f>
        <v>12074.8</v>
      </c>
      <c r="J796" s="409">
        <f t="shared" si="210"/>
        <v>11564.1</v>
      </c>
      <c r="K796" s="409">
        <f t="shared" si="210"/>
        <v>482</v>
      </c>
      <c r="L796" s="415">
        <f t="shared" si="210"/>
        <v>17682419</v>
      </c>
      <c r="M796" s="415">
        <f t="shared" si="210"/>
        <v>0</v>
      </c>
      <c r="N796" s="415">
        <f t="shared" si="210"/>
        <v>0</v>
      </c>
      <c r="O796" s="415">
        <f t="shared" si="210"/>
        <v>17682419</v>
      </c>
      <c r="P796" s="415">
        <f t="shared" si="210"/>
        <v>0</v>
      </c>
      <c r="Q796" s="106" t="s">
        <v>40</v>
      </c>
      <c r="R796" s="106" t="s">
        <v>40</v>
      </c>
      <c r="S796" s="326">
        <v>43465</v>
      </c>
    </row>
    <row r="797" spans="1:62" s="47" customFormat="1" ht="31.2">
      <c r="A797" s="318">
        <f>A795+1</f>
        <v>1</v>
      </c>
      <c r="B797" s="427" t="s">
        <v>539</v>
      </c>
      <c r="C797" s="417">
        <v>1917</v>
      </c>
      <c r="D797" s="321"/>
      <c r="E797" s="321" t="s">
        <v>548</v>
      </c>
      <c r="F797" s="428">
        <v>2</v>
      </c>
      <c r="G797" s="428">
        <v>2</v>
      </c>
      <c r="H797" s="429">
        <v>415.4</v>
      </c>
      <c r="I797" s="429">
        <v>353.8</v>
      </c>
      <c r="J797" s="419">
        <v>353.8</v>
      </c>
      <c r="K797" s="420">
        <v>16</v>
      </c>
      <c r="L797" s="324">
        <v>1329885</v>
      </c>
      <c r="M797" s="324">
        <v>0</v>
      </c>
      <c r="N797" s="324">
        <v>0</v>
      </c>
      <c r="O797" s="324">
        <f t="shared" ref="O797:O805" si="211">L797</f>
        <v>1329885</v>
      </c>
      <c r="P797" s="324">
        <v>0</v>
      </c>
      <c r="Q797" s="419">
        <f t="shared" ref="Q797:Q805" si="212">L797/I797</f>
        <v>3758.8609383832672</v>
      </c>
      <c r="R797" s="325">
        <v>7920</v>
      </c>
      <c r="S797" s="326">
        <v>43465</v>
      </c>
      <c r="T797" s="48"/>
      <c r="U797" s="48"/>
      <c r="V797" s="48"/>
      <c r="W797" s="48"/>
      <c r="X797" s="48"/>
      <c r="Y797" s="48"/>
      <c r="Z797" s="48"/>
      <c r="AA797" s="48"/>
      <c r="AB797" s="48"/>
      <c r="AC797" s="48"/>
      <c r="AD797" s="48"/>
    </row>
    <row r="798" spans="1:62" s="1" customFormat="1" ht="31.2">
      <c r="A798" s="318">
        <f t="shared" ref="A798:A837" si="213">A797+1</f>
        <v>2</v>
      </c>
      <c r="B798" s="427" t="s">
        <v>540</v>
      </c>
      <c r="C798" s="417">
        <v>1959</v>
      </c>
      <c r="D798" s="321"/>
      <c r="E798" s="321" t="s">
        <v>218</v>
      </c>
      <c r="F798" s="428">
        <v>4</v>
      </c>
      <c r="G798" s="428">
        <v>2</v>
      </c>
      <c r="H798" s="429">
        <v>1363.4</v>
      </c>
      <c r="I798" s="429">
        <v>1254</v>
      </c>
      <c r="J798" s="419">
        <v>1047.7</v>
      </c>
      <c r="K798" s="420">
        <v>65</v>
      </c>
      <c r="L798" s="324">
        <v>1856453</v>
      </c>
      <c r="M798" s="324">
        <v>0</v>
      </c>
      <c r="N798" s="324">
        <v>0</v>
      </c>
      <c r="O798" s="324">
        <f t="shared" si="211"/>
        <v>1856453</v>
      </c>
      <c r="P798" s="324">
        <v>0</v>
      </c>
      <c r="Q798" s="419">
        <f t="shared" si="212"/>
        <v>1480.4250398724082</v>
      </c>
      <c r="R798" s="325">
        <v>7920</v>
      </c>
      <c r="S798" s="326">
        <v>43465</v>
      </c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</row>
    <row r="799" spans="1:62" s="1" customFormat="1" ht="31.2">
      <c r="A799" s="318">
        <f t="shared" si="213"/>
        <v>3</v>
      </c>
      <c r="B799" s="427" t="s">
        <v>541</v>
      </c>
      <c r="C799" s="417">
        <v>1954</v>
      </c>
      <c r="D799" s="321"/>
      <c r="E799" s="321" t="s">
        <v>218</v>
      </c>
      <c r="F799" s="428">
        <v>2</v>
      </c>
      <c r="G799" s="428">
        <v>1</v>
      </c>
      <c r="H799" s="429">
        <v>474.2</v>
      </c>
      <c r="I799" s="429">
        <v>434.9</v>
      </c>
      <c r="J799" s="418">
        <v>373.7</v>
      </c>
      <c r="K799" s="420">
        <v>18</v>
      </c>
      <c r="L799" s="324">
        <v>1518210</v>
      </c>
      <c r="M799" s="324">
        <v>0</v>
      </c>
      <c r="N799" s="324">
        <v>0</v>
      </c>
      <c r="O799" s="324">
        <f t="shared" si="211"/>
        <v>1518210</v>
      </c>
      <c r="P799" s="324">
        <v>0</v>
      </c>
      <c r="Q799" s="419">
        <f t="shared" si="212"/>
        <v>3490.9404460795586</v>
      </c>
      <c r="R799" s="325">
        <v>7920</v>
      </c>
      <c r="S799" s="326">
        <v>43465</v>
      </c>
    </row>
    <row r="800" spans="1:62" s="1" customFormat="1" ht="31.2">
      <c r="A800" s="318">
        <f t="shared" si="213"/>
        <v>4</v>
      </c>
      <c r="B800" s="427" t="s">
        <v>542</v>
      </c>
      <c r="C800" s="417">
        <v>1964</v>
      </c>
      <c r="D800" s="321"/>
      <c r="E800" s="321" t="s">
        <v>218</v>
      </c>
      <c r="F800" s="428">
        <v>2</v>
      </c>
      <c r="G800" s="428">
        <v>2</v>
      </c>
      <c r="H800" s="429">
        <v>509</v>
      </c>
      <c r="I800" s="429">
        <v>450.7</v>
      </c>
      <c r="J800" s="419">
        <v>414.1</v>
      </c>
      <c r="K800" s="420">
        <v>23</v>
      </c>
      <c r="L800" s="324">
        <v>203023</v>
      </c>
      <c r="M800" s="324">
        <v>0</v>
      </c>
      <c r="N800" s="324">
        <v>0</v>
      </c>
      <c r="O800" s="324">
        <f t="shared" si="211"/>
        <v>203023</v>
      </c>
      <c r="P800" s="324">
        <v>0</v>
      </c>
      <c r="Q800" s="419">
        <f t="shared" si="212"/>
        <v>450.46150432660306</v>
      </c>
      <c r="R800" s="325">
        <v>7920</v>
      </c>
      <c r="S800" s="326">
        <v>43465</v>
      </c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</row>
    <row r="801" spans="1:30" s="1" customFormat="1" ht="31.2">
      <c r="A801" s="318">
        <f t="shared" si="213"/>
        <v>5</v>
      </c>
      <c r="B801" s="427" t="s">
        <v>543</v>
      </c>
      <c r="C801" s="417">
        <v>1957</v>
      </c>
      <c r="D801" s="321"/>
      <c r="E801" s="321" t="s">
        <v>218</v>
      </c>
      <c r="F801" s="428">
        <v>2</v>
      </c>
      <c r="G801" s="428">
        <v>3</v>
      </c>
      <c r="H801" s="429">
        <v>1084.2</v>
      </c>
      <c r="I801" s="429">
        <v>1010.2</v>
      </c>
      <c r="J801" s="419">
        <v>1010.2</v>
      </c>
      <c r="K801" s="420">
        <v>37</v>
      </c>
      <c r="L801" s="324">
        <v>2925993</v>
      </c>
      <c r="M801" s="324">
        <v>0</v>
      </c>
      <c r="N801" s="324">
        <v>0</v>
      </c>
      <c r="O801" s="324">
        <f t="shared" si="211"/>
        <v>2925993</v>
      </c>
      <c r="P801" s="324">
        <v>0</v>
      </c>
      <c r="Q801" s="419">
        <f t="shared" si="212"/>
        <v>2896.449217976638</v>
      </c>
      <c r="R801" s="325">
        <v>7920</v>
      </c>
      <c r="S801" s="326">
        <v>43465</v>
      </c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</row>
    <row r="802" spans="1:30" s="10" customFormat="1" ht="31.2">
      <c r="A802" s="318">
        <f t="shared" si="213"/>
        <v>6</v>
      </c>
      <c r="B802" s="427" t="s">
        <v>544</v>
      </c>
      <c r="C802" s="417">
        <v>1964</v>
      </c>
      <c r="D802" s="321"/>
      <c r="E802" s="321" t="s">
        <v>218</v>
      </c>
      <c r="F802" s="428">
        <v>2</v>
      </c>
      <c r="G802" s="428">
        <v>3</v>
      </c>
      <c r="H802" s="429">
        <v>526.6</v>
      </c>
      <c r="I802" s="429">
        <v>467.5</v>
      </c>
      <c r="J802" s="418">
        <v>466</v>
      </c>
      <c r="K802" s="420">
        <v>28</v>
      </c>
      <c r="L802" s="324">
        <v>1413679</v>
      </c>
      <c r="M802" s="324">
        <v>0</v>
      </c>
      <c r="N802" s="324">
        <v>0</v>
      </c>
      <c r="O802" s="324">
        <f t="shared" si="211"/>
        <v>1413679</v>
      </c>
      <c r="P802" s="324">
        <v>0</v>
      </c>
      <c r="Q802" s="419">
        <f t="shared" si="212"/>
        <v>3023.9122994652407</v>
      </c>
      <c r="R802" s="325">
        <v>7920</v>
      </c>
      <c r="S802" s="326">
        <v>43465</v>
      </c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</row>
    <row r="803" spans="1:30" s="10" customFormat="1" ht="31.2">
      <c r="A803" s="318">
        <f t="shared" si="213"/>
        <v>7</v>
      </c>
      <c r="B803" s="427" t="s">
        <v>545</v>
      </c>
      <c r="C803" s="417">
        <v>1988</v>
      </c>
      <c r="D803" s="321"/>
      <c r="E803" s="321" t="s">
        <v>218</v>
      </c>
      <c r="F803" s="428">
        <v>5</v>
      </c>
      <c r="G803" s="428">
        <v>4</v>
      </c>
      <c r="H803" s="429">
        <v>4793</v>
      </c>
      <c r="I803" s="429">
        <v>4322.3999999999996</v>
      </c>
      <c r="J803" s="419">
        <v>4162.7</v>
      </c>
      <c r="K803" s="420">
        <v>165</v>
      </c>
      <c r="L803" s="324">
        <v>3624132</v>
      </c>
      <c r="M803" s="324">
        <v>0</v>
      </c>
      <c r="N803" s="324">
        <v>0</v>
      </c>
      <c r="O803" s="324">
        <f t="shared" si="211"/>
        <v>3624132</v>
      </c>
      <c r="P803" s="324">
        <v>0</v>
      </c>
      <c r="Q803" s="419">
        <f t="shared" si="212"/>
        <v>838.45363686840653</v>
      </c>
      <c r="R803" s="325">
        <v>7920</v>
      </c>
      <c r="S803" s="326">
        <v>43465</v>
      </c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</row>
    <row r="804" spans="1:30" s="48" customFormat="1" ht="31.2">
      <c r="A804" s="318">
        <f t="shared" si="213"/>
        <v>8</v>
      </c>
      <c r="B804" s="427" t="s">
        <v>546</v>
      </c>
      <c r="C804" s="417">
        <v>1974</v>
      </c>
      <c r="D804" s="321"/>
      <c r="E804" s="321" t="s">
        <v>218</v>
      </c>
      <c r="F804" s="428">
        <v>5</v>
      </c>
      <c r="G804" s="428">
        <v>4</v>
      </c>
      <c r="H804" s="429">
        <v>3418.1</v>
      </c>
      <c r="I804" s="429">
        <f>2529+648</f>
        <v>3177</v>
      </c>
      <c r="J804" s="419">
        <v>3133.4</v>
      </c>
      <c r="K804" s="420">
        <v>103</v>
      </c>
      <c r="L804" s="324">
        <v>3091007</v>
      </c>
      <c r="M804" s="324">
        <v>0</v>
      </c>
      <c r="N804" s="324">
        <v>0</v>
      </c>
      <c r="O804" s="324">
        <f t="shared" si="211"/>
        <v>3091007</v>
      </c>
      <c r="P804" s="324">
        <v>0</v>
      </c>
      <c r="Q804" s="419">
        <f t="shared" si="212"/>
        <v>972.93264085615363</v>
      </c>
      <c r="R804" s="325">
        <v>7920</v>
      </c>
      <c r="S804" s="326">
        <v>43465</v>
      </c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</row>
    <row r="805" spans="1:30" s="49" customFormat="1" ht="31.2">
      <c r="A805" s="318">
        <f t="shared" si="213"/>
        <v>9</v>
      </c>
      <c r="B805" s="427" t="s">
        <v>547</v>
      </c>
      <c r="C805" s="417">
        <v>1956</v>
      </c>
      <c r="D805" s="321"/>
      <c r="E805" s="321" t="s">
        <v>218</v>
      </c>
      <c r="F805" s="428">
        <v>2</v>
      </c>
      <c r="G805" s="428">
        <v>2</v>
      </c>
      <c r="H805" s="429">
        <v>653.79999999999995</v>
      </c>
      <c r="I805" s="429">
        <v>604.29999999999995</v>
      </c>
      <c r="J805" s="419">
        <v>602.5</v>
      </c>
      <c r="K805" s="420">
        <v>27</v>
      </c>
      <c r="L805" s="324">
        <v>1720037</v>
      </c>
      <c r="M805" s="324">
        <v>0</v>
      </c>
      <c r="N805" s="324">
        <v>0</v>
      </c>
      <c r="O805" s="324">
        <f t="shared" si="211"/>
        <v>1720037</v>
      </c>
      <c r="P805" s="324">
        <v>0</v>
      </c>
      <c r="Q805" s="419">
        <f t="shared" si="212"/>
        <v>2846.32963759722</v>
      </c>
      <c r="R805" s="325">
        <v>7920</v>
      </c>
      <c r="S805" s="326">
        <v>43465</v>
      </c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</row>
    <row r="806" spans="1:30" s="49" customFormat="1" ht="15.6">
      <c r="A806" s="381"/>
      <c r="B806" s="422"/>
      <c r="C806" s="384"/>
      <c r="D806" s="384"/>
      <c r="E806" s="384"/>
      <c r="F806" s="423"/>
      <c r="G806" s="423"/>
      <c r="H806" s="424"/>
      <c r="I806" s="424"/>
      <c r="J806" s="424"/>
      <c r="K806" s="425"/>
      <c r="L806" s="426"/>
      <c r="M806" s="324"/>
      <c r="N806" s="324"/>
      <c r="O806" s="324"/>
      <c r="P806" s="324"/>
      <c r="Q806" s="419"/>
      <c r="R806" s="325"/>
      <c r="S806" s="326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</row>
    <row r="807" spans="1:30" s="49" customFormat="1" ht="15.6">
      <c r="A807" s="318"/>
      <c r="B807" s="416"/>
      <c r="C807" s="321"/>
      <c r="D807" s="321"/>
      <c r="E807" s="321"/>
      <c r="F807" s="417"/>
      <c r="G807" s="417"/>
      <c r="H807" s="418"/>
      <c r="I807" s="419"/>
      <c r="J807" s="419"/>
      <c r="K807" s="420"/>
      <c r="L807" s="324"/>
      <c r="M807" s="324"/>
      <c r="N807" s="324"/>
      <c r="O807" s="324"/>
      <c r="P807" s="324"/>
      <c r="Q807" s="419"/>
      <c r="R807" s="325"/>
      <c r="S807" s="326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</row>
    <row r="808" spans="1:30" s="49" customFormat="1" ht="15.6">
      <c r="A808" s="318"/>
      <c r="B808" s="878"/>
      <c r="C808" s="321"/>
      <c r="D808" s="321"/>
      <c r="E808" s="321"/>
      <c r="F808" s="417"/>
      <c r="G808" s="417"/>
      <c r="H808" s="418"/>
      <c r="I808" s="419"/>
      <c r="J808" s="419"/>
      <c r="K808" s="420"/>
      <c r="L808" s="324"/>
      <c r="M808" s="324"/>
      <c r="N808" s="324"/>
      <c r="O808" s="324"/>
      <c r="P808" s="324"/>
      <c r="Q808" s="419"/>
      <c r="R808" s="325"/>
      <c r="S808" s="326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</row>
    <row r="809" spans="1:30" s="1" customFormat="1" ht="15.6">
      <c r="A809" s="318"/>
      <c r="B809" s="1465" t="s">
        <v>123</v>
      </c>
      <c r="C809" s="1465"/>
      <c r="D809" s="1465"/>
      <c r="E809" s="1465"/>
      <c r="F809" s="1465"/>
      <c r="G809" s="1465"/>
      <c r="H809" s="341">
        <f>SUM(H810:H814)</f>
        <v>26975.9</v>
      </c>
      <c r="I809" s="341">
        <f t="shared" ref="I809:P809" si="214">SUM(I810:I814)</f>
        <v>18734.5</v>
      </c>
      <c r="J809" s="341">
        <f t="shared" si="214"/>
        <v>11535.880000000001</v>
      </c>
      <c r="K809" s="341">
        <f t="shared" si="214"/>
        <v>1039</v>
      </c>
      <c r="L809" s="675">
        <f t="shared" si="214"/>
        <v>12904489</v>
      </c>
      <c r="M809" s="675">
        <f t="shared" si="214"/>
        <v>0</v>
      </c>
      <c r="N809" s="675">
        <f t="shared" si="214"/>
        <v>0</v>
      </c>
      <c r="O809" s="675">
        <f t="shared" si="214"/>
        <v>12904489</v>
      </c>
      <c r="P809" s="675">
        <f t="shared" si="214"/>
        <v>0</v>
      </c>
      <c r="Q809" s="344" t="s">
        <v>40</v>
      </c>
      <c r="R809" s="340" t="s">
        <v>40</v>
      </c>
      <c r="S809" s="326">
        <v>43465</v>
      </c>
    </row>
    <row r="810" spans="1:30" s="1" customFormat="1" ht="23.4" customHeight="1">
      <c r="A810" s="318">
        <f>A808+1</f>
        <v>1</v>
      </c>
      <c r="B810" s="876" t="s">
        <v>736</v>
      </c>
      <c r="C810" s="375">
        <v>1967</v>
      </c>
      <c r="D810" s="375"/>
      <c r="E810" s="321" t="s">
        <v>219</v>
      </c>
      <c r="F810" s="340">
        <v>5</v>
      </c>
      <c r="G810" s="340">
        <v>5</v>
      </c>
      <c r="H810" s="341">
        <v>4774.3999999999996</v>
      </c>
      <c r="I810" s="340">
        <v>3076.1</v>
      </c>
      <c r="J810" s="340">
        <v>1777.99</v>
      </c>
      <c r="K810" s="378">
        <v>167</v>
      </c>
      <c r="L810" s="324">
        <v>2291418</v>
      </c>
      <c r="M810" s="324">
        <f>SUM(M811:M824)</f>
        <v>0</v>
      </c>
      <c r="N810" s="324">
        <v>0</v>
      </c>
      <c r="O810" s="324">
        <f>L810</f>
        <v>2291418</v>
      </c>
      <c r="P810" s="324">
        <v>0</v>
      </c>
      <c r="Q810" s="344">
        <f t="shared" ref="Q810:Q824" si="215">L810/I810</f>
        <v>744.91011345534935</v>
      </c>
      <c r="R810" s="325">
        <v>7920</v>
      </c>
      <c r="S810" s="326">
        <v>43465</v>
      </c>
    </row>
    <row r="811" spans="1:30" s="1" customFormat="1" ht="19.2" customHeight="1">
      <c r="A811" s="318">
        <f t="shared" si="213"/>
        <v>2</v>
      </c>
      <c r="B811" s="876" t="s">
        <v>737</v>
      </c>
      <c r="C811" s="375">
        <v>1968</v>
      </c>
      <c r="D811" s="375"/>
      <c r="E811" s="321" t="s">
        <v>219</v>
      </c>
      <c r="F811" s="340">
        <v>5</v>
      </c>
      <c r="G811" s="340">
        <v>6</v>
      </c>
      <c r="H811" s="341">
        <v>5788.6</v>
      </c>
      <c r="I811" s="340">
        <v>4355.8</v>
      </c>
      <c r="J811" s="340">
        <v>2217.1</v>
      </c>
      <c r="K811" s="378">
        <v>263</v>
      </c>
      <c r="L811" s="324">
        <v>3059197</v>
      </c>
      <c r="M811" s="324">
        <f>SUM(M812:M825)</f>
        <v>0</v>
      </c>
      <c r="N811" s="324">
        <v>0</v>
      </c>
      <c r="O811" s="324">
        <f>L811</f>
        <v>3059197</v>
      </c>
      <c r="P811" s="324">
        <v>0</v>
      </c>
      <c r="Q811" s="344">
        <f t="shared" si="215"/>
        <v>702.32724183846824</v>
      </c>
      <c r="R811" s="325">
        <v>7920</v>
      </c>
      <c r="S811" s="326">
        <v>43465</v>
      </c>
    </row>
    <row r="812" spans="1:30" s="1" customFormat="1" ht="21.6" customHeight="1">
      <c r="A812" s="318">
        <f t="shared" si="213"/>
        <v>3</v>
      </c>
      <c r="B812" s="876" t="s">
        <v>738</v>
      </c>
      <c r="C812" s="375">
        <v>1975</v>
      </c>
      <c r="D812" s="340"/>
      <c r="E812" s="321" t="s">
        <v>219</v>
      </c>
      <c r="F812" s="340">
        <v>5</v>
      </c>
      <c r="G812" s="340">
        <v>5</v>
      </c>
      <c r="H812" s="341">
        <v>5315.1</v>
      </c>
      <c r="I812" s="340">
        <v>3456.7</v>
      </c>
      <c r="J812" s="340">
        <v>2288.34</v>
      </c>
      <c r="K812" s="378">
        <v>175</v>
      </c>
      <c r="L812" s="324">
        <v>2247330</v>
      </c>
      <c r="M812" s="324">
        <f>SUM(M813:M826)</f>
        <v>0</v>
      </c>
      <c r="N812" s="324">
        <v>0</v>
      </c>
      <c r="O812" s="324">
        <f>L812</f>
        <v>2247330</v>
      </c>
      <c r="P812" s="324">
        <v>0</v>
      </c>
      <c r="Q812" s="344">
        <f t="shared" si="215"/>
        <v>650.13741429687275</v>
      </c>
      <c r="R812" s="325">
        <v>7920</v>
      </c>
      <c r="S812" s="326">
        <v>43465</v>
      </c>
    </row>
    <row r="813" spans="1:30" s="1" customFormat="1" ht="19.2" customHeight="1">
      <c r="A813" s="318">
        <f t="shared" si="213"/>
        <v>4</v>
      </c>
      <c r="B813" s="876" t="s">
        <v>739</v>
      </c>
      <c r="C813" s="375">
        <v>1967</v>
      </c>
      <c r="D813" s="340"/>
      <c r="E813" s="321" t="s">
        <v>219</v>
      </c>
      <c r="F813" s="340">
        <v>5</v>
      </c>
      <c r="G813" s="340">
        <v>6</v>
      </c>
      <c r="H813" s="341">
        <v>5774.2</v>
      </c>
      <c r="I813" s="340">
        <v>4340.7</v>
      </c>
      <c r="J813" s="340">
        <v>2339.63</v>
      </c>
      <c r="K813" s="378">
        <v>255</v>
      </c>
      <c r="L813" s="324">
        <v>3059179</v>
      </c>
      <c r="M813" s="324">
        <f>SUM(M814:M827)</f>
        <v>0</v>
      </c>
      <c r="N813" s="324">
        <v>0</v>
      </c>
      <c r="O813" s="324">
        <f>L813</f>
        <v>3059179</v>
      </c>
      <c r="P813" s="324">
        <v>0</v>
      </c>
      <c r="Q813" s="344">
        <f t="shared" si="215"/>
        <v>704.76628193609326</v>
      </c>
      <c r="R813" s="325">
        <v>7920</v>
      </c>
      <c r="S813" s="326">
        <v>43465</v>
      </c>
    </row>
    <row r="814" spans="1:30" s="1" customFormat="1" ht="21.6" customHeight="1">
      <c r="A814" s="318">
        <f t="shared" si="213"/>
        <v>5</v>
      </c>
      <c r="B814" s="876" t="s">
        <v>740</v>
      </c>
      <c r="C814" s="375">
        <v>1988</v>
      </c>
      <c r="D814" s="340"/>
      <c r="E814" s="321" t="s">
        <v>219</v>
      </c>
      <c r="F814" s="340">
        <v>5</v>
      </c>
      <c r="G814" s="340">
        <v>5</v>
      </c>
      <c r="H814" s="341">
        <v>5323.6</v>
      </c>
      <c r="I814" s="340">
        <v>3505.2</v>
      </c>
      <c r="J814" s="340">
        <v>2912.82</v>
      </c>
      <c r="K814" s="378">
        <v>179</v>
      </c>
      <c r="L814" s="324">
        <v>2247365</v>
      </c>
      <c r="M814" s="324">
        <f>SUM(M815:M828)</f>
        <v>0</v>
      </c>
      <c r="N814" s="324">
        <v>0</v>
      </c>
      <c r="O814" s="324">
        <f>L814</f>
        <v>2247365</v>
      </c>
      <c r="P814" s="324">
        <v>0</v>
      </c>
      <c r="Q814" s="344">
        <f t="shared" si="215"/>
        <v>641.15171744836243</v>
      </c>
      <c r="R814" s="325">
        <v>7920</v>
      </c>
      <c r="S814" s="326">
        <v>43465</v>
      </c>
    </row>
    <row r="815" spans="1:30" s="1" customFormat="1" ht="15.6">
      <c r="A815" s="318"/>
      <c r="B815" s="876"/>
      <c r="C815" s="375"/>
      <c r="D815" s="340"/>
      <c r="E815" s="321"/>
      <c r="F815" s="340"/>
      <c r="G815" s="340"/>
      <c r="H815" s="341"/>
      <c r="I815" s="340"/>
      <c r="J815" s="340"/>
      <c r="K815" s="378"/>
      <c r="L815" s="324"/>
      <c r="M815" s="324"/>
      <c r="N815" s="324"/>
      <c r="O815" s="324"/>
      <c r="P815" s="324"/>
      <c r="Q815" s="344"/>
      <c r="R815" s="325"/>
      <c r="S815" s="326">
        <v>43465</v>
      </c>
    </row>
    <row r="816" spans="1:30" s="1" customFormat="1" ht="15.6">
      <c r="A816" s="318"/>
      <c r="B816" s="876"/>
      <c r="C816" s="645"/>
      <c r="D816" s="340"/>
      <c r="E816" s="321"/>
      <c r="F816" s="340"/>
      <c r="G816" s="340"/>
      <c r="H816" s="341"/>
      <c r="I816" s="340"/>
      <c r="J816" s="340"/>
      <c r="K816" s="378"/>
      <c r="L816" s="324"/>
      <c r="M816" s="324"/>
      <c r="N816" s="324"/>
      <c r="O816" s="324"/>
      <c r="P816" s="324"/>
      <c r="Q816" s="344"/>
      <c r="R816" s="325"/>
      <c r="S816" s="326">
        <v>43465</v>
      </c>
    </row>
    <row r="817" spans="1:19" s="1" customFormat="1" ht="15.6">
      <c r="A817" s="318"/>
      <c r="B817" s="876"/>
      <c r="C817" s="645"/>
      <c r="D817" s="340"/>
      <c r="E817" s="321"/>
      <c r="F817" s="340"/>
      <c r="G817" s="340"/>
      <c r="H817" s="341"/>
      <c r="I817" s="340"/>
      <c r="J817" s="340"/>
      <c r="K817" s="378"/>
      <c r="L817" s="324"/>
      <c r="M817" s="324"/>
      <c r="N817" s="324"/>
      <c r="O817" s="324"/>
      <c r="P817" s="324"/>
      <c r="Q817" s="344"/>
      <c r="R817" s="325"/>
      <c r="S817" s="326">
        <v>43465</v>
      </c>
    </row>
    <row r="818" spans="1:19" s="1" customFormat="1" ht="15.6">
      <c r="A818" s="318"/>
      <c r="B818" s="876"/>
      <c r="C818" s="375"/>
      <c r="D818" s="340"/>
      <c r="E818" s="321"/>
      <c r="F818" s="340"/>
      <c r="G818" s="340"/>
      <c r="H818" s="341"/>
      <c r="I818" s="340"/>
      <c r="J818" s="340"/>
      <c r="K818" s="378"/>
      <c r="L818" s="324"/>
      <c r="M818" s="324"/>
      <c r="N818" s="324"/>
      <c r="O818" s="324"/>
      <c r="P818" s="324"/>
      <c r="Q818" s="344"/>
      <c r="R818" s="325"/>
      <c r="S818" s="326">
        <v>43465</v>
      </c>
    </row>
    <row r="819" spans="1:19" s="1" customFormat="1" ht="15.6">
      <c r="A819" s="318"/>
      <c r="B819" s="876"/>
      <c r="C819" s="375"/>
      <c r="D819" s="340"/>
      <c r="E819" s="321"/>
      <c r="F819" s="340"/>
      <c r="G819" s="340"/>
      <c r="H819" s="341"/>
      <c r="I819" s="340"/>
      <c r="J819" s="340"/>
      <c r="K819" s="378"/>
      <c r="L819" s="324"/>
      <c r="M819" s="324"/>
      <c r="N819" s="324"/>
      <c r="O819" s="324"/>
      <c r="P819" s="324"/>
      <c r="Q819" s="344"/>
      <c r="R819" s="325"/>
      <c r="S819" s="326">
        <v>43465</v>
      </c>
    </row>
    <row r="820" spans="1:19" s="1" customFormat="1" ht="15.6">
      <c r="A820" s="318"/>
      <c r="B820" s="876"/>
      <c r="C820" s="375"/>
      <c r="D820" s="340"/>
      <c r="E820" s="321"/>
      <c r="F820" s="340"/>
      <c r="G820" s="340"/>
      <c r="H820" s="341"/>
      <c r="I820" s="340"/>
      <c r="J820" s="340"/>
      <c r="K820" s="378"/>
      <c r="L820" s="324"/>
      <c r="M820" s="324"/>
      <c r="N820" s="324"/>
      <c r="O820" s="324"/>
      <c r="P820" s="324"/>
      <c r="Q820" s="344"/>
      <c r="R820" s="325"/>
      <c r="S820" s="326">
        <v>43465</v>
      </c>
    </row>
    <row r="821" spans="1:19" s="1" customFormat="1" ht="15.6">
      <c r="A821" s="318"/>
      <c r="B821" s="876"/>
      <c r="C821" s="375"/>
      <c r="D821" s="340"/>
      <c r="E821" s="321"/>
      <c r="F821" s="340"/>
      <c r="G821" s="340"/>
      <c r="H821" s="341"/>
      <c r="I821" s="340"/>
      <c r="J821" s="340"/>
      <c r="K821" s="378"/>
      <c r="L821" s="324"/>
      <c r="M821" s="324"/>
      <c r="N821" s="324"/>
      <c r="O821" s="324"/>
      <c r="P821" s="324"/>
      <c r="Q821" s="344"/>
      <c r="R821" s="325"/>
      <c r="S821" s="326">
        <v>43465</v>
      </c>
    </row>
    <row r="822" spans="1:19" s="1" customFormat="1" ht="23.4" customHeight="1">
      <c r="A822" s="318"/>
      <c r="B822" s="1465" t="s">
        <v>864</v>
      </c>
      <c r="C822" s="1465"/>
      <c r="D822" s="1465"/>
      <c r="E822" s="1465"/>
      <c r="F822" s="1465"/>
      <c r="G822" s="1465"/>
      <c r="H822" s="341">
        <f>H823+H824</f>
        <v>5260.1</v>
      </c>
      <c r="I822" s="341">
        <f t="shared" ref="I822:P822" si="216">I823+I824</f>
        <v>4037.1</v>
      </c>
      <c r="J822" s="341">
        <f t="shared" si="216"/>
        <v>3675.3</v>
      </c>
      <c r="K822" s="341">
        <f t="shared" si="216"/>
        <v>160</v>
      </c>
      <c r="L822" s="675">
        <f t="shared" si="216"/>
        <v>3651703</v>
      </c>
      <c r="M822" s="675">
        <f t="shared" si="216"/>
        <v>0</v>
      </c>
      <c r="N822" s="675">
        <f t="shared" si="216"/>
        <v>0</v>
      </c>
      <c r="O822" s="675">
        <f t="shared" si="216"/>
        <v>3651703</v>
      </c>
      <c r="P822" s="675">
        <f t="shared" si="216"/>
        <v>0</v>
      </c>
      <c r="Q822" s="344" t="s">
        <v>40</v>
      </c>
      <c r="R822" s="340" t="s">
        <v>40</v>
      </c>
      <c r="S822" s="326">
        <v>43465</v>
      </c>
    </row>
    <row r="823" spans="1:19" s="1" customFormat="1" ht="31.2">
      <c r="A823" s="318"/>
      <c r="B823" s="913" t="s">
        <v>867</v>
      </c>
      <c r="C823" s="375">
        <v>1964</v>
      </c>
      <c r="D823" s="340"/>
      <c r="E823" s="321" t="s">
        <v>218</v>
      </c>
      <c r="F823" s="340">
        <v>4</v>
      </c>
      <c r="G823" s="340">
        <v>3</v>
      </c>
      <c r="H823" s="341">
        <v>2597.5</v>
      </c>
      <c r="I823" s="340">
        <v>2042</v>
      </c>
      <c r="J823" s="340">
        <v>1921.8</v>
      </c>
      <c r="K823" s="378">
        <v>82</v>
      </c>
      <c r="L823" s="324">
        <v>2505179</v>
      </c>
      <c r="M823" s="324">
        <v>0</v>
      </c>
      <c r="N823" s="324">
        <v>0</v>
      </c>
      <c r="O823" s="324">
        <v>2505179</v>
      </c>
      <c r="P823" s="324">
        <v>0</v>
      </c>
      <c r="Q823" s="344">
        <f t="shared" si="215"/>
        <v>1226.8261508325172</v>
      </c>
      <c r="R823" s="325">
        <v>7920</v>
      </c>
      <c r="S823" s="326">
        <v>43465</v>
      </c>
    </row>
    <row r="824" spans="1:19" s="1" customFormat="1" ht="31.2">
      <c r="A824" s="318"/>
      <c r="B824" s="913" t="s">
        <v>868</v>
      </c>
      <c r="C824" s="375">
        <v>1962</v>
      </c>
      <c r="D824" s="340"/>
      <c r="E824" s="321" t="s">
        <v>218</v>
      </c>
      <c r="F824" s="340">
        <v>4</v>
      </c>
      <c r="G824" s="340">
        <v>3</v>
      </c>
      <c r="H824" s="341">
        <v>2662.6</v>
      </c>
      <c r="I824" s="340">
        <v>1995.1</v>
      </c>
      <c r="J824" s="340">
        <v>1753.5</v>
      </c>
      <c r="K824" s="378">
        <v>78</v>
      </c>
      <c r="L824" s="324">
        <v>1146524</v>
      </c>
      <c r="M824" s="324">
        <v>0</v>
      </c>
      <c r="N824" s="324">
        <v>0</v>
      </c>
      <c r="O824" s="324">
        <v>1146524</v>
      </c>
      <c r="P824" s="324">
        <v>0</v>
      </c>
      <c r="Q824" s="344">
        <f t="shared" si="215"/>
        <v>574.66994135632297</v>
      </c>
      <c r="R824" s="325">
        <v>7920</v>
      </c>
      <c r="S824" s="326">
        <v>43465</v>
      </c>
    </row>
    <row r="825" spans="1:19" s="16" customFormat="1" ht="25.2" customHeight="1">
      <c r="A825" s="318"/>
      <c r="B825" s="1465" t="s">
        <v>72</v>
      </c>
      <c r="C825" s="1465"/>
      <c r="D825" s="1465"/>
      <c r="E825" s="1465"/>
      <c r="F825" s="1465"/>
      <c r="G825" s="1465"/>
      <c r="H825" s="341">
        <f>H826</f>
        <v>3267.2000000000003</v>
      </c>
      <c r="I825" s="340">
        <f t="shared" ref="I825:R825" si="217">I826</f>
        <v>2464.1</v>
      </c>
      <c r="J825" s="340">
        <f t="shared" si="217"/>
        <v>1697.4</v>
      </c>
      <c r="K825" s="343">
        <f t="shared" si="217"/>
        <v>71</v>
      </c>
      <c r="L825" s="324">
        <f t="shared" si="217"/>
        <v>4218095</v>
      </c>
      <c r="M825" s="324">
        <f t="shared" si="217"/>
        <v>0</v>
      </c>
      <c r="N825" s="324">
        <f t="shared" si="217"/>
        <v>0</v>
      </c>
      <c r="O825" s="324">
        <f t="shared" si="217"/>
        <v>4218095</v>
      </c>
      <c r="P825" s="324">
        <f t="shared" si="217"/>
        <v>0</v>
      </c>
      <c r="Q825" s="344" t="str">
        <f t="shared" si="217"/>
        <v>Х</v>
      </c>
      <c r="R825" s="340" t="str">
        <f t="shared" si="217"/>
        <v>Х</v>
      </c>
      <c r="S825" s="326">
        <v>43465</v>
      </c>
    </row>
    <row r="826" spans="1:19" s="16" customFormat="1" ht="33" customHeight="1">
      <c r="A826" s="318"/>
      <c r="B826" s="1465" t="s">
        <v>95</v>
      </c>
      <c r="C826" s="1465"/>
      <c r="D826" s="1465"/>
      <c r="E826" s="1465"/>
      <c r="F826" s="1465"/>
      <c r="G826" s="1465"/>
      <c r="H826" s="341">
        <f>SUM(H827:H828)</f>
        <v>3267.2000000000003</v>
      </c>
      <c r="I826" s="341">
        <f t="shared" ref="I826:P826" si="218">SUM(I827:I828)</f>
        <v>2464.1</v>
      </c>
      <c r="J826" s="341">
        <f t="shared" si="218"/>
        <v>1697.4</v>
      </c>
      <c r="K826" s="341">
        <f t="shared" si="218"/>
        <v>71</v>
      </c>
      <c r="L826" s="821">
        <f t="shared" si="218"/>
        <v>4218095</v>
      </c>
      <c r="M826" s="821">
        <f t="shared" si="218"/>
        <v>0</v>
      </c>
      <c r="N826" s="821">
        <f t="shared" si="218"/>
        <v>0</v>
      </c>
      <c r="O826" s="821">
        <f t="shared" si="218"/>
        <v>4218095</v>
      </c>
      <c r="P826" s="821">
        <f t="shared" si="218"/>
        <v>0</v>
      </c>
      <c r="Q826" s="344" t="s">
        <v>40</v>
      </c>
      <c r="R826" s="375" t="s">
        <v>40</v>
      </c>
      <c r="S826" s="326">
        <v>43465</v>
      </c>
    </row>
    <row r="827" spans="1:19" s="1" customFormat="1" ht="20.399999999999999" customHeight="1">
      <c r="A827" s="318" t="e">
        <f>#REF!+1</f>
        <v>#REF!</v>
      </c>
      <c r="B827" s="336" t="s">
        <v>627</v>
      </c>
      <c r="C827" s="320">
        <v>1984</v>
      </c>
      <c r="D827" s="320"/>
      <c r="E827" s="321" t="s">
        <v>220</v>
      </c>
      <c r="F827" s="320">
        <v>5</v>
      </c>
      <c r="G827" s="320">
        <v>3</v>
      </c>
      <c r="H827" s="322">
        <v>2845.8</v>
      </c>
      <c r="I827" s="320">
        <v>2090.6999999999998</v>
      </c>
      <c r="J827" s="360">
        <v>1373.7</v>
      </c>
      <c r="K827" s="323">
        <v>49</v>
      </c>
      <c r="L827" s="324">
        <v>2605488</v>
      </c>
      <c r="M827" s="324">
        <v>0</v>
      </c>
      <c r="N827" s="324">
        <v>0</v>
      </c>
      <c r="O827" s="324">
        <f>L827</f>
        <v>2605488</v>
      </c>
      <c r="P827" s="324">
        <v>0</v>
      </c>
      <c r="Q827" s="325">
        <f t="shared" ref="Q827:Q828" si="219">L827/I827</f>
        <v>1246.2275792796672</v>
      </c>
      <c r="R827" s="617">
        <v>7920</v>
      </c>
      <c r="S827" s="326">
        <v>43465</v>
      </c>
    </row>
    <row r="828" spans="1:19" s="1" customFormat="1" ht="31.2">
      <c r="A828" s="318" t="e">
        <f t="shared" si="213"/>
        <v>#REF!</v>
      </c>
      <c r="B828" s="336" t="s">
        <v>624</v>
      </c>
      <c r="C828" s="320">
        <v>1970</v>
      </c>
      <c r="D828" s="320"/>
      <c r="E828" s="321" t="s">
        <v>218</v>
      </c>
      <c r="F828" s="320">
        <v>2</v>
      </c>
      <c r="G828" s="320">
        <v>2</v>
      </c>
      <c r="H828" s="322">
        <v>421.4</v>
      </c>
      <c r="I828" s="320">
        <v>373.4</v>
      </c>
      <c r="J828" s="360">
        <v>323.7</v>
      </c>
      <c r="K828" s="323">
        <v>22</v>
      </c>
      <c r="L828" s="324">
        <v>1612607</v>
      </c>
      <c r="M828" s="324">
        <v>0</v>
      </c>
      <c r="N828" s="324">
        <v>0</v>
      </c>
      <c r="O828" s="324">
        <f>L828</f>
        <v>1612607</v>
      </c>
      <c r="P828" s="324">
        <v>0</v>
      </c>
      <c r="Q828" s="325">
        <f t="shared" si="219"/>
        <v>4318.7118371719334</v>
      </c>
      <c r="R828" s="617">
        <v>7920</v>
      </c>
      <c r="S828" s="326">
        <v>43465</v>
      </c>
    </row>
    <row r="829" spans="1:19" s="1" customFormat="1" ht="15.6">
      <c r="A829" s="318"/>
      <c r="B829" s="336"/>
      <c r="C829" s="320"/>
      <c r="D829" s="320"/>
      <c r="E829" s="321"/>
      <c r="F829" s="320"/>
      <c r="G829" s="320"/>
      <c r="H829" s="322"/>
      <c r="I829" s="320"/>
      <c r="J829" s="320"/>
      <c r="K829" s="323"/>
      <c r="L829" s="324"/>
      <c r="M829" s="324"/>
      <c r="N829" s="324"/>
      <c r="O829" s="324"/>
      <c r="P829" s="324"/>
      <c r="Q829" s="325"/>
      <c r="R829" s="325"/>
      <c r="S829" s="326"/>
    </row>
    <row r="830" spans="1:19" s="1" customFormat="1" ht="15.6">
      <c r="A830" s="318"/>
      <c r="B830" s="336"/>
      <c r="C830" s="320"/>
      <c r="D830" s="320"/>
      <c r="E830" s="321"/>
      <c r="F830" s="320"/>
      <c r="G830" s="320"/>
      <c r="H830" s="322"/>
      <c r="I830" s="320"/>
      <c r="J830" s="320"/>
      <c r="K830" s="323"/>
      <c r="L830" s="324"/>
      <c r="M830" s="324"/>
      <c r="N830" s="324"/>
      <c r="O830" s="324"/>
      <c r="P830" s="324"/>
      <c r="Q830" s="325"/>
      <c r="R830" s="325"/>
      <c r="S830" s="326"/>
    </row>
    <row r="831" spans="1:19" s="1" customFormat="1" ht="15.6">
      <c r="A831" s="318"/>
      <c r="B831" s="336"/>
      <c r="C831" s="320"/>
      <c r="D831" s="320"/>
      <c r="E831" s="321"/>
      <c r="F831" s="320"/>
      <c r="G831" s="320"/>
      <c r="H831" s="322"/>
      <c r="I831" s="320"/>
      <c r="J831" s="320"/>
      <c r="K831" s="323"/>
      <c r="L831" s="324"/>
      <c r="M831" s="324"/>
      <c r="N831" s="324"/>
      <c r="O831" s="324"/>
      <c r="P831" s="324"/>
      <c r="Q831" s="325"/>
      <c r="R831" s="325"/>
      <c r="S831" s="326"/>
    </row>
    <row r="832" spans="1:19" s="1" customFormat="1" ht="15.6">
      <c r="A832" s="318"/>
      <c r="B832" s="336"/>
      <c r="C832" s="320"/>
      <c r="D832" s="320"/>
      <c r="E832" s="321"/>
      <c r="F832" s="320"/>
      <c r="G832" s="320"/>
      <c r="H832" s="322"/>
      <c r="I832" s="320"/>
      <c r="J832" s="320"/>
      <c r="K832" s="323"/>
      <c r="L832" s="324"/>
      <c r="M832" s="324"/>
      <c r="N832" s="324"/>
      <c r="O832" s="324"/>
      <c r="P832" s="324"/>
      <c r="Q832" s="325"/>
      <c r="R832" s="325"/>
      <c r="S832" s="326"/>
    </row>
    <row r="833" spans="1:34" s="1" customFormat="1" ht="15.6">
      <c r="A833" s="318"/>
      <c r="B833" s="336"/>
      <c r="C833" s="320"/>
      <c r="D833" s="320"/>
      <c r="E833" s="321"/>
      <c r="F833" s="320"/>
      <c r="G833" s="320"/>
      <c r="H833" s="322"/>
      <c r="I833" s="320"/>
      <c r="J833" s="360"/>
      <c r="K833" s="323"/>
      <c r="L833" s="324"/>
      <c r="M833" s="324"/>
      <c r="N833" s="324"/>
      <c r="O833" s="324"/>
      <c r="P833" s="324"/>
      <c r="Q833" s="325"/>
      <c r="R833" s="325"/>
      <c r="S833" s="326"/>
    </row>
    <row r="834" spans="1:34" s="1" customFormat="1" ht="15.75" customHeight="1">
      <c r="A834" s="107"/>
      <c r="B834" s="1450" t="s">
        <v>41</v>
      </c>
      <c r="C834" s="1450"/>
      <c r="D834" s="1450"/>
      <c r="E834" s="1450"/>
      <c r="F834" s="1450"/>
      <c r="G834" s="1450"/>
      <c r="H834" s="111">
        <f>H835</f>
        <v>4403.5</v>
      </c>
      <c r="I834" s="111">
        <f t="shared" ref="I834:P834" si="220">I835</f>
        <v>3444.7999999999997</v>
      </c>
      <c r="J834" s="111">
        <f t="shared" si="220"/>
        <v>3007.7999999999997</v>
      </c>
      <c r="K834" s="112">
        <f t="shared" si="220"/>
        <v>191</v>
      </c>
      <c r="L834" s="113">
        <f t="shared" si="220"/>
        <v>9289441</v>
      </c>
      <c r="M834" s="113">
        <f t="shared" si="220"/>
        <v>0</v>
      </c>
      <c r="N834" s="113">
        <f t="shared" si="220"/>
        <v>0</v>
      </c>
      <c r="O834" s="113">
        <f t="shared" si="220"/>
        <v>9289441</v>
      </c>
      <c r="P834" s="113">
        <f t="shared" si="220"/>
        <v>0</v>
      </c>
      <c r="Q834" s="114" t="s">
        <v>40</v>
      </c>
      <c r="R834" s="126" t="s">
        <v>40</v>
      </c>
      <c r="S834" s="326">
        <v>43465</v>
      </c>
    </row>
    <row r="835" spans="1:34" s="1" customFormat="1" ht="15.75" customHeight="1">
      <c r="A835" s="107"/>
      <c r="B835" s="1451" t="s">
        <v>96</v>
      </c>
      <c r="C835" s="1451"/>
      <c r="D835" s="1450"/>
      <c r="E835" s="1450"/>
      <c r="F835" s="1451"/>
      <c r="G835" s="1451"/>
      <c r="H835" s="628">
        <f>SUM(H836:H840)</f>
        <v>4403.5</v>
      </c>
      <c r="I835" s="628">
        <f>SUM(I836:I840)</f>
        <v>3444.7999999999997</v>
      </c>
      <c r="J835" s="628">
        <f>SUM(J836:J840)</f>
        <v>3007.7999999999997</v>
      </c>
      <c r="K835" s="776">
        <f>SUM(K836:K840)</f>
        <v>191</v>
      </c>
      <c r="L835" s="658">
        <f>SUM(L836:L840)</f>
        <v>9289441</v>
      </c>
      <c r="M835" s="113">
        <f t="shared" ref="M835:P835" si="221">SUM(M836:M840)</f>
        <v>0</v>
      </c>
      <c r="N835" s="113">
        <f t="shared" si="221"/>
        <v>0</v>
      </c>
      <c r="O835" s="113">
        <f t="shared" si="221"/>
        <v>9289441</v>
      </c>
      <c r="P835" s="113">
        <f t="shared" si="221"/>
        <v>0</v>
      </c>
      <c r="Q835" s="114" t="s">
        <v>40</v>
      </c>
      <c r="R835" s="126" t="s">
        <v>40</v>
      </c>
      <c r="S835" s="326">
        <v>43465</v>
      </c>
    </row>
    <row r="836" spans="1:34" s="1" customFormat="1" ht="31.2">
      <c r="A836" s="631">
        <f>A833+1</f>
        <v>1</v>
      </c>
      <c r="B836" s="774" t="s">
        <v>825</v>
      </c>
      <c r="C836" s="769">
        <v>1969</v>
      </c>
      <c r="D836" s="761"/>
      <c r="E836" s="611" t="s">
        <v>218</v>
      </c>
      <c r="F836" s="769">
        <v>4</v>
      </c>
      <c r="G836" s="769">
        <v>3</v>
      </c>
      <c r="H836" s="767">
        <v>1913.2</v>
      </c>
      <c r="I836" s="767">
        <v>1395.6</v>
      </c>
      <c r="J836" s="767">
        <f>I836-118.1</f>
        <v>1277.5</v>
      </c>
      <c r="K836" s="769">
        <v>84</v>
      </c>
      <c r="L836" s="773">
        <v>1058186</v>
      </c>
      <c r="M836" s="655">
        <v>0</v>
      </c>
      <c r="N836" s="113">
        <v>0</v>
      </c>
      <c r="O836" s="113">
        <f>L836</f>
        <v>1058186</v>
      </c>
      <c r="P836" s="113">
        <v>0</v>
      </c>
      <c r="Q836" s="114">
        <f>L836/I836</f>
        <v>758.23015190599028</v>
      </c>
      <c r="R836" s="114">
        <v>7920</v>
      </c>
      <c r="S836" s="326">
        <v>43465</v>
      </c>
    </row>
    <row r="837" spans="1:34" s="1" customFormat="1" ht="31.2">
      <c r="A837" s="631">
        <f t="shared" si="213"/>
        <v>2</v>
      </c>
      <c r="B837" s="775" t="s">
        <v>826</v>
      </c>
      <c r="C837" s="769">
        <v>1957</v>
      </c>
      <c r="D837" s="761"/>
      <c r="E837" s="611" t="s">
        <v>830</v>
      </c>
      <c r="F837" s="769">
        <v>2</v>
      </c>
      <c r="G837" s="769">
        <v>2</v>
      </c>
      <c r="H837" s="767">
        <v>426.8</v>
      </c>
      <c r="I837" s="767">
        <v>395</v>
      </c>
      <c r="J837" s="767">
        <f>I837-95.1</f>
        <v>299.89999999999998</v>
      </c>
      <c r="K837" s="769">
        <v>20</v>
      </c>
      <c r="L837" s="773">
        <v>1264714</v>
      </c>
      <c r="M837" s="655">
        <v>0</v>
      </c>
      <c r="N837" s="113">
        <v>0</v>
      </c>
      <c r="O837" s="113">
        <f t="shared" ref="O837:O840" si="222">L837</f>
        <v>1264714</v>
      </c>
      <c r="P837" s="113">
        <v>0</v>
      </c>
      <c r="Q837" s="114">
        <f>L837/I837</f>
        <v>3201.8075949367089</v>
      </c>
      <c r="R837" s="114">
        <v>7920</v>
      </c>
      <c r="S837" s="326">
        <v>43465</v>
      </c>
    </row>
    <row r="838" spans="1:34" s="1" customFormat="1" ht="31.2">
      <c r="A838" s="631">
        <f>A837+1</f>
        <v>3</v>
      </c>
      <c r="B838" s="774" t="s">
        <v>827</v>
      </c>
      <c r="C838" s="769">
        <v>1956</v>
      </c>
      <c r="D838" s="761"/>
      <c r="E838" s="611" t="s">
        <v>218</v>
      </c>
      <c r="F838" s="769">
        <v>2</v>
      </c>
      <c r="G838" s="769">
        <v>1</v>
      </c>
      <c r="H838" s="767">
        <v>960</v>
      </c>
      <c r="I838" s="767">
        <v>572.1</v>
      </c>
      <c r="J838" s="767">
        <f>I838-196.3</f>
        <v>375.8</v>
      </c>
      <c r="K838" s="769">
        <v>40</v>
      </c>
      <c r="L838" s="773">
        <v>3274864</v>
      </c>
      <c r="M838" s="655">
        <v>0</v>
      </c>
      <c r="N838" s="113">
        <v>0</v>
      </c>
      <c r="O838" s="113">
        <f t="shared" si="222"/>
        <v>3274864</v>
      </c>
      <c r="P838" s="113">
        <v>0</v>
      </c>
      <c r="Q838" s="114">
        <f>L838/I838</f>
        <v>5724.285963992309</v>
      </c>
      <c r="R838" s="114">
        <v>7920</v>
      </c>
      <c r="S838" s="326">
        <v>43465</v>
      </c>
    </row>
    <row r="839" spans="1:34" s="1" customFormat="1" ht="31.2">
      <c r="A839" s="631">
        <f t="shared" ref="A839:A840" si="223">A838+1</f>
        <v>4</v>
      </c>
      <c r="B839" s="774" t="s">
        <v>828</v>
      </c>
      <c r="C839" s="769">
        <v>1952</v>
      </c>
      <c r="D839" s="761"/>
      <c r="E839" s="611" t="s">
        <v>218</v>
      </c>
      <c r="F839" s="769">
        <v>2</v>
      </c>
      <c r="G839" s="769">
        <v>2</v>
      </c>
      <c r="H839" s="767">
        <v>715.8</v>
      </c>
      <c r="I839" s="767">
        <v>712</v>
      </c>
      <c r="J839" s="767">
        <f>I839-27.5</f>
        <v>684.5</v>
      </c>
      <c r="K839" s="769">
        <v>32</v>
      </c>
      <c r="L839" s="773">
        <v>2082655</v>
      </c>
      <c r="M839" s="655">
        <v>0</v>
      </c>
      <c r="N839" s="113">
        <v>0</v>
      </c>
      <c r="O839" s="113">
        <f t="shared" si="222"/>
        <v>2082655</v>
      </c>
      <c r="P839" s="113">
        <v>0</v>
      </c>
      <c r="Q839" s="114">
        <f>L839/I839</f>
        <v>2925.0772471910113</v>
      </c>
      <c r="R839" s="114">
        <v>7920</v>
      </c>
      <c r="S839" s="326">
        <v>43465</v>
      </c>
    </row>
    <row r="840" spans="1:34" s="1" customFormat="1" ht="31.2">
      <c r="A840" s="631">
        <f t="shared" si="223"/>
        <v>5</v>
      </c>
      <c r="B840" s="774" t="s">
        <v>829</v>
      </c>
      <c r="C840" s="769">
        <v>1949</v>
      </c>
      <c r="D840" s="761"/>
      <c r="E840" s="611" t="s">
        <v>218</v>
      </c>
      <c r="F840" s="769">
        <v>2</v>
      </c>
      <c r="G840" s="769">
        <v>1</v>
      </c>
      <c r="H840" s="767">
        <v>387.7</v>
      </c>
      <c r="I840" s="767">
        <v>370.1</v>
      </c>
      <c r="J840" s="767">
        <f>I840</f>
        <v>370.1</v>
      </c>
      <c r="K840" s="769">
        <v>15</v>
      </c>
      <c r="L840" s="773">
        <v>1609022</v>
      </c>
      <c r="M840" s="655">
        <v>0</v>
      </c>
      <c r="N840" s="113">
        <v>0</v>
      </c>
      <c r="O840" s="113">
        <f t="shared" si="222"/>
        <v>1609022</v>
      </c>
      <c r="P840" s="113">
        <v>0</v>
      </c>
      <c r="Q840" s="114">
        <f>L840/I840</f>
        <v>4347.5330991623887</v>
      </c>
      <c r="R840" s="114">
        <v>7920</v>
      </c>
      <c r="S840" s="326">
        <v>43465</v>
      </c>
    </row>
    <row r="841" spans="1:34" s="1" customFormat="1" ht="15.6">
      <c r="A841" s="107"/>
      <c r="B841" s="1452" t="s">
        <v>68</v>
      </c>
      <c r="C841" s="1452"/>
      <c r="D841" s="1411"/>
      <c r="E841" s="1411"/>
      <c r="F841" s="1452"/>
      <c r="G841" s="1452"/>
      <c r="H841" s="765">
        <f>H842</f>
        <v>285.2</v>
      </c>
      <c r="I841" s="766">
        <f t="shared" ref="I841:P842" si="224">I842</f>
        <v>266</v>
      </c>
      <c r="J841" s="766">
        <f t="shared" si="224"/>
        <v>153.9</v>
      </c>
      <c r="K841" s="777">
        <f t="shared" si="224"/>
        <v>13</v>
      </c>
      <c r="L841" s="771">
        <f t="shared" si="224"/>
        <v>443001</v>
      </c>
      <c r="M841" s="113">
        <f t="shared" si="224"/>
        <v>0</v>
      </c>
      <c r="N841" s="113">
        <f t="shared" si="224"/>
        <v>0</v>
      </c>
      <c r="O841" s="113">
        <f t="shared" si="224"/>
        <v>443001</v>
      </c>
      <c r="P841" s="113">
        <f t="shared" si="224"/>
        <v>0</v>
      </c>
      <c r="Q841" s="106" t="s">
        <v>40</v>
      </c>
      <c r="R841" s="106" t="s">
        <v>40</v>
      </c>
      <c r="S841" s="326">
        <v>43465</v>
      </c>
    </row>
    <row r="842" spans="1:34" s="1" customFormat="1" ht="15.75" customHeight="1">
      <c r="A842" s="107"/>
      <c r="B842" s="1413" t="s">
        <v>97</v>
      </c>
      <c r="C842" s="1413"/>
      <c r="D842" s="1413"/>
      <c r="E842" s="1413"/>
      <c r="F842" s="1413"/>
      <c r="G842" s="1413"/>
      <c r="H842" s="128">
        <f>H843</f>
        <v>285.2</v>
      </c>
      <c r="I842" s="106">
        <f t="shared" si="224"/>
        <v>266</v>
      </c>
      <c r="J842" s="106">
        <f t="shared" si="224"/>
        <v>153.9</v>
      </c>
      <c r="K842" s="119">
        <f t="shared" si="224"/>
        <v>13</v>
      </c>
      <c r="L842" s="113">
        <f t="shared" si="224"/>
        <v>443001</v>
      </c>
      <c r="M842" s="113">
        <f t="shared" si="224"/>
        <v>0</v>
      </c>
      <c r="N842" s="113">
        <f t="shared" si="224"/>
        <v>0</v>
      </c>
      <c r="O842" s="113">
        <f t="shared" si="224"/>
        <v>443001</v>
      </c>
      <c r="P842" s="113">
        <f t="shared" si="224"/>
        <v>0</v>
      </c>
      <c r="Q842" s="106" t="s">
        <v>40</v>
      </c>
      <c r="R842" s="106" t="s">
        <v>40</v>
      </c>
      <c r="S842" s="326">
        <v>43465</v>
      </c>
    </row>
    <row r="843" spans="1:34" s="1" customFormat="1" ht="31.2">
      <c r="A843" s="318"/>
      <c r="B843" s="605" t="s">
        <v>769</v>
      </c>
      <c r="C843" s="340">
        <v>1930</v>
      </c>
      <c r="D843" s="340"/>
      <c r="E843" s="321" t="s">
        <v>218</v>
      </c>
      <c r="F843" s="340">
        <v>2</v>
      </c>
      <c r="G843" s="340">
        <v>1</v>
      </c>
      <c r="H843" s="341">
        <v>285.2</v>
      </c>
      <c r="I843" s="344">
        <v>266</v>
      </c>
      <c r="J843" s="344">
        <v>153.9</v>
      </c>
      <c r="K843" s="343">
        <v>13</v>
      </c>
      <c r="L843" s="324">
        <v>443001</v>
      </c>
      <c r="M843" s="324">
        <v>0</v>
      </c>
      <c r="N843" s="324">
        <v>0</v>
      </c>
      <c r="O843" s="324">
        <v>443001</v>
      </c>
      <c r="P843" s="324">
        <v>0</v>
      </c>
      <c r="Q843" s="325">
        <f>L843/I843</f>
        <v>1665.4172932330828</v>
      </c>
      <c r="R843" s="325">
        <v>7920</v>
      </c>
      <c r="S843" s="326">
        <v>43465</v>
      </c>
    </row>
    <row r="844" spans="1:34" s="16" customFormat="1" ht="15.6">
      <c r="A844" s="107"/>
      <c r="B844" s="1411" t="s">
        <v>43</v>
      </c>
      <c r="C844" s="1411"/>
      <c r="D844" s="1411"/>
      <c r="E844" s="1411"/>
      <c r="F844" s="1411"/>
      <c r="G844" s="1411"/>
      <c r="H844" s="106">
        <f>H845+H860</f>
        <v>23164.559999999998</v>
      </c>
      <c r="I844" s="106">
        <f t="shared" ref="I844:J844" si="225">I845+I860</f>
        <v>21134.959999999999</v>
      </c>
      <c r="J844" s="106">
        <f t="shared" si="225"/>
        <v>19251.09</v>
      </c>
      <c r="K844" s="119">
        <f>K845+K860</f>
        <v>853</v>
      </c>
      <c r="L844" s="113">
        <f t="shared" ref="L844:P844" si="226">L845+L860</f>
        <v>23032470</v>
      </c>
      <c r="M844" s="113">
        <f t="shared" si="226"/>
        <v>0</v>
      </c>
      <c r="N844" s="113">
        <f t="shared" si="226"/>
        <v>1400000</v>
      </c>
      <c r="O844" s="113">
        <f t="shared" si="226"/>
        <v>21632470</v>
      </c>
      <c r="P844" s="113">
        <f t="shared" si="226"/>
        <v>0</v>
      </c>
      <c r="Q844" s="106" t="s">
        <v>40</v>
      </c>
      <c r="R844" s="106" t="s">
        <v>40</v>
      </c>
      <c r="S844" s="326">
        <v>43465</v>
      </c>
    </row>
    <row r="845" spans="1:34" s="10" customFormat="1" ht="15.75" customHeight="1">
      <c r="A845" s="107"/>
      <c r="B845" s="1413" t="s">
        <v>125</v>
      </c>
      <c r="C845" s="1413"/>
      <c r="D845" s="1413"/>
      <c r="E845" s="1413"/>
      <c r="F845" s="1413"/>
      <c r="G845" s="1413"/>
      <c r="H845" s="128">
        <f t="shared" ref="H845:M845" si="227">SUM(H846:H859)</f>
        <v>20106.559999999998</v>
      </c>
      <c r="I845" s="106">
        <f t="shared" si="227"/>
        <v>18426.259999999998</v>
      </c>
      <c r="J845" s="106">
        <f t="shared" si="227"/>
        <v>16665.189999999999</v>
      </c>
      <c r="K845" s="119">
        <f t="shared" si="227"/>
        <v>735</v>
      </c>
      <c r="L845" s="113">
        <f t="shared" si="227"/>
        <v>20696312</v>
      </c>
      <c r="M845" s="113">
        <f t="shared" si="227"/>
        <v>0</v>
      </c>
      <c r="N845" s="113">
        <f t="shared" ref="N845:O845" si="228">SUM(N846:N859)</f>
        <v>0</v>
      </c>
      <c r="O845" s="113">
        <f t="shared" si="228"/>
        <v>20696312</v>
      </c>
      <c r="P845" s="113">
        <f>SUM(P846:P862)</f>
        <v>0</v>
      </c>
      <c r="Q845" s="106" t="s">
        <v>40</v>
      </c>
      <c r="R845" s="106" t="s">
        <v>40</v>
      </c>
      <c r="S845" s="326">
        <v>43465</v>
      </c>
    </row>
    <row r="846" spans="1:34" s="40" customFormat="1" ht="15.6">
      <c r="A846" s="107">
        <f>A843+1</f>
        <v>1</v>
      </c>
      <c r="B846" s="130" t="s">
        <v>405</v>
      </c>
      <c r="C846" s="131">
        <v>1979</v>
      </c>
      <c r="D846" s="132"/>
      <c r="E846" s="109" t="s">
        <v>219</v>
      </c>
      <c r="F846" s="131">
        <v>5</v>
      </c>
      <c r="G846" s="131">
        <v>6</v>
      </c>
      <c r="H846" s="133">
        <v>4364.1000000000004</v>
      </c>
      <c r="I846" s="131">
        <v>3933.3</v>
      </c>
      <c r="J846" s="131">
        <v>3786.33</v>
      </c>
      <c r="K846" s="123">
        <v>163</v>
      </c>
      <c r="L846" s="113">
        <v>2301804</v>
      </c>
      <c r="M846" s="113">
        <v>0</v>
      </c>
      <c r="N846" s="113">
        <v>0</v>
      </c>
      <c r="O846" s="113">
        <f t="shared" ref="O846:O859" si="229">L846</f>
        <v>2301804</v>
      </c>
      <c r="P846" s="113">
        <v>0</v>
      </c>
      <c r="Q846" s="134">
        <f>L846/I846</f>
        <v>585.2093661810693</v>
      </c>
      <c r="R846" s="114">
        <v>6774</v>
      </c>
      <c r="S846" s="326">
        <v>43465</v>
      </c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</row>
    <row r="847" spans="1:34" s="41" customFormat="1" ht="31.2">
      <c r="A847" s="107">
        <f t="shared" ref="A847:A902" si="230">A846+1</f>
        <v>2</v>
      </c>
      <c r="B847" s="120" t="s">
        <v>393</v>
      </c>
      <c r="C847" s="109">
        <v>1976</v>
      </c>
      <c r="D847" s="109"/>
      <c r="E847" s="109" t="s">
        <v>218</v>
      </c>
      <c r="F847" s="135">
        <v>5</v>
      </c>
      <c r="G847" s="109">
        <v>6</v>
      </c>
      <c r="H847" s="136">
        <v>4869.8</v>
      </c>
      <c r="I847" s="137">
        <v>4494.8</v>
      </c>
      <c r="J847" s="137">
        <v>3910.1</v>
      </c>
      <c r="K847" s="138">
        <v>161</v>
      </c>
      <c r="L847" s="113">
        <v>1743478</v>
      </c>
      <c r="M847" s="113">
        <v>0</v>
      </c>
      <c r="N847" s="113">
        <v>0</v>
      </c>
      <c r="O847" s="113">
        <f t="shared" si="229"/>
        <v>1743478</v>
      </c>
      <c r="P847" s="113">
        <v>0</v>
      </c>
      <c r="Q847" s="139">
        <f>L847/I847</f>
        <v>387.88778143632641</v>
      </c>
      <c r="R847" s="102">
        <v>6774</v>
      </c>
      <c r="S847" s="326">
        <v>43465</v>
      </c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</row>
    <row r="848" spans="1:34" s="41" customFormat="1" ht="31.2">
      <c r="A848" s="107">
        <f t="shared" si="230"/>
        <v>3</v>
      </c>
      <c r="B848" s="140" t="s">
        <v>406</v>
      </c>
      <c r="C848" s="132">
        <v>2005</v>
      </c>
      <c r="D848" s="132"/>
      <c r="E848" s="109" t="s">
        <v>218</v>
      </c>
      <c r="F848" s="131">
        <v>2</v>
      </c>
      <c r="G848" s="131">
        <v>2</v>
      </c>
      <c r="H848" s="133">
        <v>2170.6999999999998</v>
      </c>
      <c r="I848" s="125">
        <v>1890.5</v>
      </c>
      <c r="J848" s="125">
        <v>1756.6</v>
      </c>
      <c r="K848" s="123">
        <v>72</v>
      </c>
      <c r="L848" s="113">
        <v>2485001</v>
      </c>
      <c r="M848" s="113">
        <v>0</v>
      </c>
      <c r="N848" s="113">
        <v>0</v>
      </c>
      <c r="O848" s="113">
        <f t="shared" si="229"/>
        <v>2485001</v>
      </c>
      <c r="P848" s="113">
        <v>0</v>
      </c>
      <c r="Q848" s="126">
        <f>L848/I848</f>
        <v>1314.4676011637132</v>
      </c>
      <c r="R848" s="114">
        <v>6774</v>
      </c>
      <c r="S848" s="326">
        <v>43465</v>
      </c>
    </row>
    <row r="849" spans="1:34" s="41" customFormat="1" ht="31.2">
      <c r="A849" s="107">
        <f t="shared" si="230"/>
        <v>4</v>
      </c>
      <c r="B849" s="130" t="s">
        <v>402</v>
      </c>
      <c r="C849" s="131">
        <v>1961</v>
      </c>
      <c r="D849" s="132"/>
      <c r="E849" s="109" t="s">
        <v>218</v>
      </c>
      <c r="F849" s="131">
        <v>2</v>
      </c>
      <c r="G849" s="132">
        <v>3</v>
      </c>
      <c r="H849" s="141">
        <v>662.8</v>
      </c>
      <c r="I849" s="142">
        <v>612.6</v>
      </c>
      <c r="J849" s="142">
        <v>517</v>
      </c>
      <c r="K849" s="143">
        <v>32</v>
      </c>
      <c r="L849" s="113">
        <v>1237591</v>
      </c>
      <c r="M849" s="113">
        <v>0</v>
      </c>
      <c r="N849" s="113">
        <v>0</v>
      </c>
      <c r="O849" s="113">
        <f t="shared" si="229"/>
        <v>1237591</v>
      </c>
      <c r="P849" s="113">
        <v>0</v>
      </c>
      <c r="Q849" s="144">
        <f>L849/I849</f>
        <v>2020.2269017303297</v>
      </c>
      <c r="R849" s="114">
        <v>6774</v>
      </c>
      <c r="S849" s="326">
        <v>43465</v>
      </c>
      <c r="T849" s="42"/>
      <c r="U849" s="42"/>
      <c r="V849" s="42"/>
      <c r="W849" s="42"/>
      <c r="X849" s="42"/>
      <c r="Y849" s="42"/>
      <c r="Z849" s="42"/>
      <c r="AA849" s="42"/>
      <c r="AB849" s="42"/>
      <c r="AC849" s="42"/>
      <c r="AD849" s="42"/>
      <c r="AE849" s="42"/>
      <c r="AF849" s="42"/>
      <c r="AG849" s="42"/>
      <c r="AH849" s="42"/>
    </row>
    <row r="850" spans="1:34" s="41" customFormat="1" ht="31.2">
      <c r="A850" s="107">
        <f t="shared" si="230"/>
        <v>5</v>
      </c>
      <c r="B850" s="145" t="s">
        <v>397</v>
      </c>
      <c r="C850" s="131">
        <v>1953</v>
      </c>
      <c r="D850" s="132"/>
      <c r="E850" s="109" t="s">
        <v>218</v>
      </c>
      <c r="F850" s="131">
        <v>2</v>
      </c>
      <c r="G850" s="132">
        <v>2</v>
      </c>
      <c r="H850" s="146">
        <v>470.96</v>
      </c>
      <c r="I850" s="147">
        <v>417.36</v>
      </c>
      <c r="J850" s="147">
        <v>356.76</v>
      </c>
      <c r="K850" s="148">
        <v>10</v>
      </c>
      <c r="L850" s="113">
        <v>1448078</v>
      </c>
      <c r="M850" s="113">
        <v>0</v>
      </c>
      <c r="N850" s="113">
        <v>0</v>
      </c>
      <c r="O850" s="113">
        <f t="shared" si="229"/>
        <v>1448078</v>
      </c>
      <c r="P850" s="113">
        <v>0</v>
      </c>
      <c r="Q850" s="144">
        <f>L850/I850</f>
        <v>3469.6137626988689</v>
      </c>
      <c r="R850" s="114">
        <v>6774</v>
      </c>
      <c r="S850" s="326">
        <v>43465</v>
      </c>
    </row>
    <row r="851" spans="1:34" s="41" customFormat="1" ht="31.2">
      <c r="A851" s="107">
        <f t="shared" si="230"/>
        <v>6</v>
      </c>
      <c r="B851" s="145" t="s">
        <v>398</v>
      </c>
      <c r="C851" s="131">
        <v>1954</v>
      </c>
      <c r="D851" s="132"/>
      <c r="E851" s="109" t="s">
        <v>218</v>
      </c>
      <c r="F851" s="131">
        <v>2</v>
      </c>
      <c r="G851" s="132">
        <v>2</v>
      </c>
      <c r="H851" s="141">
        <v>922.3</v>
      </c>
      <c r="I851" s="142">
        <v>862.3</v>
      </c>
      <c r="J851" s="142">
        <v>862.3</v>
      </c>
      <c r="K851" s="123">
        <v>31</v>
      </c>
      <c r="L851" s="113">
        <v>1963797</v>
      </c>
      <c r="M851" s="113">
        <v>0</v>
      </c>
      <c r="N851" s="113">
        <v>0</v>
      </c>
      <c r="O851" s="113">
        <f t="shared" si="229"/>
        <v>1963797</v>
      </c>
      <c r="P851" s="113">
        <v>0</v>
      </c>
      <c r="Q851" s="144">
        <f xml:space="preserve"> L851/I851</f>
        <v>2277.3941783601995</v>
      </c>
      <c r="R851" s="114">
        <v>6774</v>
      </c>
      <c r="S851" s="326">
        <v>43465</v>
      </c>
    </row>
    <row r="852" spans="1:34" s="42" customFormat="1" ht="31.2">
      <c r="A852" s="107">
        <f t="shared" si="230"/>
        <v>7</v>
      </c>
      <c r="B852" s="145" t="s">
        <v>399</v>
      </c>
      <c r="C852" s="131">
        <v>1961</v>
      </c>
      <c r="D852" s="132"/>
      <c r="E852" s="109" t="s">
        <v>218</v>
      </c>
      <c r="F852" s="131">
        <v>4</v>
      </c>
      <c r="G852" s="132">
        <v>4</v>
      </c>
      <c r="H852" s="133">
        <v>2386.6</v>
      </c>
      <c r="I852" s="125">
        <v>2260.4</v>
      </c>
      <c r="J852" s="125">
        <v>2024.9</v>
      </c>
      <c r="K852" s="123">
        <v>66</v>
      </c>
      <c r="L852" s="113">
        <v>2119530</v>
      </c>
      <c r="M852" s="113">
        <v>0</v>
      </c>
      <c r="N852" s="113">
        <v>0</v>
      </c>
      <c r="O852" s="113">
        <f t="shared" si="229"/>
        <v>2119530</v>
      </c>
      <c r="P852" s="113">
        <v>0</v>
      </c>
      <c r="Q852" s="144">
        <f t="shared" ref="Q852:Q859" si="231">L852/I852</f>
        <v>937.67917182799499</v>
      </c>
      <c r="R852" s="114">
        <v>6774</v>
      </c>
      <c r="S852" s="326">
        <v>43465</v>
      </c>
    </row>
    <row r="853" spans="1:34" s="42" customFormat="1" ht="31.2">
      <c r="A853" s="107">
        <f t="shared" si="230"/>
        <v>8</v>
      </c>
      <c r="B853" s="130" t="s">
        <v>403</v>
      </c>
      <c r="C853" s="131">
        <v>1956</v>
      </c>
      <c r="D853" s="132"/>
      <c r="E853" s="109" t="s">
        <v>218</v>
      </c>
      <c r="F853" s="131">
        <v>2</v>
      </c>
      <c r="G853" s="132">
        <v>2</v>
      </c>
      <c r="H853" s="149">
        <v>833.9</v>
      </c>
      <c r="I853" s="142">
        <v>785.9</v>
      </c>
      <c r="J853" s="142">
        <v>675</v>
      </c>
      <c r="K853" s="143">
        <v>32</v>
      </c>
      <c r="L853" s="113">
        <v>1098163</v>
      </c>
      <c r="M853" s="113">
        <v>0</v>
      </c>
      <c r="N853" s="113">
        <v>0</v>
      </c>
      <c r="O853" s="113">
        <f t="shared" si="229"/>
        <v>1098163</v>
      </c>
      <c r="P853" s="113">
        <v>0</v>
      </c>
      <c r="Q853" s="144">
        <f t="shared" si="231"/>
        <v>1397.3317215930781</v>
      </c>
      <c r="R853" s="114">
        <v>6774</v>
      </c>
      <c r="S853" s="326">
        <v>43465</v>
      </c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</row>
    <row r="854" spans="1:34" s="42" customFormat="1" ht="31.2">
      <c r="A854" s="107">
        <f t="shared" si="230"/>
        <v>9</v>
      </c>
      <c r="B854" s="130" t="s">
        <v>404</v>
      </c>
      <c r="C854" s="131">
        <v>1959</v>
      </c>
      <c r="D854" s="132"/>
      <c r="E854" s="109" t="s">
        <v>218</v>
      </c>
      <c r="F854" s="131">
        <v>2</v>
      </c>
      <c r="G854" s="132">
        <v>3</v>
      </c>
      <c r="H854" s="150">
        <v>640.5</v>
      </c>
      <c r="I854" s="147">
        <v>621.79999999999995</v>
      </c>
      <c r="J854" s="147">
        <v>490.9</v>
      </c>
      <c r="K854" s="143">
        <v>35</v>
      </c>
      <c r="L854" s="113">
        <v>1241309</v>
      </c>
      <c r="M854" s="113">
        <v>0</v>
      </c>
      <c r="N854" s="113">
        <v>0</v>
      </c>
      <c r="O854" s="113">
        <f t="shared" si="229"/>
        <v>1241309</v>
      </c>
      <c r="P854" s="113">
        <v>0</v>
      </c>
      <c r="Q854" s="144">
        <f t="shared" si="231"/>
        <v>1996.3155355419751</v>
      </c>
      <c r="R854" s="114">
        <v>6774</v>
      </c>
      <c r="S854" s="326">
        <v>43465</v>
      </c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</row>
    <row r="855" spans="1:34" s="42" customFormat="1" ht="31.2">
      <c r="A855" s="107">
        <f t="shared" si="230"/>
        <v>10</v>
      </c>
      <c r="B855" s="130" t="s">
        <v>400</v>
      </c>
      <c r="C855" s="131">
        <v>1960</v>
      </c>
      <c r="D855" s="132"/>
      <c r="E855" s="109" t="s">
        <v>218</v>
      </c>
      <c r="F855" s="131">
        <v>2</v>
      </c>
      <c r="G855" s="132">
        <v>2</v>
      </c>
      <c r="H855" s="141">
        <v>504.1</v>
      </c>
      <c r="I855" s="142">
        <v>445.3</v>
      </c>
      <c r="J855" s="142">
        <v>373.3</v>
      </c>
      <c r="K855" s="143">
        <v>24</v>
      </c>
      <c r="L855" s="113">
        <v>1041360</v>
      </c>
      <c r="M855" s="113">
        <v>0</v>
      </c>
      <c r="N855" s="113">
        <v>0</v>
      </c>
      <c r="O855" s="113">
        <f t="shared" si="229"/>
        <v>1041360</v>
      </c>
      <c r="P855" s="113">
        <v>0</v>
      </c>
      <c r="Q855" s="144">
        <f t="shared" si="231"/>
        <v>2338.5582753200088</v>
      </c>
      <c r="R855" s="114">
        <v>6774</v>
      </c>
      <c r="S855" s="326">
        <v>43465</v>
      </c>
    </row>
    <row r="856" spans="1:34" s="44" customFormat="1" ht="31.2">
      <c r="A856" s="107">
        <f>A855+1</f>
        <v>11</v>
      </c>
      <c r="B856" s="130" t="s">
        <v>401</v>
      </c>
      <c r="C856" s="131">
        <v>1961</v>
      </c>
      <c r="D856" s="132"/>
      <c r="E856" s="109" t="s">
        <v>218</v>
      </c>
      <c r="F856" s="131">
        <v>2</v>
      </c>
      <c r="G856" s="132">
        <v>2</v>
      </c>
      <c r="H856" s="141">
        <v>506.2</v>
      </c>
      <c r="I856" s="142">
        <v>447.4</v>
      </c>
      <c r="J856" s="142">
        <f>I856</f>
        <v>447.4</v>
      </c>
      <c r="K856" s="143">
        <v>18</v>
      </c>
      <c r="L856" s="113">
        <v>1138866</v>
      </c>
      <c r="M856" s="113">
        <v>0</v>
      </c>
      <c r="N856" s="113">
        <v>0</v>
      </c>
      <c r="O856" s="113">
        <f t="shared" si="229"/>
        <v>1138866</v>
      </c>
      <c r="P856" s="113">
        <v>0</v>
      </c>
      <c r="Q856" s="144">
        <f t="shared" si="231"/>
        <v>2545.5207867679928</v>
      </c>
      <c r="R856" s="114">
        <v>6774</v>
      </c>
      <c r="S856" s="326">
        <v>43465</v>
      </c>
      <c r="T856" s="42"/>
      <c r="U856" s="42"/>
      <c r="V856" s="42"/>
      <c r="W856" s="42"/>
      <c r="X856" s="42"/>
      <c r="Y856" s="42"/>
      <c r="Z856" s="42"/>
      <c r="AA856" s="42"/>
      <c r="AB856" s="42"/>
      <c r="AC856" s="42"/>
      <c r="AD856" s="42"/>
      <c r="AE856" s="42"/>
      <c r="AF856" s="42"/>
      <c r="AG856" s="42"/>
      <c r="AH856" s="42"/>
    </row>
    <row r="857" spans="1:34" s="41" customFormat="1" ht="31.2">
      <c r="A857" s="107">
        <f>A856+1</f>
        <v>12</v>
      </c>
      <c r="B857" s="145" t="s">
        <v>394</v>
      </c>
      <c r="C857" s="131">
        <v>1966</v>
      </c>
      <c r="D857" s="132"/>
      <c r="E857" s="109" t="s">
        <v>218</v>
      </c>
      <c r="F857" s="131">
        <v>2</v>
      </c>
      <c r="G857" s="132">
        <v>2</v>
      </c>
      <c r="H857" s="141">
        <v>482.5</v>
      </c>
      <c r="I857" s="142">
        <v>454.1</v>
      </c>
      <c r="J857" s="142">
        <v>370.7</v>
      </c>
      <c r="K857" s="123">
        <v>31</v>
      </c>
      <c r="L857" s="113">
        <v>848546</v>
      </c>
      <c r="M857" s="113">
        <v>0</v>
      </c>
      <c r="N857" s="113">
        <v>0</v>
      </c>
      <c r="O857" s="113">
        <f t="shared" si="229"/>
        <v>848546</v>
      </c>
      <c r="P857" s="113">
        <v>0</v>
      </c>
      <c r="Q857" s="144">
        <f t="shared" si="231"/>
        <v>1868.6324598106144</v>
      </c>
      <c r="R857" s="114">
        <v>6774</v>
      </c>
      <c r="S857" s="326">
        <v>43465</v>
      </c>
    </row>
    <row r="858" spans="1:34" s="41" customFormat="1" ht="31.2">
      <c r="A858" s="107">
        <f>A857+1</f>
        <v>13</v>
      </c>
      <c r="B858" s="145" t="s">
        <v>395</v>
      </c>
      <c r="C858" s="131">
        <v>1969</v>
      </c>
      <c r="D858" s="132"/>
      <c r="E858" s="109" t="s">
        <v>218</v>
      </c>
      <c r="F858" s="131">
        <v>2</v>
      </c>
      <c r="G858" s="132">
        <v>2</v>
      </c>
      <c r="H858" s="141">
        <v>502.6</v>
      </c>
      <c r="I858" s="151">
        <v>471</v>
      </c>
      <c r="J858" s="142">
        <v>423.8</v>
      </c>
      <c r="K858" s="123">
        <v>21</v>
      </c>
      <c r="L858" s="113">
        <v>848706</v>
      </c>
      <c r="M858" s="113">
        <v>0</v>
      </c>
      <c r="N858" s="113">
        <v>0</v>
      </c>
      <c r="O858" s="113">
        <f t="shared" si="229"/>
        <v>848706</v>
      </c>
      <c r="P858" s="113">
        <v>0</v>
      </c>
      <c r="Q858" s="144">
        <f t="shared" si="231"/>
        <v>1801.9235668789809</v>
      </c>
      <c r="R858" s="114">
        <v>6774</v>
      </c>
      <c r="S858" s="326">
        <v>43465</v>
      </c>
    </row>
    <row r="859" spans="1:34" s="41" customFormat="1" ht="31.2">
      <c r="A859" s="107">
        <f>A858+1</f>
        <v>14</v>
      </c>
      <c r="B859" s="145" t="s">
        <v>396</v>
      </c>
      <c r="C859" s="131">
        <v>1973</v>
      </c>
      <c r="D859" s="132"/>
      <c r="E859" s="109" t="s">
        <v>218</v>
      </c>
      <c r="F859" s="131">
        <v>2</v>
      </c>
      <c r="G859" s="132">
        <v>2</v>
      </c>
      <c r="H859" s="141">
        <v>789.5</v>
      </c>
      <c r="I859" s="142">
        <v>729.5</v>
      </c>
      <c r="J859" s="142">
        <v>670.1</v>
      </c>
      <c r="K859" s="123">
        <v>39</v>
      </c>
      <c r="L859" s="113">
        <v>1180083</v>
      </c>
      <c r="M859" s="113">
        <v>0</v>
      </c>
      <c r="N859" s="113">
        <v>0</v>
      </c>
      <c r="O859" s="113">
        <f t="shared" si="229"/>
        <v>1180083</v>
      </c>
      <c r="P859" s="113">
        <v>0</v>
      </c>
      <c r="Q859" s="144">
        <f t="shared" si="231"/>
        <v>1617.6600411240577</v>
      </c>
      <c r="R859" s="114">
        <v>6774</v>
      </c>
      <c r="S859" s="326">
        <v>43465</v>
      </c>
    </row>
    <row r="860" spans="1:34" s="42" customFormat="1" ht="15.75" customHeight="1">
      <c r="A860" s="107"/>
      <c r="B860" s="1413" t="s">
        <v>210</v>
      </c>
      <c r="C860" s="1413"/>
      <c r="D860" s="1413"/>
      <c r="E860" s="1413"/>
      <c r="F860" s="1413"/>
      <c r="G860" s="1413"/>
      <c r="H860" s="106">
        <f>H861+H862</f>
        <v>3058</v>
      </c>
      <c r="I860" s="106">
        <f t="shared" ref="I860:P860" si="232">I861+I862</f>
        <v>2708.7</v>
      </c>
      <c r="J860" s="106">
        <f t="shared" si="232"/>
        <v>2585.9</v>
      </c>
      <c r="K860" s="119">
        <f t="shared" si="232"/>
        <v>118</v>
      </c>
      <c r="L860" s="113">
        <f t="shared" si="232"/>
        <v>2336158</v>
      </c>
      <c r="M860" s="113">
        <f t="shared" si="232"/>
        <v>0</v>
      </c>
      <c r="N860" s="113">
        <f t="shared" si="232"/>
        <v>1400000</v>
      </c>
      <c r="O860" s="113">
        <f t="shared" si="232"/>
        <v>936158</v>
      </c>
      <c r="P860" s="113">
        <f t="shared" si="232"/>
        <v>0</v>
      </c>
      <c r="Q860" s="106" t="s">
        <v>40</v>
      </c>
      <c r="R860" s="106" t="s">
        <v>40</v>
      </c>
      <c r="S860" s="326">
        <v>43465</v>
      </c>
    </row>
    <row r="861" spans="1:34" s="42" customFormat="1" ht="16.5" customHeight="1">
      <c r="A861" s="107">
        <f>A859+1</f>
        <v>15</v>
      </c>
      <c r="B861" s="140" t="s">
        <v>407</v>
      </c>
      <c r="C861" s="132">
        <v>1986</v>
      </c>
      <c r="D861" s="132"/>
      <c r="E861" s="109" t="s">
        <v>222</v>
      </c>
      <c r="F861" s="131">
        <v>3</v>
      </c>
      <c r="G861" s="132">
        <v>3</v>
      </c>
      <c r="H861" s="152">
        <v>1529</v>
      </c>
      <c r="I861" s="153">
        <v>1345.2</v>
      </c>
      <c r="J861" s="153">
        <v>1345.2</v>
      </c>
      <c r="K861" s="143">
        <v>60</v>
      </c>
      <c r="L861" s="113">
        <f>O861+N861</f>
        <v>1168079</v>
      </c>
      <c r="M861" s="113">
        <v>0</v>
      </c>
      <c r="N861" s="113">
        <v>700000</v>
      </c>
      <c r="O861" s="113">
        <v>468079</v>
      </c>
      <c r="P861" s="113">
        <v>0</v>
      </c>
      <c r="Q861" s="144">
        <f>L861/I861</f>
        <v>868.33110318168303</v>
      </c>
      <c r="R861" s="114">
        <v>6774</v>
      </c>
      <c r="S861" s="326">
        <v>43465</v>
      </c>
    </row>
    <row r="862" spans="1:34" s="42" customFormat="1" ht="18" customHeight="1">
      <c r="A862" s="107">
        <f>A861+1</f>
        <v>16</v>
      </c>
      <c r="B862" s="140" t="s">
        <v>408</v>
      </c>
      <c r="C862" s="132">
        <v>1986</v>
      </c>
      <c r="D862" s="132"/>
      <c r="E862" s="109" t="s">
        <v>222</v>
      </c>
      <c r="F862" s="131">
        <v>3</v>
      </c>
      <c r="G862" s="132">
        <v>3</v>
      </c>
      <c r="H862" s="152">
        <v>1529</v>
      </c>
      <c r="I862" s="153">
        <v>1363.5</v>
      </c>
      <c r="J862" s="153">
        <v>1240.7</v>
      </c>
      <c r="K862" s="143">
        <v>58</v>
      </c>
      <c r="L862" s="113">
        <f>O862+N862</f>
        <v>1168079</v>
      </c>
      <c r="M862" s="113">
        <v>0</v>
      </c>
      <c r="N862" s="113">
        <v>700000</v>
      </c>
      <c r="O862" s="113">
        <v>468079</v>
      </c>
      <c r="P862" s="113">
        <v>0</v>
      </c>
      <c r="Q862" s="144">
        <f>L862/I862</f>
        <v>856.67693436010268</v>
      </c>
      <c r="R862" s="114">
        <v>6774</v>
      </c>
      <c r="S862" s="326">
        <v>43465</v>
      </c>
    </row>
    <row r="863" spans="1:34" s="1" customFormat="1" ht="15.6">
      <c r="A863" s="107"/>
      <c r="B863" s="1411" t="s">
        <v>44</v>
      </c>
      <c r="C863" s="1411"/>
      <c r="D863" s="1411"/>
      <c r="E863" s="1411"/>
      <c r="F863" s="1411"/>
      <c r="G863" s="1411"/>
      <c r="H863" s="128">
        <f>H864</f>
        <v>520.9</v>
      </c>
      <c r="I863" s="106">
        <f t="shared" ref="I863:P864" si="233">I864</f>
        <v>520.9</v>
      </c>
      <c r="J863" s="106">
        <f t="shared" si="233"/>
        <v>295.10000000000002</v>
      </c>
      <c r="K863" s="119">
        <f t="shared" si="233"/>
        <v>25</v>
      </c>
      <c r="L863" s="113">
        <f>L864</f>
        <v>922687</v>
      </c>
      <c r="M863" s="113">
        <f t="shared" si="233"/>
        <v>0</v>
      </c>
      <c r="N863" s="113">
        <f t="shared" si="233"/>
        <v>0</v>
      </c>
      <c r="O863" s="113">
        <f t="shared" si="233"/>
        <v>922687</v>
      </c>
      <c r="P863" s="113">
        <f t="shared" si="233"/>
        <v>0</v>
      </c>
      <c r="Q863" s="106" t="s">
        <v>40</v>
      </c>
      <c r="R863" s="114" t="s">
        <v>40</v>
      </c>
      <c r="S863" s="326">
        <v>43465</v>
      </c>
    </row>
    <row r="864" spans="1:34" s="1" customFormat="1" ht="15.75" customHeight="1">
      <c r="A864" s="107"/>
      <c r="B864" s="1413" t="s">
        <v>435</v>
      </c>
      <c r="C864" s="1413"/>
      <c r="D864" s="1413"/>
      <c r="E864" s="1413"/>
      <c r="F864" s="1413"/>
      <c r="G864" s="1413"/>
      <c r="H864" s="128">
        <f>H865</f>
        <v>520.9</v>
      </c>
      <c r="I864" s="128">
        <f t="shared" si="233"/>
        <v>520.9</v>
      </c>
      <c r="J864" s="128">
        <f t="shared" si="233"/>
        <v>295.10000000000002</v>
      </c>
      <c r="K864" s="128">
        <f t="shared" si="233"/>
        <v>25</v>
      </c>
      <c r="L864" s="565">
        <f t="shared" si="233"/>
        <v>922687</v>
      </c>
      <c r="M864" s="565">
        <f t="shared" si="233"/>
        <v>0</v>
      </c>
      <c r="N864" s="565">
        <f t="shared" si="233"/>
        <v>0</v>
      </c>
      <c r="O864" s="565">
        <f t="shared" si="233"/>
        <v>922687</v>
      </c>
      <c r="P864" s="565">
        <f t="shared" si="233"/>
        <v>0</v>
      </c>
      <c r="Q864" s="106" t="s">
        <v>40</v>
      </c>
      <c r="R864" s="106" t="s">
        <v>40</v>
      </c>
      <c r="S864" s="326">
        <v>43465</v>
      </c>
    </row>
    <row r="865" spans="1:19" s="1" customFormat="1" ht="31.2">
      <c r="A865" s="318"/>
      <c r="B865" s="336" t="s">
        <v>767</v>
      </c>
      <c r="C865" s="318">
        <v>1972</v>
      </c>
      <c r="D865" s="320"/>
      <c r="E865" s="321" t="s">
        <v>218</v>
      </c>
      <c r="F865" s="320">
        <v>2</v>
      </c>
      <c r="G865" s="320">
        <v>2</v>
      </c>
      <c r="H865" s="322">
        <v>520.9</v>
      </c>
      <c r="I865" s="320">
        <v>520.9</v>
      </c>
      <c r="J865" s="320">
        <v>295.10000000000002</v>
      </c>
      <c r="K865" s="323">
        <v>25</v>
      </c>
      <c r="L865" s="324">
        <v>922687</v>
      </c>
      <c r="M865" s="324">
        <v>0</v>
      </c>
      <c r="N865" s="324">
        <v>0</v>
      </c>
      <c r="O865" s="324">
        <v>922687</v>
      </c>
      <c r="P865" s="324">
        <v>0</v>
      </c>
      <c r="Q865" s="663">
        <f>L865/I865</f>
        <v>1771.3323094643886</v>
      </c>
      <c r="R865" s="325">
        <v>7920</v>
      </c>
      <c r="S865" s="326">
        <v>43465</v>
      </c>
    </row>
    <row r="866" spans="1:19" s="1" customFormat="1" ht="15.6">
      <c r="A866" s="318"/>
      <c r="B866" s="336"/>
      <c r="C866" s="320"/>
      <c r="D866" s="320"/>
      <c r="E866" s="321"/>
      <c r="F866" s="320"/>
      <c r="G866" s="320"/>
      <c r="H866" s="322"/>
      <c r="I866" s="320"/>
      <c r="J866" s="320"/>
      <c r="K866" s="323"/>
      <c r="L866" s="324"/>
      <c r="M866" s="324"/>
      <c r="N866" s="324"/>
      <c r="O866" s="324"/>
      <c r="P866" s="324"/>
      <c r="Q866" s="325"/>
      <c r="R866" s="325"/>
      <c r="S866" s="326">
        <v>43465</v>
      </c>
    </row>
    <row r="867" spans="1:19" s="1" customFormat="1" ht="22.95" customHeight="1">
      <c r="A867" s="107"/>
      <c r="B867" s="1411" t="s">
        <v>45</v>
      </c>
      <c r="C867" s="1411"/>
      <c r="D867" s="1411"/>
      <c r="E867" s="1411"/>
      <c r="F867" s="1411"/>
      <c r="G867" s="1411"/>
      <c r="H867" s="128">
        <f>H868+H872+H874+H876+H878+H880</f>
        <v>7577.5</v>
      </c>
      <c r="I867" s="128">
        <f t="shared" ref="I867:P867" si="234">I868+I872+I874+I876+I878+I880</f>
        <v>6511.2799999999988</v>
      </c>
      <c r="J867" s="128">
        <f t="shared" si="234"/>
        <v>5997.3799999999992</v>
      </c>
      <c r="K867" s="128">
        <f t="shared" si="234"/>
        <v>291</v>
      </c>
      <c r="L867" s="565">
        <f t="shared" si="234"/>
        <v>8577331</v>
      </c>
      <c r="M867" s="565">
        <f t="shared" si="234"/>
        <v>0</v>
      </c>
      <c r="N867" s="565">
        <f t="shared" si="234"/>
        <v>0</v>
      </c>
      <c r="O867" s="565">
        <f t="shared" si="234"/>
        <v>8577331</v>
      </c>
      <c r="P867" s="565">
        <f t="shared" si="234"/>
        <v>0</v>
      </c>
      <c r="Q867" s="106" t="s">
        <v>40</v>
      </c>
      <c r="R867" s="114" t="s">
        <v>40</v>
      </c>
      <c r="S867" s="326">
        <v>43465</v>
      </c>
    </row>
    <row r="868" spans="1:19" s="1" customFormat="1" ht="15.6">
      <c r="A868" s="318"/>
      <c r="B868" s="1465" t="s">
        <v>98</v>
      </c>
      <c r="C868" s="1465"/>
      <c r="D868" s="1465"/>
      <c r="E868" s="1465"/>
      <c r="F868" s="1465"/>
      <c r="G868" s="1465"/>
      <c r="H868" s="341">
        <f t="shared" ref="H868:P868" si="235">SUM(H869:H871)</f>
        <v>1910.1999999999998</v>
      </c>
      <c r="I868" s="341">
        <f t="shared" si="235"/>
        <v>1758.1799999999998</v>
      </c>
      <c r="J868" s="341">
        <f t="shared" si="235"/>
        <v>1545.98</v>
      </c>
      <c r="K868" s="343">
        <f t="shared" si="235"/>
        <v>85</v>
      </c>
      <c r="L868" s="324">
        <f t="shared" si="235"/>
        <v>3345596</v>
      </c>
      <c r="M868" s="324">
        <f t="shared" si="235"/>
        <v>0</v>
      </c>
      <c r="N868" s="324">
        <f t="shared" si="235"/>
        <v>0</v>
      </c>
      <c r="O868" s="324">
        <f t="shared" si="235"/>
        <v>3345596</v>
      </c>
      <c r="P868" s="324">
        <f t="shared" si="235"/>
        <v>0</v>
      </c>
      <c r="Q868" s="344" t="s">
        <v>40</v>
      </c>
      <c r="R868" s="344" t="s">
        <v>40</v>
      </c>
      <c r="S868" s="326">
        <v>43465</v>
      </c>
    </row>
    <row r="869" spans="1:19" s="1" customFormat="1" ht="15.6">
      <c r="A869" s="318">
        <f>A866+1</f>
        <v>1</v>
      </c>
      <c r="B869" s="591" t="s">
        <v>795</v>
      </c>
      <c r="C869" s="318">
        <v>1940</v>
      </c>
      <c r="D869" s="320"/>
      <c r="E869" s="321" t="s">
        <v>221</v>
      </c>
      <c r="F869" s="592">
        <v>2</v>
      </c>
      <c r="G869" s="592">
        <v>2</v>
      </c>
      <c r="H869" s="587">
        <v>549.29999999999995</v>
      </c>
      <c r="I869" s="588">
        <v>502.9</v>
      </c>
      <c r="J869" s="589">
        <v>334.4</v>
      </c>
      <c r="K869" s="590">
        <v>23</v>
      </c>
      <c r="L869" s="324">
        <v>1012287</v>
      </c>
      <c r="M869" s="324">
        <v>0</v>
      </c>
      <c r="N869" s="324">
        <v>0</v>
      </c>
      <c r="O869" s="324">
        <v>1012287</v>
      </c>
      <c r="P869" s="324">
        <f>SUM(P876:P876)</f>
        <v>0</v>
      </c>
      <c r="Q869" s="325">
        <f>L869/I869</f>
        <v>2012.8991847285743</v>
      </c>
      <c r="R869" s="325">
        <v>7920</v>
      </c>
      <c r="S869" s="326">
        <v>43465</v>
      </c>
    </row>
    <row r="870" spans="1:19" s="1" customFormat="1" ht="15.6">
      <c r="A870" s="318">
        <f>A869+1</f>
        <v>2</v>
      </c>
      <c r="B870" s="591" t="s">
        <v>796</v>
      </c>
      <c r="C870" s="318"/>
      <c r="D870" s="320"/>
      <c r="E870" s="321" t="s">
        <v>221</v>
      </c>
      <c r="F870" s="592">
        <v>2</v>
      </c>
      <c r="G870" s="592">
        <v>2</v>
      </c>
      <c r="H870" s="587">
        <v>366.9</v>
      </c>
      <c r="I870" s="588">
        <v>345.7</v>
      </c>
      <c r="J870" s="589">
        <v>302</v>
      </c>
      <c r="K870" s="590">
        <v>18</v>
      </c>
      <c r="L870" s="324">
        <v>710003</v>
      </c>
      <c r="M870" s="324">
        <v>0</v>
      </c>
      <c r="N870" s="324">
        <v>0</v>
      </c>
      <c r="O870" s="324">
        <f>L870</f>
        <v>710003</v>
      </c>
      <c r="P870" s="324">
        <f>SUM(P871:P874)</f>
        <v>0</v>
      </c>
      <c r="Q870" s="325">
        <f>L870/I870</f>
        <v>2053.8125542377784</v>
      </c>
      <c r="R870" s="325">
        <v>7920</v>
      </c>
      <c r="S870" s="326">
        <v>43465</v>
      </c>
    </row>
    <row r="871" spans="1:19" s="1" customFormat="1" ht="31.2">
      <c r="A871" s="318">
        <f>A870+1</f>
        <v>3</v>
      </c>
      <c r="B871" s="591" t="s">
        <v>797</v>
      </c>
      <c r="C871" s="318">
        <v>1974</v>
      </c>
      <c r="D871" s="320"/>
      <c r="E871" s="321" t="s">
        <v>218</v>
      </c>
      <c r="F871" s="592">
        <v>2</v>
      </c>
      <c r="G871" s="592">
        <v>3</v>
      </c>
      <c r="H871" s="587">
        <v>994</v>
      </c>
      <c r="I871" s="588">
        <v>909.58</v>
      </c>
      <c r="J871" s="589">
        <v>909.58</v>
      </c>
      <c r="K871" s="590">
        <v>44</v>
      </c>
      <c r="L871" s="324">
        <v>1623306</v>
      </c>
      <c r="M871" s="324">
        <v>0</v>
      </c>
      <c r="N871" s="324">
        <v>0</v>
      </c>
      <c r="O871" s="324">
        <f>L871</f>
        <v>1623306</v>
      </c>
      <c r="P871" s="324">
        <f>SUM(P874:P879)</f>
        <v>0</v>
      </c>
      <c r="Q871" s="325">
        <f>L871/I871</f>
        <v>1784.6764440730885</v>
      </c>
      <c r="R871" s="325">
        <v>7920</v>
      </c>
      <c r="S871" s="326">
        <v>43465</v>
      </c>
    </row>
    <row r="872" spans="1:19" s="1" customFormat="1" ht="24.6" customHeight="1">
      <c r="A872" s="318"/>
      <c r="B872" s="1465" t="s">
        <v>688</v>
      </c>
      <c r="C872" s="1465"/>
      <c r="D872" s="1465"/>
      <c r="E872" s="1465"/>
      <c r="F872" s="1465"/>
      <c r="G872" s="1465"/>
      <c r="H872" s="587">
        <f>H873</f>
        <v>484.1</v>
      </c>
      <c r="I872" s="587">
        <f t="shared" ref="I872:P872" si="236">I873</f>
        <v>484.1</v>
      </c>
      <c r="J872" s="587">
        <f t="shared" si="236"/>
        <v>307.8</v>
      </c>
      <c r="K872" s="587">
        <f t="shared" si="236"/>
        <v>31</v>
      </c>
      <c r="L872" s="948">
        <f t="shared" si="236"/>
        <v>908962</v>
      </c>
      <c r="M872" s="948">
        <f t="shared" si="236"/>
        <v>0</v>
      </c>
      <c r="N872" s="948">
        <f t="shared" si="236"/>
        <v>0</v>
      </c>
      <c r="O872" s="948">
        <f t="shared" si="236"/>
        <v>908962</v>
      </c>
      <c r="P872" s="948">
        <f t="shared" si="236"/>
        <v>0</v>
      </c>
      <c r="Q872" s="344" t="s">
        <v>40</v>
      </c>
      <c r="R872" s="325" t="s">
        <v>40</v>
      </c>
      <c r="S872" s="326">
        <v>43465</v>
      </c>
    </row>
    <row r="873" spans="1:19" s="1" customFormat="1" ht="31.2">
      <c r="A873" s="318"/>
      <c r="B873" s="591" t="s">
        <v>690</v>
      </c>
      <c r="C873" s="318">
        <v>1960</v>
      </c>
      <c r="D873" s="320"/>
      <c r="E873" s="321" t="s">
        <v>218</v>
      </c>
      <c r="F873" s="592">
        <v>2</v>
      </c>
      <c r="G873" s="592">
        <v>3</v>
      </c>
      <c r="H873" s="587">
        <v>484.1</v>
      </c>
      <c r="I873" s="588">
        <v>484.1</v>
      </c>
      <c r="J873" s="589">
        <v>307.8</v>
      </c>
      <c r="K873" s="590">
        <v>31</v>
      </c>
      <c r="L873" s="324">
        <v>908962</v>
      </c>
      <c r="M873" s="324">
        <v>0</v>
      </c>
      <c r="N873" s="324">
        <v>0</v>
      </c>
      <c r="O873" s="324">
        <v>908962</v>
      </c>
      <c r="P873" s="324">
        <v>0</v>
      </c>
      <c r="Q873" s="325">
        <f t="shared" ref="Q873" si="237">L873/I873</f>
        <v>1877.6327205122907</v>
      </c>
      <c r="R873" s="325">
        <v>7920</v>
      </c>
      <c r="S873" s="326">
        <v>43465</v>
      </c>
    </row>
    <row r="874" spans="1:19" s="1" customFormat="1" ht="28.2" customHeight="1">
      <c r="A874" s="318"/>
      <c r="B874" s="1465" t="s">
        <v>99</v>
      </c>
      <c r="C874" s="1465"/>
      <c r="D874" s="1465"/>
      <c r="E874" s="1465"/>
      <c r="F874" s="1465"/>
      <c r="G874" s="1465"/>
      <c r="H874" s="341">
        <f>H875</f>
        <v>386.6</v>
      </c>
      <c r="I874" s="341">
        <f t="shared" ref="I874:P874" si="238">I875</f>
        <v>364.6</v>
      </c>
      <c r="J874" s="341">
        <f t="shared" si="238"/>
        <v>324.3</v>
      </c>
      <c r="K874" s="341">
        <f t="shared" si="238"/>
        <v>19</v>
      </c>
      <c r="L874" s="675">
        <f t="shared" si="238"/>
        <v>655569</v>
      </c>
      <c r="M874" s="675">
        <f t="shared" si="238"/>
        <v>0</v>
      </c>
      <c r="N874" s="675">
        <f t="shared" si="238"/>
        <v>0</v>
      </c>
      <c r="O874" s="675">
        <f t="shared" si="238"/>
        <v>655569</v>
      </c>
      <c r="P874" s="675">
        <f t="shared" si="238"/>
        <v>0</v>
      </c>
      <c r="Q874" s="344" t="s">
        <v>40</v>
      </c>
      <c r="R874" s="344" t="s">
        <v>40</v>
      </c>
      <c r="S874" s="326">
        <v>43465</v>
      </c>
    </row>
    <row r="875" spans="1:19" s="20" customFormat="1" ht="31.2">
      <c r="A875" s="318">
        <f>A871+1</f>
        <v>4</v>
      </c>
      <c r="B875" s="706" t="s">
        <v>800</v>
      </c>
      <c r="C875" s="375">
        <v>1955</v>
      </c>
      <c r="D875" s="375"/>
      <c r="E875" s="321" t="s">
        <v>218</v>
      </c>
      <c r="F875" s="375">
        <v>2</v>
      </c>
      <c r="G875" s="375">
        <v>2</v>
      </c>
      <c r="H875" s="694">
        <v>386.6</v>
      </c>
      <c r="I875" s="712">
        <v>364.6</v>
      </c>
      <c r="J875" s="712">
        <v>324.3</v>
      </c>
      <c r="K875" s="378">
        <v>19</v>
      </c>
      <c r="L875" s="324">
        <v>655569</v>
      </c>
      <c r="M875" s="324">
        <v>0</v>
      </c>
      <c r="N875" s="324">
        <v>0</v>
      </c>
      <c r="O875" s="324">
        <f>L875</f>
        <v>655569</v>
      </c>
      <c r="P875" s="324">
        <v>0</v>
      </c>
      <c r="Q875" s="379">
        <f>L875/I875</f>
        <v>1798.049917718047</v>
      </c>
      <c r="R875" s="325">
        <v>7920</v>
      </c>
      <c r="S875" s="326">
        <v>43465</v>
      </c>
    </row>
    <row r="876" spans="1:19" s="1" customFormat="1" ht="15.75" customHeight="1">
      <c r="A876" s="318"/>
      <c r="B876" s="1466" t="s">
        <v>100</v>
      </c>
      <c r="C876" s="1466"/>
      <c r="D876" s="1466"/>
      <c r="E876" s="1466"/>
      <c r="F876" s="1466"/>
      <c r="G876" s="1466"/>
      <c r="H876" s="587">
        <f>H877</f>
        <v>3324.5</v>
      </c>
      <c r="I876" s="418">
        <f t="shared" ref="I876:P876" si="239">I877</f>
        <v>3031.5</v>
      </c>
      <c r="J876" s="418">
        <f t="shared" si="239"/>
        <v>2946.4</v>
      </c>
      <c r="K876" s="596">
        <f t="shared" si="239"/>
        <v>127</v>
      </c>
      <c r="L876" s="324">
        <f t="shared" si="239"/>
        <v>2020412</v>
      </c>
      <c r="M876" s="324">
        <f t="shared" si="239"/>
        <v>0</v>
      </c>
      <c r="N876" s="324">
        <f>N877</f>
        <v>0</v>
      </c>
      <c r="O876" s="324">
        <f t="shared" si="239"/>
        <v>2020412</v>
      </c>
      <c r="P876" s="324">
        <f t="shared" si="239"/>
        <v>0</v>
      </c>
      <c r="Q876" s="325" t="s">
        <v>40</v>
      </c>
      <c r="R876" s="325" t="s">
        <v>40</v>
      </c>
      <c r="S876" s="326">
        <v>43465</v>
      </c>
    </row>
    <row r="877" spans="1:19" s="1" customFormat="1" ht="31.2">
      <c r="A877" s="318" t="e">
        <f>#REF!+1</f>
        <v>#REF!</v>
      </c>
      <c r="B877" s="591" t="s">
        <v>694</v>
      </c>
      <c r="C877" s="318">
        <v>1983</v>
      </c>
      <c r="D877" s="320"/>
      <c r="E877" s="321" t="s">
        <v>219</v>
      </c>
      <c r="F877" s="320">
        <v>5</v>
      </c>
      <c r="G877" s="320">
        <v>4</v>
      </c>
      <c r="H877" s="587">
        <v>3324.5</v>
      </c>
      <c r="I877" s="588">
        <v>3031.5</v>
      </c>
      <c r="J877" s="589">
        <v>2946.4</v>
      </c>
      <c r="K877" s="590">
        <v>127</v>
      </c>
      <c r="L877" s="324">
        <v>2020412</v>
      </c>
      <c r="M877" s="324">
        <v>0</v>
      </c>
      <c r="N877" s="324">
        <v>0</v>
      </c>
      <c r="O877" s="324">
        <v>2020412</v>
      </c>
      <c r="P877" s="324">
        <v>0</v>
      </c>
      <c r="Q877" s="325">
        <f>L877/I877</f>
        <v>666.4727032822035</v>
      </c>
      <c r="R877" s="325">
        <v>7920</v>
      </c>
      <c r="S877" s="326">
        <v>43465</v>
      </c>
    </row>
    <row r="878" spans="1:19" s="1" customFormat="1" ht="15.75" customHeight="1">
      <c r="A878" s="321"/>
      <c r="B878" s="1467" t="s">
        <v>101</v>
      </c>
      <c r="C878" s="1467"/>
      <c r="D878" s="1467"/>
      <c r="E878" s="1467"/>
      <c r="F878" s="1467"/>
      <c r="G878" s="1467"/>
      <c r="H878" s="587">
        <f>H879</f>
        <v>1472.1</v>
      </c>
      <c r="I878" s="587">
        <f t="shared" ref="I878:P878" si="240">I879</f>
        <v>872.9</v>
      </c>
      <c r="J878" s="587">
        <f t="shared" si="240"/>
        <v>872.9</v>
      </c>
      <c r="K878" s="587">
        <f t="shared" si="240"/>
        <v>29</v>
      </c>
      <c r="L878" s="948">
        <f t="shared" si="240"/>
        <v>1646792</v>
      </c>
      <c r="M878" s="948">
        <f t="shared" si="240"/>
        <v>0</v>
      </c>
      <c r="N878" s="948">
        <f t="shared" si="240"/>
        <v>0</v>
      </c>
      <c r="O878" s="948">
        <f t="shared" si="240"/>
        <v>1646792</v>
      </c>
      <c r="P878" s="948">
        <f t="shared" si="240"/>
        <v>0</v>
      </c>
      <c r="Q878" s="418" t="s">
        <v>40</v>
      </c>
      <c r="R878" s="418" t="s">
        <v>40</v>
      </c>
      <c r="S878" s="326">
        <v>43465</v>
      </c>
    </row>
    <row r="879" spans="1:19" s="20" customFormat="1" ht="31.2">
      <c r="A879" s="321" t="e">
        <f>A877+1</f>
        <v>#REF!</v>
      </c>
      <c r="B879" s="843" t="s">
        <v>924</v>
      </c>
      <c r="C879" s="321">
        <v>1984</v>
      </c>
      <c r="D879" s="321"/>
      <c r="E879" s="321" t="s">
        <v>218</v>
      </c>
      <c r="F879" s="321">
        <v>2</v>
      </c>
      <c r="G879" s="321">
        <v>2</v>
      </c>
      <c r="H879" s="879">
        <v>1472.1</v>
      </c>
      <c r="I879" s="588">
        <v>872.9</v>
      </c>
      <c r="J879" s="588">
        <v>872.9</v>
      </c>
      <c r="K879" s="420">
        <v>29</v>
      </c>
      <c r="L879" s="324">
        <v>1646792</v>
      </c>
      <c r="M879" s="324">
        <v>0</v>
      </c>
      <c r="N879" s="324">
        <v>0</v>
      </c>
      <c r="O879" s="324">
        <f>L879</f>
        <v>1646792</v>
      </c>
      <c r="P879" s="324">
        <v>0</v>
      </c>
      <c r="Q879" s="588">
        <f>L879/I879</f>
        <v>1886.5757818765037</v>
      </c>
      <c r="R879" s="418">
        <v>7920</v>
      </c>
      <c r="S879" s="326">
        <v>43465</v>
      </c>
    </row>
    <row r="880" spans="1:19" s="20" customFormat="1" ht="15.75" customHeight="1">
      <c r="A880" s="318"/>
      <c r="B880" s="1468" t="s">
        <v>126</v>
      </c>
      <c r="C880" s="1468"/>
      <c r="D880" s="1468"/>
      <c r="E880" s="1468"/>
      <c r="F880" s="1468"/>
      <c r="G880" s="1468"/>
      <c r="H880" s="694">
        <f>H881</f>
        <v>0</v>
      </c>
      <c r="I880" s="375">
        <f t="shared" ref="I880:P880" si="241">I881</f>
        <v>0</v>
      </c>
      <c r="J880" s="375">
        <f t="shared" si="241"/>
        <v>0</v>
      </c>
      <c r="K880" s="378">
        <f t="shared" si="241"/>
        <v>0</v>
      </c>
      <c r="L880" s="324">
        <f t="shared" si="241"/>
        <v>0</v>
      </c>
      <c r="M880" s="324">
        <f t="shared" si="241"/>
        <v>0</v>
      </c>
      <c r="N880" s="324">
        <f t="shared" si="241"/>
        <v>0</v>
      </c>
      <c r="O880" s="324">
        <f t="shared" si="241"/>
        <v>0</v>
      </c>
      <c r="P880" s="324">
        <f t="shared" si="241"/>
        <v>0</v>
      </c>
      <c r="Q880" s="379" t="s">
        <v>40</v>
      </c>
      <c r="R880" s="375" t="s">
        <v>40</v>
      </c>
      <c r="S880" s="326">
        <v>43465</v>
      </c>
    </row>
    <row r="881" spans="1:19" s="1" customFormat="1" ht="15.6">
      <c r="A881" s="318"/>
      <c r="B881" s="618"/>
      <c r="C881" s="318"/>
      <c r="D881" s="318"/>
      <c r="E881" s="321"/>
      <c r="F881" s="318"/>
      <c r="G881" s="318"/>
      <c r="H881" s="760"/>
      <c r="I881" s="318"/>
      <c r="J881" s="318"/>
      <c r="K881" s="590"/>
      <c r="L881" s="324"/>
      <c r="M881" s="324"/>
      <c r="N881" s="324"/>
      <c r="O881" s="324"/>
      <c r="P881" s="324"/>
      <c r="Q881" s="379"/>
      <c r="R881" s="325"/>
      <c r="S881" s="326"/>
    </row>
    <row r="882" spans="1:19" s="1" customFormat="1" ht="15.6">
      <c r="A882" s="107"/>
      <c r="B882" s="1411" t="s">
        <v>46</v>
      </c>
      <c r="C882" s="1411"/>
      <c r="D882" s="1411"/>
      <c r="E882" s="1411"/>
      <c r="F882" s="1411"/>
      <c r="G882" s="1411"/>
      <c r="H882" s="128">
        <f>H883</f>
        <v>459.1</v>
      </c>
      <c r="I882" s="106">
        <f t="shared" ref="I882:P882" si="242">I883</f>
        <v>410.7</v>
      </c>
      <c r="J882" s="106">
        <f t="shared" si="242"/>
        <v>353.4</v>
      </c>
      <c r="K882" s="119">
        <f t="shared" si="242"/>
        <v>18</v>
      </c>
      <c r="L882" s="113">
        <f t="shared" si="242"/>
        <v>674133</v>
      </c>
      <c r="M882" s="113">
        <f t="shared" si="242"/>
        <v>0</v>
      </c>
      <c r="N882" s="113">
        <f t="shared" si="242"/>
        <v>0</v>
      </c>
      <c r="O882" s="113">
        <f t="shared" si="242"/>
        <v>674133</v>
      </c>
      <c r="P882" s="113">
        <f t="shared" si="242"/>
        <v>0</v>
      </c>
      <c r="Q882" s="106" t="s">
        <v>40</v>
      </c>
      <c r="R882" s="106" t="s">
        <v>40</v>
      </c>
      <c r="S882" s="326">
        <v>43465</v>
      </c>
    </row>
    <row r="883" spans="1:19" s="1" customFormat="1" ht="15.6">
      <c r="A883" s="107"/>
      <c r="B883" s="1411" t="s">
        <v>102</v>
      </c>
      <c r="C883" s="1411"/>
      <c r="D883" s="1411"/>
      <c r="E883" s="1411"/>
      <c r="F883" s="1411"/>
      <c r="G883" s="1411"/>
      <c r="H883" s="128">
        <f>H884+H885</f>
        <v>459.1</v>
      </c>
      <c r="I883" s="106">
        <f t="shared" ref="I883:N883" si="243">I884+I885</f>
        <v>410.7</v>
      </c>
      <c r="J883" s="106">
        <f t="shared" si="243"/>
        <v>353.4</v>
      </c>
      <c r="K883" s="119">
        <f t="shared" si="243"/>
        <v>18</v>
      </c>
      <c r="L883" s="113">
        <f t="shared" si="243"/>
        <v>674133</v>
      </c>
      <c r="M883" s="113">
        <f t="shared" si="243"/>
        <v>0</v>
      </c>
      <c r="N883" s="113">
        <f t="shared" si="243"/>
        <v>0</v>
      </c>
      <c r="O883" s="113">
        <f>O884+O885</f>
        <v>674133</v>
      </c>
      <c r="P883" s="113">
        <f t="shared" ref="P883" si="244">P884+P885</f>
        <v>0</v>
      </c>
      <c r="Q883" s="106" t="s">
        <v>40</v>
      </c>
      <c r="R883" s="106" t="s">
        <v>40</v>
      </c>
      <c r="S883" s="326">
        <v>43465</v>
      </c>
    </row>
    <row r="884" spans="1:19" s="1" customFormat="1" ht="15.6">
      <c r="A884" s="318">
        <f>A881+1</f>
        <v>1</v>
      </c>
      <c r="B884" s="319" t="s">
        <v>484</v>
      </c>
      <c r="C884" s="320">
        <v>1958</v>
      </c>
      <c r="D884" s="359"/>
      <c r="E884" s="321" t="s">
        <v>222</v>
      </c>
      <c r="F884" s="320">
        <v>2</v>
      </c>
      <c r="G884" s="320">
        <v>2</v>
      </c>
      <c r="H884" s="322">
        <v>459.1</v>
      </c>
      <c r="I884" s="360">
        <v>410.7</v>
      </c>
      <c r="J884" s="320">
        <v>353.4</v>
      </c>
      <c r="K884" s="323">
        <v>18</v>
      </c>
      <c r="L884" s="324">
        <v>674133</v>
      </c>
      <c r="M884" s="324">
        <v>0</v>
      </c>
      <c r="N884" s="324">
        <v>0</v>
      </c>
      <c r="O884" s="324">
        <v>674133</v>
      </c>
      <c r="P884" s="324">
        <v>0</v>
      </c>
      <c r="Q884" s="325">
        <f>L884/I884</f>
        <v>1641.4243973703433</v>
      </c>
      <c r="R884" s="325">
        <v>7920</v>
      </c>
      <c r="S884" s="326">
        <v>43465</v>
      </c>
    </row>
    <row r="885" spans="1:19" s="1" customFormat="1" ht="15.6">
      <c r="A885" s="107"/>
      <c r="B885" s="301"/>
      <c r="C885" s="108"/>
      <c r="D885" s="156"/>
      <c r="E885" s="109"/>
      <c r="F885" s="108"/>
      <c r="G885" s="108"/>
      <c r="H885" s="111"/>
      <c r="I885" s="108"/>
      <c r="J885" s="108"/>
      <c r="K885" s="112"/>
      <c r="L885" s="113"/>
      <c r="M885" s="113"/>
      <c r="N885" s="113"/>
      <c r="O885" s="113"/>
      <c r="P885" s="113"/>
      <c r="Q885" s="114"/>
      <c r="R885" s="114"/>
      <c r="S885" s="326"/>
    </row>
    <row r="886" spans="1:19" s="1" customFormat="1" ht="15.6">
      <c r="A886" s="107"/>
      <c r="B886" s="1411" t="s">
        <v>47</v>
      </c>
      <c r="C886" s="1411"/>
      <c r="D886" s="1411"/>
      <c r="E886" s="1411"/>
      <c r="F886" s="1411"/>
      <c r="G886" s="1411"/>
      <c r="H886" s="128">
        <f>H887</f>
        <v>597</v>
      </c>
      <c r="I886" s="106">
        <f t="shared" ref="I886:P887" si="245">I887</f>
        <v>553.20000000000005</v>
      </c>
      <c r="J886" s="106">
        <f t="shared" si="245"/>
        <v>553.20000000000005</v>
      </c>
      <c r="K886" s="119">
        <f t="shared" si="245"/>
        <v>22</v>
      </c>
      <c r="L886" s="113">
        <f t="shared" si="245"/>
        <v>1786109</v>
      </c>
      <c r="M886" s="113">
        <f>M887</f>
        <v>0</v>
      </c>
      <c r="N886" s="113">
        <f t="shared" si="245"/>
        <v>0</v>
      </c>
      <c r="O886" s="113">
        <f t="shared" si="245"/>
        <v>1786109</v>
      </c>
      <c r="P886" s="113">
        <f t="shared" si="245"/>
        <v>0</v>
      </c>
      <c r="Q886" s="106" t="s">
        <v>40</v>
      </c>
      <c r="R886" s="114" t="s">
        <v>40</v>
      </c>
      <c r="S886" s="326">
        <v>43465</v>
      </c>
    </row>
    <row r="887" spans="1:19" s="1" customFormat="1" ht="15.6">
      <c r="A887" s="318"/>
      <c r="B887" s="1465" t="s">
        <v>103</v>
      </c>
      <c r="C887" s="1465"/>
      <c r="D887" s="1465"/>
      <c r="E887" s="1465"/>
      <c r="F887" s="1465"/>
      <c r="G887" s="1465"/>
      <c r="H887" s="341">
        <f>H888</f>
        <v>597</v>
      </c>
      <c r="I887" s="341">
        <f t="shared" si="245"/>
        <v>553.20000000000005</v>
      </c>
      <c r="J887" s="341">
        <f t="shared" si="245"/>
        <v>553.20000000000005</v>
      </c>
      <c r="K887" s="341">
        <f t="shared" si="245"/>
        <v>22</v>
      </c>
      <c r="L887" s="675">
        <f t="shared" si="245"/>
        <v>1786109</v>
      </c>
      <c r="M887" s="675">
        <f t="shared" si="245"/>
        <v>0</v>
      </c>
      <c r="N887" s="675">
        <f t="shared" si="245"/>
        <v>0</v>
      </c>
      <c r="O887" s="675">
        <f t="shared" si="245"/>
        <v>1786109</v>
      </c>
      <c r="P887" s="675">
        <f t="shared" si="245"/>
        <v>0</v>
      </c>
      <c r="Q887" s="344" t="s">
        <v>40</v>
      </c>
      <c r="R887" s="344" t="s">
        <v>40</v>
      </c>
      <c r="S887" s="326">
        <v>43465</v>
      </c>
    </row>
    <row r="888" spans="1:19" s="1" customFormat="1" ht="31.2">
      <c r="A888" s="318">
        <f>A885+1</f>
        <v>1</v>
      </c>
      <c r="B888" s="938" t="s">
        <v>878</v>
      </c>
      <c r="C888" s="554" t="s">
        <v>879</v>
      </c>
      <c r="D888" s="554"/>
      <c r="E888" s="321" t="s">
        <v>218</v>
      </c>
      <c r="F888" s="320">
        <v>2</v>
      </c>
      <c r="G888" s="320">
        <v>2</v>
      </c>
      <c r="H888" s="587">
        <v>597</v>
      </c>
      <c r="I888" s="418">
        <v>553.20000000000005</v>
      </c>
      <c r="J888" s="418">
        <v>553.20000000000005</v>
      </c>
      <c r="K888" s="323">
        <v>22</v>
      </c>
      <c r="L888" s="324">
        <v>1786109</v>
      </c>
      <c r="M888" s="324">
        <v>0</v>
      </c>
      <c r="N888" s="324">
        <v>0</v>
      </c>
      <c r="O888" s="324">
        <v>1786109</v>
      </c>
      <c r="P888" s="324">
        <v>0</v>
      </c>
      <c r="Q888" s="418">
        <f>L888/I888</f>
        <v>3228.6858279103394</v>
      </c>
      <c r="R888" s="325">
        <v>7920</v>
      </c>
      <c r="S888" s="326">
        <v>43465</v>
      </c>
    </row>
    <row r="889" spans="1:19" s="1" customFormat="1" ht="15.6">
      <c r="A889" s="107"/>
      <c r="B889" s="1411" t="s">
        <v>48</v>
      </c>
      <c r="C889" s="1411"/>
      <c r="D889" s="1411"/>
      <c r="E889" s="1411"/>
      <c r="F889" s="1411"/>
      <c r="G889" s="1411"/>
      <c r="H889" s="128">
        <f t="shared" ref="H889:P889" si="246">H890+H894</f>
        <v>1595.8000000000002</v>
      </c>
      <c r="I889" s="106">
        <f t="shared" si="246"/>
        <v>1449</v>
      </c>
      <c r="J889" s="106">
        <f t="shared" si="246"/>
        <v>1359.9</v>
      </c>
      <c r="K889" s="119">
        <f t="shared" si="246"/>
        <v>74</v>
      </c>
      <c r="L889" s="113">
        <f t="shared" si="246"/>
        <v>2857043</v>
      </c>
      <c r="M889" s="113">
        <f t="shared" si="246"/>
        <v>0</v>
      </c>
      <c r="N889" s="113">
        <f t="shared" si="246"/>
        <v>414501.02</v>
      </c>
      <c r="O889" s="113">
        <f t="shared" si="246"/>
        <v>2442541.98</v>
      </c>
      <c r="P889" s="113">
        <f t="shared" si="246"/>
        <v>0</v>
      </c>
      <c r="Q889" s="106" t="s">
        <v>40</v>
      </c>
      <c r="R889" s="114" t="s">
        <v>40</v>
      </c>
      <c r="S889" s="326">
        <v>43465</v>
      </c>
    </row>
    <row r="890" spans="1:19" s="1" customFormat="1" ht="15.6">
      <c r="A890" s="318"/>
      <c r="B890" s="1465" t="s">
        <v>107</v>
      </c>
      <c r="C890" s="1465"/>
      <c r="D890" s="1465"/>
      <c r="E890" s="1465"/>
      <c r="F890" s="1465"/>
      <c r="G890" s="1465"/>
      <c r="H890" s="341">
        <f>SUM(H891:H892)</f>
        <v>1330.3000000000002</v>
      </c>
      <c r="I890" s="341">
        <f t="shared" ref="I890:P890" si="247">SUM(I891:I892)</f>
        <v>1206.0999999999999</v>
      </c>
      <c r="J890" s="341">
        <f t="shared" si="247"/>
        <v>1117</v>
      </c>
      <c r="K890" s="341">
        <f t="shared" si="247"/>
        <v>72</v>
      </c>
      <c r="L890" s="675">
        <f t="shared" si="247"/>
        <v>2303204</v>
      </c>
      <c r="M890" s="675">
        <f t="shared" si="247"/>
        <v>0</v>
      </c>
      <c r="N890" s="675">
        <f t="shared" si="247"/>
        <v>0</v>
      </c>
      <c r="O890" s="675">
        <f t="shared" si="247"/>
        <v>2303204</v>
      </c>
      <c r="P890" s="675">
        <f t="shared" si="247"/>
        <v>0</v>
      </c>
      <c r="Q890" s="344" t="s">
        <v>40</v>
      </c>
      <c r="R890" s="344" t="s">
        <v>40</v>
      </c>
      <c r="S890" s="326">
        <v>43465</v>
      </c>
    </row>
    <row r="891" spans="1:19" s="1" customFormat="1" ht="31.2">
      <c r="A891" s="318" t="e">
        <f>#REF!+1</f>
        <v>#REF!</v>
      </c>
      <c r="B891" s="591" t="s">
        <v>772</v>
      </c>
      <c r="C891" s="671">
        <v>1968</v>
      </c>
      <c r="D891" s="671"/>
      <c r="E891" s="321" t="s">
        <v>218</v>
      </c>
      <c r="F891" s="671">
        <v>5</v>
      </c>
      <c r="G891" s="671">
        <v>4</v>
      </c>
      <c r="H891" s="672">
        <v>541.20000000000005</v>
      </c>
      <c r="I891" s="673">
        <v>476.4</v>
      </c>
      <c r="J891" s="673">
        <v>387.3</v>
      </c>
      <c r="K891" s="674">
        <v>39</v>
      </c>
      <c r="L891" s="324">
        <v>1572372</v>
      </c>
      <c r="M891" s="324">
        <v>0</v>
      </c>
      <c r="N891" s="324">
        <v>0</v>
      </c>
      <c r="O891" s="324">
        <f>L891</f>
        <v>1572372</v>
      </c>
      <c r="P891" s="324">
        <v>0</v>
      </c>
      <c r="Q891" s="344">
        <f>L891/I891</f>
        <v>3300.5289672544081</v>
      </c>
      <c r="R891" s="325">
        <v>7920</v>
      </c>
      <c r="S891" s="326">
        <v>43465</v>
      </c>
    </row>
    <row r="892" spans="1:19" s="28" customFormat="1" ht="31.2">
      <c r="A892" s="318" t="e">
        <f t="shared" si="230"/>
        <v>#REF!</v>
      </c>
      <c r="B892" s="591" t="s">
        <v>773</v>
      </c>
      <c r="C892" s="340">
        <v>1980</v>
      </c>
      <c r="D892" s="340"/>
      <c r="E892" s="321" t="s">
        <v>218</v>
      </c>
      <c r="F892" s="340">
        <v>2</v>
      </c>
      <c r="G892" s="340">
        <v>2</v>
      </c>
      <c r="H892" s="341">
        <v>789.1</v>
      </c>
      <c r="I892" s="344">
        <v>729.7</v>
      </c>
      <c r="J892" s="344">
        <v>729.7</v>
      </c>
      <c r="K892" s="343">
        <v>33</v>
      </c>
      <c r="L892" s="324">
        <v>730832</v>
      </c>
      <c r="M892" s="324">
        <v>0</v>
      </c>
      <c r="N892" s="324">
        <v>0</v>
      </c>
      <c r="O892" s="324">
        <f>L892</f>
        <v>730832</v>
      </c>
      <c r="P892" s="324">
        <v>0</v>
      </c>
      <c r="Q892" s="344">
        <f>L892/I892</f>
        <v>1001.5513224612854</v>
      </c>
      <c r="R892" s="325">
        <v>7920</v>
      </c>
      <c r="S892" s="326">
        <v>43465</v>
      </c>
    </row>
    <row r="893" spans="1:19" s="28" customFormat="1" ht="15.6">
      <c r="A893" s="107"/>
      <c r="B893" s="161"/>
      <c r="C893" s="158"/>
      <c r="D893" s="158"/>
      <c r="E893" s="109"/>
      <c r="F893" s="158"/>
      <c r="G893" s="158"/>
      <c r="H893" s="159"/>
      <c r="I893" s="157"/>
      <c r="J893" s="157"/>
      <c r="K893" s="160"/>
      <c r="L893" s="113"/>
      <c r="M893" s="113"/>
      <c r="N893" s="113"/>
      <c r="O893" s="113"/>
      <c r="P893" s="113"/>
      <c r="Q893" s="106"/>
      <c r="R893" s="114"/>
      <c r="S893" s="326"/>
    </row>
    <row r="894" spans="1:19" s="1" customFormat="1" ht="15.75" customHeight="1">
      <c r="A894" s="107"/>
      <c r="B894" s="1413" t="s">
        <v>104</v>
      </c>
      <c r="C894" s="1413"/>
      <c r="D894" s="1413"/>
      <c r="E894" s="1413"/>
      <c r="F894" s="1413"/>
      <c r="G894" s="1413"/>
      <c r="H894" s="128">
        <f>H895</f>
        <v>265.5</v>
      </c>
      <c r="I894" s="106">
        <f t="shared" ref="I894:P894" si="248">I895</f>
        <v>242.9</v>
      </c>
      <c r="J894" s="106">
        <f t="shared" si="248"/>
        <v>242.9</v>
      </c>
      <c r="K894" s="119">
        <f t="shared" si="248"/>
        <v>2</v>
      </c>
      <c r="L894" s="113">
        <f t="shared" si="248"/>
        <v>553839</v>
      </c>
      <c r="M894" s="113">
        <f t="shared" si="248"/>
        <v>0</v>
      </c>
      <c r="N894" s="113">
        <f t="shared" si="248"/>
        <v>414501.02</v>
      </c>
      <c r="O894" s="113">
        <f t="shared" si="248"/>
        <v>139337.98000000001</v>
      </c>
      <c r="P894" s="113">
        <f t="shared" si="248"/>
        <v>0</v>
      </c>
      <c r="Q894" s="106" t="s">
        <v>40</v>
      </c>
      <c r="R894" s="114" t="s">
        <v>40</v>
      </c>
      <c r="S894" s="326">
        <v>43465</v>
      </c>
    </row>
    <row r="895" spans="1:19" s="1" customFormat="1" ht="31.2">
      <c r="A895" s="107">
        <f>A893+1</f>
        <v>1</v>
      </c>
      <c r="B895" s="301" t="s">
        <v>458</v>
      </c>
      <c r="C895" s="110">
        <v>1953</v>
      </c>
      <c r="D895" s="108"/>
      <c r="E895" s="109" t="s">
        <v>218</v>
      </c>
      <c r="F895" s="108">
        <v>2</v>
      </c>
      <c r="G895" s="108">
        <v>1</v>
      </c>
      <c r="H895" s="111">
        <v>265.5</v>
      </c>
      <c r="I895" s="108">
        <v>242.9</v>
      </c>
      <c r="J895" s="108">
        <v>242.9</v>
      </c>
      <c r="K895" s="112">
        <v>2</v>
      </c>
      <c r="L895" s="113">
        <f>N895+O895</f>
        <v>553839</v>
      </c>
      <c r="M895" s="113">
        <v>0</v>
      </c>
      <c r="N895" s="113">
        <v>414501.02</v>
      </c>
      <c r="O895" s="113">
        <v>139337.98000000001</v>
      </c>
      <c r="P895" s="113">
        <v>0</v>
      </c>
      <c r="Q895" s="114">
        <f>L895/I895</f>
        <v>2280.1111568546726</v>
      </c>
      <c r="R895" s="114">
        <v>6774</v>
      </c>
      <c r="S895" s="326">
        <v>43465</v>
      </c>
    </row>
    <row r="896" spans="1:19" s="1" customFormat="1" ht="15.6">
      <c r="A896" s="107"/>
      <c r="B896" s="1469" t="s">
        <v>49</v>
      </c>
      <c r="C896" s="1469"/>
      <c r="D896" s="1469"/>
      <c r="E896" s="1469"/>
      <c r="F896" s="1469"/>
      <c r="G896" s="1469"/>
      <c r="H896" s="128">
        <f>H897+H900+H903+H905</f>
        <v>3572.5</v>
      </c>
      <c r="I896" s="128">
        <f t="shared" ref="I896:P896" si="249">I897+I900+I903+I905</f>
        <v>3050.2000000000003</v>
      </c>
      <c r="J896" s="128">
        <f t="shared" si="249"/>
        <v>3006.9</v>
      </c>
      <c r="K896" s="162">
        <f t="shared" si="249"/>
        <v>171</v>
      </c>
      <c r="L896" s="113">
        <f t="shared" si="249"/>
        <v>6285922.7999999998</v>
      </c>
      <c r="M896" s="113">
        <f t="shared" si="249"/>
        <v>0</v>
      </c>
      <c r="N896" s="113">
        <f t="shared" si="249"/>
        <v>59804</v>
      </c>
      <c r="O896" s="113">
        <f t="shared" si="249"/>
        <v>6226118.7999999998</v>
      </c>
      <c r="P896" s="113">
        <f t="shared" si="249"/>
        <v>0</v>
      </c>
      <c r="Q896" s="106" t="s">
        <v>40</v>
      </c>
      <c r="R896" s="114" t="s">
        <v>40</v>
      </c>
      <c r="S896" s="326">
        <v>43465</v>
      </c>
    </row>
    <row r="897" spans="1:34" s="1" customFormat="1" ht="15.6">
      <c r="A897" s="107"/>
      <c r="B897" s="1411" t="s">
        <v>105</v>
      </c>
      <c r="C897" s="1411"/>
      <c r="D897" s="1411"/>
      <c r="E897" s="1411"/>
      <c r="F897" s="1411"/>
      <c r="G897" s="1411"/>
      <c r="H897" s="128">
        <f>H898+H899</f>
        <v>722</v>
      </c>
      <c r="I897" s="162">
        <f t="shared" ref="I897:J897" si="250">I898+I899</f>
        <v>475.1</v>
      </c>
      <c r="J897" s="162">
        <f t="shared" si="250"/>
        <v>431.8</v>
      </c>
      <c r="K897" s="119">
        <f>K898+K899</f>
        <v>39</v>
      </c>
      <c r="L897" s="113">
        <f t="shared" ref="L897:P897" si="251">L898+L899</f>
        <v>1753559</v>
      </c>
      <c r="M897" s="113">
        <f t="shared" si="251"/>
        <v>0</v>
      </c>
      <c r="N897" s="113">
        <f t="shared" si="251"/>
        <v>0</v>
      </c>
      <c r="O897" s="113">
        <f t="shared" si="251"/>
        <v>1753559</v>
      </c>
      <c r="P897" s="113">
        <f t="shared" si="251"/>
        <v>0</v>
      </c>
      <c r="Q897" s="106" t="s">
        <v>40</v>
      </c>
      <c r="R897" s="106" t="s">
        <v>40</v>
      </c>
      <c r="S897" s="326">
        <v>43465</v>
      </c>
    </row>
    <row r="898" spans="1:34" s="1" customFormat="1" ht="31.2">
      <c r="A898" s="318">
        <f>A895+1</f>
        <v>2</v>
      </c>
      <c r="B898" s="339" t="s">
        <v>482</v>
      </c>
      <c r="C898" s="340">
        <v>1968</v>
      </c>
      <c r="D898" s="340"/>
      <c r="E898" s="321" t="s">
        <v>218</v>
      </c>
      <c r="F898" s="340">
        <v>2</v>
      </c>
      <c r="G898" s="340">
        <v>2</v>
      </c>
      <c r="H898" s="341">
        <v>722</v>
      </c>
      <c r="I898" s="342">
        <v>475.1</v>
      </c>
      <c r="J898" s="342">
        <v>431.8</v>
      </c>
      <c r="K898" s="343">
        <v>39</v>
      </c>
      <c r="L898" s="324">
        <v>1753559</v>
      </c>
      <c r="M898" s="324">
        <v>0</v>
      </c>
      <c r="N898" s="324">
        <v>0</v>
      </c>
      <c r="O898" s="324">
        <f>L898</f>
        <v>1753559</v>
      </c>
      <c r="P898" s="324">
        <v>0</v>
      </c>
      <c r="Q898" s="344">
        <f>L898/I898</f>
        <v>3690.9261208166699</v>
      </c>
      <c r="R898" s="325">
        <v>7920</v>
      </c>
      <c r="S898" s="326">
        <v>43465</v>
      </c>
    </row>
    <row r="899" spans="1:34" s="1" customFormat="1" ht="15.6">
      <c r="A899" s="107"/>
      <c r="B899" s="307"/>
      <c r="C899" s="118"/>
      <c r="D899" s="118"/>
      <c r="E899" s="109"/>
      <c r="F899" s="118"/>
      <c r="G899" s="118"/>
      <c r="H899" s="128"/>
      <c r="I899" s="106"/>
      <c r="J899" s="118"/>
      <c r="K899" s="119"/>
      <c r="L899" s="113"/>
      <c r="M899" s="113"/>
      <c r="N899" s="113"/>
      <c r="O899" s="113"/>
      <c r="P899" s="113"/>
      <c r="Q899" s="106"/>
      <c r="R899" s="114"/>
      <c r="S899" s="326"/>
    </row>
    <row r="900" spans="1:34" s="1" customFormat="1" ht="15.75" customHeight="1">
      <c r="A900" s="107"/>
      <c r="B900" s="1413" t="s">
        <v>188</v>
      </c>
      <c r="C900" s="1413"/>
      <c r="D900" s="1413"/>
      <c r="E900" s="1413"/>
      <c r="F900" s="1413"/>
      <c r="G900" s="1413"/>
      <c r="H900" s="128">
        <f>H901+H902</f>
        <v>1595.1</v>
      </c>
      <c r="I900" s="128">
        <f t="shared" ref="I900:J900" si="252">I901+I902</f>
        <v>1431.3</v>
      </c>
      <c r="J900" s="128">
        <f t="shared" si="252"/>
        <v>1431.3</v>
      </c>
      <c r="K900" s="162">
        <f>K901+K902</f>
        <v>87</v>
      </c>
      <c r="L900" s="113">
        <f t="shared" ref="L900:P900" si="253">L901+L902</f>
        <v>1905804</v>
      </c>
      <c r="M900" s="113">
        <f t="shared" si="253"/>
        <v>0</v>
      </c>
      <c r="N900" s="113">
        <f t="shared" si="253"/>
        <v>59804</v>
      </c>
      <c r="O900" s="113">
        <f t="shared" si="253"/>
        <v>1846000</v>
      </c>
      <c r="P900" s="113">
        <f t="shared" si="253"/>
        <v>0</v>
      </c>
      <c r="Q900" s="106" t="s">
        <v>40</v>
      </c>
      <c r="R900" s="114" t="s">
        <v>40</v>
      </c>
      <c r="S900" s="326">
        <v>43465</v>
      </c>
    </row>
    <row r="901" spans="1:34" s="1" customFormat="1" ht="15.6">
      <c r="A901" s="107">
        <f>A899+1</f>
        <v>1</v>
      </c>
      <c r="B901" s="300" t="s">
        <v>410</v>
      </c>
      <c r="C901" s="302">
        <v>1968</v>
      </c>
      <c r="D901" s="118"/>
      <c r="E901" s="109" t="s">
        <v>219</v>
      </c>
      <c r="F901" s="118">
        <v>2</v>
      </c>
      <c r="G901" s="118">
        <v>3</v>
      </c>
      <c r="H901" s="128">
        <v>798.1</v>
      </c>
      <c r="I901" s="106">
        <v>714.4</v>
      </c>
      <c r="J901" s="118">
        <v>714.4</v>
      </c>
      <c r="K901" s="119">
        <v>42</v>
      </c>
      <c r="L901" s="113">
        <v>958459</v>
      </c>
      <c r="M901" s="113">
        <v>0</v>
      </c>
      <c r="N901" s="113">
        <v>35459</v>
      </c>
      <c r="O901" s="113">
        <v>923000</v>
      </c>
      <c r="P901" s="113">
        <v>0</v>
      </c>
      <c r="Q901" s="106">
        <f>L901/I901</f>
        <v>1341.6279395296754</v>
      </c>
      <c r="R901" s="114">
        <v>6774</v>
      </c>
      <c r="S901" s="326">
        <v>43465</v>
      </c>
    </row>
    <row r="902" spans="1:34" s="1" customFormat="1" ht="15.6">
      <c r="A902" s="107">
        <f t="shared" si="230"/>
        <v>2</v>
      </c>
      <c r="B902" s="307" t="s">
        <v>411</v>
      </c>
      <c r="C902" s="118">
        <v>1970</v>
      </c>
      <c r="D902" s="118"/>
      <c r="E902" s="109" t="s">
        <v>219</v>
      </c>
      <c r="F902" s="118">
        <v>2</v>
      </c>
      <c r="G902" s="118">
        <v>3</v>
      </c>
      <c r="H902" s="128">
        <v>797</v>
      </c>
      <c r="I902" s="106">
        <v>716.9</v>
      </c>
      <c r="J902" s="118">
        <v>716.9</v>
      </c>
      <c r="K902" s="119">
        <v>45</v>
      </c>
      <c r="L902" s="113">
        <v>947345</v>
      </c>
      <c r="M902" s="113">
        <v>0</v>
      </c>
      <c r="N902" s="113">
        <v>24345</v>
      </c>
      <c r="O902" s="113">
        <v>923000</v>
      </c>
      <c r="P902" s="113">
        <v>0</v>
      </c>
      <c r="Q902" s="106">
        <f>L902/I902</f>
        <v>1321.4465057888131</v>
      </c>
      <c r="R902" s="114">
        <v>6774</v>
      </c>
      <c r="S902" s="326">
        <v>43465</v>
      </c>
    </row>
    <row r="903" spans="1:34" s="1" customFormat="1" ht="15.6">
      <c r="A903" s="107"/>
      <c r="B903" s="1411" t="s">
        <v>189</v>
      </c>
      <c r="C903" s="1411"/>
      <c r="D903" s="1411"/>
      <c r="E903" s="1411"/>
      <c r="F903" s="1411"/>
      <c r="G903" s="1411"/>
      <c r="H903" s="128">
        <f>H904</f>
        <v>506.9</v>
      </c>
      <c r="I903" s="128">
        <f t="shared" ref="I903:P903" si="254">I904</f>
        <v>402.3</v>
      </c>
      <c r="J903" s="128">
        <f t="shared" si="254"/>
        <v>402.3</v>
      </c>
      <c r="K903" s="162">
        <f t="shared" si="254"/>
        <v>7</v>
      </c>
      <c r="L903" s="113">
        <f t="shared" si="254"/>
        <v>820660</v>
      </c>
      <c r="M903" s="113">
        <f t="shared" si="254"/>
        <v>0</v>
      </c>
      <c r="N903" s="113">
        <f t="shared" si="254"/>
        <v>0</v>
      </c>
      <c r="O903" s="113">
        <f t="shared" si="254"/>
        <v>820660</v>
      </c>
      <c r="P903" s="113">
        <f t="shared" si="254"/>
        <v>0</v>
      </c>
      <c r="Q903" s="106" t="s">
        <v>40</v>
      </c>
      <c r="R903" s="114" t="s">
        <v>40</v>
      </c>
      <c r="S903" s="326">
        <v>43465</v>
      </c>
    </row>
    <row r="904" spans="1:34" s="1" customFormat="1" ht="31.2">
      <c r="A904" s="107">
        <f>A902+1</f>
        <v>3</v>
      </c>
      <c r="B904" s="307" t="s">
        <v>412</v>
      </c>
      <c r="C904" s="118">
        <v>1958</v>
      </c>
      <c r="D904" s="118"/>
      <c r="E904" s="109" t="s">
        <v>218</v>
      </c>
      <c r="F904" s="118">
        <v>2</v>
      </c>
      <c r="G904" s="118">
        <v>1</v>
      </c>
      <c r="H904" s="128">
        <v>506.9</v>
      </c>
      <c r="I904" s="106">
        <v>402.3</v>
      </c>
      <c r="J904" s="118">
        <v>402.3</v>
      </c>
      <c r="K904" s="119">
        <v>7</v>
      </c>
      <c r="L904" s="113">
        <v>820660</v>
      </c>
      <c r="M904" s="113">
        <v>0</v>
      </c>
      <c r="N904" s="113">
        <v>0</v>
      </c>
      <c r="O904" s="113">
        <f>L904</f>
        <v>820660</v>
      </c>
      <c r="P904" s="113">
        <v>0</v>
      </c>
      <c r="Q904" s="106">
        <f>L904/I904</f>
        <v>2039.9204573701218</v>
      </c>
      <c r="R904" s="114">
        <v>6774</v>
      </c>
      <c r="S904" s="326">
        <v>43465</v>
      </c>
    </row>
    <row r="905" spans="1:34" s="1" customFormat="1" ht="15.6">
      <c r="A905" s="107"/>
      <c r="B905" s="1411" t="s">
        <v>131</v>
      </c>
      <c r="C905" s="1411"/>
      <c r="D905" s="1411"/>
      <c r="E905" s="1411"/>
      <c r="F905" s="1411"/>
      <c r="G905" s="1411"/>
      <c r="H905" s="128">
        <f>H906</f>
        <v>748.5</v>
      </c>
      <c r="I905" s="128">
        <f t="shared" ref="I905:P905" si="255">I906</f>
        <v>741.5</v>
      </c>
      <c r="J905" s="128">
        <f t="shared" si="255"/>
        <v>741.5</v>
      </c>
      <c r="K905" s="128">
        <f t="shared" si="255"/>
        <v>38</v>
      </c>
      <c r="L905" s="366">
        <f t="shared" si="255"/>
        <v>1805899.8</v>
      </c>
      <c r="M905" s="366">
        <f t="shared" si="255"/>
        <v>0</v>
      </c>
      <c r="N905" s="366">
        <f t="shared" si="255"/>
        <v>0</v>
      </c>
      <c r="O905" s="366">
        <f t="shared" si="255"/>
        <v>1805899.8</v>
      </c>
      <c r="P905" s="366">
        <f t="shared" si="255"/>
        <v>0</v>
      </c>
      <c r="Q905" s="106" t="s">
        <v>40</v>
      </c>
      <c r="R905" s="114" t="s">
        <v>40</v>
      </c>
      <c r="S905" s="326">
        <v>43465</v>
      </c>
    </row>
    <row r="906" spans="1:34" s="61" customFormat="1">
      <c r="A906" s="107">
        <f>A904+1</f>
        <v>4</v>
      </c>
      <c r="B906" s="163" t="s">
        <v>660</v>
      </c>
      <c r="C906" s="131">
        <v>1969</v>
      </c>
      <c r="D906" s="131"/>
      <c r="E906" s="109" t="s">
        <v>661</v>
      </c>
      <c r="F906" s="131">
        <v>2</v>
      </c>
      <c r="G906" s="131">
        <v>1</v>
      </c>
      <c r="H906" s="131">
        <v>748.5</v>
      </c>
      <c r="I906" s="131">
        <v>741.5</v>
      </c>
      <c r="J906" s="131">
        <v>741.5</v>
      </c>
      <c r="K906" s="131">
        <v>38</v>
      </c>
      <c r="L906" s="113">
        <v>1805899.8</v>
      </c>
      <c r="M906" s="113">
        <v>0</v>
      </c>
      <c r="N906" s="113">
        <v>0</v>
      </c>
      <c r="O906" s="113">
        <v>1805899.8</v>
      </c>
      <c r="P906" s="113">
        <v>0</v>
      </c>
      <c r="Q906" s="124">
        <f>L906/I906</f>
        <v>2435.4683749157116</v>
      </c>
      <c r="R906" s="114">
        <v>7920</v>
      </c>
      <c r="S906" s="326">
        <v>43465</v>
      </c>
    </row>
    <row r="907" spans="1:34" s="61" customFormat="1">
      <c r="A907" s="107"/>
      <c r="B907" s="145"/>
      <c r="C907" s="164"/>
      <c r="D907" s="131"/>
      <c r="E907" s="109"/>
      <c r="F907" s="131"/>
      <c r="G907" s="131"/>
      <c r="H907" s="131"/>
      <c r="I907" s="131"/>
      <c r="J907" s="131"/>
      <c r="K907" s="131"/>
      <c r="L907" s="113"/>
      <c r="M907" s="113"/>
      <c r="N907" s="113"/>
      <c r="O907" s="113"/>
      <c r="P907" s="113"/>
      <c r="Q907" s="124"/>
      <c r="R907" s="114"/>
      <c r="S907" s="326"/>
    </row>
    <row r="908" spans="1:34" s="1" customFormat="1" ht="15.6">
      <c r="A908" s="107"/>
      <c r="B908" s="1411" t="s">
        <v>50</v>
      </c>
      <c r="C908" s="1411"/>
      <c r="D908" s="1411"/>
      <c r="E908" s="1411"/>
      <c r="F908" s="1411"/>
      <c r="G908" s="1411"/>
      <c r="H908" s="106">
        <f>H909</f>
        <v>10972.3</v>
      </c>
      <c r="I908" s="106">
        <f t="shared" ref="I908:P908" si="256">I909</f>
        <v>9982.5</v>
      </c>
      <c r="J908" s="106">
        <f t="shared" si="256"/>
        <v>8768.7999999999993</v>
      </c>
      <c r="K908" s="119">
        <f t="shared" si="256"/>
        <v>402</v>
      </c>
      <c r="L908" s="113">
        <f t="shared" si="256"/>
        <v>13535827</v>
      </c>
      <c r="M908" s="113">
        <f t="shared" si="256"/>
        <v>0</v>
      </c>
      <c r="N908" s="113">
        <f t="shared" si="256"/>
        <v>0</v>
      </c>
      <c r="O908" s="113">
        <f t="shared" si="256"/>
        <v>13535827</v>
      </c>
      <c r="P908" s="113">
        <f t="shared" si="256"/>
        <v>0</v>
      </c>
      <c r="Q908" s="106" t="s">
        <v>40</v>
      </c>
      <c r="R908" s="114" t="s">
        <v>40</v>
      </c>
      <c r="S908" s="326">
        <v>43465</v>
      </c>
    </row>
    <row r="909" spans="1:34" s="18" customFormat="1" ht="15.6">
      <c r="A909" s="107"/>
      <c r="B909" s="1411" t="s">
        <v>106</v>
      </c>
      <c r="C909" s="1411"/>
      <c r="D909" s="1411"/>
      <c r="E909" s="1411"/>
      <c r="F909" s="1411"/>
      <c r="G909" s="1411"/>
      <c r="H909" s="409">
        <f t="shared" ref="H909:P909" si="257">SUM(H910:H915)</f>
        <v>10972.3</v>
      </c>
      <c r="I909" s="409">
        <f t="shared" si="257"/>
        <v>9982.5</v>
      </c>
      <c r="J909" s="409">
        <f t="shared" si="257"/>
        <v>8768.7999999999993</v>
      </c>
      <c r="K909" s="657">
        <f t="shared" si="257"/>
        <v>402</v>
      </c>
      <c r="L909" s="113">
        <f t="shared" si="257"/>
        <v>13535827</v>
      </c>
      <c r="M909" s="113">
        <f t="shared" si="257"/>
        <v>0</v>
      </c>
      <c r="N909" s="113">
        <f t="shared" si="257"/>
        <v>0</v>
      </c>
      <c r="O909" s="113">
        <f t="shared" si="257"/>
        <v>13535827</v>
      </c>
      <c r="P909" s="113">
        <f t="shared" si="257"/>
        <v>0</v>
      </c>
      <c r="Q909" s="106" t="s">
        <v>40</v>
      </c>
      <c r="R909" s="114" t="s">
        <v>40</v>
      </c>
      <c r="S909" s="326">
        <v>43465</v>
      </c>
    </row>
    <row r="910" spans="1:34" s="66" customFormat="1" ht="31.2">
      <c r="A910" s="107">
        <f>A907+1</f>
        <v>1</v>
      </c>
      <c r="B910" s="165" t="s">
        <v>843</v>
      </c>
      <c r="C910" s="166">
        <v>1978</v>
      </c>
      <c r="D910" s="167"/>
      <c r="E910" s="109" t="s">
        <v>218</v>
      </c>
      <c r="F910" s="167">
        <v>5</v>
      </c>
      <c r="G910" s="793">
        <v>4</v>
      </c>
      <c r="H910" s="795">
        <v>3329.3</v>
      </c>
      <c r="I910" s="794">
        <v>3057.4</v>
      </c>
      <c r="J910" s="794">
        <v>2858</v>
      </c>
      <c r="K910" s="794">
        <v>111</v>
      </c>
      <c r="L910" s="655">
        <v>2331667</v>
      </c>
      <c r="M910" s="113">
        <f>SUM(M911:M915)</f>
        <v>0</v>
      </c>
      <c r="N910" s="113">
        <f>SUM(N911:N915)</f>
        <v>0</v>
      </c>
      <c r="O910" s="113">
        <f t="shared" ref="O910:O915" si="258">L910</f>
        <v>2331667</v>
      </c>
      <c r="P910" s="113">
        <f>SUM(P911:P915)</f>
        <v>0</v>
      </c>
      <c r="Q910" s="168">
        <f t="shared" ref="Q910:Q915" si="259">L910/I910</f>
        <v>762.6306665794466</v>
      </c>
      <c r="R910" s="114">
        <v>7920</v>
      </c>
      <c r="S910" s="326">
        <v>43465</v>
      </c>
      <c r="T910" s="50"/>
      <c r="U910" s="50"/>
      <c r="V910" s="50"/>
      <c r="W910" s="50"/>
      <c r="X910" s="50"/>
      <c r="Y910" s="50"/>
      <c r="Z910" s="50"/>
      <c r="AA910" s="50"/>
      <c r="AB910" s="50"/>
      <c r="AC910" s="50"/>
      <c r="AD910" s="50"/>
      <c r="AE910" s="50"/>
      <c r="AF910" s="50"/>
      <c r="AG910" s="50"/>
      <c r="AH910" s="50"/>
    </row>
    <row r="911" spans="1:34" s="50" customFormat="1" ht="31.2">
      <c r="A911" s="107">
        <f>A910+1</f>
        <v>2</v>
      </c>
      <c r="B911" s="165" t="s">
        <v>847</v>
      </c>
      <c r="C911" s="166">
        <v>1975</v>
      </c>
      <c r="D911" s="167"/>
      <c r="E911" s="109" t="s">
        <v>218</v>
      </c>
      <c r="F911" s="167">
        <v>2</v>
      </c>
      <c r="G911" s="793">
        <v>2</v>
      </c>
      <c r="H911" s="795">
        <v>834.4</v>
      </c>
      <c r="I911" s="794">
        <v>769.7</v>
      </c>
      <c r="J911" s="794">
        <v>396.1</v>
      </c>
      <c r="K911" s="794">
        <v>56</v>
      </c>
      <c r="L911" s="655">
        <v>2406324</v>
      </c>
      <c r="M911" s="113">
        <f>SUM(M912:M917)</f>
        <v>0</v>
      </c>
      <c r="N911" s="113">
        <f>SUM(N912:N917)</f>
        <v>0</v>
      </c>
      <c r="O911" s="113">
        <f t="shared" si="258"/>
        <v>2406324</v>
      </c>
      <c r="P911" s="113">
        <f>SUM(P912:P917)</f>
        <v>0</v>
      </c>
      <c r="Q911" s="168">
        <f t="shared" si="259"/>
        <v>3126.3141483694944</v>
      </c>
      <c r="R911" s="114">
        <v>7920</v>
      </c>
      <c r="S911" s="326">
        <v>43465</v>
      </c>
    </row>
    <row r="912" spans="1:34" s="50" customFormat="1" ht="31.2">
      <c r="A912" s="107">
        <f t="shared" ref="A912:A944" si="260">A911+1</f>
        <v>3</v>
      </c>
      <c r="B912" s="165" t="s">
        <v>848</v>
      </c>
      <c r="C912" s="166">
        <v>1971</v>
      </c>
      <c r="D912" s="167"/>
      <c r="E912" s="109" t="s">
        <v>218</v>
      </c>
      <c r="F912" s="167">
        <v>2</v>
      </c>
      <c r="G912" s="793">
        <v>2</v>
      </c>
      <c r="H912" s="795">
        <v>575.70000000000005</v>
      </c>
      <c r="I912" s="794">
        <v>528.20000000000005</v>
      </c>
      <c r="J912" s="794">
        <v>496.5</v>
      </c>
      <c r="K912" s="794">
        <v>13</v>
      </c>
      <c r="L912" s="655">
        <v>1559913</v>
      </c>
      <c r="M912" s="113">
        <f>SUM(M913:M916)</f>
        <v>0</v>
      </c>
      <c r="N912" s="113">
        <f>SUM(N913:N916)</f>
        <v>0</v>
      </c>
      <c r="O912" s="113">
        <f t="shared" si="258"/>
        <v>1559913</v>
      </c>
      <c r="P912" s="113">
        <f>SUM(P913:P916)</f>
        <v>0</v>
      </c>
      <c r="Q912" s="168">
        <f t="shared" si="259"/>
        <v>2953.2620219613782</v>
      </c>
      <c r="R912" s="114">
        <v>7920</v>
      </c>
      <c r="S912" s="326">
        <v>43465</v>
      </c>
    </row>
    <row r="913" spans="1:19" s="50" customFormat="1" ht="31.2">
      <c r="A913" s="107">
        <f t="shared" si="260"/>
        <v>4</v>
      </c>
      <c r="B913" s="165" t="s">
        <v>849</v>
      </c>
      <c r="C913" s="166">
        <v>1961</v>
      </c>
      <c r="D913" s="167"/>
      <c r="E913" s="109" t="s">
        <v>218</v>
      </c>
      <c r="F913" s="167">
        <v>2</v>
      </c>
      <c r="G913" s="793">
        <v>2</v>
      </c>
      <c r="H913" s="795">
        <v>502.8</v>
      </c>
      <c r="I913" s="794">
        <v>459</v>
      </c>
      <c r="J913" s="794">
        <v>348</v>
      </c>
      <c r="K913" s="794">
        <v>27</v>
      </c>
      <c r="L913" s="655">
        <v>1511041</v>
      </c>
      <c r="M913" s="113">
        <f>SUM(M914:M915)</f>
        <v>0</v>
      </c>
      <c r="N913" s="113">
        <f>SUM(N914:N915)</f>
        <v>0</v>
      </c>
      <c r="O913" s="113">
        <f t="shared" si="258"/>
        <v>1511041</v>
      </c>
      <c r="P913" s="113">
        <f>SUM(P914:P915)</f>
        <v>0</v>
      </c>
      <c r="Q913" s="168">
        <f t="shared" si="259"/>
        <v>3292.0283224400873</v>
      </c>
      <c r="R913" s="114">
        <v>7920</v>
      </c>
      <c r="S913" s="326">
        <v>43465</v>
      </c>
    </row>
    <row r="914" spans="1:19" s="50" customFormat="1" ht="31.2">
      <c r="A914" s="107">
        <v>5</v>
      </c>
      <c r="B914" s="165" t="s">
        <v>851</v>
      </c>
      <c r="C914" s="166">
        <v>1961</v>
      </c>
      <c r="D914" s="167"/>
      <c r="E914" s="109" t="s">
        <v>218</v>
      </c>
      <c r="F914" s="167">
        <v>2</v>
      </c>
      <c r="G914" s="793">
        <v>1</v>
      </c>
      <c r="H914" s="795">
        <v>339.4</v>
      </c>
      <c r="I914" s="794">
        <v>305.2</v>
      </c>
      <c r="J914" s="794">
        <v>222.7</v>
      </c>
      <c r="K914" s="794">
        <v>12</v>
      </c>
      <c r="L914" s="655">
        <v>936676</v>
      </c>
      <c r="M914" s="113">
        <f>SUM(M915:M919)</f>
        <v>0</v>
      </c>
      <c r="N914" s="113">
        <f>SUM(N915:N919)</f>
        <v>0</v>
      </c>
      <c r="O914" s="113">
        <f t="shared" si="258"/>
        <v>936676</v>
      </c>
      <c r="P914" s="113">
        <f>SUM(P915:P919)</f>
        <v>0</v>
      </c>
      <c r="Q914" s="168">
        <f t="shared" si="259"/>
        <v>3069.0563564875492</v>
      </c>
      <c r="R914" s="114">
        <v>7920</v>
      </c>
      <c r="S914" s="326">
        <v>43465</v>
      </c>
    </row>
    <row r="915" spans="1:19" s="50" customFormat="1" ht="31.2">
      <c r="A915" s="107">
        <v>6</v>
      </c>
      <c r="B915" s="165" t="s">
        <v>844</v>
      </c>
      <c r="C915" s="166">
        <v>1980</v>
      </c>
      <c r="D915" s="167"/>
      <c r="E915" s="109" t="s">
        <v>218</v>
      </c>
      <c r="F915" s="167">
        <v>5</v>
      </c>
      <c r="G915" s="793">
        <v>7</v>
      </c>
      <c r="H915" s="795">
        <v>5390.7</v>
      </c>
      <c r="I915" s="794">
        <v>4863</v>
      </c>
      <c r="J915" s="794">
        <v>4447.5</v>
      </c>
      <c r="K915" s="794">
        <v>183</v>
      </c>
      <c r="L915" s="655">
        <v>4790206</v>
      </c>
      <c r="M915" s="113">
        <f>SUM(M916:M920)</f>
        <v>0</v>
      </c>
      <c r="N915" s="113">
        <f>SUM(N916:N920)</f>
        <v>0</v>
      </c>
      <c r="O915" s="113">
        <f t="shared" si="258"/>
        <v>4790206</v>
      </c>
      <c r="P915" s="113">
        <f>SUM(P916:P920)</f>
        <v>0</v>
      </c>
      <c r="Q915" s="168">
        <f t="shared" si="259"/>
        <v>985.03105079169234</v>
      </c>
      <c r="R915" s="114">
        <v>7920</v>
      </c>
      <c r="S915" s="326">
        <v>43465</v>
      </c>
    </row>
    <row r="916" spans="1:19" s="1" customFormat="1" ht="15.6">
      <c r="A916" s="107"/>
      <c r="B916" s="1411" t="s">
        <v>51</v>
      </c>
      <c r="C916" s="1411"/>
      <c r="D916" s="1411"/>
      <c r="E916" s="1411"/>
      <c r="F916" s="1411"/>
      <c r="G916" s="1411"/>
      <c r="H916" s="765">
        <f>H917</f>
        <v>8644.4000000000015</v>
      </c>
      <c r="I916" s="791">
        <f t="shared" ref="I916:P916" si="261">I917</f>
        <v>8644.4000000000015</v>
      </c>
      <c r="J916" s="791">
        <f t="shared" si="261"/>
        <v>5920.9</v>
      </c>
      <c r="K916" s="777">
        <f t="shared" si="261"/>
        <v>283</v>
      </c>
      <c r="L916" s="113">
        <f t="shared" si="261"/>
        <v>11085155</v>
      </c>
      <c r="M916" s="113">
        <f t="shared" si="261"/>
        <v>0</v>
      </c>
      <c r="N916" s="113">
        <f t="shared" si="261"/>
        <v>0</v>
      </c>
      <c r="O916" s="113">
        <f t="shared" si="261"/>
        <v>11085155</v>
      </c>
      <c r="P916" s="113">
        <f t="shared" si="261"/>
        <v>0</v>
      </c>
      <c r="Q916" s="106" t="s">
        <v>40</v>
      </c>
      <c r="R916" s="106" t="s">
        <v>40</v>
      </c>
      <c r="S916" s="326">
        <v>43465</v>
      </c>
    </row>
    <row r="917" spans="1:19" s="1" customFormat="1" ht="27" customHeight="1">
      <c r="A917" s="107"/>
      <c r="B917" s="1411" t="s">
        <v>108</v>
      </c>
      <c r="C917" s="1411"/>
      <c r="D917" s="1411"/>
      <c r="E917" s="1411"/>
      <c r="F917" s="1454"/>
      <c r="G917" s="1454"/>
      <c r="H917" s="613">
        <f t="shared" ref="H917:P917" si="262">SUM(H918:H925)</f>
        <v>8644.4000000000015</v>
      </c>
      <c r="I917" s="952">
        <f t="shared" si="262"/>
        <v>8644.4000000000015</v>
      </c>
      <c r="J917" s="952">
        <f t="shared" si="262"/>
        <v>5920.9</v>
      </c>
      <c r="K917" s="657">
        <f t="shared" si="262"/>
        <v>283</v>
      </c>
      <c r="L917" s="113">
        <f t="shared" si="262"/>
        <v>11085155</v>
      </c>
      <c r="M917" s="113">
        <f t="shared" si="262"/>
        <v>0</v>
      </c>
      <c r="N917" s="113">
        <f t="shared" si="262"/>
        <v>0</v>
      </c>
      <c r="O917" s="113">
        <f t="shared" si="262"/>
        <v>11085155</v>
      </c>
      <c r="P917" s="113">
        <f t="shared" si="262"/>
        <v>0</v>
      </c>
      <c r="Q917" s="106" t="s">
        <v>40</v>
      </c>
      <c r="R917" s="106" t="s">
        <v>40</v>
      </c>
      <c r="S917" s="326">
        <v>43465</v>
      </c>
    </row>
    <row r="918" spans="1:19" s="51" customFormat="1" ht="31.2">
      <c r="A918" s="107">
        <v>1</v>
      </c>
      <c r="B918" s="945" t="s">
        <v>1006</v>
      </c>
      <c r="C918" s="118">
        <v>1974</v>
      </c>
      <c r="D918" s="118"/>
      <c r="E918" s="611" t="s">
        <v>218</v>
      </c>
      <c r="F918" s="968">
        <v>5</v>
      </c>
      <c r="G918" s="968">
        <v>4</v>
      </c>
      <c r="H918" s="959">
        <v>3702</v>
      </c>
      <c r="I918" s="960">
        <v>3702</v>
      </c>
      <c r="J918" s="959">
        <v>3117.7</v>
      </c>
      <c r="K918" s="968">
        <v>109</v>
      </c>
      <c r="L918" s="655">
        <f>O918</f>
        <v>2338689</v>
      </c>
      <c r="M918" s="113">
        <v>0</v>
      </c>
      <c r="N918" s="113">
        <v>0</v>
      </c>
      <c r="O918" s="113">
        <v>2338689</v>
      </c>
      <c r="P918" s="113">
        <v>0</v>
      </c>
      <c r="Q918" s="170">
        <f t="shared" ref="Q918:Q928" si="263">L918/I918</f>
        <v>631.73662884927069</v>
      </c>
      <c r="R918" s="114">
        <v>7920</v>
      </c>
      <c r="S918" s="326">
        <v>43465</v>
      </c>
    </row>
    <row r="919" spans="1:19" s="51" customFormat="1" ht="31.2">
      <c r="A919" s="107">
        <f t="shared" si="260"/>
        <v>2</v>
      </c>
      <c r="B919" s="945" t="s">
        <v>1007</v>
      </c>
      <c r="C919" s="118" t="s">
        <v>190</v>
      </c>
      <c r="D919" s="118"/>
      <c r="E919" s="611" t="s">
        <v>218</v>
      </c>
      <c r="F919" s="968">
        <v>2</v>
      </c>
      <c r="G919" s="968">
        <v>2</v>
      </c>
      <c r="H919" s="959">
        <v>172.5</v>
      </c>
      <c r="I919" s="960">
        <v>172.5</v>
      </c>
      <c r="J919" s="959">
        <v>128.19999999999999</v>
      </c>
      <c r="K919" s="968">
        <v>7</v>
      </c>
      <c r="L919" s="655">
        <f t="shared" ref="L919:L925" si="264">O919</f>
        <v>533628</v>
      </c>
      <c r="M919" s="113">
        <v>0</v>
      </c>
      <c r="N919" s="113">
        <v>0</v>
      </c>
      <c r="O919" s="113">
        <v>533628</v>
      </c>
      <c r="P919" s="113">
        <v>0</v>
      </c>
      <c r="Q919" s="170">
        <f t="shared" si="263"/>
        <v>3093.4956521739132</v>
      </c>
      <c r="R919" s="114">
        <v>7920</v>
      </c>
      <c r="S919" s="326">
        <v>43465</v>
      </c>
    </row>
    <row r="920" spans="1:19" s="51" customFormat="1" ht="31.2">
      <c r="A920" s="107">
        <f t="shared" si="260"/>
        <v>3</v>
      </c>
      <c r="B920" s="945" t="s">
        <v>1008</v>
      </c>
      <c r="C920" s="118">
        <v>1938</v>
      </c>
      <c r="D920" s="118"/>
      <c r="E920" s="611" t="s">
        <v>218</v>
      </c>
      <c r="F920" s="968">
        <v>2</v>
      </c>
      <c r="G920" s="968">
        <v>2</v>
      </c>
      <c r="H920" s="959">
        <v>256.60000000000002</v>
      </c>
      <c r="I920" s="960">
        <v>256.60000000000002</v>
      </c>
      <c r="J920" s="959">
        <v>165.1</v>
      </c>
      <c r="K920" s="968">
        <v>12</v>
      </c>
      <c r="L920" s="655">
        <f t="shared" si="264"/>
        <v>966865</v>
      </c>
      <c r="M920" s="113">
        <v>0</v>
      </c>
      <c r="N920" s="113">
        <v>0</v>
      </c>
      <c r="O920" s="113">
        <v>966865</v>
      </c>
      <c r="P920" s="113">
        <v>0</v>
      </c>
      <c r="Q920" s="170">
        <f t="shared" si="263"/>
        <v>3767.9851909586901</v>
      </c>
      <c r="R920" s="114">
        <v>7920</v>
      </c>
      <c r="S920" s="326">
        <v>43465</v>
      </c>
    </row>
    <row r="921" spans="1:19" s="1" customFormat="1" ht="30.6" customHeight="1">
      <c r="A921" s="107">
        <f t="shared" si="260"/>
        <v>4</v>
      </c>
      <c r="B921" s="945" t="s">
        <v>1009</v>
      </c>
      <c r="C921" s="172">
        <v>1960</v>
      </c>
      <c r="D921" s="171"/>
      <c r="E921" s="611" t="s">
        <v>218</v>
      </c>
      <c r="F921" s="968">
        <v>2</v>
      </c>
      <c r="G921" s="968">
        <v>1</v>
      </c>
      <c r="H921" s="959">
        <v>302.2</v>
      </c>
      <c r="I921" s="960">
        <v>302.2</v>
      </c>
      <c r="J921" s="959">
        <v>205.3</v>
      </c>
      <c r="K921" s="968">
        <v>12</v>
      </c>
      <c r="L921" s="655">
        <f t="shared" si="264"/>
        <v>947700</v>
      </c>
      <c r="M921" s="113">
        <v>0</v>
      </c>
      <c r="N921" s="113">
        <v>0</v>
      </c>
      <c r="O921" s="113">
        <v>947700</v>
      </c>
      <c r="P921" s="113">
        <v>0</v>
      </c>
      <c r="Q921" s="170">
        <f t="shared" si="263"/>
        <v>3136.0026472534746</v>
      </c>
      <c r="R921" s="114">
        <v>7920</v>
      </c>
      <c r="S921" s="326">
        <v>43465</v>
      </c>
    </row>
    <row r="922" spans="1:19" s="1" customFormat="1" ht="31.2">
      <c r="A922" s="107">
        <f t="shared" si="260"/>
        <v>5</v>
      </c>
      <c r="B922" s="945" t="s">
        <v>1010</v>
      </c>
      <c r="C922" s="118">
        <v>1959</v>
      </c>
      <c r="D922" s="118"/>
      <c r="E922" s="611" t="s">
        <v>218</v>
      </c>
      <c r="F922" s="968">
        <v>2</v>
      </c>
      <c r="G922" s="968">
        <v>1</v>
      </c>
      <c r="H922" s="959">
        <v>281.60000000000002</v>
      </c>
      <c r="I922" s="960">
        <v>281.60000000000002</v>
      </c>
      <c r="J922" s="959">
        <v>198.5</v>
      </c>
      <c r="K922" s="968">
        <v>13</v>
      </c>
      <c r="L922" s="655">
        <f t="shared" si="264"/>
        <v>853104</v>
      </c>
      <c r="M922" s="113">
        <v>0</v>
      </c>
      <c r="N922" s="113">
        <v>0</v>
      </c>
      <c r="O922" s="113">
        <v>853104</v>
      </c>
      <c r="P922" s="113">
        <v>0</v>
      </c>
      <c r="Q922" s="170">
        <f t="shared" si="263"/>
        <v>3029.488636363636</v>
      </c>
      <c r="R922" s="114">
        <v>7920</v>
      </c>
      <c r="S922" s="326">
        <v>43465</v>
      </c>
    </row>
    <row r="923" spans="1:19" s="23" customFormat="1" ht="31.2">
      <c r="A923" s="107">
        <f t="shared" si="260"/>
        <v>6</v>
      </c>
      <c r="B923" s="567" t="s">
        <v>1011</v>
      </c>
      <c r="C923" s="118" t="s">
        <v>190</v>
      </c>
      <c r="D923" s="118"/>
      <c r="E923" s="611" t="s">
        <v>218</v>
      </c>
      <c r="F923" s="968">
        <v>2</v>
      </c>
      <c r="G923" s="968">
        <v>2</v>
      </c>
      <c r="H923" s="959">
        <v>245</v>
      </c>
      <c r="I923" s="960">
        <v>245</v>
      </c>
      <c r="J923" s="959">
        <v>126</v>
      </c>
      <c r="K923" s="968">
        <v>7</v>
      </c>
      <c r="L923" s="655">
        <f t="shared" si="264"/>
        <v>789420</v>
      </c>
      <c r="M923" s="113">
        <v>0</v>
      </c>
      <c r="N923" s="113">
        <v>0</v>
      </c>
      <c r="O923" s="113">
        <v>789420</v>
      </c>
      <c r="P923" s="113">
        <v>0</v>
      </c>
      <c r="Q923" s="170">
        <f t="shared" si="263"/>
        <v>3222.1224489795918</v>
      </c>
      <c r="R923" s="114">
        <v>7920</v>
      </c>
      <c r="S923" s="326">
        <v>43465</v>
      </c>
    </row>
    <row r="924" spans="1:19" s="1" customFormat="1" ht="31.2">
      <c r="A924" s="107">
        <f t="shared" si="260"/>
        <v>7</v>
      </c>
      <c r="B924" s="945" t="s">
        <v>1012</v>
      </c>
      <c r="C924" s="118">
        <v>1963</v>
      </c>
      <c r="D924" s="118"/>
      <c r="E924" s="611" t="s">
        <v>218</v>
      </c>
      <c r="F924" s="968">
        <v>4</v>
      </c>
      <c r="G924" s="968">
        <v>3</v>
      </c>
      <c r="H924" s="959">
        <v>2536</v>
      </c>
      <c r="I924" s="960">
        <v>2536</v>
      </c>
      <c r="J924" s="959">
        <v>1398</v>
      </c>
      <c r="K924" s="968">
        <v>60</v>
      </c>
      <c r="L924" s="655">
        <f t="shared" si="264"/>
        <v>3688049</v>
      </c>
      <c r="M924" s="113">
        <v>0</v>
      </c>
      <c r="N924" s="113">
        <v>0</v>
      </c>
      <c r="O924" s="113">
        <v>3688049</v>
      </c>
      <c r="P924" s="113">
        <v>0</v>
      </c>
      <c r="Q924" s="170">
        <f t="shared" si="263"/>
        <v>1454.2779968454258</v>
      </c>
      <c r="R924" s="114">
        <v>7920</v>
      </c>
      <c r="S924" s="326">
        <v>43465</v>
      </c>
    </row>
    <row r="925" spans="1:19" s="1" customFormat="1" ht="31.2">
      <c r="A925" s="107">
        <f t="shared" si="260"/>
        <v>8</v>
      </c>
      <c r="B925" s="945" t="s">
        <v>1013</v>
      </c>
      <c r="C925" s="118">
        <v>1969</v>
      </c>
      <c r="D925" s="118"/>
      <c r="E925" s="611" t="s">
        <v>218</v>
      </c>
      <c r="F925" s="968">
        <v>3</v>
      </c>
      <c r="G925" s="968">
        <v>2</v>
      </c>
      <c r="H925" s="959">
        <v>1148.5</v>
      </c>
      <c r="I925" s="960">
        <v>1148.5</v>
      </c>
      <c r="J925" s="959">
        <v>582.1</v>
      </c>
      <c r="K925" s="968">
        <v>63</v>
      </c>
      <c r="L925" s="655">
        <f t="shared" si="264"/>
        <v>967700</v>
      </c>
      <c r="M925" s="113">
        <v>0</v>
      </c>
      <c r="N925" s="113">
        <v>0</v>
      </c>
      <c r="O925" s="113">
        <v>967700</v>
      </c>
      <c r="P925" s="113">
        <v>0</v>
      </c>
      <c r="Q925" s="170">
        <f t="shared" si="263"/>
        <v>842.5772747061385</v>
      </c>
      <c r="R925" s="114">
        <v>7920</v>
      </c>
      <c r="S925" s="326">
        <v>43465</v>
      </c>
    </row>
    <row r="926" spans="1:19" s="1" customFormat="1" ht="24.6" customHeight="1">
      <c r="A926" s="318"/>
      <c r="B926" s="1465" t="s">
        <v>882</v>
      </c>
      <c r="C926" s="1465"/>
      <c r="D926" s="1465"/>
      <c r="E926" s="1465"/>
      <c r="F926" s="1470"/>
      <c r="G926" s="1470"/>
      <c r="H926" s="969">
        <f>H927+H928</f>
        <v>1005.2</v>
      </c>
      <c r="I926" s="969">
        <f t="shared" ref="I926:P926" si="265">I927+I928</f>
        <v>1005.2</v>
      </c>
      <c r="J926" s="969">
        <f t="shared" si="265"/>
        <v>669.6</v>
      </c>
      <c r="K926" s="969">
        <f t="shared" si="265"/>
        <v>37</v>
      </c>
      <c r="L926" s="970">
        <f t="shared" si="265"/>
        <v>1029285</v>
      </c>
      <c r="M926" s="970">
        <f t="shared" si="265"/>
        <v>0</v>
      </c>
      <c r="N926" s="970">
        <f t="shared" si="265"/>
        <v>0</v>
      </c>
      <c r="O926" s="970">
        <f t="shared" si="265"/>
        <v>1029285</v>
      </c>
      <c r="P926" s="970">
        <f t="shared" si="265"/>
        <v>0</v>
      </c>
      <c r="Q926" s="344" t="s">
        <v>40</v>
      </c>
      <c r="R926" s="344" t="s">
        <v>40</v>
      </c>
      <c r="S926" s="326">
        <v>43465</v>
      </c>
    </row>
    <row r="927" spans="1:19" s="1" customFormat="1" ht="23.4" customHeight="1">
      <c r="A927" s="318"/>
      <c r="B927" s="971" t="s">
        <v>884</v>
      </c>
      <c r="C927" s="972">
        <v>1948</v>
      </c>
      <c r="D927" s="971"/>
      <c r="E927" s="321" t="s">
        <v>221</v>
      </c>
      <c r="F927" s="972">
        <v>2</v>
      </c>
      <c r="G927" s="972">
        <v>2</v>
      </c>
      <c r="H927" s="973">
        <v>516.5</v>
      </c>
      <c r="I927" s="973">
        <v>516.5</v>
      </c>
      <c r="J927" s="972">
        <v>316</v>
      </c>
      <c r="K927" s="974">
        <v>22</v>
      </c>
      <c r="L927" s="324">
        <v>781716</v>
      </c>
      <c r="M927" s="324">
        <v>0</v>
      </c>
      <c r="N927" s="324">
        <v>0</v>
      </c>
      <c r="O927" s="324">
        <v>781716</v>
      </c>
      <c r="P927" s="324">
        <v>0</v>
      </c>
      <c r="Q927" s="975">
        <f t="shared" si="263"/>
        <v>1513.486931268151</v>
      </c>
      <c r="R927" s="325">
        <v>7920</v>
      </c>
      <c r="S927" s="326">
        <v>43465</v>
      </c>
    </row>
    <row r="928" spans="1:19" s="1" customFormat="1" ht="22.95" customHeight="1">
      <c r="A928" s="318"/>
      <c r="B928" s="971" t="s">
        <v>885</v>
      </c>
      <c r="C928" s="972">
        <v>1938</v>
      </c>
      <c r="D928" s="971"/>
      <c r="E928" s="321" t="s">
        <v>221</v>
      </c>
      <c r="F928" s="972">
        <v>2</v>
      </c>
      <c r="G928" s="972">
        <v>1</v>
      </c>
      <c r="H928" s="973">
        <v>488.7</v>
      </c>
      <c r="I928" s="973">
        <v>488.7</v>
      </c>
      <c r="J928" s="972">
        <v>353.6</v>
      </c>
      <c r="K928" s="974">
        <v>15</v>
      </c>
      <c r="L928" s="324">
        <v>247569</v>
      </c>
      <c r="M928" s="324">
        <v>0</v>
      </c>
      <c r="N928" s="324">
        <v>0</v>
      </c>
      <c r="O928" s="324">
        <v>247569</v>
      </c>
      <c r="P928" s="324">
        <v>0</v>
      </c>
      <c r="Q928" s="975">
        <f t="shared" si="263"/>
        <v>506.58686310620016</v>
      </c>
      <c r="R928" s="325">
        <v>7920</v>
      </c>
      <c r="S928" s="326">
        <v>43465</v>
      </c>
    </row>
    <row r="929" spans="1:34" s="1" customFormat="1" ht="15.6">
      <c r="A929" s="107"/>
      <c r="B929" s="1411" t="s">
        <v>52</v>
      </c>
      <c r="C929" s="1411"/>
      <c r="D929" s="1411"/>
      <c r="E929" s="1411"/>
      <c r="F929" s="1411"/>
      <c r="G929" s="1411"/>
      <c r="H929" s="128">
        <f t="shared" ref="H929:P929" si="266">H933+H930+H935</f>
        <v>2360.4</v>
      </c>
      <c r="I929" s="128">
        <f t="shared" si="266"/>
        <v>2297</v>
      </c>
      <c r="J929" s="128">
        <f t="shared" si="266"/>
        <v>1649.1</v>
      </c>
      <c r="K929" s="162">
        <f t="shared" si="266"/>
        <v>89</v>
      </c>
      <c r="L929" s="113">
        <f t="shared" si="266"/>
        <v>3143655</v>
      </c>
      <c r="M929" s="113">
        <f t="shared" si="266"/>
        <v>0</v>
      </c>
      <c r="N929" s="113">
        <f t="shared" si="266"/>
        <v>92056</v>
      </c>
      <c r="O929" s="113">
        <f t="shared" si="266"/>
        <v>3051599</v>
      </c>
      <c r="P929" s="113">
        <f t="shared" si="266"/>
        <v>0</v>
      </c>
      <c r="Q929" s="106" t="s">
        <v>40</v>
      </c>
      <c r="R929" s="106" t="s">
        <v>40</v>
      </c>
      <c r="S929" s="326">
        <v>43465</v>
      </c>
    </row>
    <row r="930" spans="1:34" s="1" customFormat="1" ht="15.6">
      <c r="A930" s="318"/>
      <c r="B930" s="1465" t="s">
        <v>130</v>
      </c>
      <c r="C930" s="1465"/>
      <c r="D930" s="1465"/>
      <c r="E930" s="1465"/>
      <c r="F930" s="1465"/>
      <c r="G930" s="1465"/>
      <c r="H930" s="341">
        <f>H931</f>
        <v>704.6</v>
      </c>
      <c r="I930" s="341">
        <f t="shared" ref="I930:P930" si="267">I931</f>
        <v>704.6</v>
      </c>
      <c r="J930" s="341">
        <f t="shared" si="267"/>
        <v>455.3</v>
      </c>
      <c r="K930" s="341">
        <f t="shared" si="267"/>
        <v>24</v>
      </c>
      <c r="L930" s="675">
        <f t="shared" si="267"/>
        <v>1851309</v>
      </c>
      <c r="M930" s="675">
        <f t="shared" si="267"/>
        <v>0</v>
      </c>
      <c r="N930" s="675">
        <f t="shared" si="267"/>
        <v>0</v>
      </c>
      <c r="O930" s="675">
        <f t="shared" si="267"/>
        <v>1851309</v>
      </c>
      <c r="P930" s="675">
        <f t="shared" si="267"/>
        <v>0</v>
      </c>
      <c r="Q930" s="344" t="s">
        <v>40</v>
      </c>
      <c r="R930" s="344" t="s">
        <v>40</v>
      </c>
      <c r="S930" s="326">
        <v>43465</v>
      </c>
    </row>
    <row r="931" spans="1:34" s="41" customFormat="1" ht="31.2">
      <c r="A931" s="318" t="e">
        <f>#REF!+1</f>
        <v>#REF!</v>
      </c>
      <c r="B931" s="869" t="s">
        <v>673</v>
      </c>
      <c r="C931" s="375">
        <v>1960</v>
      </c>
      <c r="D931" s="375"/>
      <c r="E931" s="321" t="s">
        <v>218</v>
      </c>
      <c r="F931" s="375">
        <v>2</v>
      </c>
      <c r="G931" s="375">
        <v>2</v>
      </c>
      <c r="H931" s="375">
        <v>704.6</v>
      </c>
      <c r="I931" s="375">
        <v>704.6</v>
      </c>
      <c r="J931" s="375">
        <v>455.3</v>
      </c>
      <c r="K931" s="375">
        <v>24</v>
      </c>
      <c r="L931" s="324">
        <v>1851309</v>
      </c>
      <c r="M931" s="324">
        <v>0</v>
      </c>
      <c r="N931" s="324">
        <v>0</v>
      </c>
      <c r="O931" s="324">
        <f>L931</f>
        <v>1851309</v>
      </c>
      <c r="P931" s="324">
        <v>0</v>
      </c>
      <c r="Q931" s="325">
        <f>L931/I931</f>
        <v>2627.4609707635536</v>
      </c>
      <c r="R931" s="617">
        <v>7920</v>
      </c>
      <c r="S931" s="326">
        <v>43465</v>
      </c>
    </row>
    <row r="932" spans="1:34" s="41" customFormat="1" ht="15.6">
      <c r="A932" s="107"/>
      <c r="B932" s="145"/>
      <c r="C932" s="132"/>
      <c r="D932" s="132"/>
      <c r="E932" s="109"/>
      <c r="F932" s="132"/>
      <c r="G932" s="132"/>
      <c r="H932" s="174"/>
      <c r="I932" s="174"/>
      <c r="J932" s="107"/>
      <c r="K932" s="107"/>
      <c r="L932" s="113"/>
      <c r="M932" s="113"/>
      <c r="N932" s="113"/>
      <c r="O932" s="113"/>
      <c r="P932" s="113"/>
      <c r="Q932" s="114"/>
      <c r="R932" s="115"/>
      <c r="S932" s="326"/>
    </row>
    <row r="933" spans="1:34" s="1" customFormat="1" ht="15.75" customHeight="1">
      <c r="A933" s="107"/>
      <c r="B933" s="1413" t="s">
        <v>109</v>
      </c>
      <c r="C933" s="1413"/>
      <c r="D933" s="1413"/>
      <c r="E933" s="1413"/>
      <c r="F933" s="1413"/>
      <c r="G933" s="1413"/>
      <c r="H933" s="128">
        <f>H934</f>
        <v>799.3</v>
      </c>
      <c r="I933" s="106">
        <f t="shared" ref="I933:P933" si="268">I934</f>
        <v>735.9</v>
      </c>
      <c r="J933" s="106">
        <f t="shared" si="268"/>
        <v>693.8</v>
      </c>
      <c r="K933" s="119">
        <f t="shared" si="268"/>
        <v>32</v>
      </c>
      <c r="L933" s="113">
        <v>201010</v>
      </c>
      <c r="M933" s="113">
        <f t="shared" si="268"/>
        <v>0</v>
      </c>
      <c r="N933" s="113">
        <f t="shared" si="268"/>
        <v>92056</v>
      </c>
      <c r="O933" s="113">
        <f t="shared" si="268"/>
        <v>108954</v>
      </c>
      <c r="P933" s="113">
        <f t="shared" si="268"/>
        <v>0</v>
      </c>
      <c r="Q933" s="106" t="s">
        <v>40</v>
      </c>
      <c r="R933" s="106" t="s">
        <v>40</v>
      </c>
      <c r="S933" s="326">
        <v>43465</v>
      </c>
    </row>
    <row r="934" spans="1:34" s="1" customFormat="1" ht="15.6">
      <c r="A934" s="107">
        <f>A932+1</f>
        <v>1</v>
      </c>
      <c r="B934" s="303" t="s">
        <v>414</v>
      </c>
      <c r="C934" s="302">
        <v>1977</v>
      </c>
      <c r="D934" s="118"/>
      <c r="E934" s="109" t="s">
        <v>219</v>
      </c>
      <c r="F934" s="118">
        <v>2</v>
      </c>
      <c r="G934" s="118">
        <v>2</v>
      </c>
      <c r="H934" s="128">
        <v>799.3</v>
      </c>
      <c r="I934" s="106">
        <v>735.9</v>
      </c>
      <c r="J934" s="106">
        <v>693.8</v>
      </c>
      <c r="K934" s="119">
        <v>32</v>
      </c>
      <c r="L934" s="113">
        <v>201010</v>
      </c>
      <c r="M934" s="113">
        <v>0</v>
      </c>
      <c r="N934" s="113">
        <v>92056</v>
      </c>
      <c r="O934" s="113">
        <v>108954</v>
      </c>
      <c r="P934" s="113">
        <v>0</v>
      </c>
      <c r="Q934" s="106">
        <f>L934/I934</f>
        <v>273.14852561489334</v>
      </c>
      <c r="R934" s="114">
        <v>6774</v>
      </c>
      <c r="S934" s="326">
        <v>43465</v>
      </c>
    </row>
    <row r="935" spans="1:34" s="23" customFormat="1" ht="15.75" customHeight="1">
      <c r="A935" s="107"/>
      <c r="B935" s="1447" t="s">
        <v>198</v>
      </c>
      <c r="C935" s="1447"/>
      <c r="D935" s="1447"/>
      <c r="E935" s="1447"/>
      <c r="F935" s="1447"/>
      <c r="G935" s="1447"/>
      <c r="H935" s="128">
        <f>H936</f>
        <v>856.5</v>
      </c>
      <c r="I935" s="128">
        <f t="shared" ref="I935:P935" si="269">I936</f>
        <v>856.5</v>
      </c>
      <c r="J935" s="128">
        <f t="shared" si="269"/>
        <v>500</v>
      </c>
      <c r="K935" s="175">
        <f t="shared" si="269"/>
        <v>33</v>
      </c>
      <c r="L935" s="113">
        <f t="shared" si="269"/>
        <v>1091336</v>
      </c>
      <c r="M935" s="113">
        <f t="shared" si="269"/>
        <v>0</v>
      </c>
      <c r="N935" s="113">
        <f t="shared" si="269"/>
        <v>0</v>
      </c>
      <c r="O935" s="113">
        <f t="shared" si="269"/>
        <v>1091336</v>
      </c>
      <c r="P935" s="113">
        <f t="shared" si="269"/>
        <v>0</v>
      </c>
      <c r="Q935" s="106" t="s">
        <v>40</v>
      </c>
      <c r="R935" s="114" t="s">
        <v>40</v>
      </c>
      <c r="S935" s="326">
        <v>43465</v>
      </c>
    </row>
    <row r="936" spans="1:34" s="23" customFormat="1" ht="31.2">
      <c r="A936" s="107">
        <f>A934+1</f>
        <v>2</v>
      </c>
      <c r="B936" s="300" t="s">
        <v>415</v>
      </c>
      <c r="C936" s="302">
        <v>1982</v>
      </c>
      <c r="D936" s="118"/>
      <c r="E936" s="109" t="s">
        <v>218</v>
      </c>
      <c r="F936" s="118">
        <v>2</v>
      </c>
      <c r="G936" s="118">
        <v>3</v>
      </c>
      <c r="H936" s="128">
        <v>856.5</v>
      </c>
      <c r="I936" s="106">
        <v>856.5</v>
      </c>
      <c r="J936" s="106">
        <v>500</v>
      </c>
      <c r="K936" s="119">
        <v>33</v>
      </c>
      <c r="L936" s="113">
        <v>1091336</v>
      </c>
      <c r="M936" s="113">
        <v>0</v>
      </c>
      <c r="N936" s="113">
        <v>0</v>
      </c>
      <c r="O936" s="113">
        <f>L936</f>
        <v>1091336</v>
      </c>
      <c r="P936" s="113">
        <v>0</v>
      </c>
      <c r="Q936" s="106">
        <f>L936/I936</f>
        <v>1274.1809690601285</v>
      </c>
      <c r="R936" s="114">
        <v>6774</v>
      </c>
      <c r="S936" s="326">
        <v>43465</v>
      </c>
    </row>
    <row r="937" spans="1:34" s="1" customFormat="1" ht="15.6">
      <c r="A937" s="107"/>
      <c r="B937" s="1411" t="s">
        <v>53</v>
      </c>
      <c r="C937" s="1411"/>
      <c r="D937" s="1411"/>
      <c r="E937" s="1411"/>
      <c r="F937" s="1411"/>
      <c r="G937" s="1411"/>
      <c r="H937" s="106">
        <f t="shared" ref="H937:P937" si="270">H938+H945+H947+H949+H958+H961+H963+H956</f>
        <v>60427.200000000012</v>
      </c>
      <c r="I937" s="106">
        <f t="shared" si="270"/>
        <v>45396.3</v>
      </c>
      <c r="J937" s="106">
        <f t="shared" si="270"/>
        <v>43423.3</v>
      </c>
      <c r="K937" s="106">
        <f t="shared" si="270"/>
        <v>1907</v>
      </c>
      <c r="L937" s="565">
        <f t="shared" si="270"/>
        <v>46439075.920000002</v>
      </c>
      <c r="M937" s="565">
        <f t="shared" si="270"/>
        <v>0</v>
      </c>
      <c r="N937" s="565">
        <f t="shared" si="270"/>
        <v>146321.84</v>
      </c>
      <c r="O937" s="565">
        <f t="shared" si="270"/>
        <v>46292754.079999998</v>
      </c>
      <c r="P937" s="565">
        <f t="shared" si="270"/>
        <v>0</v>
      </c>
      <c r="Q937" s="106" t="s">
        <v>40</v>
      </c>
      <c r="R937" s="106" t="s">
        <v>40</v>
      </c>
      <c r="S937" s="326">
        <v>43465</v>
      </c>
    </row>
    <row r="938" spans="1:34" s="1" customFormat="1" ht="15.6">
      <c r="A938" s="107"/>
      <c r="B938" s="1411" t="s">
        <v>88</v>
      </c>
      <c r="C938" s="1411"/>
      <c r="D938" s="1411"/>
      <c r="E938" s="1411"/>
      <c r="F938" s="1411"/>
      <c r="G938" s="1411"/>
      <c r="H938" s="128">
        <f>SUM(H939:H944)</f>
        <v>44029.100000000006</v>
      </c>
      <c r="I938" s="128">
        <f t="shared" ref="I938:P938" si="271">SUM(I939:I944)</f>
        <v>30480.100000000002</v>
      </c>
      <c r="J938" s="128">
        <f t="shared" si="271"/>
        <v>29442.800000000003</v>
      </c>
      <c r="K938" s="128">
        <f t="shared" si="271"/>
        <v>1255</v>
      </c>
      <c r="L938" s="565">
        <f t="shared" si="271"/>
        <v>29383642</v>
      </c>
      <c r="M938" s="565">
        <f t="shared" si="271"/>
        <v>0</v>
      </c>
      <c r="N938" s="565">
        <f t="shared" si="271"/>
        <v>0</v>
      </c>
      <c r="O938" s="565">
        <f t="shared" si="271"/>
        <v>29383642</v>
      </c>
      <c r="P938" s="565">
        <f t="shared" si="271"/>
        <v>0</v>
      </c>
      <c r="Q938" s="106" t="s">
        <v>40</v>
      </c>
      <c r="R938" s="106" t="s">
        <v>40</v>
      </c>
      <c r="S938" s="326">
        <v>43465</v>
      </c>
    </row>
    <row r="939" spans="1:34" s="21" customFormat="1" ht="28.2" customHeight="1">
      <c r="A939" s="318">
        <v>1</v>
      </c>
      <c r="B939" s="851" t="s">
        <v>748</v>
      </c>
      <c r="C939" s="417">
        <v>1990</v>
      </c>
      <c r="D939" s="417"/>
      <c r="E939" s="321" t="s">
        <v>219</v>
      </c>
      <c r="F939" s="417">
        <v>9</v>
      </c>
      <c r="G939" s="852">
        <v>3</v>
      </c>
      <c r="H939" s="857">
        <v>8571.2000000000007</v>
      </c>
      <c r="I939" s="857">
        <v>5968.9</v>
      </c>
      <c r="J939" s="857">
        <f>I939-135.6</f>
        <v>5833.2999999999993</v>
      </c>
      <c r="K939" s="857">
        <v>237</v>
      </c>
      <c r="L939" s="325">
        <v>5877687</v>
      </c>
      <c r="M939" s="854">
        <v>0</v>
      </c>
      <c r="N939" s="324">
        <v>0</v>
      </c>
      <c r="O939" s="324">
        <f>L939</f>
        <v>5877687</v>
      </c>
      <c r="P939" s="324">
        <v>0</v>
      </c>
      <c r="Q939" s="325">
        <f t="shared" ref="Q939:Q944" si="272">L939/I939</f>
        <v>984.71862487225462</v>
      </c>
      <c r="R939" s="325">
        <v>7920</v>
      </c>
      <c r="S939" s="326">
        <v>43465</v>
      </c>
    </row>
    <row r="940" spans="1:34" s="21" customFormat="1" ht="19.2" customHeight="1">
      <c r="A940" s="318">
        <f t="shared" si="260"/>
        <v>2</v>
      </c>
      <c r="B940" s="851" t="s">
        <v>749</v>
      </c>
      <c r="C940" s="417">
        <v>1990</v>
      </c>
      <c r="D940" s="417"/>
      <c r="E940" s="321" t="s">
        <v>219</v>
      </c>
      <c r="F940" s="417">
        <v>9</v>
      </c>
      <c r="G940" s="852">
        <v>2</v>
      </c>
      <c r="H940" s="325">
        <v>5349</v>
      </c>
      <c r="I940" s="325">
        <v>3785.4</v>
      </c>
      <c r="J940" s="325">
        <f>I940-189.7</f>
        <v>3595.7000000000003</v>
      </c>
      <c r="K940" s="325">
        <v>153</v>
      </c>
      <c r="L940" s="325">
        <v>3911300</v>
      </c>
      <c r="M940" s="854">
        <v>0</v>
      </c>
      <c r="N940" s="324">
        <v>0</v>
      </c>
      <c r="O940" s="324">
        <f t="shared" ref="O940:O944" si="273">L940</f>
        <v>3911300</v>
      </c>
      <c r="P940" s="324">
        <v>0</v>
      </c>
      <c r="Q940" s="325">
        <f t="shared" si="272"/>
        <v>1033.259364928409</v>
      </c>
      <c r="R940" s="325">
        <v>7920</v>
      </c>
      <c r="S940" s="326">
        <v>43465</v>
      </c>
    </row>
    <row r="941" spans="1:34" s="21" customFormat="1" ht="20.399999999999999" customHeight="1">
      <c r="A941" s="318">
        <f t="shared" si="260"/>
        <v>3</v>
      </c>
      <c r="B941" s="851" t="s">
        <v>750</v>
      </c>
      <c r="C941" s="417">
        <v>1989</v>
      </c>
      <c r="D941" s="417"/>
      <c r="E941" s="321" t="s">
        <v>219</v>
      </c>
      <c r="F941" s="417">
        <v>9</v>
      </c>
      <c r="G941" s="852">
        <v>3</v>
      </c>
      <c r="H941" s="855">
        <v>7783.6</v>
      </c>
      <c r="I941" s="855">
        <v>5580.6</v>
      </c>
      <c r="J941" s="855">
        <f>I941</f>
        <v>5580.6</v>
      </c>
      <c r="K941" s="325">
        <v>241</v>
      </c>
      <c r="L941" s="325">
        <v>5873712</v>
      </c>
      <c r="M941" s="854">
        <v>0</v>
      </c>
      <c r="N941" s="324">
        <v>0</v>
      </c>
      <c r="O941" s="324">
        <f t="shared" si="273"/>
        <v>5873712</v>
      </c>
      <c r="P941" s="324">
        <v>0</v>
      </c>
      <c r="Q941" s="325">
        <f t="shared" si="272"/>
        <v>1052.5233845823029</v>
      </c>
      <c r="R941" s="325">
        <v>7920</v>
      </c>
      <c r="S941" s="326">
        <v>43465</v>
      </c>
    </row>
    <row r="942" spans="1:34" s="21" customFormat="1" ht="27" customHeight="1">
      <c r="A942" s="318">
        <f t="shared" si="260"/>
        <v>4</v>
      </c>
      <c r="B942" s="851" t="s">
        <v>751</v>
      </c>
      <c r="C942" s="417">
        <v>1988</v>
      </c>
      <c r="D942" s="417"/>
      <c r="E942" s="321" t="s">
        <v>219</v>
      </c>
      <c r="F942" s="417">
        <v>9</v>
      </c>
      <c r="G942" s="852">
        <v>3</v>
      </c>
      <c r="H942" s="853">
        <v>8105.9</v>
      </c>
      <c r="I942" s="853">
        <v>5431.3</v>
      </c>
      <c r="J942" s="853">
        <v>5098.1000000000004</v>
      </c>
      <c r="K942" s="853">
        <v>226</v>
      </c>
      <c r="L942" s="325">
        <v>5872977</v>
      </c>
      <c r="M942" s="854">
        <v>0</v>
      </c>
      <c r="N942" s="324">
        <v>0</v>
      </c>
      <c r="O942" s="324">
        <f t="shared" si="273"/>
        <v>5872977</v>
      </c>
      <c r="P942" s="324">
        <v>0</v>
      </c>
      <c r="Q942" s="325">
        <f t="shared" si="272"/>
        <v>1081.3206782906486</v>
      </c>
      <c r="R942" s="325">
        <v>7920</v>
      </c>
      <c r="S942" s="326">
        <v>43465</v>
      </c>
      <c r="T942" s="52"/>
      <c r="U942" s="52"/>
      <c r="V942" s="52"/>
      <c r="W942" s="52"/>
      <c r="X942" s="52"/>
      <c r="Y942" s="52"/>
      <c r="Z942" s="52"/>
      <c r="AA942" s="52"/>
      <c r="AB942" s="52"/>
      <c r="AC942" s="52"/>
      <c r="AD942" s="52"/>
      <c r="AE942" s="52"/>
      <c r="AF942" s="52"/>
      <c r="AG942" s="52"/>
      <c r="AH942" s="52"/>
    </row>
    <row r="943" spans="1:34" s="52" customFormat="1" ht="23.4" customHeight="1">
      <c r="A943" s="318">
        <f t="shared" si="260"/>
        <v>5</v>
      </c>
      <c r="B943" s="851" t="s">
        <v>752</v>
      </c>
      <c r="C943" s="417">
        <v>1992</v>
      </c>
      <c r="D943" s="417"/>
      <c r="E943" s="321" t="s">
        <v>219</v>
      </c>
      <c r="F943" s="417">
        <v>9</v>
      </c>
      <c r="G943" s="852">
        <v>3</v>
      </c>
      <c r="H943" s="856">
        <v>9508.2000000000007</v>
      </c>
      <c r="I943" s="856">
        <v>6412.6</v>
      </c>
      <c r="J943" s="856">
        <f>I943-255.7</f>
        <v>6156.9000000000005</v>
      </c>
      <c r="K943" s="857">
        <v>267</v>
      </c>
      <c r="L943" s="857">
        <v>5882933</v>
      </c>
      <c r="M943" s="854">
        <v>0</v>
      </c>
      <c r="N943" s="324">
        <v>0</v>
      </c>
      <c r="O943" s="324">
        <f t="shared" si="273"/>
        <v>5882933</v>
      </c>
      <c r="P943" s="324">
        <v>0</v>
      </c>
      <c r="Q943" s="325">
        <f t="shared" si="272"/>
        <v>917.40214577550444</v>
      </c>
      <c r="R943" s="325">
        <v>7920</v>
      </c>
      <c r="S943" s="326">
        <v>43465</v>
      </c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</row>
    <row r="944" spans="1:34" s="21" customFormat="1" ht="31.2">
      <c r="A944" s="318">
        <f t="shared" si="260"/>
        <v>6</v>
      </c>
      <c r="B944" s="843" t="s">
        <v>753</v>
      </c>
      <c r="C944" s="417">
        <v>1993</v>
      </c>
      <c r="D944" s="417"/>
      <c r="E944" s="321" t="s">
        <v>218</v>
      </c>
      <c r="F944" s="417">
        <v>9</v>
      </c>
      <c r="G944" s="852">
        <v>1</v>
      </c>
      <c r="H944" s="856">
        <v>4711.2</v>
      </c>
      <c r="I944" s="856">
        <v>3301.3</v>
      </c>
      <c r="J944" s="856">
        <f>I944-123.1</f>
        <v>3178.2000000000003</v>
      </c>
      <c r="K944" s="857">
        <v>131</v>
      </c>
      <c r="L944" s="857">
        <v>1965033</v>
      </c>
      <c r="M944" s="854">
        <v>0</v>
      </c>
      <c r="N944" s="324">
        <v>0</v>
      </c>
      <c r="O944" s="324">
        <f t="shared" si="273"/>
        <v>1965033</v>
      </c>
      <c r="P944" s="324">
        <v>0</v>
      </c>
      <c r="Q944" s="325">
        <f t="shared" si="272"/>
        <v>595.23006088510579</v>
      </c>
      <c r="R944" s="325">
        <v>7920</v>
      </c>
      <c r="S944" s="326">
        <v>43465</v>
      </c>
    </row>
    <row r="945" spans="1:19" s="21" customFormat="1" ht="15.75" customHeight="1">
      <c r="A945" s="107"/>
      <c r="B945" s="1423" t="s">
        <v>132</v>
      </c>
      <c r="C945" s="1423"/>
      <c r="D945" s="1423"/>
      <c r="E945" s="1423"/>
      <c r="F945" s="1423"/>
      <c r="G945" s="1423"/>
      <c r="H945" s="117">
        <f>H946</f>
        <v>781</v>
      </c>
      <c r="I945" s="117">
        <f t="shared" ref="I945:P945" si="274">I946</f>
        <v>720.8</v>
      </c>
      <c r="J945" s="117">
        <f t="shared" si="274"/>
        <v>637.4</v>
      </c>
      <c r="K945" s="155">
        <f t="shared" si="274"/>
        <v>22</v>
      </c>
      <c r="L945" s="113">
        <f t="shared" si="274"/>
        <v>1107622</v>
      </c>
      <c r="M945" s="113">
        <f t="shared" si="274"/>
        <v>0</v>
      </c>
      <c r="N945" s="113">
        <f t="shared" si="274"/>
        <v>0</v>
      </c>
      <c r="O945" s="113">
        <f t="shared" si="274"/>
        <v>1107622</v>
      </c>
      <c r="P945" s="113">
        <f t="shared" si="274"/>
        <v>0</v>
      </c>
      <c r="Q945" s="114" t="s">
        <v>40</v>
      </c>
      <c r="R945" s="114" t="s">
        <v>40</v>
      </c>
      <c r="S945" s="326">
        <v>43465</v>
      </c>
    </row>
    <row r="946" spans="1:19" s="21" customFormat="1" ht="41.4" customHeight="1">
      <c r="A946" s="318" t="e">
        <f>#REF!+1</f>
        <v>#REF!</v>
      </c>
      <c r="B946" s="843" t="s">
        <v>701</v>
      </c>
      <c r="C946" s="417">
        <v>1972</v>
      </c>
      <c r="D946" s="417"/>
      <c r="E946" s="321" t="s">
        <v>218</v>
      </c>
      <c r="F946" s="417">
        <v>2</v>
      </c>
      <c r="G946" s="417">
        <v>2</v>
      </c>
      <c r="H946" s="587">
        <v>781</v>
      </c>
      <c r="I946" s="587">
        <v>720.8</v>
      </c>
      <c r="J946" s="587">
        <v>637.4</v>
      </c>
      <c r="K946" s="596">
        <v>22</v>
      </c>
      <c r="L946" s="324">
        <v>1107622</v>
      </c>
      <c r="M946" s="324">
        <v>0</v>
      </c>
      <c r="N946" s="324">
        <v>0</v>
      </c>
      <c r="O946" s="324">
        <f>L946</f>
        <v>1107622</v>
      </c>
      <c r="P946" s="324">
        <v>0</v>
      </c>
      <c r="Q946" s="325">
        <f>L946/I946</f>
        <v>1536.6564927857937</v>
      </c>
      <c r="R946" s="325">
        <v>7920</v>
      </c>
      <c r="S946" s="326">
        <v>43465</v>
      </c>
    </row>
    <row r="947" spans="1:19" s="1" customFormat="1" ht="15.75" customHeight="1">
      <c r="A947" s="107"/>
      <c r="B947" s="1413" t="s">
        <v>110</v>
      </c>
      <c r="C947" s="1413"/>
      <c r="D947" s="1413"/>
      <c r="E947" s="1413"/>
      <c r="F947" s="1413"/>
      <c r="G947" s="1413"/>
      <c r="H947" s="128">
        <f t="shared" ref="H947:O947" si="275">SUM(H948:H948)</f>
        <v>894.6</v>
      </c>
      <c r="I947" s="106">
        <f t="shared" si="275"/>
        <v>565.1</v>
      </c>
      <c r="J947" s="106">
        <f t="shared" si="275"/>
        <v>565.1</v>
      </c>
      <c r="K947" s="119">
        <f t="shared" si="275"/>
        <v>57</v>
      </c>
      <c r="L947" s="113">
        <f t="shared" si="275"/>
        <v>2348226</v>
      </c>
      <c r="M947" s="113">
        <f t="shared" si="275"/>
        <v>0</v>
      </c>
      <c r="N947" s="113">
        <f t="shared" si="275"/>
        <v>0</v>
      </c>
      <c r="O947" s="113">
        <f t="shared" si="275"/>
        <v>2348226</v>
      </c>
      <c r="P947" s="113">
        <v>0</v>
      </c>
      <c r="Q947" s="106" t="s">
        <v>40</v>
      </c>
      <c r="R947" s="106" t="s">
        <v>40</v>
      </c>
      <c r="S947" s="326">
        <v>43465</v>
      </c>
    </row>
    <row r="948" spans="1:19" s="1" customFormat="1" ht="15.6">
      <c r="A948" s="318" t="e">
        <f>A946+1</f>
        <v>#REF!</v>
      </c>
      <c r="B948" s="319" t="s">
        <v>475</v>
      </c>
      <c r="C948" s="318">
        <v>1972</v>
      </c>
      <c r="D948" s="320"/>
      <c r="E948" s="321" t="s">
        <v>473</v>
      </c>
      <c r="F948" s="320">
        <v>2</v>
      </c>
      <c r="G948" s="320">
        <v>3</v>
      </c>
      <c r="H948" s="322">
        <v>894.6</v>
      </c>
      <c r="I948" s="320">
        <v>565.1</v>
      </c>
      <c r="J948" s="320">
        <v>565.1</v>
      </c>
      <c r="K948" s="323">
        <v>57</v>
      </c>
      <c r="L948" s="324">
        <v>2348226</v>
      </c>
      <c r="M948" s="324">
        <v>0</v>
      </c>
      <c r="N948" s="324">
        <v>0</v>
      </c>
      <c r="O948" s="324">
        <v>2348226</v>
      </c>
      <c r="P948" s="324">
        <v>0</v>
      </c>
      <c r="Q948" s="325">
        <f>L948/I948</f>
        <v>4155.416740399929</v>
      </c>
      <c r="R948" s="325">
        <v>7920</v>
      </c>
      <c r="S948" s="326">
        <v>43465</v>
      </c>
    </row>
    <row r="949" spans="1:19" s="1" customFormat="1" ht="19.2" customHeight="1">
      <c r="A949" s="318"/>
      <c r="B949" s="1471" t="s">
        <v>128</v>
      </c>
      <c r="C949" s="1471"/>
      <c r="D949" s="1460"/>
      <c r="E949" s="1460"/>
      <c r="F949" s="1471"/>
      <c r="G949" s="1471"/>
      <c r="H949" s="801">
        <f>SUM(H950:H953)</f>
        <v>11540.800000000001</v>
      </c>
      <c r="I949" s="801">
        <f t="shared" ref="I949:P949" si="276">SUM(I950:I953)</f>
        <v>10578.000000000002</v>
      </c>
      <c r="J949" s="801">
        <f t="shared" si="276"/>
        <v>10228.1</v>
      </c>
      <c r="K949" s="801">
        <f t="shared" si="276"/>
        <v>394</v>
      </c>
      <c r="L949" s="801">
        <f t="shared" si="276"/>
        <v>9209860</v>
      </c>
      <c r="M949" s="802">
        <f t="shared" si="276"/>
        <v>0</v>
      </c>
      <c r="N949" s="802">
        <f t="shared" si="276"/>
        <v>0</v>
      </c>
      <c r="O949" s="802">
        <f t="shared" si="276"/>
        <v>9209860</v>
      </c>
      <c r="P949" s="802">
        <f t="shared" si="276"/>
        <v>0</v>
      </c>
      <c r="Q949" s="801" t="s">
        <v>40</v>
      </c>
      <c r="R949" s="736" t="s">
        <v>40</v>
      </c>
      <c r="S949" s="326">
        <v>43465</v>
      </c>
    </row>
    <row r="950" spans="1:19" s="59" customFormat="1" ht="21.6" customHeight="1">
      <c r="A950" s="803"/>
      <c r="B950" s="804" t="s">
        <v>725</v>
      </c>
      <c r="C950" s="805">
        <v>1991</v>
      </c>
      <c r="D950" s="806"/>
      <c r="E950" s="737" t="s">
        <v>219</v>
      </c>
      <c r="F950" s="805">
        <v>5</v>
      </c>
      <c r="G950" s="805">
        <v>5</v>
      </c>
      <c r="H950" s="807">
        <v>4237.8999999999996</v>
      </c>
      <c r="I950" s="808">
        <v>3869.7</v>
      </c>
      <c r="J950" s="807">
        <v>3564.5</v>
      </c>
      <c r="K950" s="805">
        <v>155</v>
      </c>
      <c r="L950" s="650">
        <v>2620143</v>
      </c>
      <c r="M950" s="809">
        <v>0</v>
      </c>
      <c r="N950" s="809">
        <v>0</v>
      </c>
      <c r="O950" s="809">
        <f>L950</f>
        <v>2620143</v>
      </c>
      <c r="P950" s="809">
        <v>0</v>
      </c>
      <c r="Q950" s="810">
        <f>L950/I950</f>
        <v>677.09202263741383</v>
      </c>
      <c r="R950" s="810">
        <v>7920</v>
      </c>
      <c r="S950" s="622">
        <v>43465</v>
      </c>
    </row>
    <row r="951" spans="1:19" s="59" customFormat="1" ht="22.95" customHeight="1">
      <c r="A951" s="803"/>
      <c r="B951" s="804" t="s">
        <v>726</v>
      </c>
      <c r="C951" s="805">
        <v>1995</v>
      </c>
      <c r="D951" s="806"/>
      <c r="E951" s="737" t="s">
        <v>219</v>
      </c>
      <c r="F951" s="805">
        <v>5</v>
      </c>
      <c r="G951" s="805">
        <v>6</v>
      </c>
      <c r="H951" s="807">
        <v>4861.6000000000004</v>
      </c>
      <c r="I951" s="808">
        <v>4465</v>
      </c>
      <c r="J951" s="807">
        <v>4465</v>
      </c>
      <c r="K951" s="805">
        <v>158</v>
      </c>
      <c r="L951" s="650">
        <v>3158092</v>
      </c>
      <c r="M951" s="809">
        <v>0</v>
      </c>
      <c r="N951" s="809">
        <v>0</v>
      </c>
      <c r="O951" s="809">
        <f t="shared" ref="O951:O953" si="277">L951</f>
        <v>3158092</v>
      </c>
      <c r="P951" s="809">
        <v>0</v>
      </c>
      <c r="Q951" s="810">
        <f t="shared" ref="Q951:Q953" si="278">L951/I951</f>
        <v>707.29944008958569</v>
      </c>
      <c r="R951" s="810">
        <v>7920</v>
      </c>
      <c r="S951" s="622">
        <v>43465</v>
      </c>
    </row>
    <row r="952" spans="1:19" s="59" customFormat="1" ht="33" customHeight="1">
      <c r="A952" s="803"/>
      <c r="B952" s="804" t="s">
        <v>727</v>
      </c>
      <c r="C952" s="805">
        <v>1983</v>
      </c>
      <c r="D952" s="806"/>
      <c r="E952" s="737" t="s">
        <v>219</v>
      </c>
      <c r="F952" s="805">
        <v>3</v>
      </c>
      <c r="G952" s="805">
        <v>3</v>
      </c>
      <c r="H952" s="807">
        <v>1514.1</v>
      </c>
      <c r="I952" s="807">
        <v>1403.1</v>
      </c>
      <c r="J952" s="807">
        <v>1403.1</v>
      </c>
      <c r="K952" s="805">
        <v>46</v>
      </c>
      <c r="L952" s="650">
        <v>1623752</v>
      </c>
      <c r="M952" s="809">
        <v>0</v>
      </c>
      <c r="N952" s="809">
        <v>0</v>
      </c>
      <c r="O952" s="809">
        <f t="shared" si="277"/>
        <v>1623752</v>
      </c>
      <c r="P952" s="809">
        <v>0</v>
      </c>
      <c r="Q952" s="810">
        <f t="shared" si="278"/>
        <v>1157.2603520775426</v>
      </c>
      <c r="R952" s="810">
        <v>7920</v>
      </c>
      <c r="S952" s="622">
        <v>43465</v>
      </c>
    </row>
    <row r="953" spans="1:19" s="59" customFormat="1" ht="31.2">
      <c r="A953" s="803"/>
      <c r="B953" s="804" t="s">
        <v>728</v>
      </c>
      <c r="C953" s="805">
        <v>1975</v>
      </c>
      <c r="D953" s="806"/>
      <c r="E953" s="737" t="s">
        <v>218</v>
      </c>
      <c r="F953" s="805">
        <v>2</v>
      </c>
      <c r="G953" s="805">
        <v>3</v>
      </c>
      <c r="H953" s="807">
        <v>927.2</v>
      </c>
      <c r="I953" s="808">
        <v>840.2</v>
      </c>
      <c r="J953" s="807">
        <v>795.5</v>
      </c>
      <c r="K953" s="805">
        <v>35</v>
      </c>
      <c r="L953" s="650">
        <v>1807873</v>
      </c>
      <c r="M953" s="809">
        <v>0</v>
      </c>
      <c r="N953" s="809">
        <v>0</v>
      </c>
      <c r="O953" s="809">
        <f t="shared" si="277"/>
        <v>1807873</v>
      </c>
      <c r="P953" s="809">
        <v>0</v>
      </c>
      <c r="Q953" s="810">
        <f t="shared" si="278"/>
        <v>2151.7174482266128</v>
      </c>
      <c r="R953" s="810">
        <v>7920</v>
      </c>
      <c r="S953" s="622">
        <v>43465</v>
      </c>
    </row>
    <row r="954" spans="1:19" s="59" customFormat="1" ht="15.6">
      <c r="A954" s="318"/>
      <c r="B954" s="632"/>
      <c r="C954" s="381"/>
      <c r="D954" s="320"/>
      <c r="E954" s="321"/>
      <c r="F954" s="633"/>
      <c r="G954" s="633"/>
      <c r="H954" s="633"/>
      <c r="I954" s="634"/>
      <c r="J954" s="633"/>
      <c r="K954" s="633"/>
      <c r="L954" s="426"/>
      <c r="M954" s="426"/>
      <c r="N954" s="426"/>
      <c r="O954" s="426"/>
      <c r="P954" s="426"/>
      <c r="Q954" s="623"/>
      <c r="R954" s="623"/>
      <c r="S954" s="326"/>
    </row>
    <row r="955" spans="1:19" s="59" customFormat="1" ht="15.6">
      <c r="A955" s="318"/>
      <c r="B955" s="336"/>
      <c r="C955" s="318"/>
      <c r="D955" s="320"/>
      <c r="E955" s="321"/>
      <c r="F955" s="320"/>
      <c r="G955" s="320"/>
      <c r="H955" s="320"/>
      <c r="I955" s="340"/>
      <c r="J955" s="320"/>
      <c r="K955" s="320"/>
      <c r="L955" s="324"/>
      <c r="M955" s="324"/>
      <c r="N955" s="324"/>
      <c r="O955" s="324"/>
      <c r="P955" s="324"/>
      <c r="Q955" s="325"/>
      <c r="R955" s="325"/>
      <c r="S955" s="326"/>
    </row>
    <row r="956" spans="1:19" s="59" customFormat="1" ht="24" customHeight="1">
      <c r="A956" s="107"/>
      <c r="B956" s="1472" t="s">
        <v>668</v>
      </c>
      <c r="C956" s="1473"/>
      <c r="D956" s="1473"/>
      <c r="E956" s="1473"/>
      <c r="F956" s="1473"/>
      <c r="G956" s="1474"/>
      <c r="H956" s="131">
        <f>H957</f>
        <v>687.8</v>
      </c>
      <c r="I956" s="131">
        <f t="shared" ref="I956:P956" si="279">I957</f>
        <v>639.4</v>
      </c>
      <c r="J956" s="131">
        <f t="shared" si="279"/>
        <v>639.4</v>
      </c>
      <c r="K956" s="131">
        <f t="shared" si="279"/>
        <v>23</v>
      </c>
      <c r="L956" s="570">
        <f t="shared" si="279"/>
        <v>1720569</v>
      </c>
      <c r="M956" s="570">
        <f t="shared" si="279"/>
        <v>0</v>
      </c>
      <c r="N956" s="570">
        <f t="shared" si="279"/>
        <v>0</v>
      </c>
      <c r="O956" s="570">
        <f t="shared" si="279"/>
        <v>1720569</v>
      </c>
      <c r="P956" s="570">
        <f t="shared" si="279"/>
        <v>0</v>
      </c>
      <c r="Q956" s="106" t="s">
        <v>40</v>
      </c>
      <c r="R956" s="114" t="s">
        <v>40</v>
      </c>
      <c r="S956" s="326">
        <v>43465</v>
      </c>
    </row>
    <row r="957" spans="1:19" s="59" customFormat="1" ht="35.4" customHeight="1">
      <c r="A957" s="107"/>
      <c r="B957" s="145" t="s">
        <v>671</v>
      </c>
      <c r="C957" s="132">
        <v>1960</v>
      </c>
      <c r="D957" s="131"/>
      <c r="E957" s="109" t="s">
        <v>218</v>
      </c>
      <c r="F957" s="131">
        <v>2</v>
      </c>
      <c r="G957" s="131">
        <v>2</v>
      </c>
      <c r="H957" s="131">
        <v>687.8</v>
      </c>
      <c r="I957" s="176">
        <v>639.4</v>
      </c>
      <c r="J957" s="131">
        <v>639.4</v>
      </c>
      <c r="K957" s="131">
        <v>23</v>
      </c>
      <c r="L957" s="113">
        <v>1720569</v>
      </c>
      <c r="M957" s="113">
        <v>0</v>
      </c>
      <c r="N957" s="113">
        <v>0</v>
      </c>
      <c r="O957" s="113">
        <v>1720569</v>
      </c>
      <c r="P957" s="113">
        <v>0</v>
      </c>
      <c r="Q957" s="124">
        <f t="shared" ref="Q957" si="280">L957/I957</f>
        <v>2690.9117923052863</v>
      </c>
      <c r="R957" s="114">
        <v>7920</v>
      </c>
      <c r="S957" s="326">
        <v>43465</v>
      </c>
    </row>
    <row r="958" spans="1:19" s="1" customFormat="1" ht="22.95" customHeight="1">
      <c r="A958" s="107"/>
      <c r="B958" s="1411" t="s">
        <v>994</v>
      </c>
      <c r="C958" s="1411"/>
      <c r="D958" s="1411"/>
      <c r="E958" s="1411"/>
      <c r="F958" s="1411"/>
      <c r="G958" s="1411"/>
      <c r="H958" s="128">
        <f>H959+H960</f>
        <v>932.40000000000009</v>
      </c>
      <c r="I958" s="128">
        <f t="shared" ref="I958:P958" si="281">I959+I960</f>
        <v>932.40000000000009</v>
      </c>
      <c r="J958" s="128">
        <f t="shared" si="281"/>
        <v>661.40000000000009</v>
      </c>
      <c r="K958" s="128">
        <f t="shared" si="281"/>
        <v>55</v>
      </c>
      <c r="L958" s="565">
        <f t="shared" si="281"/>
        <v>580386</v>
      </c>
      <c r="M958" s="565">
        <f t="shared" si="281"/>
        <v>0</v>
      </c>
      <c r="N958" s="565">
        <f t="shared" si="281"/>
        <v>0</v>
      </c>
      <c r="O958" s="565">
        <f t="shared" si="281"/>
        <v>580386</v>
      </c>
      <c r="P958" s="565">
        <f t="shared" si="281"/>
        <v>0</v>
      </c>
      <c r="Q958" s="106" t="s">
        <v>40</v>
      </c>
      <c r="R958" s="114" t="s">
        <v>40</v>
      </c>
      <c r="S958" s="326">
        <v>43465</v>
      </c>
    </row>
    <row r="959" spans="1:19" s="1" customFormat="1" ht="40.950000000000003" customHeight="1">
      <c r="A959" s="107"/>
      <c r="B959" s="945" t="s">
        <v>996</v>
      </c>
      <c r="C959" s="118">
        <v>1965</v>
      </c>
      <c r="D959" s="945"/>
      <c r="E959" s="944" t="s">
        <v>218</v>
      </c>
      <c r="F959" s="945">
        <v>2</v>
      </c>
      <c r="G959" s="945">
        <v>3</v>
      </c>
      <c r="H959" s="128">
        <v>445.8</v>
      </c>
      <c r="I959" s="106">
        <v>445.8</v>
      </c>
      <c r="J959" s="106">
        <v>316.60000000000002</v>
      </c>
      <c r="K959" s="119">
        <v>13</v>
      </c>
      <c r="L959" s="113">
        <v>290233</v>
      </c>
      <c r="M959" s="113">
        <v>0</v>
      </c>
      <c r="N959" s="113">
        <v>0</v>
      </c>
      <c r="O959" s="113">
        <v>290233</v>
      </c>
      <c r="P959" s="113">
        <v>0</v>
      </c>
      <c r="Q959" s="106">
        <f>L959/I959</f>
        <v>651.03858232391201</v>
      </c>
      <c r="R959" s="114">
        <v>7920</v>
      </c>
      <c r="S959" s="326">
        <v>43465</v>
      </c>
    </row>
    <row r="960" spans="1:19" s="1" customFormat="1" ht="31.2">
      <c r="A960" s="107"/>
      <c r="B960" s="945" t="s">
        <v>997</v>
      </c>
      <c r="C960" s="118">
        <v>1965</v>
      </c>
      <c r="D960" s="304"/>
      <c r="E960" s="109" t="s">
        <v>218</v>
      </c>
      <c r="F960" s="118">
        <v>2</v>
      </c>
      <c r="G960" s="118">
        <v>3</v>
      </c>
      <c r="H960" s="128">
        <v>486.6</v>
      </c>
      <c r="I960" s="106">
        <v>486.6</v>
      </c>
      <c r="J960" s="106">
        <v>344.8</v>
      </c>
      <c r="K960" s="119">
        <v>42</v>
      </c>
      <c r="L960" s="113">
        <v>290153</v>
      </c>
      <c r="M960" s="113">
        <v>0</v>
      </c>
      <c r="N960" s="113">
        <v>0</v>
      </c>
      <c r="O960" s="113">
        <v>290153</v>
      </c>
      <c r="P960" s="113">
        <v>0</v>
      </c>
      <c r="Q960" s="106">
        <f>L960/I960</f>
        <v>596.28647759967112</v>
      </c>
      <c r="R960" s="114">
        <v>7920</v>
      </c>
      <c r="S960" s="326">
        <v>43465</v>
      </c>
    </row>
    <row r="961" spans="1:19" s="1" customFormat="1" ht="15.75" customHeight="1">
      <c r="A961" s="107"/>
      <c r="B961" s="1413" t="s">
        <v>111</v>
      </c>
      <c r="C961" s="1413"/>
      <c r="D961" s="1413"/>
      <c r="E961" s="1413"/>
      <c r="F961" s="1413"/>
      <c r="G961" s="1413"/>
      <c r="H961" s="128">
        <f>H962</f>
        <v>533.5</v>
      </c>
      <c r="I961" s="128">
        <f t="shared" ref="I961:J961" si="282">I962</f>
        <v>525.5</v>
      </c>
      <c r="J961" s="128">
        <f t="shared" si="282"/>
        <v>294.10000000000002</v>
      </c>
      <c r="K961" s="119">
        <f>K962</f>
        <v>54</v>
      </c>
      <c r="L961" s="113">
        <f>L962</f>
        <v>657835.92000000004</v>
      </c>
      <c r="M961" s="113">
        <f t="shared" ref="M961:P961" si="283">M962</f>
        <v>0</v>
      </c>
      <c r="N961" s="113">
        <f t="shared" si="283"/>
        <v>146321.84</v>
      </c>
      <c r="O961" s="113">
        <f t="shared" si="283"/>
        <v>511514.08</v>
      </c>
      <c r="P961" s="113">
        <f t="shared" si="283"/>
        <v>0</v>
      </c>
      <c r="Q961" s="106" t="s">
        <v>40</v>
      </c>
      <c r="R961" s="106" t="s">
        <v>40</v>
      </c>
      <c r="S961" s="326">
        <v>43465</v>
      </c>
    </row>
    <row r="962" spans="1:19" s="1" customFormat="1" ht="31.2">
      <c r="A962" s="107"/>
      <c r="B962" s="303" t="s">
        <v>420</v>
      </c>
      <c r="C962" s="302">
        <v>1967</v>
      </c>
      <c r="D962" s="304"/>
      <c r="E962" s="109" t="s">
        <v>218</v>
      </c>
      <c r="F962" s="118">
        <v>2</v>
      </c>
      <c r="G962" s="118">
        <v>2</v>
      </c>
      <c r="H962" s="128">
        <v>533.5</v>
      </c>
      <c r="I962" s="106">
        <v>525.5</v>
      </c>
      <c r="J962" s="106">
        <v>294.10000000000002</v>
      </c>
      <c r="K962" s="119">
        <v>54</v>
      </c>
      <c r="L962" s="113">
        <v>657835.92000000004</v>
      </c>
      <c r="M962" s="113">
        <v>0</v>
      </c>
      <c r="N962" s="113">
        <v>146321.84</v>
      </c>
      <c r="O962" s="113">
        <v>511514.08</v>
      </c>
      <c r="P962" s="113">
        <v>0</v>
      </c>
      <c r="Q962" s="106">
        <f>L961/I962</f>
        <v>1251.828582302569</v>
      </c>
      <c r="R962" s="114">
        <v>6774</v>
      </c>
      <c r="S962" s="326">
        <v>43465</v>
      </c>
    </row>
    <row r="963" spans="1:19" s="1" customFormat="1" ht="15.6">
      <c r="A963" s="318"/>
      <c r="B963" s="1465" t="s">
        <v>129</v>
      </c>
      <c r="C963" s="1465"/>
      <c r="D963" s="1465"/>
      <c r="E963" s="1465"/>
      <c r="F963" s="1465"/>
      <c r="G963" s="1465"/>
      <c r="H963" s="341">
        <f>H964</f>
        <v>1028</v>
      </c>
      <c r="I963" s="341">
        <f t="shared" ref="I963:P963" si="284">I964</f>
        <v>955</v>
      </c>
      <c r="J963" s="341">
        <f t="shared" si="284"/>
        <v>955</v>
      </c>
      <c r="K963" s="341">
        <f t="shared" si="284"/>
        <v>47</v>
      </c>
      <c r="L963" s="675">
        <f t="shared" si="284"/>
        <v>1430935</v>
      </c>
      <c r="M963" s="675">
        <f t="shared" si="284"/>
        <v>0</v>
      </c>
      <c r="N963" s="675">
        <f t="shared" si="284"/>
        <v>0</v>
      </c>
      <c r="O963" s="675">
        <f t="shared" si="284"/>
        <v>1430935</v>
      </c>
      <c r="P963" s="675">
        <f t="shared" si="284"/>
        <v>0</v>
      </c>
      <c r="Q963" s="344" t="s">
        <v>40</v>
      </c>
      <c r="R963" s="325" t="s">
        <v>40</v>
      </c>
      <c r="S963" s="326">
        <v>43465</v>
      </c>
    </row>
    <row r="964" spans="1:19" s="59" customFormat="1" ht="31.2">
      <c r="A964" s="318"/>
      <c r="B964" s="942" t="s">
        <v>682</v>
      </c>
      <c r="C964" s="320">
        <v>1972</v>
      </c>
      <c r="D964" s="320"/>
      <c r="E964" s="321" t="s">
        <v>218</v>
      </c>
      <c r="F964" s="320">
        <v>3</v>
      </c>
      <c r="G964" s="320">
        <v>2</v>
      </c>
      <c r="H964" s="318">
        <v>1028</v>
      </c>
      <c r="I964" s="320">
        <v>955</v>
      </c>
      <c r="J964" s="320">
        <v>955</v>
      </c>
      <c r="K964" s="320">
        <v>47</v>
      </c>
      <c r="L964" s="324">
        <v>1430935</v>
      </c>
      <c r="M964" s="324">
        <v>0</v>
      </c>
      <c r="N964" s="324">
        <v>0</v>
      </c>
      <c r="O964" s="324">
        <v>1430935</v>
      </c>
      <c r="P964" s="324">
        <v>0</v>
      </c>
      <c r="Q964" s="325">
        <f>L964/I964</f>
        <v>1498.3612565445026</v>
      </c>
      <c r="R964" s="325">
        <v>7920</v>
      </c>
      <c r="S964" s="326">
        <v>43465</v>
      </c>
    </row>
    <row r="965" spans="1:19" s="59" customFormat="1" ht="15.6">
      <c r="A965" s="318"/>
      <c r="B965" s="336"/>
      <c r="C965" s="320"/>
      <c r="D965" s="320"/>
      <c r="E965" s="321"/>
      <c r="F965" s="320"/>
      <c r="G965" s="320"/>
      <c r="H965" s="320"/>
      <c r="I965" s="320"/>
      <c r="J965" s="320"/>
      <c r="K965" s="320"/>
      <c r="L965" s="324"/>
      <c r="M965" s="324"/>
      <c r="N965" s="324"/>
      <c r="O965" s="324"/>
      <c r="P965" s="324"/>
      <c r="Q965" s="325"/>
      <c r="R965" s="325"/>
      <c r="S965" s="326"/>
    </row>
    <row r="966" spans="1:19" s="59" customFormat="1" ht="15.6">
      <c r="A966" s="318"/>
      <c r="B966" s="336"/>
      <c r="C966" s="320"/>
      <c r="D966" s="320"/>
      <c r="E966" s="321"/>
      <c r="F966" s="320"/>
      <c r="G966" s="320"/>
      <c r="H966" s="320"/>
      <c r="I966" s="320"/>
      <c r="J966" s="320"/>
      <c r="K966" s="320"/>
      <c r="L966" s="324"/>
      <c r="M966" s="324"/>
      <c r="N966" s="324"/>
      <c r="O966" s="324"/>
      <c r="P966" s="324"/>
      <c r="Q966" s="325"/>
      <c r="R966" s="325"/>
      <c r="S966" s="326"/>
    </row>
    <row r="967" spans="1:19" s="59" customFormat="1" ht="15.6">
      <c r="A967" s="318"/>
      <c r="B967" s="336"/>
      <c r="C967" s="320"/>
      <c r="D967" s="320"/>
      <c r="E967" s="321"/>
      <c r="F967" s="320"/>
      <c r="G967" s="320"/>
      <c r="H967" s="320"/>
      <c r="I967" s="320"/>
      <c r="J967" s="320"/>
      <c r="K967" s="320"/>
      <c r="L967" s="324"/>
      <c r="M967" s="324"/>
      <c r="N967" s="324"/>
      <c r="O967" s="324"/>
      <c r="P967" s="324"/>
      <c r="Q967" s="325"/>
      <c r="R967" s="325"/>
      <c r="S967" s="326"/>
    </row>
    <row r="968" spans="1:19" s="1" customFormat="1" ht="15.6">
      <c r="A968" s="107"/>
      <c r="B968" s="1411" t="s">
        <v>54</v>
      </c>
      <c r="C968" s="1411"/>
      <c r="D968" s="1411"/>
      <c r="E968" s="1411"/>
      <c r="F968" s="1411"/>
      <c r="G968" s="1411"/>
      <c r="H968" s="128">
        <f>H969</f>
        <v>1983</v>
      </c>
      <c r="I968" s="106">
        <f t="shared" ref="I968:P968" si="285">I969</f>
        <v>1780.1</v>
      </c>
      <c r="J968" s="106">
        <f t="shared" si="285"/>
        <v>1780.1</v>
      </c>
      <c r="K968" s="119">
        <f t="shared" si="285"/>
        <v>80</v>
      </c>
      <c r="L968" s="113">
        <f t="shared" si="285"/>
        <v>2222747</v>
      </c>
      <c r="M968" s="113">
        <f t="shared" si="285"/>
        <v>0</v>
      </c>
      <c r="N968" s="113">
        <f t="shared" si="285"/>
        <v>0</v>
      </c>
      <c r="O968" s="113">
        <f t="shared" si="285"/>
        <v>2222747</v>
      </c>
      <c r="P968" s="113">
        <f t="shared" si="285"/>
        <v>0</v>
      </c>
      <c r="Q968" s="106" t="s">
        <v>40</v>
      </c>
      <c r="R968" s="106" t="s">
        <v>40</v>
      </c>
      <c r="S968" s="326">
        <v>43465</v>
      </c>
    </row>
    <row r="969" spans="1:19" s="1" customFormat="1" ht="15.75" customHeight="1">
      <c r="A969" s="107"/>
      <c r="B969" s="1413" t="s">
        <v>112</v>
      </c>
      <c r="C969" s="1413"/>
      <c r="D969" s="1413"/>
      <c r="E969" s="1413"/>
      <c r="F969" s="1413"/>
      <c r="G969" s="1413"/>
      <c r="H969" s="128">
        <f>SUM(H970:H972)</f>
        <v>1983</v>
      </c>
      <c r="I969" s="106">
        <f t="shared" ref="I969:P969" si="286">SUM(I970:I972)</f>
        <v>1780.1</v>
      </c>
      <c r="J969" s="106">
        <f t="shared" si="286"/>
        <v>1780.1</v>
      </c>
      <c r="K969" s="119">
        <f t="shared" si="286"/>
        <v>80</v>
      </c>
      <c r="L969" s="113">
        <f t="shared" si="286"/>
        <v>2222747</v>
      </c>
      <c r="M969" s="113">
        <f t="shared" si="286"/>
        <v>0</v>
      </c>
      <c r="N969" s="113">
        <f t="shared" si="286"/>
        <v>0</v>
      </c>
      <c r="O969" s="113">
        <f t="shared" si="286"/>
        <v>2222747</v>
      </c>
      <c r="P969" s="113">
        <f t="shared" si="286"/>
        <v>0</v>
      </c>
      <c r="Q969" s="106" t="s">
        <v>40</v>
      </c>
      <c r="R969" s="106" t="s">
        <v>40</v>
      </c>
      <c r="S969" s="326">
        <v>43465</v>
      </c>
    </row>
    <row r="970" spans="1:19" s="35" customFormat="1" ht="31.2">
      <c r="A970" s="107"/>
      <c r="B970" s="301" t="s">
        <v>422</v>
      </c>
      <c r="C970" s="107">
        <v>1972</v>
      </c>
      <c r="D970" s="173"/>
      <c r="E970" s="109" t="s">
        <v>218</v>
      </c>
      <c r="F970" s="108">
        <v>2</v>
      </c>
      <c r="G970" s="108">
        <v>2</v>
      </c>
      <c r="H970" s="111">
        <v>778.9</v>
      </c>
      <c r="I970" s="126">
        <v>719.8</v>
      </c>
      <c r="J970" s="126">
        <v>719.8</v>
      </c>
      <c r="K970" s="112">
        <v>27</v>
      </c>
      <c r="L970" s="113">
        <v>1003542</v>
      </c>
      <c r="M970" s="113">
        <v>0</v>
      </c>
      <c r="N970" s="113">
        <v>0</v>
      </c>
      <c r="O970" s="113">
        <f>L970</f>
        <v>1003542</v>
      </c>
      <c r="P970" s="113">
        <v>0</v>
      </c>
      <c r="Q970" s="114">
        <f>L970/I970</f>
        <v>1394.1956098916366</v>
      </c>
      <c r="R970" s="114">
        <v>6774</v>
      </c>
      <c r="S970" s="326">
        <v>43465</v>
      </c>
    </row>
    <row r="971" spans="1:19" s="35" customFormat="1" ht="31.2">
      <c r="A971" s="107"/>
      <c r="B971" s="301" t="s">
        <v>421</v>
      </c>
      <c r="C971" s="177">
        <v>1980</v>
      </c>
      <c r="D971" s="178"/>
      <c r="E971" s="109" t="s">
        <v>218</v>
      </c>
      <c r="F971" s="108">
        <v>3</v>
      </c>
      <c r="G971" s="108">
        <v>2</v>
      </c>
      <c r="H971" s="111">
        <v>928.6</v>
      </c>
      <c r="I971" s="126">
        <v>843.2</v>
      </c>
      <c r="J971" s="126">
        <v>843.2</v>
      </c>
      <c r="K971" s="112">
        <v>39</v>
      </c>
      <c r="L971" s="113">
        <v>740146</v>
      </c>
      <c r="M971" s="113">
        <v>0</v>
      </c>
      <c r="N971" s="113">
        <v>0</v>
      </c>
      <c r="O971" s="113">
        <f>L971</f>
        <v>740146</v>
      </c>
      <c r="P971" s="113">
        <v>0</v>
      </c>
      <c r="Q971" s="114">
        <f>L971/I971</f>
        <v>877.7822580645161</v>
      </c>
      <c r="R971" s="114">
        <v>6774</v>
      </c>
      <c r="S971" s="326">
        <v>43465</v>
      </c>
    </row>
    <row r="972" spans="1:19" s="35" customFormat="1" ht="15.6">
      <c r="A972" s="107"/>
      <c r="B972" s="301" t="s">
        <v>423</v>
      </c>
      <c r="C972" s="108">
        <v>1965</v>
      </c>
      <c r="D972" s="173"/>
      <c r="E972" s="109" t="s">
        <v>221</v>
      </c>
      <c r="F972" s="108">
        <v>2</v>
      </c>
      <c r="G972" s="108">
        <v>2</v>
      </c>
      <c r="H972" s="111">
        <v>275.5</v>
      </c>
      <c r="I972" s="126">
        <v>217.1</v>
      </c>
      <c r="J972" s="126">
        <v>217.1</v>
      </c>
      <c r="K972" s="112">
        <v>14</v>
      </c>
      <c r="L972" s="113">
        <v>479059</v>
      </c>
      <c r="M972" s="113">
        <v>0</v>
      </c>
      <c r="N972" s="113">
        <v>0</v>
      </c>
      <c r="O972" s="113">
        <f>L972</f>
        <v>479059</v>
      </c>
      <c r="P972" s="113">
        <v>0</v>
      </c>
      <c r="Q972" s="114">
        <f>L972/I972</f>
        <v>2206.6282818977429</v>
      </c>
      <c r="R972" s="114">
        <v>6774</v>
      </c>
      <c r="S972" s="326">
        <v>43465</v>
      </c>
    </row>
    <row r="973" spans="1:19" s="1" customFormat="1" ht="15.6">
      <c r="A973" s="107"/>
      <c r="B973" s="1411" t="s">
        <v>55</v>
      </c>
      <c r="C973" s="1411"/>
      <c r="D973" s="1411"/>
      <c r="E973" s="1411"/>
      <c r="F973" s="1411"/>
      <c r="G973" s="1411"/>
      <c r="H973" s="128">
        <f>H974</f>
        <v>561.4</v>
      </c>
      <c r="I973" s="106">
        <f t="shared" ref="I973:R974" si="287">I974</f>
        <v>513.79999999999995</v>
      </c>
      <c r="J973" s="106">
        <f t="shared" si="287"/>
        <v>450.8</v>
      </c>
      <c r="K973" s="119">
        <f t="shared" si="287"/>
        <v>19</v>
      </c>
      <c r="L973" s="113">
        <f t="shared" si="287"/>
        <v>1739787</v>
      </c>
      <c r="M973" s="113">
        <f t="shared" si="287"/>
        <v>0</v>
      </c>
      <c r="N973" s="113">
        <f t="shared" si="287"/>
        <v>0</v>
      </c>
      <c r="O973" s="113">
        <f t="shared" si="287"/>
        <v>1739787</v>
      </c>
      <c r="P973" s="113">
        <f t="shared" si="287"/>
        <v>0</v>
      </c>
      <c r="Q973" s="106" t="str">
        <f t="shared" si="287"/>
        <v>Х</v>
      </c>
      <c r="R973" s="106" t="str">
        <f t="shared" si="287"/>
        <v>Х</v>
      </c>
      <c r="S973" s="326">
        <v>43465</v>
      </c>
    </row>
    <row r="974" spans="1:19" s="1" customFormat="1" ht="15.6">
      <c r="A974" s="107"/>
      <c r="B974" s="1411" t="s">
        <v>122</v>
      </c>
      <c r="C974" s="1411"/>
      <c r="D974" s="1411"/>
      <c r="E974" s="1411"/>
      <c r="F974" s="1411"/>
      <c r="G974" s="1411"/>
      <c r="H974" s="128">
        <f>H975</f>
        <v>561.4</v>
      </c>
      <c r="I974" s="128">
        <f t="shared" si="287"/>
        <v>513.79999999999995</v>
      </c>
      <c r="J974" s="128">
        <f t="shared" si="287"/>
        <v>450.8</v>
      </c>
      <c r="K974" s="128">
        <f t="shared" si="287"/>
        <v>19</v>
      </c>
      <c r="L974" s="366">
        <f t="shared" si="287"/>
        <v>1739787</v>
      </c>
      <c r="M974" s="366">
        <f t="shared" si="287"/>
        <v>0</v>
      </c>
      <c r="N974" s="366">
        <f t="shared" si="287"/>
        <v>0</v>
      </c>
      <c r="O974" s="366">
        <f t="shared" si="287"/>
        <v>1739787</v>
      </c>
      <c r="P974" s="366">
        <f t="shared" si="287"/>
        <v>0</v>
      </c>
      <c r="Q974" s="106" t="s">
        <v>40</v>
      </c>
      <c r="R974" s="114" t="s">
        <v>40</v>
      </c>
      <c r="S974" s="326">
        <v>43465</v>
      </c>
    </row>
    <row r="975" spans="1:19" s="1" customFormat="1" ht="15.6">
      <c r="A975" s="318"/>
      <c r="B975" s="336" t="s">
        <v>602</v>
      </c>
      <c r="C975" s="554" t="s">
        <v>603</v>
      </c>
      <c r="D975" s="320"/>
      <c r="E975" s="321" t="s">
        <v>220</v>
      </c>
      <c r="F975" s="320">
        <v>2</v>
      </c>
      <c r="G975" s="320">
        <v>2</v>
      </c>
      <c r="H975" s="322">
        <v>561.4</v>
      </c>
      <c r="I975" s="325">
        <v>513.79999999999995</v>
      </c>
      <c r="J975" s="325">
        <v>450.8</v>
      </c>
      <c r="K975" s="323">
        <v>19</v>
      </c>
      <c r="L975" s="324">
        <v>1739787</v>
      </c>
      <c r="M975" s="324">
        <v>0</v>
      </c>
      <c r="N975" s="324">
        <v>0</v>
      </c>
      <c r="O975" s="324">
        <v>1739787</v>
      </c>
      <c r="P975" s="324">
        <v>0</v>
      </c>
      <c r="Q975" s="325">
        <f>L975/I975</f>
        <v>3386.1171662125344</v>
      </c>
      <c r="R975" s="325">
        <v>7920</v>
      </c>
      <c r="S975" s="326">
        <v>43465</v>
      </c>
    </row>
    <row r="976" spans="1:19" s="1" customFormat="1" ht="15.6">
      <c r="A976" s="318"/>
      <c r="B976" s="336"/>
      <c r="C976" s="554"/>
      <c r="D976" s="320"/>
      <c r="E976" s="321"/>
      <c r="F976" s="320"/>
      <c r="G976" s="320"/>
      <c r="H976" s="322"/>
      <c r="I976" s="325"/>
      <c r="J976" s="325"/>
      <c r="K976" s="323"/>
      <c r="L976" s="324"/>
      <c r="M976" s="324"/>
      <c r="N976" s="324"/>
      <c r="O976" s="324"/>
      <c r="P976" s="324"/>
      <c r="Q976" s="325"/>
      <c r="R976" s="325"/>
      <c r="S976" s="326"/>
    </row>
    <row r="977" spans="1:19" s="1" customFormat="1" ht="15.6">
      <c r="A977" s="318"/>
      <c r="B977" s="336"/>
      <c r="C977" s="554"/>
      <c r="D977" s="320"/>
      <c r="E977" s="321"/>
      <c r="F977" s="320"/>
      <c r="G977" s="320"/>
      <c r="H977" s="322"/>
      <c r="I977" s="325"/>
      <c r="J977" s="325"/>
      <c r="K977" s="323"/>
      <c r="L977" s="324"/>
      <c r="M977" s="324"/>
      <c r="N977" s="324"/>
      <c r="O977" s="324"/>
      <c r="P977" s="324"/>
      <c r="Q977" s="325"/>
      <c r="R977" s="325"/>
      <c r="S977" s="326"/>
    </row>
    <row r="978" spans="1:19" s="1" customFormat="1" ht="15.6">
      <c r="A978" s="107"/>
      <c r="B978" s="1411" t="s">
        <v>56</v>
      </c>
      <c r="C978" s="1411"/>
      <c r="D978" s="1411"/>
      <c r="E978" s="1411"/>
      <c r="F978" s="1411"/>
      <c r="G978" s="1411"/>
      <c r="H978" s="128">
        <f t="shared" ref="H978:P978" si="288">H986+H979+H990</f>
        <v>8391.7000000000007</v>
      </c>
      <c r="I978" s="106">
        <f t="shared" si="288"/>
        <v>6727.7999999999993</v>
      </c>
      <c r="J978" s="106">
        <f t="shared" si="288"/>
        <v>5681.7</v>
      </c>
      <c r="K978" s="119">
        <f t="shared" si="288"/>
        <v>401</v>
      </c>
      <c r="L978" s="113">
        <f t="shared" si="288"/>
        <v>11022985.029999999</v>
      </c>
      <c r="M978" s="113">
        <f t="shared" si="288"/>
        <v>0</v>
      </c>
      <c r="N978" s="113">
        <f t="shared" si="288"/>
        <v>0</v>
      </c>
      <c r="O978" s="113">
        <f t="shared" si="288"/>
        <v>11022985.029999999</v>
      </c>
      <c r="P978" s="113">
        <f t="shared" si="288"/>
        <v>0</v>
      </c>
      <c r="Q978" s="106" t="str">
        <f t="shared" ref="Q978:R978" si="289">Q979</f>
        <v>Х</v>
      </c>
      <c r="R978" s="106" t="str">
        <f t="shared" si="289"/>
        <v>Х</v>
      </c>
      <c r="S978" s="326">
        <v>43465</v>
      </c>
    </row>
    <row r="979" spans="1:19" s="18" customFormat="1" ht="22.95" customHeight="1">
      <c r="A979" s="318"/>
      <c r="B979" s="1468" t="s">
        <v>424</v>
      </c>
      <c r="C979" s="1468"/>
      <c r="D979" s="1468"/>
      <c r="E979" s="1468"/>
      <c r="F979" s="1475"/>
      <c r="G979" s="1475"/>
      <c r="H979" s="733">
        <f>SUM(H980:H985)</f>
        <v>5703</v>
      </c>
      <c r="I979" s="733">
        <f t="shared" ref="I979:P979" si="290">SUM(I980:I985)</f>
        <v>4172.7</v>
      </c>
      <c r="J979" s="733">
        <f t="shared" si="290"/>
        <v>3504.7999999999997</v>
      </c>
      <c r="K979" s="733">
        <f t="shared" si="290"/>
        <v>262</v>
      </c>
      <c r="L979" s="734">
        <f t="shared" si="290"/>
        <v>8669678</v>
      </c>
      <c r="M979" s="734">
        <f t="shared" si="290"/>
        <v>0</v>
      </c>
      <c r="N979" s="734">
        <f t="shared" si="290"/>
        <v>0</v>
      </c>
      <c r="O979" s="734">
        <f t="shared" si="290"/>
        <v>8669678</v>
      </c>
      <c r="P979" s="734">
        <f t="shared" si="290"/>
        <v>0</v>
      </c>
      <c r="Q979" s="735" t="s">
        <v>40</v>
      </c>
      <c r="R979" s="736" t="s">
        <v>40</v>
      </c>
      <c r="S979" s="326">
        <v>43465</v>
      </c>
    </row>
    <row r="980" spans="1:19" s="62" customFormat="1" ht="31.2">
      <c r="A980" s="318"/>
      <c r="B980" s="618" t="s">
        <v>708</v>
      </c>
      <c r="C980" s="318" t="s">
        <v>714</v>
      </c>
      <c r="D980" s="318"/>
      <c r="E980" s="737" t="s">
        <v>218</v>
      </c>
      <c r="F980" s="318">
        <v>2</v>
      </c>
      <c r="G980" s="318">
        <v>1</v>
      </c>
      <c r="H980" s="318">
        <v>496.4</v>
      </c>
      <c r="I980" s="318">
        <v>286.2</v>
      </c>
      <c r="J980" s="318">
        <v>286.2</v>
      </c>
      <c r="K980" s="318">
        <v>10</v>
      </c>
      <c r="L980" s="738">
        <v>435475</v>
      </c>
      <c r="M980" s="738">
        <v>0</v>
      </c>
      <c r="N980" s="738">
        <v>0</v>
      </c>
      <c r="O980" s="738">
        <v>435475</v>
      </c>
      <c r="P980" s="738">
        <v>0</v>
      </c>
      <c r="Q980" s="738">
        <f t="shared" ref="Q980:Q985" si="291">L980/I980</f>
        <v>1521.575821104123</v>
      </c>
      <c r="R980" s="738">
        <v>7920</v>
      </c>
      <c r="S980" s="622">
        <v>43465</v>
      </c>
    </row>
    <row r="981" spans="1:19" s="62" customFormat="1" ht="31.2">
      <c r="A981" s="318"/>
      <c r="B981" s="739" t="s">
        <v>709</v>
      </c>
      <c r="C981" s="318">
        <v>1963</v>
      </c>
      <c r="D981" s="318"/>
      <c r="E981" s="737" t="s">
        <v>218</v>
      </c>
      <c r="F981" s="318">
        <v>2</v>
      </c>
      <c r="G981" s="318">
        <v>2</v>
      </c>
      <c r="H981" s="318">
        <v>403.2</v>
      </c>
      <c r="I981" s="318">
        <v>356.4</v>
      </c>
      <c r="J981" s="318">
        <v>356.4</v>
      </c>
      <c r="K981" s="318">
        <v>26</v>
      </c>
      <c r="L981" s="738">
        <v>1920530</v>
      </c>
      <c r="M981" s="738">
        <v>0</v>
      </c>
      <c r="N981" s="738">
        <v>0</v>
      </c>
      <c r="O981" s="738">
        <v>1920530</v>
      </c>
      <c r="P981" s="738">
        <v>0</v>
      </c>
      <c r="Q981" s="738">
        <f t="shared" si="291"/>
        <v>5388.6924803591473</v>
      </c>
      <c r="R981" s="738">
        <v>7920</v>
      </c>
      <c r="S981" s="622">
        <v>43465</v>
      </c>
    </row>
    <row r="982" spans="1:19" s="62" customFormat="1" ht="31.2">
      <c r="A982" s="318"/>
      <c r="B982" s="618" t="s">
        <v>710</v>
      </c>
      <c r="C982" s="318">
        <v>1966</v>
      </c>
      <c r="D982" s="318"/>
      <c r="E982" s="737" t="s">
        <v>218</v>
      </c>
      <c r="F982" s="318">
        <v>3</v>
      </c>
      <c r="G982" s="318">
        <v>2</v>
      </c>
      <c r="H982" s="318">
        <v>892.3</v>
      </c>
      <c r="I982" s="318">
        <v>581.6</v>
      </c>
      <c r="J982" s="318">
        <v>427.1</v>
      </c>
      <c r="K982" s="318">
        <v>47</v>
      </c>
      <c r="L982" s="738">
        <v>957137</v>
      </c>
      <c r="M982" s="738">
        <v>0</v>
      </c>
      <c r="N982" s="738">
        <v>0</v>
      </c>
      <c r="O982" s="738">
        <v>957137</v>
      </c>
      <c r="P982" s="738">
        <v>0</v>
      </c>
      <c r="Q982" s="738">
        <f t="shared" si="291"/>
        <v>1645.6963548830811</v>
      </c>
      <c r="R982" s="738">
        <v>7920</v>
      </c>
      <c r="S982" s="622">
        <v>43465</v>
      </c>
    </row>
    <row r="983" spans="1:19" s="62" customFormat="1" ht="31.2">
      <c r="A983" s="318"/>
      <c r="B983" s="616" t="s">
        <v>711</v>
      </c>
      <c r="C983" s="318">
        <v>1962</v>
      </c>
      <c r="D983" s="318"/>
      <c r="E983" s="737" t="s">
        <v>218</v>
      </c>
      <c r="F983" s="318">
        <v>2</v>
      </c>
      <c r="G983" s="318">
        <v>2</v>
      </c>
      <c r="H983" s="318">
        <v>517.5</v>
      </c>
      <c r="I983" s="318">
        <v>458.6</v>
      </c>
      <c r="J983" s="318">
        <v>384.7</v>
      </c>
      <c r="K983" s="318">
        <v>16</v>
      </c>
      <c r="L983" s="738">
        <v>1620768</v>
      </c>
      <c r="M983" s="738">
        <v>0</v>
      </c>
      <c r="N983" s="738">
        <v>0</v>
      </c>
      <c r="O983" s="738">
        <v>1620768</v>
      </c>
      <c r="P983" s="738">
        <v>0</v>
      </c>
      <c r="Q983" s="738">
        <f t="shared" si="291"/>
        <v>3534.1648495420845</v>
      </c>
      <c r="R983" s="738">
        <v>7920</v>
      </c>
      <c r="S983" s="622">
        <v>43465</v>
      </c>
    </row>
    <row r="984" spans="1:19" s="62" customFormat="1" ht="31.2">
      <c r="A984" s="318"/>
      <c r="B984" s="618" t="s">
        <v>712</v>
      </c>
      <c r="C984" s="318">
        <v>1958</v>
      </c>
      <c r="D984" s="318"/>
      <c r="E984" s="737" t="s">
        <v>218</v>
      </c>
      <c r="F984" s="318">
        <v>2</v>
      </c>
      <c r="G984" s="318">
        <v>2</v>
      </c>
      <c r="H984" s="318">
        <v>859.2</v>
      </c>
      <c r="I984" s="318">
        <v>800.4</v>
      </c>
      <c r="J984" s="318">
        <v>673.3</v>
      </c>
      <c r="K984" s="318">
        <v>32</v>
      </c>
      <c r="L984" s="738">
        <v>1496185</v>
      </c>
      <c r="M984" s="738">
        <v>0</v>
      </c>
      <c r="N984" s="738">
        <v>0</v>
      </c>
      <c r="O984" s="738">
        <v>1496185</v>
      </c>
      <c r="P984" s="738">
        <v>0</v>
      </c>
      <c r="Q984" s="738">
        <f t="shared" si="291"/>
        <v>1869.2966016991504</v>
      </c>
      <c r="R984" s="738">
        <v>7920</v>
      </c>
      <c r="S984" s="622">
        <v>43465</v>
      </c>
    </row>
    <row r="985" spans="1:19" s="62" customFormat="1" ht="31.2">
      <c r="A985" s="318"/>
      <c r="B985" s="616" t="s">
        <v>713</v>
      </c>
      <c r="C985" s="318">
        <v>1970</v>
      </c>
      <c r="D985" s="318"/>
      <c r="E985" s="737" t="s">
        <v>218</v>
      </c>
      <c r="F985" s="318">
        <v>4</v>
      </c>
      <c r="G985" s="318">
        <v>1</v>
      </c>
      <c r="H985" s="318">
        <v>2534.4</v>
      </c>
      <c r="I985" s="318">
        <v>1689.5</v>
      </c>
      <c r="J985" s="318">
        <v>1377.1</v>
      </c>
      <c r="K985" s="318">
        <v>131</v>
      </c>
      <c r="L985" s="738">
        <v>2239583</v>
      </c>
      <c r="M985" s="738">
        <v>0</v>
      </c>
      <c r="N985" s="738">
        <v>0</v>
      </c>
      <c r="O985" s="738">
        <v>2239583</v>
      </c>
      <c r="P985" s="738">
        <v>0</v>
      </c>
      <c r="Q985" s="738">
        <f t="shared" si="291"/>
        <v>1325.589227582125</v>
      </c>
      <c r="R985" s="738">
        <v>7920</v>
      </c>
      <c r="S985" s="622">
        <v>43465</v>
      </c>
    </row>
    <row r="986" spans="1:19" s="1" customFormat="1" ht="21.6" customHeight="1">
      <c r="A986" s="107"/>
      <c r="B986" s="1413" t="s">
        <v>121</v>
      </c>
      <c r="C986" s="1413"/>
      <c r="D986" s="1413"/>
      <c r="E986" s="1413"/>
      <c r="F986" s="1413"/>
      <c r="G986" s="1413"/>
      <c r="H986" s="128">
        <f>H987+H988+H989</f>
        <v>1293.3000000000002</v>
      </c>
      <c r="I986" s="128">
        <f t="shared" ref="I986:P986" si="292">I987+I988+I989</f>
        <v>1159.6999999999998</v>
      </c>
      <c r="J986" s="128">
        <f t="shared" si="292"/>
        <v>849.40000000000009</v>
      </c>
      <c r="K986" s="128">
        <f t="shared" si="292"/>
        <v>57</v>
      </c>
      <c r="L986" s="565">
        <f t="shared" si="292"/>
        <v>2114731</v>
      </c>
      <c r="M986" s="565">
        <f t="shared" si="292"/>
        <v>0</v>
      </c>
      <c r="N986" s="565">
        <f t="shared" si="292"/>
        <v>0</v>
      </c>
      <c r="O986" s="565">
        <f t="shared" si="292"/>
        <v>2114731</v>
      </c>
      <c r="P986" s="565">
        <f t="shared" si="292"/>
        <v>0</v>
      </c>
      <c r="Q986" s="106" t="s">
        <v>40</v>
      </c>
      <c r="R986" s="106" t="s">
        <v>40</v>
      </c>
      <c r="S986" s="622">
        <v>43465</v>
      </c>
    </row>
    <row r="987" spans="1:19" s="1" customFormat="1" ht="30.6" customHeight="1">
      <c r="A987" s="107"/>
      <c r="B987" s="934" t="s">
        <v>990</v>
      </c>
      <c r="C987" s="935">
        <v>1956</v>
      </c>
      <c r="D987" s="934"/>
      <c r="E987" s="935" t="s">
        <v>218</v>
      </c>
      <c r="F987" s="935">
        <v>2</v>
      </c>
      <c r="G987" s="935">
        <v>2</v>
      </c>
      <c r="H987" s="128">
        <v>432.6</v>
      </c>
      <c r="I987" s="106">
        <v>387.2</v>
      </c>
      <c r="J987" s="106">
        <v>182.5</v>
      </c>
      <c r="K987" s="119">
        <v>26</v>
      </c>
      <c r="L987" s="113">
        <v>730231</v>
      </c>
      <c r="M987" s="113">
        <v>0</v>
      </c>
      <c r="N987" s="113">
        <v>0</v>
      </c>
      <c r="O987" s="113">
        <v>730231</v>
      </c>
      <c r="P987" s="113">
        <v>0</v>
      </c>
      <c r="Q987" s="106">
        <f>L987/I987</f>
        <v>1885.9271694214876</v>
      </c>
      <c r="R987" s="106">
        <v>7920</v>
      </c>
      <c r="S987" s="622">
        <v>43465</v>
      </c>
    </row>
    <row r="988" spans="1:19" s="1" customFormat="1" ht="37.200000000000003" customHeight="1">
      <c r="A988" s="107"/>
      <c r="B988" s="934" t="s">
        <v>991</v>
      </c>
      <c r="C988" s="935">
        <v>1954</v>
      </c>
      <c r="D988" s="934"/>
      <c r="E988" s="935" t="s">
        <v>218</v>
      </c>
      <c r="F988" s="935">
        <v>2</v>
      </c>
      <c r="G988" s="935">
        <v>2</v>
      </c>
      <c r="H988" s="128">
        <v>427.1</v>
      </c>
      <c r="I988" s="106">
        <v>383.9</v>
      </c>
      <c r="J988" s="106">
        <v>278.3</v>
      </c>
      <c r="K988" s="119">
        <v>17</v>
      </c>
      <c r="L988" s="113">
        <v>692216</v>
      </c>
      <c r="M988" s="113">
        <v>0</v>
      </c>
      <c r="N988" s="113">
        <v>0</v>
      </c>
      <c r="O988" s="113">
        <v>692216</v>
      </c>
      <c r="P988" s="113">
        <v>0</v>
      </c>
      <c r="Q988" s="106">
        <f>L988/I988</f>
        <v>1803.1153946340194</v>
      </c>
      <c r="R988" s="106">
        <v>7920</v>
      </c>
      <c r="S988" s="622">
        <v>43465</v>
      </c>
    </row>
    <row r="989" spans="1:19" s="1" customFormat="1" ht="31.2">
      <c r="A989" s="107"/>
      <c r="B989" s="934" t="s">
        <v>992</v>
      </c>
      <c r="C989" s="935">
        <v>1953</v>
      </c>
      <c r="D989" s="118"/>
      <c r="E989" s="109" t="s">
        <v>218</v>
      </c>
      <c r="F989" s="118">
        <v>2</v>
      </c>
      <c r="G989" s="118">
        <v>2</v>
      </c>
      <c r="H989" s="128">
        <v>433.6</v>
      </c>
      <c r="I989" s="106">
        <v>388.6</v>
      </c>
      <c r="J989" s="106">
        <v>388.6</v>
      </c>
      <c r="K989" s="119">
        <v>14</v>
      </c>
      <c r="L989" s="113">
        <v>692284</v>
      </c>
      <c r="M989" s="113">
        <v>0</v>
      </c>
      <c r="N989" s="113">
        <v>0</v>
      </c>
      <c r="O989" s="113">
        <f>L989</f>
        <v>692284</v>
      </c>
      <c r="P989" s="113">
        <v>0</v>
      </c>
      <c r="Q989" s="106">
        <f>L989/I989</f>
        <v>1781.4822439526504</v>
      </c>
      <c r="R989" s="114">
        <v>7920</v>
      </c>
      <c r="S989" s="326">
        <v>43465</v>
      </c>
    </row>
    <row r="990" spans="1:19" s="1" customFormat="1" ht="15.75" customHeight="1">
      <c r="A990" s="107"/>
      <c r="B990" s="1413" t="s">
        <v>120</v>
      </c>
      <c r="C990" s="1413"/>
      <c r="D990" s="1413"/>
      <c r="E990" s="1413"/>
      <c r="F990" s="1413"/>
      <c r="G990" s="1413"/>
      <c r="H990" s="128">
        <f>H991</f>
        <v>1395.4</v>
      </c>
      <c r="I990" s="106">
        <f t="shared" ref="I990:P990" si="293">I991</f>
        <v>1395.4</v>
      </c>
      <c r="J990" s="106">
        <f t="shared" si="293"/>
        <v>1327.5</v>
      </c>
      <c r="K990" s="119">
        <f t="shared" si="293"/>
        <v>82</v>
      </c>
      <c r="L990" s="113">
        <f t="shared" si="293"/>
        <v>238576.03</v>
      </c>
      <c r="M990" s="113">
        <f t="shared" si="293"/>
        <v>0</v>
      </c>
      <c r="N990" s="113">
        <f t="shared" si="293"/>
        <v>0</v>
      </c>
      <c r="O990" s="113">
        <f t="shared" si="293"/>
        <v>238576.03</v>
      </c>
      <c r="P990" s="113">
        <f t="shared" si="293"/>
        <v>0</v>
      </c>
      <c r="Q990" s="106" t="s">
        <v>40</v>
      </c>
      <c r="R990" s="106" t="s">
        <v>40</v>
      </c>
      <c r="S990" s="326">
        <v>43465</v>
      </c>
    </row>
    <row r="991" spans="1:19" s="1" customFormat="1" ht="15.6">
      <c r="A991" s="107"/>
      <c r="B991" s="303" t="s">
        <v>445</v>
      </c>
      <c r="C991" s="302">
        <v>1982</v>
      </c>
      <c r="D991" s="118"/>
      <c r="E991" s="109" t="s">
        <v>219</v>
      </c>
      <c r="F991" s="118">
        <v>3</v>
      </c>
      <c r="G991" s="118">
        <v>3</v>
      </c>
      <c r="H991" s="128">
        <v>1395.4</v>
      </c>
      <c r="I991" s="106">
        <f>H991</f>
        <v>1395.4</v>
      </c>
      <c r="J991" s="106">
        <v>1327.5</v>
      </c>
      <c r="K991" s="119">
        <v>82</v>
      </c>
      <c r="L991" s="113">
        <v>238576.03</v>
      </c>
      <c r="M991" s="113">
        <v>0</v>
      </c>
      <c r="N991" s="113">
        <v>0</v>
      </c>
      <c r="O991" s="113">
        <f>L991</f>
        <v>238576.03</v>
      </c>
      <c r="P991" s="113">
        <v>0</v>
      </c>
      <c r="Q991" s="106">
        <f>L991/I991</f>
        <v>170.97321914863122</v>
      </c>
      <c r="R991" s="114">
        <v>6774</v>
      </c>
      <c r="S991" s="326">
        <v>43465</v>
      </c>
    </row>
    <row r="992" spans="1:19" s="1" customFormat="1" ht="15.6">
      <c r="A992" s="107"/>
      <c r="B992" s="1411" t="s">
        <v>57</v>
      </c>
      <c r="C992" s="1411"/>
      <c r="D992" s="1411"/>
      <c r="E992" s="1411"/>
      <c r="F992" s="1411"/>
      <c r="G992" s="1411"/>
      <c r="H992" s="128">
        <f>H993</f>
        <v>4519.1000000000004</v>
      </c>
      <c r="I992" s="128">
        <f t="shared" ref="I992:P992" si="294">I993</f>
        <v>4025.1000000000004</v>
      </c>
      <c r="J992" s="128">
        <f t="shared" si="294"/>
        <v>4025.1000000000004</v>
      </c>
      <c r="K992" s="119">
        <f t="shared" si="294"/>
        <v>141</v>
      </c>
      <c r="L992" s="113">
        <f t="shared" si="294"/>
        <v>2547865</v>
      </c>
      <c r="M992" s="113">
        <f t="shared" si="294"/>
        <v>0</v>
      </c>
      <c r="N992" s="113">
        <f t="shared" si="294"/>
        <v>0</v>
      </c>
      <c r="O992" s="113">
        <f t="shared" si="294"/>
        <v>2547865</v>
      </c>
      <c r="P992" s="113">
        <f t="shared" si="294"/>
        <v>0</v>
      </c>
      <c r="Q992" s="106" t="s">
        <v>40</v>
      </c>
      <c r="R992" s="114" t="s">
        <v>40</v>
      </c>
      <c r="S992" s="326">
        <v>43465</v>
      </c>
    </row>
    <row r="993" spans="1:19" s="1" customFormat="1" ht="15.75" customHeight="1">
      <c r="A993" s="107"/>
      <c r="B993" s="1413" t="s">
        <v>119</v>
      </c>
      <c r="C993" s="1413"/>
      <c r="D993" s="1413"/>
      <c r="E993" s="1413"/>
      <c r="F993" s="1413"/>
      <c r="G993" s="1413"/>
      <c r="H993" s="128">
        <f t="shared" ref="H993:P993" si="295">H994+H995</f>
        <v>4519.1000000000004</v>
      </c>
      <c r="I993" s="128">
        <f t="shared" si="295"/>
        <v>4025.1000000000004</v>
      </c>
      <c r="J993" s="128">
        <f t="shared" si="295"/>
        <v>4025.1000000000004</v>
      </c>
      <c r="K993" s="119">
        <f t="shared" si="295"/>
        <v>141</v>
      </c>
      <c r="L993" s="113">
        <f t="shared" si="295"/>
        <v>2547865</v>
      </c>
      <c r="M993" s="113">
        <f t="shared" si="295"/>
        <v>0</v>
      </c>
      <c r="N993" s="113">
        <f t="shared" si="295"/>
        <v>0</v>
      </c>
      <c r="O993" s="113">
        <f t="shared" si="295"/>
        <v>2547865</v>
      </c>
      <c r="P993" s="113">
        <f t="shared" si="295"/>
        <v>0</v>
      </c>
      <c r="Q993" s="106" t="s">
        <v>40</v>
      </c>
      <c r="R993" s="106" t="s">
        <v>40</v>
      </c>
      <c r="S993" s="326">
        <v>43465</v>
      </c>
    </row>
    <row r="994" spans="1:19" s="1" customFormat="1" ht="15.6">
      <c r="A994" s="107"/>
      <c r="B994" s="907" t="s">
        <v>982</v>
      </c>
      <c r="C994" s="302">
        <v>1989</v>
      </c>
      <c r="D994" s="118"/>
      <c r="E994" s="109" t="s">
        <v>219</v>
      </c>
      <c r="F994" s="118">
        <v>3</v>
      </c>
      <c r="G994" s="118">
        <v>3</v>
      </c>
      <c r="H994" s="128">
        <v>1415</v>
      </c>
      <c r="I994" s="128">
        <v>1289.7</v>
      </c>
      <c r="J994" s="128">
        <v>1289.7</v>
      </c>
      <c r="K994" s="119">
        <v>52</v>
      </c>
      <c r="L994" s="113">
        <v>440353</v>
      </c>
      <c r="M994" s="113">
        <v>0</v>
      </c>
      <c r="N994" s="113">
        <v>0</v>
      </c>
      <c r="O994" s="113">
        <f>L994</f>
        <v>440353</v>
      </c>
      <c r="P994" s="113">
        <v>0</v>
      </c>
      <c r="Q994" s="106">
        <f>L994/I994</f>
        <v>341.43831898891216</v>
      </c>
      <c r="R994" s="114">
        <v>7920</v>
      </c>
      <c r="S994" s="326">
        <v>43465</v>
      </c>
    </row>
    <row r="995" spans="1:19" s="23" customFormat="1" ht="31.2">
      <c r="A995" s="107"/>
      <c r="B995" s="908" t="s">
        <v>983</v>
      </c>
      <c r="C995" s="302">
        <v>1992</v>
      </c>
      <c r="D995" s="118"/>
      <c r="E995" s="109" t="s">
        <v>218</v>
      </c>
      <c r="F995" s="118">
        <v>5</v>
      </c>
      <c r="G995" s="118">
        <v>4</v>
      </c>
      <c r="H995" s="128">
        <v>3104.1</v>
      </c>
      <c r="I995" s="128">
        <v>2735.4</v>
      </c>
      <c r="J995" s="128">
        <v>2735.4</v>
      </c>
      <c r="K995" s="119">
        <v>89</v>
      </c>
      <c r="L995" s="113">
        <v>2107512</v>
      </c>
      <c r="M995" s="113">
        <v>0</v>
      </c>
      <c r="N995" s="113">
        <v>0</v>
      </c>
      <c r="O995" s="113">
        <f>L995</f>
        <v>2107512</v>
      </c>
      <c r="P995" s="113">
        <v>0</v>
      </c>
      <c r="Q995" s="106">
        <f>L995/I995</f>
        <v>770.45843386707611</v>
      </c>
      <c r="R995" s="114">
        <v>7920</v>
      </c>
      <c r="S995" s="326">
        <v>43465</v>
      </c>
    </row>
    <row r="996" spans="1:19" s="1" customFormat="1" ht="15.6">
      <c r="A996" s="107"/>
      <c r="B996" s="1411" t="s">
        <v>58</v>
      </c>
      <c r="C996" s="1411"/>
      <c r="D996" s="1411"/>
      <c r="E996" s="1411"/>
      <c r="F996" s="1411"/>
      <c r="G996" s="1411"/>
      <c r="H996" s="128">
        <f>H997</f>
        <v>15250.300000000001</v>
      </c>
      <c r="I996" s="128">
        <f t="shared" ref="I996:P996" si="296">I997</f>
        <v>13418.4</v>
      </c>
      <c r="J996" s="128">
        <f t="shared" si="296"/>
        <v>12151.1</v>
      </c>
      <c r="K996" s="119">
        <f t="shared" si="296"/>
        <v>490</v>
      </c>
      <c r="L996" s="113">
        <f t="shared" si="296"/>
        <v>12013200</v>
      </c>
      <c r="M996" s="113">
        <f t="shared" si="296"/>
        <v>0</v>
      </c>
      <c r="N996" s="113">
        <f t="shared" si="296"/>
        <v>0</v>
      </c>
      <c r="O996" s="113">
        <f t="shared" si="296"/>
        <v>12013200</v>
      </c>
      <c r="P996" s="113">
        <f t="shared" si="296"/>
        <v>0</v>
      </c>
      <c r="Q996" s="106" t="s">
        <v>40</v>
      </c>
      <c r="R996" s="106" t="s">
        <v>40</v>
      </c>
      <c r="S996" s="326">
        <v>43465</v>
      </c>
    </row>
    <row r="997" spans="1:19" s="1" customFormat="1" ht="15.75" customHeight="1">
      <c r="A997" s="107"/>
      <c r="B997" s="1413" t="s">
        <v>87</v>
      </c>
      <c r="C997" s="1413"/>
      <c r="D997" s="1413"/>
      <c r="E997" s="1413"/>
      <c r="F997" s="1413"/>
      <c r="G997" s="1413"/>
      <c r="H997" s="128">
        <f>SUM(H998:H1006)</f>
        <v>15250.300000000001</v>
      </c>
      <c r="I997" s="106">
        <f t="shared" ref="I997:N997" si="297">SUM(I998:I1006)</f>
        <v>13418.4</v>
      </c>
      <c r="J997" s="106">
        <f t="shared" si="297"/>
        <v>12151.1</v>
      </c>
      <c r="K997" s="119">
        <f t="shared" si="297"/>
        <v>490</v>
      </c>
      <c r="L997" s="113">
        <f t="shared" si="297"/>
        <v>12013200</v>
      </c>
      <c r="M997" s="113">
        <f t="shared" si="297"/>
        <v>0</v>
      </c>
      <c r="N997" s="113">
        <f t="shared" si="297"/>
        <v>0</v>
      </c>
      <c r="O997" s="113">
        <f>SUM(O998:O1006)</f>
        <v>12013200</v>
      </c>
      <c r="P997" s="113">
        <v>0</v>
      </c>
      <c r="Q997" s="106" t="s">
        <v>40</v>
      </c>
      <c r="R997" s="106" t="s">
        <v>40</v>
      </c>
      <c r="S997" s="326">
        <v>43465</v>
      </c>
    </row>
    <row r="998" spans="1:19" s="30" customFormat="1" ht="31.2">
      <c r="A998" s="107"/>
      <c r="B998" s="300" t="s">
        <v>425</v>
      </c>
      <c r="C998" s="179">
        <v>1962</v>
      </c>
      <c r="D998" s="99"/>
      <c r="E998" s="109" t="s">
        <v>218</v>
      </c>
      <c r="F998" s="99">
        <v>5</v>
      </c>
      <c r="G998" s="99">
        <v>4</v>
      </c>
      <c r="H998" s="180">
        <v>3382</v>
      </c>
      <c r="I998" s="115">
        <v>3164.5</v>
      </c>
      <c r="J998" s="115">
        <v>2546.4</v>
      </c>
      <c r="K998" s="154">
        <v>88</v>
      </c>
      <c r="L998" s="113">
        <f t="shared" ref="L998:L1006" si="298">O998</f>
        <v>2239107</v>
      </c>
      <c r="M998" s="113">
        <v>0</v>
      </c>
      <c r="N998" s="113">
        <v>0</v>
      </c>
      <c r="O998" s="113">
        <v>2239107</v>
      </c>
      <c r="P998" s="113">
        <v>0</v>
      </c>
      <c r="Q998" s="100">
        <f t="shared" ref="Q998:Q1006" si="299">L998/I998</f>
        <v>707.57054826986882</v>
      </c>
      <c r="R998" s="114">
        <v>6774</v>
      </c>
      <c r="S998" s="326">
        <v>43465</v>
      </c>
    </row>
    <row r="999" spans="1:19" s="30" customFormat="1" ht="15.6">
      <c r="A999" s="107"/>
      <c r="B999" s="300" t="s">
        <v>79</v>
      </c>
      <c r="C999" s="99">
        <v>1949</v>
      </c>
      <c r="D999" s="99"/>
      <c r="E999" s="109" t="s">
        <v>222</v>
      </c>
      <c r="F999" s="99">
        <v>2</v>
      </c>
      <c r="G999" s="99">
        <v>2</v>
      </c>
      <c r="H999" s="180">
        <v>448.3</v>
      </c>
      <c r="I999" s="100">
        <v>402.5</v>
      </c>
      <c r="J999" s="100">
        <v>346.7</v>
      </c>
      <c r="K999" s="101">
        <v>16</v>
      </c>
      <c r="L999" s="113">
        <f t="shared" si="298"/>
        <v>706234</v>
      </c>
      <c r="M999" s="113">
        <v>0</v>
      </c>
      <c r="N999" s="113">
        <v>0</v>
      </c>
      <c r="O999" s="113">
        <v>706234</v>
      </c>
      <c r="P999" s="113">
        <v>0</v>
      </c>
      <c r="Q999" s="100">
        <f t="shared" si="299"/>
        <v>1754.6186335403727</v>
      </c>
      <c r="R999" s="114">
        <v>6774</v>
      </c>
      <c r="S999" s="326">
        <v>43465</v>
      </c>
    </row>
    <row r="1000" spans="1:19" s="30" customFormat="1" ht="15.6">
      <c r="A1000" s="107"/>
      <c r="B1000" s="300" t="s">
        <v>78</v>
      </c>
      <c r="C1000" s="99">
        <v>1949</v>
      </c>
      <c r="D1000" s="99"/>
      <c r="E1000" s="109" t="s">
        <v>221</v>
      </c>
      <c r="F1000" s="99">
        <v>2</v>
      </c>
      <c r="G1000" s="99">
        <v>2</v>
      </c>
      <c r="H1000" s="180">
        <v>438.3</v>
      </c>
      <c r="I1000" s="100">
        <v>393.5</v>
      </c>
      <c r="J1000" s="100">
        <f>I1000-49.9</f>
        <v>343.6</v>
      </c>
      <c r="K1000" s="101">
        <v>16</v>
      </c>
      <c r="L1000" s="113">
        <f t="shared" si="298"/>
        <v>651603</v>
      </c>
      <c r="M1000" s="113">
        <v>0</v>
      </c>
      <c r="N1000" s="113">
        <v>0</v>
      </c>
      <c r="O1000" s="113">
        <v>651603</v>
      </c>
      <c r="P1000" s="113">
        <v>0</v>
      </c>
      <c r="Q1000" s="100">
        <f t="shared" si="299"/>
        <v>1655.9161372299873</v>
      </c>
      <c r="R1000" s="114">
        <v>6774</v>
      </c>
      <c r="S1000" s="326">
        <v>43465</v>
      </c>
    </row>
    <row r="1001" spans="1:19" s="30" customFormat="1" ht="31.2">
      <c r="A1001" s="107"/>
      <c r="B1001" s="300" t="s">
        <v>426</v>
      </c>
      <c r="C1001" s="179">
        <v>1990</v>
      </c>
      <c r="D1001" s="99"/>
      <c r="E1001" s="109" t="s">
        <v>218</v>
      </c>
      <c r="F1001" s="99">
        <v>3</v>
      </c>
      <c r="G1001" s="99">
        <v>1</v>
      </c>
      <c r="H1001" s="180">
        <v>700.1</v>
      </c>
      <c r="I1001" s="115">
        <v>650.70000000000005</v>
      </c>
      <c r="J1001" s="115">
        <v>650.70000000000005</v>
      </c>
      <c r="K1001" s="154">
        <v>18</v>
      </c>
      <c r="L1001" s="113">
        <f t="shared" si="298"/>
        <v>698701</v>
      </c>
      <c r="M1001" s="113">
        <v>0</v>
      </c>
      <c r="N1001" s="113">
        <v>0</v>
      </c>
      <c r="O1001" s="113">
        <v>698701</v>
      </c>
      <c r="P1001" s="113">
        <v>0</v>
      </c>
      <c r="Q1001" s="100">
        <f t="shared" si="299"/>
        <v>1073.7682495773781</v>
      </c>
      <c r="R1001" s="114">
        <v>6774</v>
      </c>
      <c r="S1001" s="326">
        <v>43465</v>
      </c>
    </row>
    <row r="1002" spans="1:19" s="30" customFormat="1" ht="31.2">
      <c r="A1002" s="107"/>
      <c r="B1002" s="300" t="s">
        <v>80</v>
      </c>
      <c r="C1002" s="179">
        <v>1982</v>
      </c>
      <c r="D1002" s="99"/>
      <c r="E1002" s="109" t="s">
        <v>218</v>
      </c>
      <c r="F1002" s="99">
        <v>5</v>
      </c>
      <c r="G1002" s="99">
        <v>4</v>
      </c>
      <c r="H1002" s="181">
        <v>3159.2</v>
      </c>
      <c r="I1002" s="115">
        <v>2600.8000000000002</v>
      </c>
      <c r="J1002" s="115">
        <v>2455.5</v>
      </c>
      <c r="K1002" s="154">
        <v>106</v>
      </c>
      <c r="L1002" s="113">
        <f t="shared" si="298"/>
        <v>1512903</v>
      </c>
      <c r="M1002" s="113">
        <v>0</v>
      </c>
      <c r="N1002" s="113">
        <v>0</v>
      </c>
      <c r="O1002" s="113">
        <v>1512903</v>
      </c>
      <c r="P1002" s="113">
        <v>0</v>
      </c>
      <c r="Q1002" s="100">
        <f t="shared" si="299"/>
        <v>581.70678252845278</v>
      </c>
      <c r="R1002" s="114">
        <v>6774</v>
      </c>
      <c r="S1002" s="326">
        <v>43465</v>
      </c>
    </row>
    <row r="1003" spans="1:19" s="30" customFormat="1" ht="15.6">
      <c r="A1003" s="107"/>
      <c r="B1003" s="300" t="s">
        <v>84</v>
      </c>
      <c r="C1003" s="179">
        <v>1953</v>
      </c>
      <c r="D1003" s="99"/>
      <c r="E1003" s="109" t="s">
        <v>220</v>
      </c>
      <c r="F1003" s="99">
        <v>2</v>
      </c>
      <c r="G1003" s="99">
        <v>2</v>
      </c>
      <c r="H1003" s="181">
        <v>664.5</v>
      </c>
      <c r="I1003" s="115">
        <v>609.4</v>
      </c>
      <c r="J1003" s="115">
        <f>450.2-48.3</f>
        <v>401.9</v>
      </c>
      <c r="K1003" s="154">
        <v>15</v>
      </c>
      <c r="L1003" s="113">
        <f t="shared" si="298"/>
        <v>1668544</v>
      </c>
      <c r="M1003" s="113">
        <v>0</v>
      </c>
      <c r="N1003" s="113">
        <v>0</v>
      </c>
      <c r="O1003" s="113">
        <v>1668544</v>
      </c>
      <c r="P1003" s="113">
        <v>0</v>
      </c>
      <c r="Q1003" s="100">
        <f t="shared" si="299"/>
        <v>2738.0111585165737</v>
      </c>
      <c r="R1003" s="114">
        <v>6774</v>
      </c>
      <c r="S1003" s="326">
        <v>43465</v>
      </c>
    </row>
    <row r="1004" spans="1:19" s="30" customFormat="1" ht="31.2">
      <c r="A1004" s="107"/>
      <c r="B1004" s="300" t="s">
        <v>81</v>
      </c>
      <c r="C1004" s="179">
        <v>1988</v>
      </c>
      <c r="D1004" s="99"/>
      <c r="E1004" s="109" t="s">
        <v>218</v>
      </c>
      <c r="F1004" s="99">
        <v>5</v>
      </c>
      <c r="G1004" s="99">
        <v>6</v>
      </c>
      <c r="H1004" s="181">
        <v>4806.3999999999996</v>
      </c>
      <c r="I1004" s="115">
        <v>4087.2</v>
      </c>
      <c r="J1004" s="115">
        <v>4087.2</v>
      </c>
      <c r="K1004" s="154">
        <v>172</v>
      </c>
      <c r="L1004" s="113">
        <f t="shared" si="298"/>
        <v>2294873</v>
      </c>
      <c r="M1004" s="113">
        <v>0</v>
      </c>
      <c r="N1004" s="113">
        <v>0</v>
      </c>
      <c r="O1004" s="113">
        <v>2294873</v>
      </c>
      <c r="P1004" s="113">
        <v>0</v>
      </c>
      <c r="Q1004" s="100">
        <f t="shared" si="299"/>
        <v>561.47802896848702</v>
      </c>
      <c r="R1004" s="114">
        <v>6774</v>
      </c>
      <c r="S1004" s="326">
        <v>43465</v>
      </c>
    </row>
    <row r="1005" spans="1:19" s="30" customFormat="1" ht="15.6">
      <c r="A1005" s="107"/>
      <c r="B1005" s="300" t="s">
        <v>82</v>
      </c>
      <c r="C1005" s="179">
        <v>1948</v>
      </c>
      <c r="D1005" s="99"/>
      <c r="E1005" s="109" t="s">
        <v>221</v>
      </c>
      <c r="F1005" s="99">
        <v>2</v>
      </c>
      <c r="G1005" s="99">
        <v>1</v>
      </c>
      <c r="H1005" s="181">
        <v>559.9</v>
      </c>
      <c r="I1005" s="115">
        <v>503.7</v>
      </c>
      <c r="J1005" s="115">
        <f>I1005-190.7</f>
        <v>313</v>
      </c>
      <c r="K1005" s="154">
        <v>26</v>
      </c>
      <c r="L1005" s="113">
        <f t="shared" si="298"/>
        <v>879987</v>
      </c>
      <c r="M1005" s="113">
        <v>0</v>
      </c>
      <c r="N1005" s="113">
        <v>0</v>
      </c>
      <c r="O1005" s="113">
        <v>879987</v>
      </c>
      <c r="P1005" s="113">
        <v>0</v>
      </c>
      <c r="Q1005" s="100">
        <f t="shared" si="299"/>
        <v>1747.0458606313282</v>
      </c>
      <c r="R1005" s="114">
        <v>6774</v>
      </c>
      <c r="S1005" s="326">
        <v>43465</v>
      </c>
    </row>
    <row r="1006" spans="1:19" s="30" customFormat="1" ht="31.2">
      <c r="A1006" s="107"/>
      <c r="B1006" s="300" t="s">
        <v>83</v>
      </c>
      <c r="C1006" s="179">
        <v>1958</v>
      </c>
      <c r="D1006" s="99"/>
      <c r="E1006" s="109" t="s">
        <v>218</v>
      </c>
      <c r="F1006" s="99">
        <v>2</v>
      </c>
      <c r="G1006" s="99">
        <v>3</v>
      </c>
      <c r="H1006" s="181">
        <v>1091.5999999999999</v>
      </c>
      <c r="I1006" s="115">
        <v>1006.1</v>
      </c>
      <c r="J1006" s="115">
        <v>1006.1</v>
      </c>
      <c r="K1006" s="154">
        <v>33</v>
      </c>
      <c r="L1006" s="113">
        <f t="shared" si="298"/>
        <v>1361248</v>
      </c>
      <c r="M1006" s="113">
        <v>0</v>
      </c>
      <c r="N1006" s="113">
        <v>0</v>
      </c>
      <c r="O1006" s="113">
        <v>1361248</v>
      </c>
      <c r="P1006" s="113">
        <v>0</v>
      </c>
      <c r="Q1006" s="100">
        <f t="shared" si="299"/>
        <v>1352.9947321339828</v>
      </c>
      <c r="R1006" s="114">
        <v>6774</v>
      </c>
      <c r="S1006" s="326">
        <v>43465</v>
      </c>
    </row>
    <row r="1007" spans="1:19" s="1" customFormat="1" ht="15.6">
      <c r="A1007" s="107"/>
      <c r="B1007" s="1411" t="s">
        <v>60</v>
      </c>
      <c r="C1007" s="1411"/>
      <c r="D1007" s="1411"/>
      <c r="E1007" s="1411"/>
      <c r="F1007" s="1411"/>
      <c r="G1007" s="1411"/>
      <c r="H1007" s="128">
        <f>H1008</f>
        <v>10619.599999999999</v>
      </c>
      <c r="I1007" s="106">
        <f t="shared" ref="I1007:P1007" si="300">I1008</f>
        <v>8195.6999999999989</v>
      </c>
      <c r="J1007" s="106">
        <f t="shared" si="300"/>
        <v>6450.3</v>
      </c>
      <c r="K1007" s="119">
        <f t="shared" si="300"/>
        <v>429</v>
      </c>
      <c r="L1007" s="113">
        <f t="shared" si="300"/>
        <v>9462538</v>
      </c>
      <c r="M1007" s="113">
        <f t="shared" si="300"/>
        <v>0</v>
      </c>
      <c r="N1007" s="113">
        <f t="shared" si="300"/>
        <v>0</v>
      </c>
      <c r="O1007" s="113">
        <f t="shared" si="300"/>
        <v>9462538</v>
      </c>
      <c r="P1007" s="113">
        <f t="shared" si="300"/>
        <v>0</v>
      </c>
      <c r="Q1007" s="106" t="s">
        <v>40</v>
      </c>
      <c r="R1007" s="106" t="s">
        <v>40</v>
      </c>
      <c r="S1007" s="326">
        <v>43465</v>
      </c>
    </row>
    <row r="1008" spans="1:19" s="1" customFormat="1" ht="15.6">
      <c r="A1008" s="107"/>
      <c r="B1008" s="1411" t="s">
        <v>113</v>
      </c>
      <c r="C1008" s="1411"/>
      <c r="D1008" s="1411"/>
      <c r="E1008" s="1411"/>
      <c r="F1008" s="1411"/>
      <c r="G1008" s="1411"/>
      <c r="H1008" s="128">
        <f>SUM(H1009:H1012)</f>
        <v>10619.599999999999</v>
      </c>
      <c r="I1008" s="106">
        <f t="shared" ref="I1008:P1008" si="301">SUM(I1009:I1012)</f>
        <v>8195.6999999999989</v>
      </c>
      <c r="J1008" s="106">
        <f t="shared" si="301"/>
        <v>6450.3</v>
      </c>
      <c r="K1008" s="119">
        <f t="shared" si="301"/>
        <v>429</v>
      </c>
      <c r="L1008" s="113">
        <f t="shared" si="301"/>
        <v>9462538</v>
      </c>
      <c r="M1008" s="113">
        <f t="shared" si="301"/>
        <v>0</v>
      </c>
      <c r="N1008" s="113">
        <f t="shared" si="301"/>
        <v>0</v>
      </c>
      <c r="O1008" s="113">
        <f t="shared" si="301"/>
        <v>9462538</v>
      </c>
      <c r="P1008" s="113">
        <f t="shared" si="301"/>
        <v>0</v>
      </c>
      <c r="Q1008" s="106" t="s">
        <v>40</v>
      </c>
      <c r="R1008" s="106" t="s">
        <v>40</v>
      </c>
      <c r="S1008" s="326">
        <v>43465</v>
      </c>
    </row>
    <row r="1009" spans="1:19" s="53" customFormat="1" ht="15.6">
      <c r="A1009" s="107"/>
      <c r="B1009" s="301" t="s">
        <v>76</v>
      </c>
      <c r="C1009" s="108">
        <v>1979</v>
      </c>
      <c r="D1009" s="108"/>
      <c r="E1009" s="109" t="s">
        <v>219</v>
      </c>
      <c r="F1009" s="108">
        <v>5</v>
      </c>
      <c r="G1009" s="108">
        <v>4</v>
      </c>
      <c r="H1009" s="111">
        <v>3482.7</v>
      </c>
      <c r="I1009" s="108">
        <v>3216.7</v>
      </c>
      <c r="J1009" s="108">
        <v>2864.9</v>
      </c>
      <c r="K1009" s="112">
        <v>131</v>
      </c>
      <c r="L1009" s="113">
        <v>3626543</v>
      </c>
      <c r="M1009" s="113">
        <v>0</v>
      </c>
      <c r="N1009" s="113">
        <v>0</v>
      </c>
      <c r="O1009" s="113">
        <f>L1009</f>
        <v>3626543</v>
      </c>
      <c r="P1009" s="113">
        <v>0</v>
      </c>
      <c r="Q1009" s="114">
        <f>L1009/I1009</f>
        <v>1127.4110112848573</v>
      </c>
      <c r="R1009" s="114">
        <v>6774</v>
      </c>
      <c r="S1009" s="326">
        <v>43465</v>
      </c>
    </row>
    <row r="1010" spans="1:19" s="53" customFormat="1" ht="31.2">
      <c r="A1010" s="107"/>
      <c r="B1010" s="301" t="s">
        <v>75</v>
      </c>
      <c r="C1010" s="108">
        <v>1978</v>
      </c>
      <c r="D1010" s="108"/>
      <c r="E1010" s="109" t="s">
        <v>218</v>
      </c>
      <c r="F1010" s="108">
        <v>5</v>
      </c>
      <c r="G1010" s="108">
        <v>1</v>
      </c>
      <c r="H1010" s="111">
        <v>4056.6</v>
      </c>
      <c r="I1010" s="108">
        <v>2191.6</v>
      </c>
      <c r="J1010" s="108">
        <v>937</v>
      </c>
      <c r="K1010" s="112">
        <v>196</v>
      </c>
      <c r="L1010" s="113">
        <v>2160246</v>
      </c>
      <c r="M1010" s="113">
        <v>0</v>
      </c>
      <c r="N1010" s="113">
        <v>0</v>
      </c>
      <c r="O1010" s="113">
        <f>L1010</f>
        <v>2160246</v>
      </c>
      <c r="P1010" s="113">
        <v>0</v>
      </c>
      <c r="Q1010" s="114">
        <f>L1010/I1010</f>
        <v>985.69355721847057</v>
      </c>
      <c r="R1010" s="114">
        <v>6774</v>
      </c>
      <c r="S1010" s="326">
        <v>43465</v>
      </c>
    </row>
    <row r="1011" spans="1:19" s="53" customFormat="1" ht="31.2">
      <c r="A1011" s="107"/>
      <c r="B1011" s="301" t="s">
        <v>77</v>
      </c>
      <c r="C1011" s="108">
        <v>1925</v>
      </c>
      <c r="D1011" s="108"/>
      <c r="E1011" s="109" t="s">
        <v>218</v>
      </c>
      <c r="F1011" s="108">
        <v>2</v>
      </c>
      <c r="G1011" s="108">
        <v>2</v>
      </c>
      <c r="H1011" s="111">
        <v>597.1</v>
      </c>
      <c r="I1011" s="108">
        <v>487.9</v>
      </c>
      <c r="J1011" s="108">
        <v>455.6</v>
      </c>
      <c r="K1011" s="112">
        <v>16</v>
      </c>
      <c r="L1011" s="113">
        <v>1013564</v>
      </c>
      <c r="M1011" s="113">
        <v>0</v>
      </c>
      <c r="N1011" s="113">
        <v>0</v>
      </c>
      <c r="O1011" s="113">
        <f>L1011</f>
        <v>1013564</v>
      </c>
      <c r="P1011" s="113">
        <v>0</v>
      </c>
      <c r="Q1011" s="114">
        <f>L1011/I1011</f>
        <v>2077.401106784177</v>
      </c>
      <c r="R1011" s="114">
        <v>6774</v>
      </c>
      <c r="S1011" s="326">
        <v>43465</v>
      </c>
    </row>
    <row r="1012" spans="1:19" s="53" customFormat="1" ht="15.6">
      <c r="A1012" s="107"/>
      <c r="B1012" s="301" t="s">
        <v>427</v>
      </c>
      <c r="C1012" s="108">
        <v>1982</v>
      </c>
      <c r="D1012" s="108"/>
      <c r="E1012" s="109" t="s">
        <v>219</v>
      </c>
      <c r="F1012" s="108">
        <v>5</v>
      </c>
      <c r="G1012" s="108">
        <v>3</v>
      </c>
      <c r="H1012" s="111">
        <v>2483.1999999999998</v>
      </c>
      <c r="I1012" s="108">
        <v>2299.5</v>
      </c>
      <c r="J1012" s="108">
        <v>2192.8000000000002</v>
      </c>
      <c r="K1012" s="112">
        <v>86</v>
      </c>
      <c r="L1012" s="113">
        <v>2662185</v>
      </c>
      <c r="M1012" s="113">
        <v>0</v>
      </c>
      <c r="N1012" s="113">
        <v>0</v>
      </c>
      <c r="O1012" s="113">
        <f>L1012</f>
        <v>2662185</v>
      </c>
      <c r="P1012" s="113">
        <v>0</v>
      </c>
      <c r="Q1012" s="114">
        <f>L1012/I1012</f>
        <v>1157.723418134377</v>
      </c>
      <c r="R1012" s="114">
        <v>6774</v>
      </c>
      <c r="S1012" s="326">
        <v>43465</v>
      </c>
    </row>
    <row r="1013" spans="1:19" s="53" customFormat="1" ht="15.75" customHeight="1">
      <c r="A1013" s="107"/>
      <c r="B1013" s="1424" t="s">
        <v>208</v>
      </c>
      <c r="C1013" s="1424"/>
      <c r="D1013" s="1424"/>
      <c r="E1013" s="1424"/>
      <c r="F1013" s="1424"/>
      <c r="G1013" s="1424"/>
      <c r="H1013" s="114">
        <f t="shared" ref="H1013:O1014" si="302">H1014</f>
        <v>274.14</v>
      </c>
      <c r="I1013" s="114">
        <f t="shared" si="302"/>
        <v>246.3</v>
      </c>
      <c r="J1013" s="114">
        <f t="shared" si="302"/>
        <v>221.6</v>
      </c>
      <c r="K1013" s="112">
        <f t="shared" si="302"/>
        <v>13</v>
      </c>
      <c r="L1013" s="113">
        <f t="shared" si="302"/>
        <v>423156</v>
      </c>
      <c r="M1013" s="113">
        <f t="shared" si="302"/>
        <v>0</v>
      </c>
      <c r="N1013" s="113">
        <f t="shared" si="302"/>
        <v>0</v>
      </c>
      <c r="O1013" s="113">
        <f t="shared" si="302"/>
        <v>423156</v>
      </c>
      <c r="P1013" s="113">
        <f>P1014</f>
        <v>0</v>
      </c>
      <c r="Q1013" s="106" t="s">
        <v>40</v>
      </c>
      <c r="R1013" s="114" t="s">
        <v>40</v>
      </c>
      <c r="S1013" s="326">
        <v>43465</v>
      </c>
    </row>
    <row r="1014" spans="1:19" s="53" customFormat="1" ht="15.6">
      <c r="A1014" s="107"/>
      <c r="B1014" s="1411" t="s">
        <v>209</v>
      </c>
      <c r="C1014" s="1411"/>
      <c r="D1014" s="1411"/>
      <c r="E1014" s="1411"/>
      <c r="F1014" s="1411"/>
      <c r="G1014" s="1411"/>
      <c r="H1014" s="114">
        <f t="shared" si="302"/>
        <v>274.14</v>
      </c>
      <c r="I1014" s="114">
        <f t="shared" si="302"/>
        <v>246.3</v>
      </c>
      <c r="J1014" s="114">
        <f t="shared" si="302"/>
        <v>221.6</v>
      </c>
      <c r="K1014" s="112">
        <f t="shared" si="302"/>
        <v>13</v>
      </c>
      <c r="L1014" s="113">
        <f t="shared" si="302"/>
        <v>423156</v>
      </c>
      <c r="M1014" s="113">
        <f t="shared" si="302"/>
        <v>0</v>
      </c>
      <c r="N1014" s="113">
        <f t="shared" si="302"/>
        <v>0</v>
      </c>
      <c r="O1014" s="113">
        <f t="shared" si="302"/>
        <v>423156</v>
      </c>
      <c r="P1014" s="113">
        <f>P1015</f>
        <v>0</v>
      </c>
      <c r="Q1014" s="106" t="s">
        <v>40</v>
      </c>
      <c r="R1014" s="106" t="s">
        <v>40</v>
      </c>
      <c r="S1014" s="326">
        <v>43465</v>
      </c>
    </row>
    <row r="1015" spans="1:19" s="53" customFormat="1" ht="15.6">
      <c r="A1015" s="318"/>
      <c r="B1015" s="336" t="s">
        <v>479</v>
      </c>
      <c r="C1015" s="320">
        <v>1962</v>
      </c>
      <c r="D1015" s="320"/>
      <c r="E1015" s="321" t="s">
        <v>221</v>
      </c>
      <c r="F1015" s="320">
        <v>1</v>
      </c>
      <c r="G1015" s="320">
        <v>2</v>
      </c>
      <c r="H1015" s="322">
        <v>274.14</v>
      </c>
      <c r="I1015" s="320">
        <v>246.3</v>
      </c>
      <c r="J1015" s="320">
        <v>221.6</v>
      </c>
      <c r="K1015" s="323">
        <v>13</v>
      </c>
      <c r="L1015" s="324">
        <v>423156</v>
      </c>
      <c r="M1015" s="324">
        <v>0</v>
      </c>
      <c r="N1015" s="324">
        <v>0</v>
      </c>
      <c r="O1015" s="324">
        <v>423156</v>
      </c>
      <c r="P1015" s="324">
        <v>0</v>
      </c>
      <c r="Q1015" s="325">
        <f>L1015/I1015</f>
        <v>1718.0511571254567</v>
      </c>
      <c r="R1015" s="325">
        <v>7920</v>
      </c>
      <c r="S1015" s="326">
        <v>43465</v>
      </c>
    </row>
    <row r="1016" spans="1:19" s="1" customFormat="1" ht="15.6">
      <c r="A1016" s="107"/>
      <c r="B1016" s="1411" t="s">
        <v>61</v>
      </c>
      <c r="C1016" s="1411"/>
      <c r="D1016" s="1411"/>
      <c r="E1016" s="1411"/>
      <c r="F1016" s="1411"/>
      <c r="G1016" s="1411"/>
      <c r="H1016" s="128">
        <f>H1017</f>
        <v>1469.1399999999999</v>
      </c>
      <c r="I1016" s="106">
        <f t="shared" ref="I1016:P1016" si="303">I1017</f>
        <v>1300.3400000000001</v>
      </c>
      <c r="J1016" s="106">
        <f t="shared" si="303"/>
        <v>991.66</v>
      </c>
      <c r="K1016" s="119">
        <f t="shared" si="303"/>
        <v>75</v>
      </c>
      <c r="L1016" s="113">
        <f t="shared" si="303"/>
        <v>4886972</v>
      </c>
      <c r="M1016" s="113">
        <f t="shared" si="303"/>
        <v>0</v>
      </c>
      <c r="N1016" s="113">
        <f t="shared" si="303"/>
        <v>0</v>
      </c>
      <c r="O1016" s="113">
        <f t="shared" si="303"/>
        <v>4886972</v>
      </c>
      <c r="P1016" s="113">
        <f t="shared" si="303"/>
        <v>0</v>
      </c>
      <c r="Q1016" s="114" t="s">
        <v>40</v>
      </c>
      <c r="R1016" s="114" t="s">
        <v>40</v>
      </c>
      <c r="S1016" s="326">
        <v>43465</v>
      </c>
    </row>
    <row r="1017" spans="1:19" s="1" customFormat="1" ht="15.6">
      <c r="A1017" s="107"/>
      <c r="B1017" s="1411" t="s">
        <v>118</v>
      </c>
      <c r="C1017" s="1411"/>
      <c r="D1017" s="1411"/>
      <c r="E1017" s="1411"/>
      <c r="F1017" s="1411"/>
      <c r="G1017" s="1411"/>
      <c r="H1017" s="128">
        <f>H1018+H1019+H1020</f>
        <v>1469.1399999999999</v>
      </c>
      <c r="I1017" s="128">
        <f t="shared" ref="I1017:P1017" si="304">I1018+I1019+I1020</f>
        <v>1300.3400000000001</v>
      </c>
      <c r="J1017" s="128">
        <f t="shared" si="304"/>
        <v>991.66</v>
      </c>
      <c r="K1017" s="128">
        <f t="shared" si="304"/>
        <v>75</v>
      </c>
      <c r="L1017" s="366">
        <f t="shared" si="304"/>
        <v>4886972</v>
      </c>
      <c r="M1017" s="366">
        <f t="shared" si="304"/>
        <v>0</v>
      </c>
      <c r="N1017" s="366">
        <f t="shared" si="304"/>
        <v>0</v>
      </c>
      <c r="O1017" s="366">
        <f t="shared" si="304"/>
        <v>4886972</v>
      </c>
      <c r="P1017" s="366">
        <f t="shared" si="304"/>
        <v>0</v>
      </c>
      <c r="Q1017" s="114" t="s">
        <v>40</v>
      </c>
      <c r="R1017" s="106" t="s">
        <v>40</v>
      </c>
      <c r="S1017" s="326">
        <v>43465</v>
      </c>
    </row>
    <row r="1018" spans="1:19" s="1" customFormat="1" ht="31.2">
      <c r="A1018" s="318"/>
      <c r="B1018" s="364" t="s">
        <v>492</v>
      </c>
      <c r="C1018" s="340">
        <v>1961</v>
      </c>
      <c r="D1018" s="364"/>
      <c r="E1018" s="321" t="s">
        <v>218</v>
      </c>
      <c r="F1018" s="340">
        <v>2</v>
      </c>
      <c r="G1018" s="340">
        <v>2</v>
      </c>
      <c r="H1018" s="341">
        <v>411.7</v>
      </c>
      <c r="I1018" s="344">
        <v>380</v>
      </c>
      <c r="J1018" s="344">
        <v>188.1</v>
      </c>
      <c r="K1018" s="343">
        <v>33</v>
      </c>
      <c r="L1018" s="324">
        <v>1449272</v>
      </c>
      <c r="M1018" s="324">
        <v>0</v>
      </c>
      <c r="N1018" s="324">
        <v>0</v>
      </c>
      <c r="O1018" s="324">
        <v>1449272</v>
      </c>
      <c r="P1018" s="324">
        <v>0</v>
      </c>
      <c r="Q1018" s="325">
        <f t="shared" ref="Q1018:Q1019" si="305">L1018/I1018</f>
        <v>3813.8736842105263</v>
      </c>
      <c r="R1018" s="344">
        <v>7920</v>
      </c>
      <c r="S1018" s="326">
        <v>43465</v>
      </c>
    </row>
    <row r="1019" spans="1:19" s="1" customFormat="1" ht="31.2">
      <c r="A1019" s="318"/>
      <c r="B1019" s="364" t="s">
        <v>493</v>
      </c>
      <c r="C1019" s="340">
        <v>1976</v>
      </c>
      <c r="D1019" s="364"/>
      <c r="E1019" s="321" t="s">
        <v>218</v>
      </c>
      <c r="F1019" s="340">
        <v>2</v>
      </c>
      <c r="G1019" s="340">
        <v>2</v>
      </c>
      <c r="H1019" s="341">
        <v>832.6</v>
      </c>
      <c r="I1019" s="344">
        <v>738.9</v>
      </c>
      <c r="J1019" s="344">
        <v>663.52</v>
      </c>
      <c r="K1019" s="343">
        <v>29</v>
      </c>
      <c r="L1019" s="324">
        <v>2576258</v>
      </c>
      <c r="M1019" s="324">
        <v>0</v>
      </c>
      <c r="N1019" s="324">
        <v>0</v>
      </c>
      <c r="O1019" s="324">
        <v>2576258</v>
      </c>
      <c r="P1019" s="324">
        <v>0</v>
      </c>
      <c r="Q1019" s="325">
        <f t="shared" si="305"/>
        <v>3486.6125321423738</v>
      </c>
      <c r="R1019" s="344">
        <v>7920</v>
      </c>
      <c r="S1019" s="326">
        <v>43465</v>
      </c>
    </row>
    <row r="1020" spans="1:19" s="1" customFormat="1" ht="31.2">
      <c r="A1020" s="318"/>
      <c r="B1020" s="339" t="s">
        <v>494</v>
      </c>
      <c r="C1020" s="320">
        <v>1968</v>
      </c>
      <c r="D1020" s="320"/>
      <c r="E1020" s="321" t="s">
        <v>218</v>
      </c>
      <c r="F1020" s="320">
        <v>2</v>
      </c>
      <c r="G1020" s="320">
        <v>2</v>
      </c>
      <c r="H1020" s="322">
        <v>224.84</v>
      </c>
      <c r="I1020" s="325">
        <v>181.44</v>
      </c>
      <c r="J1020" s="325">
        <v>140.04</v>
      </c>
      <c r="K1020" s="323">
        <v>13</v>
      </c>
      <c r="L1020" s="324">
        <v>861442</v>
      </c>
      <c r="M1020" s="324">
        <v>0</v>
      </c>
      <c r="N1020" s="324">
        <v>0</v>
      </c>
      <c r="O1020" s="324">
        <v>861442</v>
      </c>
      <c r="P1020" s="324">
        <v>0</v>
      </c>
      <c r="Q1020" s="344">
        <f>L1020/I1020</f>
        <v>4747.8064373897705</v>
      </c>
      <c r="R1020" s="325">
        <v>7920</v>
      </c>
      <c r="S1020" s="326">
        <v>43465</v>
      </c>
    </row>
    <row r="1021" spans="1:19" s="1" customFormat="1" ht="15.6">
      <c r="A1021" s="107"/>
      <c r="B1021" s="1411" t="s">
        <v>649</v>
      </c>
      <c r="C1021" s="1411"/>
      <c r="D1021" s="1411"/>
      <c r="E1021" s="1411"/>
      <c r="F1021" s="1411"/>
      <c r="G1021" s="1411"/>
      <c r="H1021" s="111">
        <f>H1022</f>
        <v>2782.8</v>
      </c>
      <c r="I1021" s="111">
        <f t="shared" ref="I1021:P1021" si="306">I1022</f>
        <v>1743.6</v>
      </c>
      <c r="J1021" s="111">
        <f t="shared" si="306"/>
        <v>1259</v>
      </c>
      <c r="K1021" s="111">
        <f t="shared" si="306"/>
        <v>76</v>
      </c>
      <c r="L1021" s="566">
        <f t="shared" si="306"/>
        <v>1577672</v>
      </c>
      <c r="M1021" s="566">
        <f t="shared" si="306"/>
        <v>0</v>
      </c>
      <c r="N1021" s="566">
        <f t="shared" si="306"/>
        <v>0</v>
      </c>
      <c r="O1021" s="566">
        <f t="shared" si="306"/>
        <v>1577672</v>
      </c>
      <c r="P1021" s="566">
        <f t="shared" si="306"/>
        <v>0</v>
      </c>
      <c r="Q1021" s="114" t="s">
        <v>40</v>
      </c>
      <c r="R1021" s="114" t="s">
        <v>40</v>
      </c>
      <c r="S1021" s="326">
        <v>43465</v>
      </c>
    </row>
    <row r="1022" spans="1:19" s="1" customFormat="1" ht="15.6">
      <c r="A1022" s="107"/>
      <c r="B1022" s="1476" t="s">
        <v>652</v>
      </c>
      <c r="C1022" s="1477"/>
      <c r="D1022" s="1477"/>
      <c r="E1022" s="1477"/>
      <c r="F1022" s="1477"/>
      <c r="G1022" s="1478"/>
      <c r="H1022" s="111">
        <f>H1023+H1024</f>
        <v>2782.8</v>
      </c>
      <c r="I1022" s="111">
        <f t="shared" ref="I1022:P1022" si="307">I1023+I1024</f>
        <v>1743.6</v>
      </c>
      <c r="J1022" s="111">
        <f t="shared" si="307"/>
        <v>1259</v>
      </c>
      <c r="K1022" s="111">
        <f t="shared" si="307"/>
        <v>76</v>
      </c>
      <c r="L1022" s="566">
        <f t="shared" si="307"/>
        <v>1577672</v>
      </c>
      <c r="M1022" s="566">
        <f t="shared" si="307"/>
        <v>0</v>
      </c>
      <c r="N1022" s="566">
        <f t="shared" si="307"/>
        <v>0</v>
      </c>
      <c r="O1022" s="566">
        <f t="shared" si="307"/>
        <v>1577672</v>
      </c>
      <c r="P1022" s="566">
        <f t="shared" si="307"/>
        <v>0</v>
      </c>
      <c r="Q1022" s="114" t="s">
        <v>40</v>
      </c>
      <c r="R1022" s="106" t="s">
        <v>40</v>
      </c>
      <c r="S1022" s="326">
        <v>43465</v>
      </c>
    </row>
    <row r="1023" spans="1:19" s="1" customFormat="1" ht="15.6">
      <c r="A1023" s="107"/>
      <c r="B1023" s="567" t="s">
        <v>653</v>
      </c>
      <c r="C1023" s="108">
        <v>1982</v>
      </c>
      <c r="D1023" s="108"/>
      <c r="E1023" s="99" t="s">
        <v>220</v>
      </c>
      <c r="F1023" s="108">
        <v>2</v>
      </c>
      <c r="G1023" s="108">
        <v>3</v>
      </c>
      <c r="H1023" s="111">
        <v>1391.4</v>
      </c>
      <c r="I1023" s="114">
        <v>871.8</v>
      </c>
      <c r="J1023" s="114">
        <v>683.9</v>
      </c>
      <c r="K1023" s="112">
        <v>39</v>
      </c>
      <c r="L1023" s="113">
        <v>788836</v>
      </c>
      <c r="M1023" s="113">
        <v>0</v>
      </c>
      <c r="N1023" s="113">
        <v>0</v>
      </c>
      <c r="O1023" s="113">
        <v>788836</v>
      </c>
      <c r="P1023" s="113">
        <v>0</v>
      </c>
      <c r="Q1023" s="106">
        <f t="shared" ref="Q1023:Q1024" si="308">L1023/I1023</f>
        <v>904.83597155310861</v>
      </c>
      <c r="R1023" s="114">
        <v>7920</v>
      </c>
      <c r="S1023" s="326">
        <v>43465</v>
      </c>
    </row>
    <row r="1024" spans="1:19" s="1" customFormat="1" ht="15.6">
      <c r="A1024" s="107"/>
      <c r="B1024" s="567" t="s">
        <v>654</v>
      </c>
      <c r="C1024" s="108">
        <v>1982</v>
      </c>
      <c r="D1024" s="108"/>
      <c r="E1024" s="99" t="s">
        <v>220</v>
      </c>
      <c r="F1024" s="108">
        <v>2</v>
      </c>
      <c r="G1024" s="108">
        <v>3</v>
      </c>
      <c r="H1024" s="111">
        <v>1391.4</v>
      </c>
      <c r="I1024" s="114">
        <v>871.8</v>
      </c>
      <c r="J1024" s="114">
        <v>575.1</v>
      </c>
      <c r="K1024" s="112">
        <v>37</v>
      </c>
      <c r="L1024" s="113">
        <v>788836</v>
      </c>
      <c r="M1024" s="113">
        <v>0</v>
      </c>
      <c r="N1024" s="113">
        <v>0</v>
      </c>
      <c r="O1024" s="113">
        <v>788836</v>
      </c>
      <c r="P1024" s="113">
        <v>0</v>
      </c>
      <c r="Q1024" s="106">
        <f t="shared" si="308"/>
        <v>904.83597155310861</v>
      </c>
      <c r="R1024" s="114">
        <v>7920</v>
      </c>
      <c r="S1024" s="326">
        <v>43465</v>
      </c>
    </row>
    <row r="1025" spans="1:19" s="1" customFormat="1" ht="15.6">
      <c r="A1025" s="107"/>
      <c r="B1025" s="1411" t="s">
        <v>62</v>
      </c>
      <c r="C1025" s="1411"/>
      <c r="D1025" s="1411"/>
      <c r="E1025" s="1411"/>
      <c r="F1025" s="1411"/>
      <c r="G1025" s="1411"/>
      <c r="H1025" s="128">
        <f>H1026</f>
        <v>403.4</v>
      </c>
      <c r="I1025" s="106">
        <f t="shared" ref="I1025:P1025" si="309">I1026</f>
        <v>360.2</v>
      </c>
      <c r="J1025" s="106">
        <f t="shared" si="309"/>
        <v>360.2</v>
      </c>
      <c r="K1025" s="119">
        <f t="shared" si="309"/>
        <v>17</v>
      </c>
      <c r="L1025" s="113">
        <f t="shared" si="309"/>
        <v>1134905</v>
      </c>
      <c r="M1025" s="113">
        <f t="shared" si="309"/>
        <v>0</v>
      </c>
      <c r="N1025" s="113">
        <f t="shared" si="309"/>
        <v>0</v>
      </c>
      <c r="O1025" s="113">
        <f t="shared" si="309"/>
        <v>1134905</v>
      </c>
      <c r="P1025" s="113">
        <f t="shared" si="309"/>
        <v>0</v>
      </c>
      <c r="Q1025" s="106" t="s">
        <v>40</v>
      </c>
      <c r="R1025" s="106" t="s">
        <v>40</v>
      </c>
      <c r="S1025" s="326">
        <v>43465</v>
      </c>
    </row>
    <row r="1026" spans="1:19" s="1" customFormat="1" ht="15.6">
      <c r="A1026" s="107"/>
      <c r="B1026" s="1411" t="s">
        <v>117</v>
      </c>
      <c r="C1026" s="1411"/>
      <c r="D1026" s="1411"/>
      <c r="E1026" s="1411"/>
      <c r="F1026" s="1411"/>
      <c r="G1026" s="1411"/>
      <c r="H1026" s="128">
        <f>H1027</f>
        <v>403.4</v>
      </c>
      <c r="I1026" s="106">
        <f t="shared" ref="I1026:P1026" si="310">I1027</f>
        <v>360.2</v>
      </c>
      <c r="J1026" s="106">
        <f t="shared" si="310"/>
        <v>360.2</v>
      </c>
      <c r="K1026" s="119">
        <f t="shared" si="310"/>
        <v>17</v>
      </c>
      <c r="L1026" s="113">
        <f t="shared" si="310"/>
        <v>1134905</v>
      </c>
      <c r="M1026" s="113">
        <f t="shared" si="310"/>
        <v>0</v>
      </c>
      <c r="N1026" s="113">
        <f t="shared" si="310"/>
        <v>0</v>
      </c>
      <c r="O1026" s="113">
        <f t="shared" si="310"/>
        <v>1134905</v>
      </c>
      <c r="P1026" s="113">
        <f t="shared" si="310"/>
        <v>0</v>
      </c>
      <c r="Q1026" s="106" t="s">
        <v>40</v>
      </c>
      <c r="R1026" s="106" t="s">
        <v>40</v>
      </c>
      <c r="S1026" s="326">
        <v>43465</v>
      </c>
    </row>
    <row r="1027" spans="1:19" s="1" customFormat="1" ht="31.2">
      <c r="A1027" s="318"/>
      <c r="B1027" s="364" t="s">
        <v>487</v>
      </c>
      <c r="C1027" s="340">
        <v>1969</v>
      </c>
      <c r="D1027" s="340"/>
      <c r="E1027" s="321" t="s">
        <v>218</v>
      </c>
      <c r="F1027" s="340">
        <v>2</v>
      </c>
      <c r="G1027" s="340">
        <v>2</v>
      </c>
      <c r="H1027" s="341">
        <v>403.4</v>
      </c>
      <c r="I1027" s="344">
        <v>360.2</v>
      </c>
      <c r="J1027" s="344">
        <v>360.2</v>
      </c>
      <c r="K1027" s="343">
        <v>17</v>
      </c>
      <c r="L1027" s="324">
        <v>1134905</v>
      </c>
      <c r="M1027" s="324">
        <v>0</v>
      </c>
      <c r="N1027" s="324">
        <v>0</v>
      </c>
      <c r="O1027" s="324">
        <f>L1027</f>
        <v>1134905</v>
      </c>
      <c r="P1027" s="324">
        <v>0</v>
      </c>
      <c r="Q1027" s="344">
        <f>L1027/I1027</f>
        <v>3150.7634647418104</v>
      </c>
      <c r="R1027" s="325">
        <v>7920</v>
      </c>
      <c r="S1027" s="326">
        <v>43465</v>
      </c>
    </row>
    <row r="1028" spans="1:19" s="1" customFormat="1" ht="15.6">
      <c r="A1028" s="318"/>
      <c r="B1028" s="1465" t="s">
        <v>63</v>
      </c>
      <c r="C1028" s="1465"/>
      <c r="D1028" s="1465"/>
      <c r="E1028" s="1465"/>
      <c r="F1028" s="1465"/>
      <c r="G1028" s="1465"/>
      <c r="H1028" s="341">
        <f>H1029</f>
        <v>1388.4</v>
      </c>
      <c r="I1028" s="344">
        <f t="shared" ref="I1028:P1028" si="311">I1029</f>
        <v>1266.0999999999999</v>
      </c>
      <c r="J1028" s="344">
        <f t="shared" si="311"/>
        <v>1266.0999999999999</v>
      </c>
      <c r="K1028" s="343">
        <f t="shared" si="311"/>
        <v>39</v>
      </c>
      <c r="L1028" s="324">
        <f t="shared" si="311"/>
        <v>2751167</v>
      </c>
      <c r="M1028" s="324">
        <f t="shared" si="311"/>
        <v>0</v>
      </c>
      <c r="N1028" s="324">
        <f t="shared" si="311"/>
        <v>0</v>
      </c>
      <c r="O1028" s="324">
        <f t="shared" si="311"/>
        <v>2751167</v>
      </c>
      <c r="P1028" s="324">
        <f t="shared" si="311"/>
        <v>0</v>
      </c>
      <c r="Q1028" s="344" t="s">
        <v>40</v>
      </c>
      <c r="R1028" s="344" t="s">
        <v>40</v>
      </c>
      <c r="S1028" s="326">
        <v>43465</v>
      </c>
    </row>
    <row r="1029" spans="1:19" s="1" customFormat="1" ht="15.75" customHeight="1">
      <c r="A1029" s="318"/>
      <c r="B1029" s="1468" t="s">
        <v>116</v>
      </c>
      <c r="C1029" s="1468"/>
      <c r="D1029" s="1468"/>
      <c r="E1029" s="1468"/>
      <c r="F1029" s="1468"/>
      <c r="G1029" s="1468"/>
      <c r="H1029" s="341">
        <f>H1030+H1031</f>
        <v>1388.4</v>
      </c>
      <c r="I1029" s="344">
        <f t="shared" ref="I1029:K1029" si="312">I1030+I1031</f>
        <v>1266.0999999999999</v>
      </c>
      <c r="J1029" s="344">
        <f t="shared" si="312"/>
        <v>1266.0999999999999</v>
      </c>
      <c r="K1029" s="343">
        <f t="shared" si="312"/>
        <v>39</v>
      </c>
      <c r="L1029" s="324">
        <f>L1030+L1031</f>
        <v>2751167</v>
      </c>
      <c r="M1029" s="324">
        <f t="shared" ref="M1029:P1029" si="313">M1030+M1031</f>
        <v>0</v>
      </c>
      <c r="N1029" s="324">
        <f t="shared" si="313"/>
        <v>0</v>
      </c>
      <c r="O1029" s="324">
        <f t="shared" si="313"/>
        <v>2751167</v>
      </c>
      <c r="P1029" s="324">
        <f t="shared" si="313"/>
        <v>0</v>
      </c>
      <c r="Q1029" s="344" t="s">
        <v>40</v>
      </c>
      <c r="R1029" s="344" t="s">
        <v>40</v>
      </c>
      <c r="S1029" s="326">
        <v>43465</v>
      </c>
    </row>
    <row r="1030" spans="1:19" s="1" customFormat="1" ht="31.2">
      <c r="A1030" s="318"/>
      <c r="B1030" s="719" t="s">
        <v>677</v>
      </c>
      <c r="C1030" s="720">
        <v>1977</v>
      </c>
      <c r="D1030" s="721"/>
      <c r="E1030" s="321" t="s">
        <v>218</v>
      </c>
      <c r="F1030" s="720">
        <v>2</v>
      </c>
      <c r="G1030" s="720">
        <v>2</v>
      </c>
      <c r="H1030" s="694">
        <v>829.3</v>
      </c>
      <c r="I1030" s="377">
        <v>753</v>
      </c>
      <c r="J1030" s="377">
        <v>753</v>
      </c>
      <c r="K1030" s="378">
        <v>27</v>
      </c>
      <c r="L1030" s="324">
        <v>2217768</v>
      </c>
      <c r="M1030" s="324">
        <v>0</v>
      </c>
      <c r="N1030" s="324">
        <v>0</v>
      </c>
      <c r="O1030" s="324">
        <v>2217768</v>
      </c>
      <c r="P1030" s="324">
        <v>0</v>
      </c>
      <c r="Q1030" s="379">
        <f>L1030/I1030</f>
        <v>2945.2430278884462</v>
      </c>
      <c r="R1030" s="325">
        <v>7920</v>
      </c>
      <c r="S1030" s="326">
        <v>43465</v>
      </c>
    </row>
    <row r="1031" spans="1:19" s="1" customFormat="1" ht="31.2">
      <c r="A1031" s="318"/>
      <c r="B1031" s="719" t="s">
        <v>504</v>
      </c>
      <c r="C1031" s="721">
        <v>1966</v>
      </c>
      <c r="D1031" s="722"/>
      <c r="E1031" s="321" t="s">
        <v>218</v>
      </c>
      <c r="F1031" s="720">
        <v>2</v>
      </c>
      <c r="G1031" s="720">
        <v>2</v>
      </c>
      <c r="H1031" s="694">
        <v>559.1</v>
      </c>
      <c r="I1031" s="377">
        <v>513.1</v>
      </c>
      <c r="J1031" s="377">
        <v>513.1</v>
      </c>
      <c r="K1031" s="378">
        <v>12</v>
      </c>
      <c r="L1031" s="324">
        <v>533399</v>
      </c>
      <c r="M1031" s="324">
        <v>0</v>
      </c>
      <c r="N1031" s="324">
        <v>0</v>
      </c>
      <c r="O1031" s="324">
        <v>533399</v>
      </c>
      <c r="P1031" s="324">
        <v>0</v>
      </c>
      <c r="Q1031" s="379">
        <f>L1031/I1031</f>
        <v>1039.5614889885012</v>
      </c>
      <c r="R1031" s="325">
        <v>7920</v>
      </c>
      <c r="S1031" s="326">
        <v>43465</v>
      </c>
    </row>
    <row r="1032" spans="1:19" s="1" customFormat="1" ht="15.6">
      <c r="A1032" s="107"/>
      <c r="B1032" s="1411" t="s">
        <v>64</v>
      </c>
      <c r="C1032" s="1411"/>
      <c r="D1032" s="1411"/>
      <c r="E1032" s="1411"/>
      <c r="F1032" s="1411"/>
      <c r="G1032" s="1411"/>
      <c r="H1032" s="128">
        <f>H1033</f>
        <v>1981.8</v>
      </c>
      <c r="I1032" s="106">
        <f t="shared" ref="I1032:P1032" si="314">I1033</f>
        <v>1762.1000000000001</v>
      </c>
      <c r="J1032" s="106">
        <f t="shared" si="314"/>
        <v>1762.1000000000001</v>
      </c>
      <c r="K1032" s="119">
        <f t="shared" si="314"/>
        <v>66</v>
      </c>
      <c r="L1032" s="113">
        <f t="shared" si="314"/>
        <v>5819333</v>
      </c>
      <c r="M1032" s="113">
        <f t="shared" si="314"/>
        <v>0</v>
      </c>
      <c r="N1032" s="113">
        <f t="shared" si="314"/>
        <v>0</v>
      </c>
      <c r="O1032" s="113">
        <f t="shared" si="314"/>
        <v>5819333</v>
      </c>
      <c r="P1032" s="113">
        <f t="shared" si="314"/>
        <v>0</v>
      </c>
      <c r="Q1032" s="106" t="s">
        <v>40</v>
      </c>
      <c r="R1032" s="106" t="s">
        <v>40</v>
      </c>
      <c r="S1032" s="326">
        <v>43465</v>
      </c>
    </row>
    <row r="1033" spans="1:19" s="1" customFormat="1" ht="15.6">
      <c r="A1033" s="107"/>
      <c r="B1033" s="1411" t="s">
        <v>115</v>
      </c>
      <c r="C1033" s="1411"/>
      <c r="D1033" s="1411"/>
      <c r="E1033" s="1411"/>
      <c r="F1033" s="1411"/>
      <c r="G1033" s="1411"/>
      <c r="H1033" s="128">
        <f>SUM(H1034:H1037)</f>
        <v>1981.8</v>
      </c>
      <c r="I1033" s="106">
        <f t="shared" ref="I1033:O1033" si="315">SUM(I1034:I1037)</f>
        <v>1762.1000000000001</v>
      </c>
      <c r="J1033" s="106">
        <f t="shared" si="315"/>
        <v>1762.1000000000001</v>
      </c>
      <c r="K1033" s="119">
        <f t="shared" si="315"/>
        <v>66</v>
      </c>
      <c r="L1033" s="113">
        <f t="shared" si="315"/>
        <v>5819333</v>
      </c>
      <c r="M1033" s="113">
        <f t="shared" si="315"/>
        <v>0</v>
      </c>
      <c r="N1033" s="113">
        <f t="shared" si="315"/>
        <v>0</v>
      </c>
      <c r="O1033" s="113">
        <f t="shared" si="315"/>
        <v>5819333</v>
      </c>
      <c r="P1033" s="113">
        <f t="shared" ref="P1033" si="316">SUM(P1034:P1036)</f>
        <v>0</v>
      </c>
      <c r="Q1033" s="106" t="s">
        <v>40</v>
      </c>
      <c r="R1033" s="106" t="s">
        <v>40</v>
      </c>
      <c r="S1033" s="326">
        <v>43465</v>
      </c>
    </row>
    <row r="1034" spans="1:19" s="1" customFormat="1" ht="31.2">
      <c r="A1034" s="318"/>
      <c r="B1034" s="364" t="s">
        <v>612</v>
      </c>
      <c r="C1034" s="340">
        <v>1963</v>
      </c>
      <c r="D1034" s="340"/>
      <c r="E1034" s="321" t="s">
        <v>218</v>
      </c>
      <c r="F1034" s="340">
        <v>2</v>
      </c>
      <c r="G1034" s="340">
        <v>3</v>
      </c>
      <c r="H1034" s="341">
        <v>540.5</v>
      </c>
      <c r="I1034" s="344">
        <v>475.6</v>
      </c>
      <c r="J1034" s="344">
        <v>475.6</v>
      </c>
      <c r="K1034" s="343">
        <v>19</v>
      </c>
      <c r="L1034" s="324">
        <v>1575182</v>
      </c>
      <c r="M1034" s="324">
        <v>0</v>
      </c>
      <c r="N1034" s="324">
        <v>0</v>
      </c>
      <c r="O1034" s="324">
        <f>L1034</f>
        <v>1575182</v>
      </c>
      <c r="P1034" s="324">
        <v>0</v>
      </c>
      <c r="Q1034" s="344">
        <f>L1034/I1034</f>
        <v>3311.9890664423883</v>
      </c>
      <c r="R1034" s="325">
        <v>7920</v>
      </c>
      <c r="S1034" s="326">
        <v>43465</v>
      </c>
    </row>
    <row r="1035" spans="1:19" s="1" customFormat="1" ht="31.2">
      <c r="A1035" s="318"/>
      <c r="B1035" s="364" t="s">
        <v>613</v>
      </c>
      <c r="C1035" s="340">
        <v>1965</v>
      </c>
      <c r="D1035" s="340"/>
      <c r="E1035" s="321" t="s">
        <v>218</v>
      </c>
      <c r="F1035" s="340">
        <v>2</v>
      </c>
      <c r="G1035" s="340">
        <v>2</v>
      </c>
      <c r="H1035" s="341">
        <v>507.5</v>
      </c>
      <c r="I1035" s="344">
        <v>449.9</v>
      </c>
      <c r="J1035" s="344">
        <v>449.9</v>
      </c>
      <c r="K1035" s="343">
        <v>14</v>
      </c>
      <c r="L1035" s="324">
        <v>1455693</v>
      </c>
      <c r="M1035" s="324">
        <v>0</v>
      </c>
      <c r="N1035" s="324">
        <v>0</v>
      </c>
      <c r="O1035" s="324">
        <f>L1035</f>
        <v>1455693</v>
      </c>
      <c r="P1035" s="324">
        <v>0</v>
      </c>
      <c r="Q1035" s="344">
        <f>L1035/I1035</f>
        <v>3235.5923538564125</v>
      </c>
      <c r="R1035" s="325">
        <v>7920</v>
      </c>
      <c r="S1035" s="326">
        <v>43465</v>
      </c>
    </row>
    <row r="1036" spans="1:19" s="1" customFormat="1" ht="31.2">
      <c r="A1036" s="318"/>
      <c r="B1036" s="364" t="s">
        <v>614</v>
      </c>
      <c r="C1036" s="340">
        <v>1958</v>
      </c>
      <c r="D1036" s="340"/>
      <c r="E1036" s="321" t="s">
        <v>218</v>
      </c>
      <c r="F1036" s="340">
        <v>2</v>
      </c>
      <c r="G1036" s="340">
        <v>1</v>
      </c>
      <c r="H1036" s="341">
        <v>483</v>
      </c>
      <c r="I1036" s="344">
        <v>430.4</v>
      </c>
      <c r="J1036" s="344">
        <v>430.4</v>
      </c>
      <c r="K1036" s="343">
        <v>16</v>
      </c>
      <c r="L1036" s="324">
        <v>1394327</v>
      </c>
      <c r="M1036" s="324">
        <v>0</v>
      </c>
      <c r="N1036" s="324">
        <v>0</v>
      </c>
      <c r="O1036" s="324">
        <f>L1036</f>
        <v>1394327</v>
      </c>
      <c r="P1036" s="324">
        <v>0</v>
      </c>
      <c r="Q1036" s="344">
        <f>L1036/I1036</f>
        <v>3239.6073420074349</v>
      </c>
      <c r="R1036" s="325">
        <v>7920</v>
      </c>
      <c r="S1036" s="326">
        <v>43465</v>
      </c>
    </row>
    <row r="1037" spans="1:19" s="1" customFormat="1" ht="31.2">
      <c r="A1037" s="318"/>
      <c r="B1037" s="364" t="s">
        <v>615</v>
      </c>
      <c r="C1037" s="340">
        <v>1957</v>
      </c>
      <c r="D1037" s="340"/>
      <c r="E1037" s="321" t="s">
        <v>218</v>
      </c>
      <c r="F1037" s="340">
        <v>2</v>
      </c>
      <c r="G1037" s="340">
        <v>1</v>
      </c>
      <c r="H1037" s="341">
        <v>450.8</v>
      </c>
      <c r="I1037" s="344">
        <v>406.2</v>
      </c>
      <c r="J1037" s="344">
        <v>406.2</v>
      </c>
      <c r="K1037" s="343">
        <v>17</v>
      </c>
      <c r="L1037" s="324">
        <v>1394131</v>
      </c>
      <c r="M1037" s="324">
        <v>0</v>
      </c>
      <c r="N1037" s="324">
        <v>0</v>
      </c>
      <c r="O1037" s="324">
        <f>L1037</f>
        <v>1394131</v>
      </c>
      <c r="P1037" s="324">
        <v>0</v>
      </c>
      <c r="Q1037" s="344">
        <f>L1037/I1037</f>
        <v>3432.1294928606599</v>
      </c>
      <c r="R1037" s="325">
        <v>7920</v>
      </c>
      <c r="S1037" s="326">
        <v>43465</v>
      </c>
    </row>
    <row r="1038" spans="1:19" s="1" customFormat="1" ht="15.6">
      <c r="A1038" s="107"/>
      <c r="B1038" s="1411" t="s">
        <v>211</v>
      </c>
      <c r="C1038" s="1411"/>
      <c r="D1038" s="1411"/>
      <c r="E1038" s="1411"/>
      <c r="F1038" s="1411"/>
      <c r="G1038" s="1411"/>
      <c r="H1038" s="128">
        <f>H1039+H1041</f>
        <v>1161.3</v>
      </c>
      <c r="I1038" s="128">
        <f t="shared" ref="I1038:P1038" si="317">I1039+I1041</f>
        <v>1063.3000000000002</v>
      </c>
      <c r="J1038" s="128">
        <f t="shared" si="317"/>
        <v>1063.3000000000002</v>
      </c>
      <c r="K1038" s="119">
        <f t="shared" si="317"/>
        <v>32</v>
      </c>
      <c r="L1038" s="113">
        <f t="shared" si="317"/>
        <v>3125223</v>
      </c>
      <c r="M1038" s="113">
        <f t="shared" si="317"/>
        <v>0</v>
      </c>
      <c r="N1038" s="113">
        <f t="shared" si="317"/>
        <v>0</v>
      </c>
      <c r="O1038" s="113">
        <f t="shared" si="317"/>
        <v>3125223</v>
      </c>
      <c r="P1038" s="113">
        <f t="shared" si="317"/>
        <v>0</v>
      </c>
      <c r="Q1038" s="106" t="s">
        <v>40</v>
      </c>
      <c r="R1038" s="106" t="s">
        <v>40</v>
      </c>
      <c r="S1038" s="326">
        <v>43465</v>
      </c>
    </row>
    <row r="1039" spans="1:19" s="1" customFormat="1" ht="15.6">
      <c r="A1039" s="107"/>
      <c r="B1039" s="1411" t="s">
        <v>633</v>
      </c>
      <c r="C1039" s="1411"/>
      <c r="D1039" s="1411"/>
      <c r="E1039" s="1411"/>
      <c r="F1039" s="1411"/>
      <c r="G1039" s="1411"/>
      <c r="H1039" s="128">
        <f>H1040</f>
        <v>562.9</v>
      </c>
      <c r="I1039" s="128">
        <f t="shared" ref="I1039:P1039" si="318">I1040</f>
        <v>512.70000000000005</v>
      </c>
      <c r="J1039" s="128">
        <f t="shared" si="318"/>
        <v>512.70000000000005</v>
      </c>
      <c r="K1039" s="119">
        <f t="shared" si="318"/>
        <v>15</v>
      </c>
      <c r="L1039" s="113">
        <f t="shared" si="318"/>
        <v>1402855</v>
      </c>
      <c r="M1039" s="113">
        <f t="shared" si="318"/>
        <v>0</v>
      </c>
      <c r="N1039" s="113">
        <f t="shared" si="318"/>
        <v>0</v>
      </c>
      <c r="O1039" s="113">
        <f t="shared" si="318"/>
        <v>1402855</v>
      </c>
      <c r="P1039" s="113">
        <f t="shared" si="318"/>
        <v>0</v>
      </c>
      <c r="Q1039" s="106" t="s">
        <v>40</v>
      </c>
      <c r="R1039" s="114" t="s">
        <v>40</v>
      </c>
      <c r="S1039" s="326">
        <v>43465</v>
      </c>
    </row>
    <row r="1040" spans="1:19" s="1" customFormat="1" ht="31.2">
      <c r="A1040" s="107"/>
      <c r="B1040" s="564" t="s">
        <v>634</v>
      </c>
      <c r="C1040" s="118">
        <v>1968</v>
      </c>
      <c r="D1040" s="118"/>
      <c r="E1040" s="109" t="s">
        <v>218</v>
      </c>
      <c r="F1040" s="118">
        <v>2</v>
      </c>
      <c r="G1040" s="118">
        <v>2</v>
      </c>
      <c r="H1040" s="128">
        <v>562.9</v>
      </c>
      <c r="I1040" s="106">
        <v>512.70000000000005</v>
      </c>
      <c r="J1040" s="106">
        <v>512.70000000000005</v>
      </c>
      <c r="K1040" s="119">
        <v>15</v>
      </c>
      <c r="L1040" s="113">
        <v>1402855</v>
      </c>
      <c r="M1040" s="113">
        <v>0</v>
      </c>
      <c r="N1040" s="113">
        <v>0</v>
      </c>
      <c r="O1040" s="113">
        <v>1402855</v>
      </c>
      <c r="P1040" s="113">
        <v>0</v>
      </c>
      <c r="Q1040" s="106">
        <f>L1040/I1040</f>
        <v>2736.2102594109615</v>
      </c>
      <c r="R1040" s="114">
        <v>7920</v>
      </c>
      <c r="S1040" s="326">
        <v>43465</v>
      </c>
    </row>
    <row r="1041" spans="1:19" s="1" customFormat="1" ht="15.6">
      <c r="A1041" s="107"/>
      <c r="B1041" s="1411" t="s">
        <v>635</v>
      </c>
      <c r="C1041" s="1411"/>
      <c r="D1041" s="1411"/>
      <c r="E1041" s="1411"/>
      <c r="F1041" s="1411"/>
      <c r="G1041" s="1411"/>
      <c r="H1041" s="128">
        <f>H1042</f>
        <v>598.4</v>
      </c>
      <c r="I1041" s="128">
        <f t="shared" ref="I1041:P1041" si="319">I1042</f>
        <v>550.6</v>
      </c>
      <c r="J1041" s="128">
        <f t="shared" si="319"/>
        <v>550.6</v>
      </c>
      <c r="K1041" s="119">
        <f t="shared" si="319"/>
        <v>17</v>
      </c>
      <c r="L1041" s="113">
        <f t="shared" si="319"/>
        <v>1722368</v>
      </c>
      <c r="M1041" s="113">
        <f t="shared" si="319"/>
        <v>0</v>
      </c>
      <c r="N1041" s="113">
        <f t="shared" si="319"/>
        <v>0</v>
      </c>
      <c r="O1041" s="113">
        <f t="shared" si="319"/>
        <v>1722368</v>
      </c>
      <c r="P1041" s="113">
        <f t="shared" si="319"/>
        <v>0</v>
      </c>
      <c r="Q1041" s="106" t="s">
        <v>40</v>
      </c>
      <c r="R1041" s="114" t="s">
        <v>40</v>
      </c>
      <c r="S1041" s="326">
        <v>43465</v>
      </c>
    </row>
    <row r="1042" spans="1:19" s="1" customFormat="1" ht="31.2">
      <c r="A1042" s="107"/>
      <c r="B1042" s="564" t="s">
        <v>636</v>
      </c>
      <c r="C1042" s="118">
        <v>1979</v>
      </c>
      <c r="D1042" s="118"/>
      <c r="E1042" s="109" t="s">
        <v>218</v>
      </c>
      <c r="F1042" s="118">
        <v>2</v>
      </c>
      <c r="G1042" s="118">
        <v>2</v>
      </c>
      <c r="H1042" s="128">
        <v>598.4</v>
      </c>
      <c r="I1042" s="106">
        <v>550.6</v>
      </c>
      <c r="J1042" s="106">
        <v>550.6</v>
      </c>
      <c r="K1042" s="119">
        <v>17</v>
      </c>
      <c r="L1042" s="113">
        <v>1722368</v>
      </c>
      <c r="M1042" s="113">
        <v>0</v>
      </c>
      <c r="N1042" s="113">
        <v>0</v>
      </c>
      <c r="O1042" s="113">
        <v>1722368</v>
      </c>
      <c r="P1042" s="113">
        <v>0</v>
      </c>
      <c r="Q1042" s="106">
        <f>L1042/I1042</f>
        <v>3128.1656374863783</v>
      </c>
      <c r="R1042" s="114">
        <v>7920</v>
      </c>
      <c r="S1042" s="326">
        <v>43465</v>
      </c>
    </row>
    <row r="1043" spans="1:19" s="1" customFormat="1" ht="15.6">
      <c r="A1043" s="107"/>
      <c r="B1043" s="1411" t="s">
        <v>66</v>
      </c>
      <c r="C1043" s="1411"/>
      <c r="D1043" s="1411"/>
      <c r="E1043" s="1411"/>
      <c r="F1043" s="1411"/>
      <c r="G1043" s="1411"/>
      <c r="H1043" s="128">
        <f>H1044</f>
        <v>1156.8</v>
      </c>
      <c r="I1043" s="106">
        <f t="shared" ref="I1043:P1044" si="320">I1044</f>
        <v>1092.7</v>
      </c>
      <c r="J1043" s="106">
        <f t="shared" si="320"/>
        <v>1050.4000000000001</v>
      </c>
      <c r="K1043" s="119">
        <f t="shared" si="320"/>
        <v>44</v>
      </c>
      <c r="L1043" s="113">
        <f t="shared" si="320"/>
        <v>2792955</v>
      </c>
      <c r="M1043" s="113">
        <f t="shared" si="320"/>
        <v>0</v>
      </c>
      <c r="N1043" s="113">
        <f t="shared" si="320"/>
        <v>0</v>
      </c>
      <c r="O1043" s="113">
        <f t="shared" si="320"/>
        <v>2792955</v>
      </c>
      <c r="P1043" s="113">
        <f t="shared" si="320"/>
        <v>0</v>
      </c>
      <c r="Q1043" s="106" t="s">
        <v>40</v>
      </c>
      <c r="R1043" s="106" t="s">
        <v>40</v>
      </c>
      <c r="S1043" s="326">
        <v>43465</v>
      </c>
    </row>
    <row r="1044" spans="1:19" s="1" customFormat="1" ht="15.6">
      <c r="A1044" s="107"/>
      <c r="B1044" s="1411" t="s">
        <v>114</v>
      </c>
      <c r="C1044" s="1411"/>
      <c r="D1044" s="1411"/>
      <c r="E1044" s="1411"/>
      <c r="F1044" s="1411"/>
      <c r="G1044" s="1411"/>
      <c r="H1044" s="128">
        <f>H1045</f>
        <v>1156.8</v>
      </c>
      <c r="I1044" s="128">
        <f t="shared" si="320"/>
        <v>1092.7</v>
      </c>
      <c r="J1044" s="128">
        <f t="shared" si="320"/>
        <v>1050.4000000000001</v>
      </c>
      <c r="K1044" s="128">
        <f t="shared" si="320"/>
        <v>44</v>
      </c>
      <c r="L1044" s="366">
        <f t="shared" si="320"/>
        <v>2792955</v>
      </c>
      <c r="M1044" s="366">
        <f t="shared" si="320"/>
        <v>0</v>
      </c>
      <c r="N1044" s="366">
        <f t="shared" si="320"/>
        <v>0</v>
      </c>
      <c r="O1044" s="366">
        <f t="shared" si="320"/>
        <v>2792955</v>
      </c>
      <c r="P1044" s="366">
        <f t="shared" si="320"/>
        <v>0</v>
      </c>
      <c r="Q1044" s="106" t="s">
        <v>40</v>
      </c>
      <c r="R1044" s="114" t="s">
        <v>40</v>
      </c>
      <c r="S1044" s="326">
        <v>43465</v>
      </c>
    </row>
    <row r="1045" spans="1:19" s="1" customFormat="1" ht="31.2">
      <c r="A1045" s="318"/>
      <c r="B1045" s="364" t="s">
        <v>500</v>
      </c>
      <c r="C1045" s="340">
        <v>1963</v>
      </c>
      <c r="D1045" s="340"/>
      <c r="E1045" s="321" t="s">
        <v>218</v>
      </c>
      <c r="F1045" s="340">
        <v>2</v>
      </c>
      <c r="G1045" s="340">
        <v>4</v>
      </c>
      <c r="H1045" s="341">
        <v>1156.8</v>
      </c>
      <c r="I1045" s="344">
        <v>1092.7</v>
      </c>
      <c r="J1045" s="344">
        <v>1050.4000000000001</v>
      </c>
      <c r="K1045" s="343">
        <v>44</v>
      </c>
      <c r="L1045" s="324">
        <v>2792955</v>
      </c>
      <c r="M1045" s="324">
        <v>0</v>
      </c>
      <c r="N1045" s="324">
        <v>0</v>
      </c>
      <c r="O1045" s="324">
        <v>2792955</v>
      </c>
      <c r="P1045" s="324">
        <v>0</v>
      </c>
      <c r="Q1045" s="344">
        <f>L1045/I1045</f>
        <v>2556.0126292669534</v>
      </c>
      <c r="R1045" s="325">
        <v>7920</v>
      </c>
      <c r="S1045" s="326">
        <v>43465</v>
      </c>
    </row>
    <row r="1046" spans="1:19" s="1" customFormat="1" ht="15.6">
      <c r="A1046" s="107"/>
      <c r="B1046" s="304"/>
      <c r="C1046" s="118"/>
      <c r="D1046" s="118"/>
      <c r="E1046" s="109"/>
      <c r="F1046" s="118"/>
      <c r="G1046" s="118"/>
      <c r="H1046" s="128"/>
      <c r="I1046" s="106"/>
      <c r="J1046" s="106"/>
      <c r="K1046" s="119"/>
      <c r="L1046" s="113"/>
      <c r="M1046" s="113"/>
      <c r="N1046" s="113"/>
      <c r="O1046" s="113"/>
      <c r="P1046" s="113"/>
      <c r="Q1046" s="106"/>
      <c r="R1046" s="114"/>
      <c r="S1046" s="326"/>
    </row>
    <row r="1047" spans="1:19" s="1" customFormat="1" ht="15.6">
      <c r="A1047" s="107"/>
      <c r="B1047" s="304"/>
      <c r="C1047" s="118"/>
      <c r="D1047" s="118"/>
      <c r="E1047" s="109"/>
      <c r="F1047" s="118"/>
      <c r="G1047" s="118"/>
      <c r="H1047" s="128"/>
      <c r="I1047" s="106"/>
      <c r="J1047" s="106"/>
      <c r="K1047" s="119"/>
      <c r="L1047" s="113"/>
      <c r="M1047" s="113"/>
      <c r="N1047" s="113"/>
      <c r="O1047" s="113"/>
      <c r="P1047" s="113"/>
      <c r="Q1047" s="106"/>
      <c r="R1047" s="114"/>
      <c r="S1047" s="326"/>
    </row>
    <row r="1048" spans="1:19" s="1" customFormat="1" ht="15.6">
      <c r="A1048" s="107"/>
      <c r="B1048" s="1411" t="s">
        <v>207</v>
      </c>
      <c r="C1048" s="1411"/>
      <c r="D1048" s="1411"/>
      <c r="E1048" s="1411"/>
      <c r="F1048" s="1411"/>
      <c r="G1048" s="1411"/>
      <c r="H1048" s="128">
        <f>SUM(H1049:H1058)</f>
        <v>53993.469999999994</v>
      </c>
      <c r="I1048" s="128">
        <f t="shared" ref="I1048:P1048" si="321">SUM(I1049:I1058)</f>
        <v>47190.219999999994</v>
      </c>
      <c r="J1048" s="128">
        <f t="shared" si="321"/>
        <v>46251.12</v>
      </c>
      <c r="K1048" s="128">
        <f t="shared" si="321"/>
        <v>1897</v>
      </c>
      <c r="L1048" s="366">
        <f t="shared" si="321"/>
        <v>22164555</v>
      </c>
      <c r="M1048" s="366">
        <f t="shared" si="321"/>
        <v>0</v>
      </c>
      <c r="N1048" s="366">
        <f t="shared" si="321"/>
        <v>0</v>
      </c>
      <c r="O1048" s="366">
        <f t="shared" si="321"/>
        <v>22164555</v>
      </c>
      <c r="P1048" s="128">
        <f t="shared" si="321"/>
        <v>0</v>
      </c>
      <c r="Q1048" s="106" t="s">
        <v>40</v>
      </c>
      <c r="R1048" s="106" t="s">
        <v>40</v>
      </c>
      <c r="S1048" s="326">
        <v>43465</v>
      </c>
    </row>
    <row r="1049" spans="1:19" s="21" customFormat="1" ht="15.6">
      <c r="A1049" s="318">
        <f>A1047+1</f>
        <v>1</v>
      </c>
      <c r="B1049" s="373" t="s">
        <v>512</v>
      </c>
      <c r="C1049" s="374">
        <v>1983</v>
      </c>
      <c r="D1049" s="375"/>
      <c r="E1049" s="321" t="s">
        <v>219</v>
      </c>
      <c r="F1049" s="374">
        <v>9</v>
      </c>
      <c r="G1049" s="374">
        <v>4</v>
      </c>
      <c r="H1049" s="376">
        <v>8411.2999999999993</v>
      </c>
      <c r="I1049" s="376">
        <v>7342.2</v>
      </c>
      <c r="J1049" s="377">
        <v>7289.8</v>
      </c>
      <c r="K1049" s="378">
        <v>264</v>
      </c>
      <c r="L1049" s="324">
        <v>3034841</v>
      </c>
      <c r="M1049" s="324">
        <v>0</v>
      </c>
      <c r="N1049" s="324">
        <v>0</v>
      </c>
      <c r="O1049" s="324">
        <f t="shared" ref="O1049:O1058" si="322">L1049</f>
        <v>3034841</v>
      </c>
      <c r="P1049" s="324">
        <v>0</v>
      </c>
      <c r="Q1049" s="379">
        <f t="shared" ref="Q1049:Q1058" si="323">L1049/I1049</f>
        <v>413.34218626569697</v>
      </c>
      <c r="R1049" s="325">
        <v>7920</v>
      </c>
      <c r="S1049" s="326">
        <v>43465</v>
      </c>
    </row>
    <row r="1050" spans="1:19" s="21" customFormat="1" ht="15.6">
      <c r="A1050" s="318">
        <f t="shared" ref="A1050:A1058" si="324">A1049+1</f>
        <v>2</v>
      </c>
      <c r="B1050" s="373" t="s">
        <v>513</v>
      </c>
      <c r="C1050" s="374">
        <v>1983</v>
      </c>
      <c r="D1050" s="375"/>
      <c r="E1050" s="321" t="s">
        <v>219</v>
      </c>
      <c r="F1050" s="374">
        <v>9</v>
      </c>
      <c r="G1050" s="374">
        <v>1</v>
      </c>
      <c r="H1050" s="376">
        <v>2521.3000000000002</v>
      </c>
      <c r="I1050" s="376">
        <v>2202.1999999999998</v>
      </c>
      <c r="J1050" s="377">
        <v>2202.1999999999998</v>
      </c>
      <c r="K1050" s="378">
        <v>99</v>
      </c>
      <c r="L1050" s="324">
        <v>925522</v>
      </c>
      <c r="M1050" s="324">
        <v>0</v>
      </c>
      <c r="N1050" s="324">
        <v>0</v>
      </c>
      <c r="O1050" s="324">
        <f t="shared" si="322"/>
        <v>925522</v>
      </c>
      <c r="P1050" s="324">
        <v>0</v>
      </c>
      <c r="Q1050" s="379">
        <f t="shared" si="323"/>
        <v>420.27154663518303</v>
      </c>
      <c r="R1050" s="325">
        <v>7920</v>
      </c>
      <c r="S1050" s="326">
        <v>43465</v>
      </c>
    </row>
    <row r="1051" spans="1:19" s="21" customFormat="1" ht="15.6">
      <c r="A1051" s="318">
        <f t="shared" si="324"/>
        <v>3</v>
      </c>
      <c r="B1051" s="373" t="s">
        <v>514</v>
      </c>
      <c r="C1051" s="374">
        <v>1985</v>
      </c>
      <c r="D1051" s="375"/>
      <c r="E1051" s="321" t="s">
        <v>219</v>
      </c>
      <c r="F1051" s="374">
        <v>9</v>
      </c>
      <c r="G1051" s="374">
        <v>2</v>
      </c>
      <c r="H1051" s="376">
        <v>5102.45</v>
      </c>
      <c r="I1051" s="376">
        <v>4428.75</v>
      </c>
      <c r="J1051" s="377">
        <v>4249.75</v>
      </c>
      <c r="K1051" s="378">
        <v>216</v>
      </c>
      <c r="L1051" s="324">
        <v>1823451</v>
      </c>
      <c r="M1051" s="324">
        <v>0</v>
      </c>
      <c r="N1051" s="324">
        <v>0</v>
      </c>
      <c r="O1051" s="324">
        <f t="shared" si="322"/>
        <v>1823451</v>
      </c>
      <c r="P1051" s="324">
        <v>0</v>
      </c>
      <c r="Q1051" s="379">
        <f t="shared" si="323"/>
        <v>411.73039796782388</v>
      </c>
      <c r="R1051" s="325">
        <v>7920</v>
      </c>
      <c r="S1051" s="326">
        <v>43465</v>
      </c>
    </row>
    <row r="1052" spans="1:19" s="21" customFormat="1" ht="15.6">
      <c r="A1052" s="318">
        <f t="shared" si="324"/>
        <v>4</v>
      </c>
      <c r="B1052" s="373" t="s">
        <v>515</v>
      </c>
      <c r="C1052" s="374">
        <v>1986</v>
      </c>
      <c r="D1052" s="375"/>
      <c r="E1052" s="321" t="s">
        <v>219</v>
      </c>
      <c r="F1052" s="374">
        <v>9</v>
      </c>
      <c r="G1052" s="374">
        <v>5</v>
      </c>
      <c r="H1052" s="376">
        <v>11880.19</v>
      </c>
      <c r="I1052" s="376">
        <v>10118.07</v>
      </c>
      <c r="J1052" s="377">
        <v>9963.8700000000008</v>
      </c>
      <c r="K1052" s="378">
        <v>404</v>
      </c>
      <c r="L1052" s="324">
        <v>3802042</v>
      </c>
      <c r="M1052" s="324">
        <v>0</v>
      </c>
      <c r="N1052" s="324">
        <v>0</v>
      </c>
      <c r="O1052" s="324">
        <f t="shared" si="322"/>
        <v>3802042</v>
      </c>
      <c r="P1052" s="324">
        <v>0</v>
      </c>
      <c r="Q1052" s="379">
        <f t="shared" si="323"/>
        <v>375.7675129743123</v>
      </c>
      <c r="R1052" s="325">
        <v>7920</v>
      </c>
      <c r="S1052" s="326">
        <v>43465</v>
      </c>
    </row>
    <row r="1053" spans="1:19" s="21" customFormat="1" ht="15.6">
      <c r="A1053" s="318">
        <f t="shared" si="324"/>
        <v>5</v>
      </c>
      <c r="B1053" s="373" t="s">
        <v>516</v>
      </c>
      <c r="C1053" s="374">
        <v>1987</v>
      </c>
      <c r="D1053" s="375"/>
      <c r="E1053" s="321" t="s">
        <v>219</v>
      </c>
      <c r="F1053" s="374">
        <v>9</v>
      </c>
      <c r="G1053" s="374">
        <v>3</v>
      </c>
      <c r="H1053" s="376">
        <v>7641.43</v>
      </c>
      <c r="I1053" s="376">
        <v>6637.2</v>
      </c>
      <c r="J1053" s="377">
        <v>6453.6</v>
      </c>
      <c r="K1053" s="378">
        <v>175</v>
      </c>
      <c r="L1053" s="324">
        <v>2887804</v>
      </c>
      <c r="M1053" s="324">
        <v>0</v>
      </c>
      <c r="N1053" s="324">
        <v>0</v>
      </c>
      <c r="O1053" s="324">
        <f t="shared" si="322"/>
        <v>2887804</v>
      </c>
      <c r="P1053" s="324">
        <v>0</v>
      </c>
      <c r="Q1053" s="379">
        <f t="shared" si="323"/>
        <v>435.09371421683846</v>
      </c>
      <c r="R1053" s="325">
        <v>7920</v>
      </c>
      <c r="S1053" s="326">
        <v>43465</v>
      </c>
    </row>
    <row r="1054" spans="1:19" s="21" customFormat="1" ht="15.6">
      <c r="A1054" s="318">
        <f t="shared" si="324"/>
        <v>6</v>
      </c>
      <c r="B1054" s="373" t="s">
        <v>517</v>
      </c>
      <c r="C1054" s="374">
        <v>1983</v>
      </c>
      <c r="D1054" s="375"/>
      <c r="E1054" s="321" t="s">
        <v>219</v>
      </c>
      <c r="F1054" s="374">
        <v>9</v>
      </c>
      <c r="G1054" s="374">
        <v>1</v>
      </c>
      <c r="H1054" s="376">
        <v>2504.8000000000002</v>
      </c>
      <c r="I1054" s="376">
        <v>2193.3000000000002</v>
      </c>
      <c r="J1054" s="377">
        <v>2193.3000000000002</v>
      </c>
      <c r="K1054" s="378">
        <v>105</v>
      </c>
      <c r="L1054" s="324">
        <v>928016</v>
      </c>
      <c r="M1054" s="324">
        <v>0</v>
      </c>
      <c r="N1054" s="324">
        <v>0</v>
      </c>
      <c r="O1054" s="324">
        <f t="shared" si="322"/>
        <v>928016</v>
      </c>
      <c r="P1054" s="324">
        <v>0</v>
      </c>
      <c r="Q1054" s="379">
        <f t="shared" si="323"/>
        <v>423.11402908858793</v>
      </c>
      <c r="R1054" s="325">
        <v>7920</v>
      </c>
      <c r="S1054" s="326">
        <v>43465</v>
      </c>
    </row>
    <row r="1055" spans="1:19" s="21" customFormat="1" ht="15.6">
      <c r="A1055" s="318">
        <f t="shared" si="324"/>
        <v>7</v>
      </c>
      <c r="B1055" s="373" t="s">
        <v>518</v>
      </c>
      <c r="C1055" s="374">
        <v>1980</v>
      </c>
      <c r="D1055" s="375"/>
      <c r="E1055" s="321" t="s">
        <v>219</v>
      </c>
      <c r="F1055" s="374">
        <v>9</v>
      </c>
      <c r="G1055" s="374">
        <v>1</v>
      </c>
      <c r="H1055" s="376">
        <v>2555.1999999999998</v>
      </c>
      <c r="I1055" s="376">
        <v>2220.1999999999998</v>
      </c>
      <c r="J1055" s="377">
        <v>2185.1999999999998</v>
      </c>
      <c r="K1055" s="378">
        <v>89</v>
      </c>
      <c r="L1055" s="324">
        <v>935370</v>
      </c>
      <c r="M1055" s="324">
        <v>0</v>
      </c>
      <c r="N1055" s="324">
        <v>0</v>
      </c>
      <c r="O1055" s="324">
        <f t="shared" si="322"/>
        <v>935370</v>
      </c>
      <c r="P1055" s="324">
        <v>0</v>
      </c>
      <c r="Q1055" s="379">
        <f t="shared" si="323"/>
        <v>421.29988289343305</v>
      </c>
      <c r="R1055" s="325">
        <v>7920</v>
      </c>
      <c r="S1055" s="326">
        <v>43465</v>
      </c>
    </row>
    <row r="1056" spans="1:19" s="21" customFormat="1" ht="15.6">
      <c r="A1056" s="318">
        <f t="shared" si="324"/>
        <v>8</v>
      </c>
      <c r="B1056" s="373" t="s">
        <v>519</v>
      </c>
      <c r="C1056" s="374">
        <v>1976</v>
      </c>
      <c r="D1056" s="375"/>
      <c r="E1056" s="321" t="s">
        <v>219</v>
      </c>
      <c r="F1056" s="374">
        <v>5</v>
      </c>
      <c r="G1056" s="374">
        <v>10</v>
      </c>
      <c r="H1056" s="376">
        <v>5642.5</v>
      </c>
      <c r="I1056" s="376">
        <v>5105</v>
      </c>
      <c r="J1056" s="377">
        <v>4957.8999999999996</v>
      </c>
      <c r="K1056" s="378">
        <v>237</v>
      </c>
      <c r="L1056" s="324">
        <v>3352678</v>
      </c>
      <c r="M1056" s="324">
        <v>0</v>
      </c>
      <c r="N1056" s="324">
        <v>0</v>
      </c>
      <c r="O1056" s="324">
        <f t="shared" si="322"/>
        <v>3352678</v>
      </c>
      <c r="P1056" s="324">
        <v>0</v>
      </c>
      <c r="Q1056" s="379">
        <f t="shared" si="323"/>
        <v>656.74397649363368</v>
      </c>
      <c r="R1056" s="325">
        <v>7920</v>
      </c>
      <c r="S1056" s="326">
        <v>43465</v>
      </c>
    </row>
    <row r="1057" spans="1:19" s="21" customFormat="1" ht="15.6">
      <c r="A1057" s="318">
        <f t="shared" si="324"/>
        <v>9</v>
      </c>
      <c r="B1057" s="373" t="s">
        <v>520</v>
      </c>
      <c r="C1057" s="374">
        <v>1975</v>
      </c>
      <c r="D1057" s="375"/>
      <c r="E1057" s="321" t="s">
        <v>219</v>
      </c>
      <c r="F1057" s="374">
        <v>5</v>
      </c>
      <c r="G1057" s="374">
        <v>8</v>
      </c>
      <c r="H1057" s="376">
        <v>4425.7</v>
      </c>
      <c r="I1057" s="376">
        <v>3958.7</v>
      </c>
      <c r="J1057" s="377">
        <v>3839.1</v>
      </c>
      <c r="K1057" s="378">
        <v>181</v>
      </c>
      <c r="L1057" s="324">
        <v>2535669</v>
      </c>
      <c r="M1057" s="324">
        <v>0</v>
      </c>
      <c r="N1057" s="324">
        <v>0</v>
      </c>
      <c r="O1057" s="324">
        <f t="shared" si="322"/>
        <v>2535669</v>
      </c>
      <c r="P1057" s="324">
        <v>0</v>
      </c>
      <c r="Q1057" s="379">
        <f t="shared" si="323"/>
        <v>640.53072978503042</v>
      </c>
      <c r="R1057" s="325">
        <v>7920</v>
      </c>
      <c r="S1057" s="326">
        <v>43465</v>
      </c>
    </row>
    <row r="1058" spans="1:19" s="21" customFormat="1" ht="15.6">
      <c r="A1058" s="318">
        <f t="shared" si="324"/>
        <v>10</v>
      </c>
      <c r="B1058" s="373" t="s">
        <v>521</v>
      </c>
      <c r="C1058" s="374">
        <v>1976</v>
      </c>
      <c r="D1058" s="340"/>
      <c r="E1058" s="321" t="s">
        <v>219</v>
      </c>
      <c r="F1058" s="374">
        <v>5</v>
      </c>
      <c r="G1058" s="374">
        <v>6</v>
      </c>
      <c r="H1058" s="376">
        <v>3308.6</v>
      </c>
      <c r="I1058" s="376">
        <v>2984.6</v>
      </c>
      <c r="J1058" s="380">
        <v>2916.4</v>
      </c>
      <c r="K1058" s="343">
        <v>127</v>
      </c>
      <c r="L1058" s="324">
        <v>1939162</v>
      </c>
      <c r="M1058" s="324">
        <v>0</v>
      </c>
      <c r="N1058" s="324">
        <v>0</v>
      </c>
      <c r="O1058" s="324">
        <f t="shared" si="322"/>
        <v>1939162</v>
      </c>
      <c r="P1058" s="324">
        <v>0</v>
      </c>
      <c r="Q1058" s="379">
        <f t="shared" si="323"/>
        <v>649.72257588956643</v>
      </c>
      <c r="R1058" s="325">
        <v>7920</v>
      </c>
      <c r="S1058" s="326">
        <v>43465</v>
      </c>
    </row>
    <row r="1059" spans="1:19" s="21" customFormat="1" ht="15.6">
      <c r="A1059" s="381"/>
      <c r="B1059" s="382"/>
      <c r="C1059" s="383"/>
      <c r="D1059" s="383"/>
      <c r="E1059" s="384"/>
      <c r="F1059" s="383"/>
      <c r="G1059" s="383"/>
      <c r="H1059" s="385"/>
      <c r="I1059" s="386"/>
      <c r="J1059" s="386"/>
      <c r="K1059" s="378"/>
      <c r="L1059" s="324"/>
      <c r="M1059" s="324"/>
      <c r="N1059" s="324"/>
      <c r="O1059" s="324"/>
      <c r="P1059" s="324"/>
      <c r="Q1059" s="379"/>
      <c r="R1059" s="325"/>
      <c r="S1059" s="326"/>
    </row>
    <row r="1060" spans="1:19" s="36" customFormat="1" ht="15.6">
      <c r="A1060" s="107"/>
      <c r="B1060" s="1411" t="s">
        <v>67</v>
      </c>
      <c r="C1060" s="1411"/>
      <c r="D1060" s="1411"/>
      <c r="E1060" s="1411"/>
      <c r="F1060" s="1411"/>
      <c r="G1060" s="1411"/>
      <c r="H1060" s="128">
        <f>H1061+H1063</f>
        <v>1507.8</v>
      </c>
      <c r="I1060" s="162">
        <f t="shared" ref="I1060" si="325">I1061+I1063</f>
        <v>1398.1</v>
      </c>
      <c r="J1060" s="106">
        <f>J1061+J1063</f>
        <v>1200.7</v>
      </c>
      <c r="K1060" s="119">
        <f>K1061+K1063</f>
        <v>62</v>
      </c>
      <c r="L1060" s="113">
        <f>L1061+L1063</f>
        <v>728197.07</v>
      </c>
      <c r="M1060" s="113">
        <f t="shared" ref="M1060:N1060" si="326">M1061+M1063</f>
        <v>0</v>
      </c>
      <c r="N1060" s="113">
        <f t="shared" si="326"/>
        <v>260236.27</v>
      </c>
      <c r="O1060" s="113">
        <f>O1061+O1063</f>
        <v>467960.8</v>
      </c>
      <c r="P1060" s="113">
        <f t="shared" ref="P1060" si="327">P1061+P1063</f>
        <v>0</v>
      </c>
      <c r="Q1060" s="114" t="s">
        <v>40</v>
      </c>
      <c r="R1060" s="108" t="s">
        <v>40</v>
      </c>
      <c r="S1060" s="326">
        <v>43465</v>
      </c>
    </row>
    <row r="1061" spans="1:19" s="1" customFormat="1" ht="15.6">
      <c r="A1061" s="107"/>
      <c r="B1061" s="1411" t="s">
        <v>90</v>
      </c>
      <c r="C1061" s="1411"/>
      <c r="D1061" s="1411"/>
      <c r="E1061" s="1411"/>
      <c r="F1061" s="1411"/>
      <c r="G1061" s="1411"/>
      <c r="H1061" s="128">
        <f>H1062</f>
        <v>1507.8</v>
      </c>
      <c r="I1061" s="106">
        <f t="shared" ref="I1061:P1061" si="328">I1062</f>
        <v>1398.1</v>
      </c>
      <c r="J1061" s="106">
        <f t="shared" si="328"/>
        <v>1200.7</v>
      </c>
      <c r="K1061" s="119">
        <f t="shared" si="328"/>
        <v>62</v>
      </c>
      <c r="L1061" s="113">
        <f>L1062</f>
        <v>728197.07</v>
      </c>
      <c r="M1061" s="113">
        <f t="shared" si="328"/>
        <v>0</v>
      </c>
      <c r="N1061" s="113">
        <f t="shared" si="328"/>
        <v>260236.27</v>
      </c>
      <c r="O1061" s="113">
        <f t="shared" si="328"/>
        <v>467960.8</v>
      </c>
      <c r="P1061" s="113">
        <f t="shared" si="328"/>
        <v>0</v>
      </c>
      <c r="Q1061" s="114" t="s">
        <v>40</v>
      </c>
      <c r="R1061" s="108" t="s">
        <v>40</v>
      </c>
      <c r="S1061" s="326">
        <v>43465</v>
      </c>
    </row>
    <row r="1062" spans="1:19" s="23" customFormat="1" ht="15.6">
      <c r="A1062" s="107">
        <f>A1059+1</f>
        <v>1</v>
      </c>
      <c r="B1062" s="307" t="s">
        <v>429</v>
      </c>
      <c r="C1062" s="118">
        <v>1983</v>
      </c>
      <c r="D1062" s="182"/>
      <c r="E1062" s="109" t="s">
        <v>219</v>
      </c>
      <c r="F1062" s="118">
        <v>3</v>
      </c>
      <c r="G1062" s="118">
        <v>3</v>
      </c>
      <c r="H1062" s="128">
        <v>1507.8</v>
      </c>
      <c r="I1062" s="106">
        <v>1398.1</v>
      </c>
      <c r="J1062" s="106">
        <v>1200.7</v>
      </c>
      <c r="K1062" s="119">
        <v>62</v>
      </c>
      <c r="L1062" s="113">
        <v>728197.07</v>
      </c>
      <c r="M1062" s="113">
        <v>0</v>
      </c>
      <c r="N1062" s="113">
        <v>260236.27</v>
      </c>
      <c r="O1062" s="113">
        <v>467960.8</v>
      </c>
      <c r="P1062" s="113">
        <v>0</v>
      </c>
      <c r="Q1062" s="106">
        <f>L1062/I1062</f>
        <v>520.84762892496963</v>
      </c>
      <c r="R1062" s="114">
        <v>6774</v>
      </c>
      <c r="S1062" s="326">
        <v>43465</v>
      </c>
    </row>
    <row r="1063" spans="1:19" s="23" customFormat="1" ht="27" customHeight="1">
      <c r="A1063" s="318"/>
      <c r="B1063" s="1479" t="s">
        <v>127</v>
      </c>
      <c r="C1063" s="1479"/>
      <c r="D1063" s="1479"/>
      <c r="E1063" s="1479"/>
      <c r="F1063" s="1479"/>
      <c r="G1063" s="1479"/>
      <c r="H1063" s="341">
        <v>0</v>
      </c>
      <c r="I1063" s="344">
        <v>0</v>
      </c>
      <c r="J1063" s="344">
        <v>0</v>
      </c>
      <c r="K1063" s="343">
        <v>0</v>
      </c>
      <c r="L1063" s="324">
        <v>0</v>
      </c>
      <c r="M1063" s="324">
        <v>0</v>
      </c>
      <c r="N1063" s="324">
        <v>0</v>
      </c>
      <c r="O1063" s="324">
        <v>0</v>
      </c>
      <c r="P1063" s="324">
        <v>0</v>
      </c>
      <c r="Q1063" s="344" t="s">
        <v>40</v>
      </c>
      <c r="R1063" s="320" t="s">
        <v>40</v>
      </c>
      <c r="S1063" s="326">
        <v>43465</v>
      </c>
    </row>
    <row r="1064" spans="1:19" s="23" customFormat="1" ht="21.75" customHeight="1">
      <c r="A1064" s="1425" t="s">
        <v>206</v>
      </c>
      <c r="B1064" s="1425"/>
      <c r="C1064" s="1425"/>
      <c r="D1064" s="1425"/>
      <c r="E1064" s="1425"/>
      <c r="F1064" s="1425"/>
      <c r="G1064" s="1425"/>
      <c r="H1064" s="1425"/>
      <c r="I1064" s="1425"/>
      <c r="J1064" s="1425"/>
      <c r="K1064" s="1425"/>
      <c r="L1064" s="1425"/>
      <c r="M1064" s="1425"/>
      <c r="N1064" s="1425"/>
      <c r="O1064" s="1425"/>
      <c r="P1064" s="1425"/>
      <c r="Q1064" s="1425"/>
      <c r="R1064" s="1425"/>
      <c r="S1064" s="1425"/>
    </row>
    <row r="1065" spans="1:19" s="23" customFormat="1" ht="19.5" customHeight="1">
      <c r="A1065" s="107"/>
      <c r="B1065" s="1424" t="s">
        <v>205</v>
      </c>
      <c r="C1065" s="1424"/>
      <c r="D1065" s="1424"/>
      <c r="E1065" s="1424"/>
      <c r="F1065" s="1424"/>
      <c r="G1065" s="1424"/>
      <c r="H1065" s="181">
        <f>H1067+H1076</f>
        <v>25922.6</v>
      </c>
      <c r="I1065" s="181">
        <f t="shared" ref="I1065:P1065" si="329">I1067+I1076</f>
        <v>21873.7</v>
      </c>
      <c r="J1065" s="181">
        <f t="shared" si="329"/>
        <v>21404.3</v>
      </c>
      <c r="K1065" s="154">
        <f t="shared" si="329"/>
        <v>750</v>
      </c>
      <c r="L1065" s="113">
        <f t="shared" si="329"/>
        <v>2663060.64</v>
      </c>
      <c r="M1065" s="113">
        <f t="shared" si="329"/>
        <v>0</v>
      </c>
      <c r="N1065" s="113">
        <f t="shared" si="329"/>
        <v>0</v>
      </c>
      <c r="O1065" s="113">
        <f t="shared" si="329"/>
        <v>2663060.64</v>
      </c>
      <c r="P1065" s="113">
        <f t="shared" si="329"/>
        <v>0</v>
      </c>
      <c r="Q1065" s="114" t="s">
        <v>40</v>
      </c>
      <c r="R1065" s="108" t="s">
        <v>40</v>
      </c>
      <c r="S1065" s="108" t="s">
        <v>40</v>
      </c>
    </row>
    <row r="1066" spans="1:19" s="1" customFormat="1" ht="21.75" customHeight="1">
      <c r="A1066" s="1425" t="s">
        <v>35</v>
      </c>
      <c r="B1066" s="1425"/>
      <c r="C1066" s="1425"/>
      <c r="D1066" s="1425"/>
      <c r="E1066" s="1425"/>
      <c r="F1066" s="1425"/>
      <c r="G1066" s="1425"/>
      <c r="H1066" s="1425"/>
      <c r="I1066" s="1425"/>
      <c r="J1066" s="1425"/>
      <c r="K1066" s="1425"/>
      <c r="L1066" s="1425"/>
      <c r="M1066" s="1425"/>
      <c r="N1066" s="1425"/>
      <c r="O1066" s="1425"/>
      <c r="P1066" s="1425"/>
      <c r="Q1066" s="1425"/>
      <c r="R1066" s="1425"/>
      <c r="S1066" s="1425"/>
    </row>
    <row r="1067" spans="1:19" s="1" customFormat="1" ht="21.75" customHeight="1">
      <c r="A1067" s="302"/>
      <c r="B1067" s="1424" t="s">
        <v>20</v>
      </c>
      <c r="C1067" s="1424"/>
      <c r="D1067" s="1424"/>
      <c r="E1067" s="1424"/>
      <c r="F1067" s="1424"/>
      <c r="G1067" s="1424"/>
      <c r="H1067" s="111">
        <f>H1068</f>
        <v>23801.1</v>
      </c>
      <c r="I1067" s="111">
        <f t="shared" ref="I1067:P1068" si="330">I1068</f>
        <v>20069.3</v>
      </c>
      <c r="J1067" s="111">
        <f t="shared" si="330"/>
        <v>20069.3</v>
      </c>
      <c r="K1067" s="112">
        <f>K1068</f>
        <v>702</v>
      </c>
      <c r="L1067" s="113">
        <f>L1068</f>
        <v>2447351.64</v>
      </c>
      <c r="M1067" s="113">
        <f t="shared" ref="M1067:P1067" si="331">M1068</f>
        <v>0</v>
      </c>
      <c r="N1067" s="113">
        <f t="shared" si="331"/>
        <v>0</v>
      </c>
      <c r="O1067" s="113">
        <f t="shared" si="331"/>
        <v>2447351.64</v>
      </c>
      <c r="P1067" s="113">
        <f t="shared" si="331"/>
        <v>0</v>
      </c>
      <c r="Q1067" s="114" t="s">
        <v>40</v>
      </c>
      <c r="R1067" s="108" t="s">
        <v>40</v>
      </c>
      <c r="S1067" s="326">
        <v>43465</v>
      </c>
    </row>
    <row r="1068" spans="1:19" s="37" customFormat="1" ht="15.75" customHeight="1">
      <c r="A1068" s="99"/>
      <c r="B1068" s="1424" t="s">
        <v>53</v>
      </c>
      <c r="C1068" s="1424"/>
      <c r="D1068" s="1424"/>
      <c r="E1068" s="1424"/>
      <c r="F1068" s="1424"/>
      <c r="G1068" s="1424"/>
      <c r="H1068" s="111">
        <f>H1069</f>
        <v>23801.1</v>
      </c>
      <c r="I1068" s="114">
        <f t="shared" si="330"/>
        <v>20069.3</v>
      </c>
      <c r="J1068" s="114">
        <f t="shared" si="330"/>
        <v>20069.3</v>
      </c>
      <c r="K1068" s="112">
        <f t="shared" si="330"/>
        <v>702</v>
      </c>
      <c r="L1068" s="113">
        <f t="shared" si="330"/>
        <v>2447351.64</v>
      </c>
      <c r="M1068" s="113">
        <f t="shared" si="330"/>
        <v>0</v>
      </c>
      <c r="N1068" s="113">
        <f t="shared" si="330"/>
        <v>0</v>
      </c>
      <c r="O1068" s="113">
        <f t="shared" si="330"/>
        <v>2447351.64</v>
      </c>
      <c r="P1068" s="113">
        <f t="shared" si="330"/>
        <v>0</v>
      </c>
      <c r="Q1068" s="114" t="s">
        <v>40</v>
      </c>
      <c r="R1068" s="108" t="s">
        <v>40</v>
      </c>
      <c r="S1068" s="326">
        <v>43465</v>
      </c>
    </row>
    <row r="1069" spans="1:19" s="37" customFormat="1" ht="15.75" customHeight="1">
      <c r="A1069" s="99"/>
      <c r="B1069" s="1424" t="s">
        <v>88</v>
      </c>
      <c r="C1069" s="1424"/>
      <c r="D1069" s="1424"/>
      <c r="E1069" s="1424"/>
      <c r="F1069" s="1424"/>
      <c r="G1069" s="1424"/>
      <c r="H1069" s="111">
        <f t="shared" ref="H1069:P1069" si="332">SUM(H1070:H1074)</f>
        <v>23801.1</v>
      </c>
      <c r="I1069" s="114">
        <f t="shared" si="332"/>
        <v>20069.3</v>
      </c>
      <c r="J1069" s="114">
        <f t="shared" si="332"/>
        <v>20069.3</v>
      </c>
      <c r="K1069" s="112">
        <f t="shared" si="332"/>
        <v>702</v>
      </c>
      <c r="L1069" s="113">
        <f t="shared" si="332"/>
        <v>2447351.64</v>
      </c>
      <c r="M1069" s="113">
        <f t="shared" si="332"/>
        <v>0</v>
      </c>
      <c r="N1069" s="113">
        <f t="shared" si="332"/>
        <v>0</v>
      </c>
      <c r="O1069" s="113">
        <f t="shared" si="332"/>
        <v>2447351.64</v>
      </c>
      <c r="P1069" s="113">
        <f t="shared" si="332"/>
        <v>0</v>
      </c>
      <c r="Q1069" s="114" t="s">
        <v>40</v>
      </c>
      <c r="R1069" s="108" t="s">
        <v>40</v>
      </c>
      <c r="S1069" s="326">
        <v>43465</v>
      </c>
    </row>
    <row r="1070" spans="1:19" s="33" customFormat="1" ht="15.6">
      <c r="A1070" s="302" t="e">
        <f>#REF!+1</f>
        <v>#REF!</v>
      </c>
      <c r="B1070" s="183" t="s">
        <v>359</v>
      </c>
      <c r="C1070" s="184">
        <v>1975</v>
      </c>
      <c r="D1070" s="129"/>
      <c r="E1070" s="109" t="s">
        <v>219</v>
      </c>
      <c r="F1070" s="99">
        <v>5</v>
      </c>
      <c r="G1070" s="99">
        <v>4</v>
      </c>
      <c r="H1070" s="180">
        <f>2075.9+150</f>
        <v>2225.9</v>
      </c>
      <c r="I1070" s="100">
        <v>2075.9</v>
      </c>
      <c r="J1070" s="100">
        <v>2075.9</v>
      </c>
      <c r="K1070" s="101">
        <v>112</v>
      </c>
      <c r="L1070" s="113">
        <v>203849</v>
      </c>
      <c r="M1070" s="113">
        <v>0</v>
      </c>
      <c r="N1070" s="113">
        <v>0</v>
      </c>
      <c r="O1070" s="113">
        <f>L1070</f>
        <v>203849</v>
      </c>
      <c r="P1070" s="113">
        <v>0</v>
      </c>
      <c r="Q1070" s="114">
        <f>L1070/I1070</f>
        <v>98.197890071776087</v>
      </c>
      <c r="R1070" s="114">
        <v>6774</v>
      </c>
      <c r="S1070" s="326">
        <v>43465</v>
      </c>
    </row>
    <row r="1071" spans="1:19" s="33" customFormat="1" ht="15.6">
      <c r="A1071" s="302" t="e">
        <f>A1070+1</f>
        <v>#REF!</v>
      </c>
      <c r="B1071" s="183" t="s">
        <v>360</v>
      </c>
      <c r="C1071" s="184">
        <v>1991</v>
      </c>
      <c r="D1071" s="129"/>
      <c r="E1071" s="109" t="s">
        <v>219</v>
      </c>
      <c r="F1071" s="99">
        <v>9</v>
      </c>
      <c r="G1071" s="99">
        <v>2</v>
      </c>
      <c r="H1071" s="180">
        <f>4259.3+1200.8</f>
        <v>5460.1</v>
      </c>
      <c r="I1071" s="100">
        <v>4259.3</v>
      </c>
      <c r="J1071" s="100">
        <v>4259.3</v>
      </c>
      <c r="K1071" s="101">
        <v>132</v>
      </c>
      <c r="L1071" s="113">
        <v>489343.64</v>
      </c>
      <c r="M1071" s="113">
        <v>0</v>
      </c>
      <c r="N1071" s="113">
        <v>0</v>
      </c>
      <c r="O1071" s="113">
        <f>L1071</f>
        <v>489343.64</v>
      </c>
      <c r="P1071" s="113">
        <v>0</v>
      </c>
      <c r="Q1071" s="114">
        <f>L1071/I1071</f>
        <v>114.88827741647688</v>
      </c>
      <c r="R1071" s="114">
        <v>6774</v>
      </c>
      <c r="S1071" s="326">
        <v>43465</v>
      </c>
    </row>
    <row r="1072" spans="1:19" s="33" customFormat="1" ht="15.6">
      <c r="A1072" s="302" t="e">
        <f t="shared" ref="A1072:A1074" si="333">A1071+1</f>
        <v>#REF!</v>
      </c>
      <c r="B1072" s="183" t="s">
        <v>432</v>
      </c>
      <c r="C1072" s="184">
        <v>1978</v>
      </c>
      <c r="D1072" s="129"/>
      <c r="E1072" s="109" t="s">
        <v>219</v>
      </c>
      <c r="F1072" s="99">
        <v>5</v>
      </c>
      <c r="G1072" s="99">
        <v>6</v>
      </c>
      <c r="H1072" s="180">
        <v>6071.5</v>
      </c>
      <c r="I1072" s="100">
        <v>4592.3</v>
      </c>
      <c r="J1072" s="100">
        <v>4592.3</v>
      </c>
      <c r="K1072" s="101">
        <v>181</v>
      </c>
      <c r="L1072" s="113">
        <v>395010</v>
      </c>
      <c r="M1072" s="113">
        <v>0</v>
      </c>
      <c r="N1072" s="113">
        <v>0</v>
      </c>
      <c r="O1072" s="113">
        <f>L1072</f>
        <v>395010</v>
      </c>
      <c r="P1072" s="113">
        <v>0</v>
      </c>
      <c r="Q1072" s="114">
        <f>L1072/I1072</f>
        <v>86.015721969383534</v>
      </c>
      <c r="R1072" s="114">
        <v>6774</v>
      </c>
      <c r="S1072" s="326">
        <v>43465</v>
      </c>
    </row>
    <row r="1073" spans="1:48" s="33" customFormat="1" ht="15.6">
      <c r="A1073" s="302" t="e">
        <f t="shared" si="333"/>
        <v>#REF!</v>
      </c>
      <c r="B1073" s="183" t="s">
        <v>431</v>
      </c>
      <c r="C1073" s="184">
        <v>1980</v>
      </c>
      <c r="D1073" s="129"/>
      <c r="E1073" s="109" t="s">
        <v>219</v>
      </c>
      <c r="F1073" s="99">
        <v>5</v>
      </c>
      <c r="G1073" s="99">
        <v>6</v>
      </c>
      <c r="H1073" s="180">
        <f>493.2+4644.3</f>
        <v>5137.5</v>
      </c>
      <c r="I1073" s="100">
        <v>4644.3</v>
      </c>
      <c r="J1073" s="100">
        <v>4644.3</v>
      </c>
      <c r="K1073" s="101">
        <v>177</v>
      </c>
      <c r="L1073" s="113">
        <v>285326</v>
      </c>
      <c r="M1073" s="113">
        <v>0</v>
      </c>
      <c r="N1073" s="113">
        <v>0</v>
      </c>
      <c r="O1073" s="113">
        <f>L1073</f>
        <v>285326</v>
      </c>
      <c r="P1073" s="113">
        <v>0</v>
      </c>
      <c r="Q1073" s="114">
        <f>L1073/I1073</f>
        <v>61.435738432056496</v>
      </c>
      <c r="R1073" s="114">
        <v>6774</v>
      </c>
      <c r="S1073" s="326">
        <v>43465</v>
      </c>
    </row>
    <row r="1074" spans="1:48" s="33" customFormat="1" ht="31.2">
      <c r="A1074" s="302" t="e">
        <f t="shared" si="333"/>
        <v>#REF!</v>
      </c>
      <c r="B1074" s="183" t="s">
        <v>358</v>
      </c>
      <c r="C1074" s="184">
        <v>1973</v>
      </c>
      <c r="D1074" s="129"/>
      <c r="E1074" s="109" t="s">
        <v>218</v>
      </c>
      <c r="F1074" s="99">
        <v>5</v>
      </c>
      <c r="G1074" s="99">
        <v>6</v>
      </c>
      <c r="H1074" s="180">
        <v>4906.1000000000004</v>
      </c>
      <c r="I1074" s="100">
        <v>4497.5</v>
      </c>
      <c r="J1074" s="100">
        <v>4497.5</v>
      </c>
      <c r="K1074" s="101">
        <v>100</v>
      </c>
      <c r="L1074" s="113">
        <v>1073823</v>
      </c>
      <c r="M1074" s="113">
        <v>0</v>
      </c>
      <c r="N1074" s="113">
        <v>0</v>
      </c>
      <c r="O1074" s="113">
        <f>L1074</f>
        <v>1073823</v>
      </c>
      <c r="P1074" s="113">
        <v>0</v>
      </c>
      <c r="Q1074" s="114">
        <f>L1074/I1074</f>
        <v>238.75997776542525</v>
      </c>
      <c r="R1074" s="114">
        <v>6774</v>
      </c>
      <c r="S1074" s="326">
        <v>43465</v>
      </c>
    </row>
    <row r="1075" spans="1:48" s="1" customFormat="1" ht="34.5" customHeight="1">
      <c r="A1075" s="1425" t="s">
        <v>37</v>
      </c>
      <c r="B1075" s="1425"/>
      <c r="C1075" s="1425"/>
      <c r="D1075" s="1425"/>
      <c r="E1075" s="1425"/>
      <c r="F1075" s="1425"/>
      <c r="G1075" s="1425"/>
      <c r="H1075" s="1425"/>
      <c r="I1075" s="1425"/>
      <c r="J1075" s="1425"/>
      <c r="K1075" s="1425"/>
      <c r="L1075" s="1425"/>
      <c r="M1075" s="1425"/>
      <c r="N1075" s="1425"/>
      <c r="O1075" s="1425"/>
      <c r="P1075" s="1425"/>
      <c r="Q1075" s="1425"/>
      <c r="R1075" s="1425"/>
      <c r="S1075" s="1425"/>
    </row>
    <row r="1076" spans="1:48" s="1" customFormat="1" ht="15.6">
      <c r="A1076" s="302"/>
      <c r="B1076" s="1424" t="s">
        <v>20</v>
      </c>
      <c r="C1076" s="1424"/>
      <c r="D1076" s="1424"/>
      <c r="E1076" s="1424"/>
      <c r="F1076" s="1424"/>
      <c r="G1076" s="1424"/>
      <c r="H1076" s="111">
        <f>H1077+H1080</f>
        <v>2121.5</v>
      </c>
      <c r="I1076" s="111">
        <f t="shared" ref="I1076:J1076" si="334">I1077+I1080</f>
        <v>1804.4</v>
      </c>
      <c r="J1076" s="111">
        <f t="shared" si="334"/>
        <v>1335</v>
      </c>
      <c r="K1076" s="112">
        <f>K1077+K1080</f>
        <v>48</v>
      </c>
      <c r="L1076" s="113">
        <f t="shared" ref="L1076:P1076" si="335">L1077+L1080</f>
        <v>215709</v>
      </c>
      <c r="M1076" s="113">
        <f t="shared" si="335"/>
        <v>0</v>
      </c>
      <c r="N1076" s="113">
        <f t="shared" si="335"/>
        <v>0</v>
      </c>
      <c r="O1076" s="113">
        <f t="shared" si="335"/>
        <v>215709</v>
      </c>
      <c r="P1076" s="113">
        <f t="shared" si="335"/>
        <v>0</v>
      </c>
      <c r="Q1076" s="114" t="s">
        <v>40</v>
      </c>
      <c r="R1076" s="108" t="s">
        <v>40</v>
      </c>
      <c r="S1076" s="326">
        <v>43465</v>
      </c>
    </row>
    <row r="1077" spans="1:48" s="1" customFormat="1" ht="15.75" customHeight="1">
      <c r="A1077" s="302"/>
      <c r="B1077" s="1447" t="s">
        <v>58</v>
      </c>
      <c r="C1077" s="1447"/>
      <c r="D1077" s="1447"/>
      <c r="E1077" s="1447"/>
      <c r="F1077" s="1447"/>
      <c r="G1077" s="1447"/>
      <c r="H1077" s="127">
        <f>H1078</f>
        <v>2121.5</v>
      </c>
      <c r="I1077" s="104">
        <f t="shared" ref="I1077:P1078" si="336">I1078</f>
        <v>1804.4</v>
      </c>
      <c r="J1077" s="104">
        <f t="shared" si="336"/>
        <v>1335</v>
      </c>
      <c r="K1077" s="105">
        <f t="shared" si="336"/>
        <v>48</v>
      </c>
      <c r="L1077" s="113">
        <f t="shared" si="336"/>
        <v>215709</v>
      </c>
      <c r="M1077" s="113">
        <f t="shared" si="336"/>
        <v>0</v>
      </c>
      <c r="N1077" s="113">
        <f t="shared" si="336"/>
        <v>0</v>
      </c>
      <c r="O1077" s="113">
        <f t="shared" si="336"/>
        <v>215709</v>
      </c>
      <c r="P1077" s="113">
        <f t="shared" si="336"/>
        <v>0</v>
      </c>
      <c r="Q1077" s="104" t="str">
        <f>Q1078</f>
        <v>Х</v>
      </c>
      <c r="R1077" s="104" t="str">
        <f t="shared" ref="R1077" si="337">R1078</f>
        <v>Х</v>
      </c>
      <c r="S1077" s="326">
        <v>43465</v>
      </c>
    </row>
    <row r="1078" spans="1:48" s="1" customFormat="1" ht="15.75" customHeight="1">
      <c r="A1078" s="302"/>
      <c r="B1078" s="1447" t="s">
        <v>87</v>
      </c>
      <c r="C1078" s="1447"/>
      <c r="D1078" s="1447"/>
      <c r="E1078" s="1447"/>
      <c r="F1078" s="1447"/>
      <c r="G1078" s="1447"/>
      <c r="H1078" s="127">
        <f>H1079</f>
        <v>2121.5</v>
      </c>
      <c r="I1078" s="104">
        <f t="shared" si="336"/>
        <v>1804.4</v>
      </c>
      <c r="J1078" s="104">
        <f t="shared" si="336"/>
        <v>1335</v>
      </c>
      <c r="K1078" s="105">
        <f t="shared" si="336"/>
        <v>48</v>
      </c>
      <c r="L1078" s="113">
        <f>L1079</f>
        <v>215709</v>
      </c>
      <c r="M1078" s="113">
        <f t="shared" si="336"/>
        <v>0</v>
      </c>
      <c r="N1078" s="113">
        <f t="shared" si="336"/>
        <v>0</v>
      </c>
      <c r="O1078" s="113">
        <f>L1078</f>
        <v>215709</v>
      </c>
      <c r="P1078" s="113">
        <v>0</v>
      </c>
      <c r="Q1078" s="104" t="s">
        <v>40</v>
      </c>
      <c r="R1078" s="302" t="s">
        <v>40</v>
      </c>
      <c r="S1078" s="326">
        <v>43465</v>
      </c>
    </row>
    <row r="1079" spans="1:48" s="1" customFormat="1" ht="31.2">
      <c r="A1079" s="302" t="e">
        <f>A1074+1</f>
        <v>#REF!</v>
      </c>
      <c r="B1079" s="300" t="s">
        <v>433</v>
      </c>
      <c r="C1079" s="99">
        <v>1959</v>
      </c>
      <c r="D1079" s="109"/>
      <c r="E1079" s="109" t="s">
        <v>218</v>
      </c>
      <c r="F1079" s="185" t="s">
        <v>73</v>
      </c>
      <c r="G1079" s="185" t="s">
        <v>74</v>
      </c>
      <c r="H1079" s="180">
        <v>2121.5</v>
      </c>
      <c r="I1079" s="100">
        <v>1804.4</v>
      </c>
      <c r="J1079" s="100">
        <f>1379-44</f>
        <v>1335</v>
      </c>
      <c r="K1079" s="101">
        <v>48</v>
      </c>
      <c r="L1079" s="113">
        <v>215709</v>
      </c>
      <c r="M1079" s="113">
        <v>0</v>
      </c>
      <c r="N1079" s="113">
        <v>0</v>
      </c>
      <c r="O1079" s="113">
        <f>L1079</f>
        <v>215709</v>
      </c>
      <c r="P1079" s="113">
        <v>0</v>
      </c>
      <c r="Q1079" s="100">
        <f>L1079/I1079</f>
        <v>119.54610951008645</v>
      </c>
      <c r="R1079" s="114">
        <v>6774</v>
      </c>
      <c r="S1079" s="326">
        <v>43465</v>
      </c>
    </row>
    <row r="1080" spans="1:48" s="1" customFormat="1" ht="15.75" customHeight="1">
      <c r="A1080" s="375"/>
      <c r="B1080" s="1460" t="s">
        <v>59</v>
      </c>
      <c r="C1080" s="1460"/>
      <c r="D1080" s="1460"/>
      <c r="E1080" s="1460"/>
      <c r="F1080" s="1460"/>
      <c r="G1080" s="1460"/>
      <c r="H1080" s="694">
        <f t="shared" ref="H1080:P1080" si="338">H1081+H1082</f>
        <v>0</v>
      </c>
      <c r="I1080" s="379">
        <f t="shared" si="338"/>
        <v>0</v>
      </c>
      <c r="J1080" s="379">
        <f t="shared" si="338"/>
        <v>0</v>
      </c>
      <c r="K1080" s="378">
        <f t="shared" si="338"/>
        <v>0</v>
      </c>
      <c r="L1080" s="324">
        <f t="shared" si="338"/>
        <v>0</v>
      </c>
      <c r="M1080" s="324">
        <f t="shared" si="338"/>
        <v>0</v>
      </c>
      <c r="N1080" s="324">
        <f t="shared" si="338"/>
        <v>0</v>
      </c>
      <c r="O1080" s="324">
        <f t="shared" si="338"/>
        <v>0</v>
      </c>
      <c r="P1080" s="324">
        <f t="shared" si="338"/>
        <v>0</v>
      </c>
      <c r="Q1080" s="379" t="str">
        <f>Q1081</f>
        <v>Х</v>
      </c>
      <c r="R1080" s="379" t="str">
        <f t="shared" ref="R1080" si="339">R1081</f>
        <v>Х</v>
      </c>
      <c r="S1080" s="326">
        <v>43465</v>
      </c>
    </row>
    <row r="1081" spans="1:48" s="1" customFormat="1" ht="30.6" customHeight="1">
      <c r="A1081" s="318"/>
      <c r="B1081" s="1487" t="s">
        <v>86</v>
      </c>
      <c r="C1081" s="1487"/>
      <c r="D1081" s="1487"/>
      <c r="E1081" s="1487"/>
      <c r="F1081" s="1487"/>
      <c r="G1081" s="1487"/>
      <c r="H1081" s="379">
        <v>0</v>
      </c>
      <c r="I1081" s="379">
        <v>0</v>
      </c>
      <c r="J1081" s="379">
        <v>0</v>
      </c>
      <c r="K1081" s="379">
        <v>0</v>
      </c>
      <c r="L1081" s="696">
        <v>0</v>
      </c>
      <c r="M1081" s="696">
        <v>0</v>
      </c>
      <c r="N1081" s="696">
        <v>0</v>
      </c>
      <c r="O1081" s="696">
        <v>0</v>
      </c>
      <c r="P1081" s="696">
        <v>0</v>
      </c>
      <c r="Q1081" s="379" t="s">
        <v>40</v>
      </c>
      <c r="R1081" s="375" t="s">
        <v>40</v>
      </c>
      <c r="S1081" s="326">
        <v>43465</v>
      </c>
    </row>
    <row r="1082" spans="1:48" s="1" customFormat="1" ht="24.6" customHeight="1">
      <c r="A1082" s="375"/>
      <c r="B1082" s="1487" t="s">
        <v>85</v>
      </c>
      <c r="C1082" s="1487"/>
      <c r="D1082" s="1487"/>
      <c r="E1082" s="1487"/>
      <c r="F1082" s="1487"/>
      <c r="G1082" s="1487"/>
      <c r="H1082" s="322">
        <v>0</v>
      </c>
      <c r="I1082" s="322">
        <v>0</v>
      </c>
      <c r="J1082" s="322">
        <v>0</v>
      </c>
      <c r="K1082" s="322">
        <v>0</v>
      </c>
      <c r="L1082" s="925">
        <v>0</v>
      </c>
      <c r="M1082" s="925">
        <v>0</v>
      </c>
      <c r="N1082" s="925">
        <v>0</v>
      </c>
      <c r="O1082" s="925">
        <v>0</v>
      </c>
      <c r="P1082" s="925">
        <v>0</v>
      </c>
      <c r="Q1082" s="325" t="s">
        <v>40</v>
      </c>
      <c r="R1082" s="320" t="s">
        <v>40</v>
      </c>
      <c r="S1082" s="326">
        <v>43465</v>
      </c>
    </row>
    <row r="1083" spans="1:48" s="1" customFormat="1" ht="15.6">
      <c r="A1083" s="1480" t="s">
        <v>476</v>
      </c>
      <c r="B1083" s="1481"/>
      <c r="C1083" s="1481"/>
      <c r="D1083" s="1481"/>
      <c r="E1083" s="1481"/>
      <c r="F1083" s="1481"/>
      <c r="G1083" s="1481"/>
      <c r="H1083" s="1481"/>
      <c r="I1083" s="1481"/>
      <c r="J1083" s="1481"/>
      <c r="K1083" s="1481"/>
      <c r="L1083" s="1481"/>
      <c r="M1083" s="1481"/>
      <c r="N1083" s="1481"/>
      <c r="O1083" s="1481"/>
      <c r="P1083" s="1481"/>
      <c r="Q1083" s="1481"/>
      <c r="R1083" s="1481"/>
      <c r="S1083" s="1482"/>
    </row>
    <row r="1084" spans="1:48">
      <c r="A1084" s="1425" t="s">
        <v>34</v>
      </c>
      <c r="B1084" s="1425"/>
      <c r="C1084" s="1425"/>
      <c r="D1084" s="1425"/>
      <c r="E1084" s="1425"/>
      <c r="F1084" s="1425"/>
      <c r="G1084" s="1425"/>
      <c r="H1084" s="1425"/>
      <c r="I1084" s="1425"/>
      <c r="J1084" s="1425"/>
      <c r="K1084" s="1425"/>
      <c r="L1084" s="1425"/>
      <c r="M1084" s="1425"/>
      <c r="N1084" s="1425"/>
      <c r="O1084" s="1425"/>
      <c r="P1084" s="1425"/>
      <c r="Q1084" s="1425"/>
      <c r="R1084" s="1425"/>
      <c r="S1084" s="1425"/>
    </row>
    <row r="1085" spans="1:48" ht="18.75" customHeight="1">
      <c r="A1085" s="302"/>
      <c r="B1085" s="1447" t="s">
        <v>205</v>
      </c>
      <c r="C1085" s="1447"/>
      <c r="D1085" s="1447"/>
      <c r="E1085" s="1447"/>
      <c r="F1085" s="1447"/>
      <c r="G1085" s="1447"/>
      <c r="H1085" s="104">
        <f t="shared" ref="H1085:O1085" si="340">H1086+H1255+H1267+H1269+H1295+H1308+H1322+H1331+H1338+H1341+H1360+H1364+H1379+H1383+H1386+H1391+H1403+H1414+H1426+H1434+H1466+H1471+H1476+H1487+H1490+H1507+H1501+H1510+H1519+H1522+H1527+H1533+H1538+H1545+H1557</f>
        <v>315906.74</v>
      </c>
      <c r="I1085" s="104">
        <f t="shared" si="340"/>
        <v>259539.99000000002</v>
      </c>
      <c r="J1085" s="104">
        <f t="shared" si="340"/>
        <v>233989.83999999997</v>
      </c>
      <c r="K1085" s="105">
        <f t="shared" si="340"/>
        <v>10894</v>
      </c>
      <c r="L1085" s="113">
        <f t="shared" si="340"/>
        <v>604339375.76000011</v>
      </c>
      <c r="M1085" s="113">
        <f t="shared" si="340"/>
        <v>0</v>
      </c>
      <c r="N1085" s="113">
        <f t="shared" si="340"/>
        <v>2372919.13</v>
      </c>
      <c r="O1085" s="113">
        <f t="shared" si="340"/>
        <v>601966416.62999988</v>
      </c>
      <c r="P1085" s="113">
        <f>P1086+P1255+P1267+P1269+P1295+P1308+P1322+P1331+P1338+P1341+P1360+P1364+P1379+P1383+P1386+P1391+P1403+P1414+P1426+P1434+P1466+P1471+P1476+P1487+P1490+P1507+P1501+P1510+P1519+P1522+P1527+P1538+P1545+P1557</f>
        <v>0</v>
      </c>
      <c r="Q1085" s="106" t="s">
        <v>40</v>
      </c>
      <c r="R1085" s="106" t="s">
        <v>40</v>
      </c>
      <c r="S1085" s="106" t="s">
        <v>40</v>
      </c>
    </row>
    <row r="1086" spans="1:48" s="1" customFormat="1" ht="15.75" customHeight="1">
      <c r="A1086" s="302"/>
      <c r="B1086" s="1447" t="s">
        <v>89</v>
      </c>
      <c r="C1086" s="1447"/>
      <c r="D1086" s="1447"/>
      <c r="E1086" s="1447"/>
      <c r="F1086" s="1447"/>
      <c r="G1086" s="1447"/>
      <c r="H1086" s="104">
        <f>SUM(H1087:H1254)</f>
        <v>0</v>
      </c>
      <c r="I1086" s="104">
        <f t="shared" ref="I1086" si="341">SUM(I1087:I1254)</f>
        <v>0</v>
      </c>
      <c r="J1086" s="104">
        <f>SUM(J1087:J1254)</f>
        <v>0</v>
      </c>
      <c r="K1086" s="105">
        <f>SUM(K1087:K1254)</f>
        <v>0</v>
      </c>
      <c r="L1086" s="113">
        <v>336230870.63</v>
      </c>
      <c r="M1086" s="113">
        <f t="shared" ref="M1086:N1086" si="342">SUM(M1087:M1254)</f>
        <v>0</v>
      </c>
      <c r="N1086" s="113">
        <f t="shared" si="342"/>
        <v>0</v>
      </c>
      <c r="O1086" s="113">
        <f>SUM(O1087:O1254)</f>
        <v>336230870.63</v>
      </c>
      <c r="P1086" s="113">
        <f t="shared" ref="P1086" si="343">SUM(P1087:P1254)</f>
        <v>0</v>
      </c>
      <c r="Q1086" s="106" t="s">
        <v>40</v>
      </c>
      <c r="R1086" s="106" t="s">
        <v>40</v>
      </c>
      <c r="S1086" s="106" t="s">
        <v>40</v>
      </c>
    </row>
    <row r="1087" spans="1:48" s="3" customFormat="1" ht="15.6">
      <c r="A1087" s="107">
        <v>1</v>
      </c>
      <c r="B1087" s="301" t="s">
        <v>324</v>
      </c>
      <c r="C1087" s="108">
        <v>1975</v>
      </c>
      <c r="D1087" s="108"/>
      <c r="E1087" s="109" t="s">
        <v>219</v>
      </c>
      <c r="F1087" s="110">
        <v>5</v>
      </c>
      <c r="G1087" s="110">
        <v>10</v>
      </c>
      <c r="H1087" s="111"/>
      <c r="I1087" s="111"/>
      <c r="J1087" s="111"/>
      <c r="K1087" s="112"/>
      <c r="L1087" s="113">
        <v>5982216</v>
      </c>
      <c r="M1087" s="113">
        <v>0</v>
      </c>
      <c r="N1087" s="113">
        <v>0</v>
      </c>
      <c r="O1087" s="113">
        <f t="shared" ref="O1087:O1150" si="344">L1087</f>
        <v>5982216</v>
      </c>
      <c r="P1087" s="113">
        <v>0</v>
      </c>
      <c r="Q1087" s="114" t="e">
        <f t="shared" ref="Q1087:Q1150" si="345">L1087/I1087</f>
        <v>#DIV/0!</v>
      </c>
      <c r="R1087" s="115"/>
      <c r="S1087" s="335">
        <v>43830</v>
      </c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</row>
    <row r="1088" spans="1:48" customFormat="1" ht="15.6">
      <c r="A1088" s="107">
        <f>A1087+1</f>
        <v>2</v>
      </c>
      <c r="B1088" s="301" t="s">
        <v>325</v>
      </c>
      <c r="C1088" s="108">
        <v>1978</v>
      </c>
      <c r="D1088" s="108"/>
      <c r="E1088" s="109" t="s">
        <v>219</v>
      </c>
      <c r="F1088" s="110">
        <v>9</v>
      </c>
      <c r="G1088" s="110">
        <v>5</v>
      </c>
      <c r="H1088" s="111"/>
      <c r="I1088" s="111"/>
      <c r="J1088" s="111"/>
      <c r="K1088" s="112"/>
      <c r="L1088" s="113">
        <v>9379653</v>
      </c>
      <c r="M1088" s="113">
        <v>0</v>
      </c>
      <c r="N1088" s="113">
        <v>0</v>
      </c>
      <c r="O1088" s="113">
        <f t="shared" si="344"/>
        <v>9379653</v>
      </c>
      <c r="P1088" s="113">
        <v>0</v>
      </c>
      <c r="Q1088" s="114" t="e">
        <f t="shared" si="345"/>
        <v>#DIV/0!</v>
      </c>
      <c r="R1088" s="115"/>
      <c r="S1088" s="335">
        <v>43830</v>
      </c>
    </row>
    <row r="1089" spans="1:30" customFormat="1" ht="15.6">
      <c r="A1089" s="107">
        <f t="shared" ref="A1089:A1152" si="346">A1088+1</f>
        <v>3</v>
      </c>
      <c r="B1089" s="305" t="s">
        <v>321</v>
      </c>
      <c r="C1089" s="108">
        <v>1982</v>
      </c>
      <c r="D1089" s="108"/>
      <c r="E1089" s="109" t="s">
        <v>219</v>
      </c>
      <c r="F1089" s="110">
        <v>9</v>
      </c>
      <c r="G1089" s="110">
        <v>2</v>
      </c>
      <c r="H1089" s="111"/>
      <c r="I1089" s="111"/>
      <c r="J1089" s="111"/>
      <c r="K1089" s="112"/>
      <c r="L1089" s="113">
        <v>3763756</v>
      </c>
      <c r="M1089" s="113">
        <v>0</v>
      </c>
      <c r="N1089" s="113">
        <v>0</v>
      </c>
      <c r="O1089" s="113">
        <f t="shared" si="344"/>
        <v>3763756</v>
      </c>
      <c r="P1089" s="113">
        <v>0</v>
      </c>
      <c r="Q1089" s="114" t="e">
        <f t="shared" si="345"/>
        <v>#DIV/0!</v>
      </c>
      <c r="R1089" s="115"/>
      <c r="S1089" s="335">
        <v>43830</v>
      </c>
    </row>
    <row r="1090" spans="1:30" customFormat="1" ht="15.6">
      <c r="A1090" s="107">
        <f t="shared" si="346"/>
        <v>4</v>
      </c>
      <c r="B1090" s="305" t="s">
        <v>346</v>
      </c>
      <c r="C1090" s="108">
        <v>1982</v>
      </c>
      <c r="D1090" s="108"/>
      <c r="E1090" s="109" t="s">
        <v>219</v>
      </c>
      <c r="F1090" s="110">
        <v>9</v>
      </c>
      <c r="G1090" s="110">
        <v>1</v>
      </c>
      <c r="H1090" s="111"/>
      <c r="I1090" s="111"/>
      <c r="J1090" s="111"/>
      <c r="K1090" s="112"/>
      <c r="L1090" s="113">
        <v>1095812</v>
      </c>
      <c r="M1090" s="113">
        <v>0</v>
      </c>
      <c r="N1090" s="113">
        <v>0</v>
      </c>
      <c r="O1090" s="113">
        <f t="shared" si="344"/>
        <v>1095812</v>
      </c>
      <c r="P1090" s="113">
        <v>0</v>
      </c>
      <c r="Q1090" s="114" t="e">
        <f t="shared" si="345"/>
        <v>#DIV/0!</v>
      </c>
      <c r="R1090" s="115"/>
      <c r="S1090" s="335">
        <v>43830</v>
      </c>
    </row>
    <row r="1091" spans="1:30" customFormat="1" ht="15.6">
      <c r="A1091" s="107">
        <f t="shared" si="346"/>
        <v>5</v>
      </c>
      <c r="B1091" s="305" t="s">
        <v>322</v>
      </c>
      <c r="C1091" s="108">
        <v>1976</v>
      </c>
      <c r="D1091" s="108"/>
      <c r="E1091" s="109" t="s">
        <v>219</v>
      </c>
      <c r="F1091" s="110">
        <v>9</v>
      </c>
      <c r="G1091" s="110">
        <v>3</v>
      </c>
      <c r="H1091" s="111"/>
      <c r="I1091" s="111"/>
      <c r="J1091" s="111"/>
      <c r="K1091" s="112"/>
      <c r="L1091" s="113">
        <v>5619141</v>
      </c>
      <c r="M1091" s="113">
        <v>0</v>
      </c>
      <c r="N1091" s="113">
        <v>0</v>
      </c>
      <c r="O1091" s="113">
        <f t="shared" si="344"/>
        <v>5619141</v>
      </c>
      <c r="P1091" s="113">
        <v>0</v>
      </c>
      <c r="Q1091" s="114" t="e">
        <f t="shared" si="345"/>
        <v>#DIV/0!</v>
      </c>
      <c r="R1091" s="115"/>
      <c r="S1091" s="335">
        <v>43830</v>
      </c>
    </row>
    <row r="1092" spans="1:30" customFormat="1" ht="15.6">
      <c r="A1092" s="107">
        <f t="shared" si="346"/>
        <v>6</v>
      </c>
      <c r="B1092" s="305" t="s">
        <v>320</v>
      </c>
      <c r="C1092" s="107">
        <v>1982</v>
      </c>
      <c r="D1092" s="108"/>
      <c r="E1092" s="109" t="s">
        <v>219</v>
      </c>
      <c r="F1092" s="108">
        <v>9</v>
      </c>
      <c r="G1092" s="108">
        <v>2</v>
      </c>
      <c r="H1092" s="117"/>
      <c r="I1092" s="117"/>
      <c r="J1092" s="117"/>
      <c r="K1092" s="101"/>
      <c r="L1092" s="113">
        <v>3748388</v>
      </c>
      <c r="M1092" s="113">
        <v>0</v>
      </c>
      <c r="N1092" s="113">
        <v>0</v>
      </c>
      <c r="O1092" s="113">
        <f t="shared" si="344"/>
        <v>3748388</v>
      </c>
      <c r="P1092" s="113">
        <v>0</v>
      </c>
      <c r="Q1092" s="114" t="e">
        <f t="shared" si="345"/>
        <v>#DIV/0!</v>
      </c>
      <c r="R1092" s="115"/>
      <c r="S1092" s="335">
        <v>43830</v>
      </c>
    </row>
    <row r="1093" spans="1:30" customFormat="1" ht="15.6">
      <c r="A1093" s="107">
        <f t="shared" si="346"/>
        <v>7</v>
      </c>
      <c r="B1093" s="301" t="s">
        <v>327</v>
      </c>
      <c r="C1093" s="108">
        <v>1981</v>
      </c>
      <c r="D1093" s="108"/>
      <c r="E1093" s="109" t="s">
        <v>219</v>
      </c>
      <c r="F1093" s="110">
        <v>9</v>
      </c>
      <c r="G1093" s="110">
        <v>8</v>
      </c>
      <c r="H1093" s="111"/>
      <c r="I1093" s="111"/>
      <c r="J1093" s="111"/>
      <c r="K1093" s="112"/>
      <c r="L1093" s="113">
        <v>15157748</v>
      </c>
      <c r="M1093" s="113">
        <v>0</v>
      </c>
      <c r="N1093" s="113">
        <v>0</v>
      </c>
      <c r="O1093" s="113">
        <f t="shared" si="344"/>
        <v>15157748</v>
      </c>
      <c r="P1093" s="113">
        <v>0</v>
      </c>
      <c r="Q1093" s="114" t="e">
        <f t="shared" si="345"/>
        <v>#DIV/0!</v>
      </c>
      <c r="R1093" s="115"/>
      <c r="S1093" s="335">
        <v>43830</v>
      </c>
    </row>
    <row r="1094" spans="1:30" customFormat="1" ht="31.2">
      <c r="A1094" s="107">
        <f t="shared" si="346"/>
        <v>8</v>
      </c>
      <c r="B1094" s="301" t="s">
        <v>323</v>
      </c>
      <c r="C1094" s="108">
        <v>1954</v>
      </c>
      <c r="D1094" s="108"/>
      <c r="E1094" s="109" t="s">
        <v>218</v>
      </c>
      <c r="F1094" s="110">
        <v>2</v>
      </c>
      <c r="G1094" s="110">
        <v>2</v>
      </c>
      <c r="H1094" s="111"/>
      <c r="I1094" s="111"/>
      <c r="J1094" s="111"/>
      <c r="K1094" s="112"/>
      <c r="L1094" s="113">
        <v>1030213</v>
      </c>
      <c r="M1094" s="113">
        <v>0</v>
      </c>
      <c r="N1094" s="113">
        <v>0</v>
      </c>
      <c r="O1094" s="113">
        <f t="shared" si="344"/>
        <v>1030213</v>
      </c>
      <c r="P1094" s="113">
        <v>0</v>
      </c>
      <c r="Q1094" s="114" t="e">
        <f t="shared" si="345"/>
        <v>#DIV/0!</v>
      </c>
      <c r="R1094" s="115"/>
      <c r="S1094" s="335">
        <v>43830</v>
      </c>
    </row>
    <row r="1095" spans="1:30" customFormat="1" ht="31.2">
      <c r="A1095" s="107">
        <f t="shared" si="346"/>
        <v>9</v>
      </c>
      <c r="B1095" s="305" t="s">
        <v>319</v>
      </c>
      <c r="C1095" s="118">
        <v>1860</v>
      </c>
      <c r="D1095" s="118"/>
      <c r="E1095" s="109" t="s">
        <v>218</v>
      </c>
      <c r="F1095" s="118">
        <v>3</v>
      </c>
      <c r="G1095" s="118">
        <v>1</v>
      </c>
      <c r="H1095" s="118"/>
      <c r="I1095" s="118"/>
      <c r="J1095" s="118"/>
      <c r="K1095" s="119"/>
      <c r="L1095" s="113">
        <v>530465</v>
      </c>
      <c r="M1095" s="113">
        <v>0</v>
      </c>
      <c r="N1095" s="113">
        <v>0</v>
      </c>
      <c r="O1095" s="113">
        <f t="shared" si="344"/>
        <v>530465</v>
      </c>
      <c r="P1095" s="113">
        <v>0</v>
      </c>
      <c r="Q1095" s="114" t="e">
        <f t="shared" si="345"/>
        <v>#DIV/0!</v>
      </c>
      <c r="R1095" s="115"/>
      <c r="S1095" s="335">
        <v>43830</v>
      </c>
    </row>
    <row r="1096" spans="1:30" customFormat="1" ht="31.2">
      <c r="A1096" s="107">
        <f t="shared" si="346"/>
        <v>10</v>
      </c>
      <c r="B1096" s="305" t="s">
        <v>326</v>
      </c>
      <c r="C1096" s="108">
        <v>1958</v>
      </c>
      <c r="D1096" s="108"/>
      <c r="E1096" s="109" t="s">
        <v>218</v>
      </c>
      <c r="F1096" s="110">
        <v>2</v>
      </c>
      <c r="G1096" s="110">
        <v>2</v>
      </c>
      <c r="H1096" s="111"/>
      <c r="I1096" s="111"/>
      <c r="J1096" s="111"/>
      <c r="K1096" s="112"/>
      <c r="L1096" s="113">
        <v>1983854</v>
      </c>
      <c r="M1096" s="113">
        <v>0</v>
      </c>
      <c r="N1096" s="113">
        <v>0</v>
      </c>
      <c r="O1096" s="113">
        <f t="shared" si="344"/>
        <v>1983854</v>
      </c>
      <c r="P1096" s="113">
        <v>0</v>
      </c>
      <c r="Q1096" s="114" t="e">
        <f t="shared" si="345"/>
        <v>#DIV/0!</v>
      </c>
      <c r="R1096" s="115"/>
      <c r="S1096" s="335">
        <v>43830</v>
      </c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</row>
    <row r="1097" spans="1:30" customFormat="1" ht="31.2">
      <c r="A1097" s="107">
        <f t="shared" si="346"/>
        <v>11</v>
      </c>
      <c r="B1097" s="305" t="s">
        <v>388</v>
      </c>
      <c r="C1097" s="108">
        <v>1961</v>
      </c>
      <c r="D1097" s="108"/>
      <c r="E1097" s="109" t="s">
        <v>218</v>
      </c>
      <c r="F1097" s="110">
        <v>5</v>
      </c>
      <c r="G1097" s="110">
        <v>2</v>
      </c>
      <c r="H1097" s="111"/>
      <c r="I1097" s="111"/>
      <c r="J1097" s="111"/>
      <c r="K1097" s="112"/>
      <c r="L1097" s="113">
        <v>1206304</v>
      </c>
      <c r="M1097" s="113">
        <v>0</v>
      </c>
      <c r="N1097" s="113">
        <v>0</v>
      </c>
      <c r="O1097" s="113">
        <f t="shared" si="344"/>
        <v>1206304</v>
      </c>
      <c r="P1097" s="113">
        <v>0</v>
      </c>
      <c r="Q1097" s="114" t="e">
        <f t="shared" si="345"/>
        <v>#DIV/0!</v>
      </c>
      <c r="R1097" s="115"/>
      <c r="S1097" s="335">
        <v>43830</v>
      </c>
    </row>
    <row r="1098" spans="1:30" customFormat="1" ht="31.2">
      <c r="A1098" s="107">
        <f t="shared" si="346"/>
        <v>12</v>
      </c>
      <c r="B1098" s="301" t="s">
        <v>419</v>
      </c>
      <c r="C1098" s="108">
        <v>1961</v>
      </c>
      <c r="D1098" s="116"/>
      <c r="E1098" s="109" t="s">
        <v>218</v>
      </c>
      <c r="F1098" s="110">
        <v>5</v>
      </c>
      <c r="G1098" s="110">
        <v>3</v>
      </c>
      <c r="H1098" s="111"/>
      <c r="I1098" s="111"/>
      <c r="J1098" s="111"/>
      <c r="K1098" s="112"/>
      <c r="L1098" s="113">
        <v>402530.2</v>
      </c>
      <c r="M1098" s="113">
        <v>0</v>
      </c>
      <c r="N1098" s="113">
        <v>0</v>
      </c>
      <c r="O1098" s="113">
        <f t="shared" si="344"/>
        <v>402530.2</v>
      </c>
      <c r="P1098" s="113">
        <v>0</v>
      </c>
      <c r="Q1098" s="114" t="e">
        <f t="shared" si="345"/>
        <v>#DIV/0!</v>
      </c>
      <c r="R1098" s="115"/>
      <c r="S1098" s="335">
        <v>43830</v>
      </c>
      <c r="T1098" s="62"/>
      <c r="U1098" s="62"/>
      <c r="V1098" s="62"/>
      <c r="W1098" s="62"/>
      <c r="X1098" s="62"/>
      <c r="Y1098" s="62"/>
      <c r="Z1098" s="62"/>
      <c r="AA1098" s="62"/>
      <c r="AB1098" s="62"/>
      <c r="AC1098" s="62"/>
      <c r="AD1098" s="62"/>
    </row>
    <row r="1099" spans="1:30" customFormat="1" ht="31.2">
      <c r="A1099" s="107">
        <f t="shared" si="346"/>
        <v>13</v>
      </c>
      <c r="B1099" s="301" t="s">
        <v>387</v>
      </c>
      <c r="C1099" s="118">
        <v>1967</v>
      </c>
      <c r="D1099" s="118"/>
      <c r="E1099" s="109" t="s">
        <v>218</v>
      </c>
      <c r="F1099" s="118">
        <v>5</v>
      </c>
      <c r="G1099" s="118">
        <v>8</v>
      </c>
      <c r="H1099" s="111"/>
      <c r="I1099" s="111"/>
      <c r="J1099" s="111"/>
      <c r="K1099" s="112"/>
      <c r="L1099" s="113">
        <v>2861497</v>
      </c>
      <c r="M1099" s="113">
        <v>0</v>
      </c>
      <c r="N1099" s="113">
        <v>0</v>
      </c>
      <c r="O1099" s="113">
        <f t="shared" si="344"/>
        <v>2861497</v>
      </c>
      <c r="P1099" s="113">
        <v>0</v>
      </c>
      <c r="Q1099" s="114" t="e">
        <f t="shared" si="345"/>
        <v>#DIV/0!</v>
      </c>
      <c r="R1099" s="115"/>
      <c r="S1099" s="335">
        <v>43830</v>
      </c>
    </row>
    <row r="1100" spans="1:30" customFormat="1" ht="15.6">
      <c r="A1100" s="107">
        <f t="shared" si="346"/>
        <v>14</v>
      </c>
      <c r="B1100" s="305" t="s">
        <v>334</v>
      </c>
      <c r="C1100" s="108">
        <v>1974</v>
      </c>
      <c r="D1100" s="108"/>
      <c r="E1100" s="109" t="s">
        <v>219</v>
      </c>
      <c r="F1100" s="110">
        <v>5</v>
      </c>
      <c r="G1100" s="110">
        <v>4</v>
      </c>
      <c r="H1100" s="111"/>
      <c r="I1100" s="111"/>
      <c r="J1100" s="111"/>
      <c r="K1100" s="112"/>
      <c r="L1100" s="113">
        <v>1535065.47</v>
      </c>
      <c r="M1100" s="113">
        <v>0</v>
      </c>
      <c r="N1100" s="113">
        <v>0</v>
      </c>
      <c r="O1100" s="113">
        <f t="shared" si="344"/>
        <v>1535065.47</v>
      </c>
      <c r="P1100" s="113">
        <v>0</v>
      </c>
      <c r="Q1100" s="114" t="e">
        <f t="shared" si="345"/>
        <v>#DIV/0!</v>
      </c>
      <c r="R1100" s="115"/>
      <c r="S1100" s="335">
        <v>43830</v>
      </c>
    </row>
    <row r="1101" spans="1:30" customFormat="1" ht="15.6">
      <c r="A1101" s="107">
        <f t="shared" si="346"/>
        <v>15</v>
      </c>
      <c r="B1101" s="305" t="s">
        <v>330</v>
      </c>
      <c r="C1101" s="118">
        <v>1966</v>
      </c>
      <c r="D1101" s="118"/>
      <c r="E1101" s="109" t="s">
        <v>219</v>
      </c>
      <c r="F1101" s="118">
        <v>5</v>
      </c>
      <c r="G1101" s="118">
        <v>4</v>
      </c>
      <c r="H1101" s="111"/>
      <c r="I1101" s="111"/>
      <c r="J1101" s="111"/>
      <c r="K1101" s="112"/>
      <c r="L1101" s="113">
        <v>930534</v>
      </c>
      <c r="M1101" s="113">
        <v>0</v>
      </c>
      <c r="N1101" s="113">
        <v>0</v>
      </c>
      <c r="O1101" s="113">
        <f t="shared" si="344"/>
        <v>930534</v>
      </c>
      <c r="P1101" s="113">
        <v>0</v>
      </c>
      <c r="Q1101" s="114" t="e">
        <f t="shared" si="345"/>
        <v>#DIV/0!</v>
      </c>
      <c r="R1101" s="115"/>
      <c r="S1101" s="335">
        <v>43830</v>
      </c>
    </row>
    <row r="1102" spans="1:30" customFormat="1" ht="15.6">
      <c r="A1102" s="107">
        <f t="shared" si="346"/>
        <v>16</v>
      </c>
      <c r="B1102" s="305" t="s">
        <v>328</v>
      </c>
      <c r="C1102" s="118">
        <v>1970</v>
      </c>
      <c r="D1102" s="118"/>
      <c r="E1102" s="109" t="s">
        <v>219</v>
      </c>
      <c r="F1102" s="118">
        <v>5</v>
      </c>
      <c r="G1102" s="118">
        <v>4</v>
      </c>
      <c r="H1102" s="111"/>
      <c r="I1102" s="111"/>
      <c r="J1102" s="111"/>
      <c r="K1102" s="112"/>
      <c r="L1102" s="113">
        <v>662518</v>
      </c>
      <c r="M1102" s="113">
        <v>0</v>
      </c>
      <c r="N1102" s="113">
        <v>0</v>
      </c>
      <c r="O1102" s="113">
        <f t="shared" si="344"/>
        <v>662518</v>
      </c>
      <c r="P1102" s="113">
        <v>0</v>
      </c>
      <c r="Q1102" s="114" t="e">
        <f t="shared" si="345"/>
        <v>#DIV/0!</v>
      </c>
      <c r="R1102" s="115"/>
      <c r="S1102" s="335">
        <v>43830</v>
      </c>
    </row>
    <row r="1103" spans="1:30" customFormat="1" ht="31.2">
      <c r="A1103" s="107">
        <f t="shared" si="346"/>
        <v>17</v>
      </c>
      <c r="B1103" s="305" t="s">
        <v>333</v>
      </c>
      <c r="C1103" s="108">
        <v>1979</v>
      </c>
      <c r="D1103" s="108"/>
      <c r="E1103" s="109" t="s">
        <v>218</v>
      </c>
      <c r="F1103" s="110">
        <v>5</v>
      </c>
      <c r="G1103" s="110">
        <v>4</v>
      </c>
      <c r="H1103" s="111"/>
      <c r="I1103" s="111"/>
      <c r="J1103" s="111"/>
      <c r="K1103" s="112"/>
      <c r="L1103" s="113">
        <v>2346663</v>
      </c>
      <c r="M1103" s="113">
        <v>0</v>
      </c>
      <c r="N1103" s="113">
        <v>0</v>
      </c>
      <c r="O1103" s="113">
        <f t="shared" si="344"/>
        <v>2346663</v>
      </c>
      <c r="P1103" s="113">
        <v>0</v>
      </c>
      <c r="Q1103" s="114" t="e">
        <f t="shared" si="345"/>
        <v>#DIV/0!</v>
      </c>
      <c r="R1103" s="115"/>
      <c r="S1103" s="335">
        <v>43830</v>
      </c>
    </row>
    <row r="1104" spans="1:30" customFormat="1" ht="15.6">
      <c r="A1104" s="107">
        <f t="shared" si="346"/>
        <v>18</v>
      </c>
      <c r="B1104" s="305" t="s">
        <v>331</v>
      </c>
      <c r="C1104" s="118">
        <v>1972</v>
      </c>
      <c r="D1104" s="118"/>
      <c r="E1104" s="109" t="s">
        <v>219</v>
      </c>
      <c r="F1104" s="118">
        <v>5</v>
      </c>
      <c r="G1104" s="118">
        <v>4</v>
      </c>
      <c r="H1104" s="111"/>
      <c r="I1104" s="111"/>
      <c r="J1104" s="111"/>
      <c r="K1104" s="112"/>
      <c r="L1104" s="113">
        <v>727019</v>
      </c>
      <c r="M1104" s="113">
        <v>0</v>
      </c>
      <c r="N1104" s="113">
        <v>0</v>
      </c>
      <c r="O1104" s="113">
        <f t="shared" si="344"/>
        <v>727019</v>
      </c>
      <c r="P1104" s="113">
        <v>0</v>
      </c>
      <c r="Q1104" s="114" t="e">
        <f t="shared" si="345"/>
        <v>#DIV/0!</v>
      </c>
      <c r="R1104" s="115"/>
      <c r="S1104" s="335">
        <v>43830</v>
      </c>
    </row>
    <row r="1105" spans="1:19" customFormat="1" ht="31.2">
      <c r="A1105" s="107">
        <f t="shared" si="346"/>
        <v>19</v>
      </c>
      <c r="B1105" s="305" t="s">
        <v>329</v>
      </c>
      <c r="C1105" s="118">
        <v>1963</v>
      </c>
      <c r="D1105" s="118"/>
      <c r="E1105" s="109" t="s">
        <v>218</v>
      </c>
      <c r="F1105" s="118">
        <v>4</v>
      </c>
      <c r="G1105" s="118">
        <v>3</v>
      </c>
      <c r="H1105" s="118"/>
      <c r="I1105" s="118"/>
      <c r="J1105" s="118"/>
      <c r="K1105" s="119"/>
      <c r="L1105" s="113">
        <v>538121</v>
      </c>
      <c r="M1105" s="113">
        <v>0</v>
      </c>
      <c r="N1105" s="113">
        <v>0</v>
      </c>
      <c r="O1105" s="113">
        <f t="shared" si="344"/>
        <v>538121</v>
      </c>
      <c r="P1105" s="113">
        <v>0</v>
      </c>
      <c r="Q1105" s="114" t="e">
        <f t="shared" si="345"/>
        <v>#DIV/0!</v>
      </c>
      <c r="R1105" s="115"/>
      <c r="S1105" s="335">
        <v>43830</v>
      </c>
    </row>
    <row r="1106" spans="1:19" customFormat="1" ht="31.2">
      <c r="A1106" s="107">
        <f t="shared" si="346"/>
        <v>20</v>
      </c>
      <c r="B1106" s="305" t="s">
        <v>332</v>
      </c>
      <c r="C1106" s="118">
        <v>1963</v>
      </c>
      <c r="D1106" s="118"/>
      <c r="E1106" s="109" t="s">
        <v>218</v>
      </c>
      <c r="F1106" s="118">
        <v>4</v>
      </c>
      <c r="G1106" s="118">
        <v>3</v>
      </c>
      <c r="H1106" s="118"/>
      <c r="I1106" s="118"/>
      <c r="J1106" s="118"/>
      <c r="K1106" s="119"/>
      <c r="L1106" s="113">
        <v>1756852</v>
      </c>
      <c r="M1106" s="113">
        <v>0</v>
      </c>
      <c r="N1106" s="113">
        <v>0</v>
      </c>
      <c r="O1106" s="113">
        <f t="shared" si="344"/>
        <v>1756852</v>
      </c>
      <c r="P1106" s="113">
        <v>0</v>
      </c>
      <c r="Q1106" s="114" t="e">
        <f t="shared" si="345"/>
        <v>#DIV/0!</v>
      </c>
      <c r="R1106" s="115"/>
      <c r="S1106" s="335">
        <v>43830</v>
      </c>
    </row>
    <row r="1107" spans="1:19" customFormat="1" ht="15.6">
      <c r="A1107" s="107">
        <f t="shared" si="346"/>
        <v>21</v>
      </c>
      <c r="B1107" s="305" t="s">
        <v>316</v>
      </c>
      <c r="C1107" s="108">
        <v>1974</v>
      </c>
      <c r="D1107" s="108"/>
      <c r="E1107" s="109" t="s">
        <v>219</v>
      </c>
      <c r="F1107" s="110">
        <v>5</v>
      </c>
      <c r="G1107" s="110">
        <v>4</v>
      </c>
      <c r="H1107" s="111"/>
      <c r="I1107" s="111"/>
      <c r="J1107" s="111"/>
      <c r="K1107" s="112"/>
      <c r="L1107" s="113">
        <v>676398.28</v>
      </c>
      <c r="M1107" s="113">
        <v>0</v>
      </c>
      <c r="N1107" s="113">
        <v>0</v>
      </c>
      <c r="O1107" s="113">
        <f t="shared" si="344"/>
        <v>676398.28</v>
      </c>
      <c r="P1107" s="113">
        <v>0</v>
      </c>
      <c r="Q1107" s="114" t="e">
        <f t="shared" si="345"/>
        <v>#DIV/0!</v>
      </c>
      <c r="R1107" s="115"/>
      <c r="S1107" s="335">
        <v>43830</v>
      </c>
    </row>
    <row r="1108" spans="1:19" customFormat="1" ht="31.2">
      <c r="A1108" s="107">
        <f t="shared" si="346"/>
        <v>22</v>
      </c>
      <c r="B1108" s="301" t="s">
        <v>313</v>
      </c>
      <c r="C1108" s="108">
        <v>1951</v>
      </c>
      <c r="D1108" s="108"/>
      <c r="E1108" s="109" t="s">
        <v>218</v>
      </c>
      <c r="F1108" s="110">
        <v>2</v>
      </c>
      <c r="G1108" s="110">
        <v>1</v>
      </c>
      <c r="H1108" s="111"/>
      <c r="I1108" s="111"/>
      <c r="J1108" s="111"/>
      <c r="K1108" s="112"/>
      <c r="L1108" s="113">
        <v>766539</v>
      </c>
      <c r="M1108" s="113">
        <v>0</v>
      </c>
      <c r="N1108" s="113">
        <v>0</v>
      </c>
      <c r="O1108" s="113">
        <f t="shared" si="344"/>
        <v>766539</v>
      </c>
      <c r="P1108" s="113">
        <v>0</v>
      </c>
      <c r="Q1108" s="114" t="e">
        <f t="shared" si="345"/>
        <v>#DIV/0!</v>
      </c>
      <c r="R1108" s="115"/>
      <c r="S1108" s="335">
        <v>43830</v>
      </c>
    </row>
    <row r="1109" spans="1:19" customFormat="1" ht="31.2">
      <c r="A1109" s="107">
        <f t="shared" si="346"/>
        <v>23</v>
      </c>
      <c r="B1109" s="305" t="s">
        <v>312</v>
      </c>
      <c r="C1109" s="118">
        <v>1983</v>
      </c>
      <c r="D1109" s="118"/>
      <c r="E1109" s="109" t="s">
        <v>218</v>
      </c>
      <c r="F1109" s="118">
        <v>9</v>
      </c>
      <c r="G1109" s="118">
        <v>2</v>
      </c>
      <c r="H1109" s="118"/>
      <c r="I1109" s="118"/>
      <c r="J1109" s="118"/>
      <c r="K1109" s="119"/>
      <c r="L1109" s="113">
        <v>1186114</v>
      </c>
      <c r="M1109" s="113">
        <v>0</v>
      </c>
      <c r="N1109" s="113">
        <v>0</v>
      </c>
      <c r="O1109" s="113">
        <f t="shared" si="344"/>
        <v>1186114</v>
      </c>
      <c r="P1109" s="113">
        <v>0</v>
      </c>
      <c r="Q1109" s="114" t="e">
        <f t="shared" si="345"/>
        <v>#DIV/0!</v>
      </c>
      <c r="R1109" s="115"/>
      <c r="S1109" s="335">
        <v>43830</v>
      </c>
    </row>
    <row r="1110" spans="1:19" customFormat="1" ht="31.2">
      <c r="A1110" s="107">
        <f t="shared" si="346"/>
        <v>24</v>
      </c>
      <c r="B1110" s="301" t="s">
        <v>311</v>
      </c>
      <c r="C1110" s="118">
        <v>1958</v>
      </c>
      <c r="D1110" s="118"/>
      <c r="E1110" s="109" t="s">
        <v>218</v>
      </c>
      <c r="F1110" s="118">
        <v>3</v>
      </c>
      <c r="G1110" s="118">
        <v>2</v>
      </c>
      <c r="H1110" s="118"/>
      <c r="I1110" s="118"/>
      <c r="J1110" s="118"/>
      <c r="K1110" s="119"/>
      <c r="L1110" s="113">
        <v>178272.59</v>
      </c>
      <c r="M1110" s="113">
        <v>0</v>
      </c>
      <c r="N1110" s="113">
        <v>0</v>
      </c>
      <c r="O1110" s="113">
        <f t="shared" si="344"/>
        <v>178272.59</v>
      </c>
      <c r="P1110" s="113">
        <v>0</v>
      </c>
      <c r="Q1110" s="114" t="e">
        <f t="shared" si="345"/>
        <v>#DIV/0!</v>
      </c>
      <c r="R1110" s="115"/>
      <c r="S1110" s="335">
        <v>43830</v>
      </c>
    </row>
    <row r="1111" spans="1:19" customFormat="1" ht="31.2">
      <c r="A1111" s="107">
        <f t="shared" si="346"/>
        <v>25</v>
      </c>
      <c r="B1111" s="305" t="s">
        <v>315</v>
      </c>
      <c r="C1111" s="108">
        <v>1963</v>
      </c>
      <c r="D1111" s="108"/>
      <c r="E1111" s="109" t="s">
        <v>218</v>
      </c>
      <c r="F1111" s="110">
        <v>4</v>
      </c>
      <c r="G1111" s="110">
        <v>2</v>
      </c>
      <c r="H1111" s="111"/>
      <c r="I1111" s="111"/>
      <c r="J1111" s="111"/>
      <c r="K1111" s="112"/>
      <c r="L1111" s="113">
        <v>1087116</v>
      </c>
      <c r="M1111" s="113">
        <v>0</v>
      </c>
      <c r="N1111" s="113">
        <v>0</v>
      </c>
      <c r="O1111" s="113">
        <f t="shared" si="344"/>
        <v>1087116</v>
      </c>
      <c r="P1111" s="113">
        <v>0</v>
      </c>
      <c r="Q1111" s="114" t="e">
        <f t="shared" si="345"/>
        <v>#DIV/0!</v>
      </c>
      <c r="R1111" s="115"/>
      <c r="S1111" s="335">
        <v>43830</v>
      </c>
    </row>
    <row r="1112" spans="1:19" customFormat="1" ht="31.2">
      <c r="A1112" s="107">
        <f t="shared" si="346"/>
        <v>26</v>
      </c>
      <c r="B1112" s="305" t="s">
        <v>351</v>
      </c>
      <c r="C1112" s="108">
        <v>1984</v>
      </c>
      <c r="D1112" s="108"/>
      <c r="E1112" s="109" t="s">
        <v>218</v>
      </c>
      <c r="F1112" s="110">
        <v>9</v>
      </c>
      <c r="G1112" s="110">
        <v>2</v>
      </c>
      <c r="H1112" s="111"/>
      <c r="I1112" s="111"/>
      <c r="J1112" s="111"/>
      <c r="K1112" s="112"/>
      <c r="L1112" s="113">
        <v>1411363</v>
      </c>
      <c r="M1112" s="113">
        <v>0</v>
      </c>
      <c r="N1112" s="113">
        <v>0</v>
      </c>
      <c r="O1112" s="113">
        <f t="shared" si="344"/>
        <v>1411363</v>
      </c>
      <c r="P1112" s="113">
        <v>0</v>
      </c>
      <c r="Q1112" s="114" t="e">
        <f t="shared" si="345"/>
        <v>#DIV/0!</v>
      </c>
      <c r="R1112" s="115"/>
      <c r="S1112" s="335">
        <v>43830</v>
      </c>
    </row>
    <row r="1113" spans="1:19" customFormat="1" ht="31.2">
      <c r="A1113" s="107">
        <f t="shared" si="346"/>
        <v>27</v>
      </c>
      <c r="B1113" s="305" t="s">
        <v>314</v>
      </c>
      <c r="C1113" s="108">
        <v>1964</v>
      </c>
      <c r="D1113" s="108"/>
      <c r="E1113" s="109" t="s">
        <v>218</v>
      </c>
      <c r="F1113" s="110">
        <v>4</v>
      </c>
      <c r="G1113" s="110">
        <v>2</v>
      </c>
      <c r="H1113" s="111"/>
      <c r="I1113" s="111"/>
      <c r="J1113" s="111"/>
      <c r="K1113" s="112"/>
      <c r="L1113" s="113">
        <v>1136666</v>
      </c>
      <c r="M1113" s="113">
        <v>0</v>
      </c>
      <c r="N1113" s="113">
        <v>0</v>
      </c>
      <c r="O1113" s="113">
        <f t="shared" si="344"/>
        <v>1136666</v>
      </c>
      <c r="P1113" s="113">
        <v>0</v>
      </c>
      <c r="Q1113" s="114" t="e">
        <f t="shared" si="345"/>
        <v>#DIV/0!</v>
      </c>
      <c r="R1113" s="115"/>
      <c r="S1113" s="335">
        <v>43830</v>
      </c>
    </row>
    <row r="1114" spans="1:19" customFormat="1" ht="31.2">
      <c r="A1114" s="107">
        <f t="shared" si="346"/>
        <v>28</v>
      </c>
      <c r="B1114" s="305" t="s">
        <v>369</v>
      </c>
      <c r="C1114" s="118">
        <v>1959</v>
      </c>
      <c r="D1114" s="118"/>
      <c r="E1114" s="109" t="s">
        <v>218</v>
      </c>
      <c r="F1114" s="118">
        <v>4</v>
      </c>
      <c r="G1114" s="118">
        <v>6</v>
      </c>
      <c r="H1114" s="118"/>
      <c r="I1114" s="118"/>
      <c r="J1114" s="118"/>
      <c r="K1114" s="119"/>
      <c r="L1114" s="113">
        <v>1385674</v>
      </c>
      <c r="M1114" s="113">
        <v>0</v>
      </c>
      <c r="N1114" s="113">
        <v>0</v>
      </c>
      <c r="O1114" s="113">
        <f t="shared" si="344"/>
        <v>1385674</v>
      </c>
      <c r="P1114" s="113">
        <v>0</v>
      </c>
      <c r="Q1114" s="114" t="e">
        <f t="shared" si="345"/>
        <v>#DIV/0!</v>
      </c>
      <c r="R1114" s="115"/>
      <c r="S1114" s="335">
        <v>43830</v>
      </c>
    </row>
    <row r="1115" spans="1:19" customFormat="1" ht="31.2">
      <c r="A1115" s="107">
        <f t="shared" si="346"/>
        <v>29</v>
      </c>
      <c r="B1115" s="305" t="s">
        <v>370</v>
      </c>
      <c r="C1115" s="118">
        <v>1937</v>
      </c>
      <c r="D1115" s="118"/>
      <c r="E1115" s="109" t="s">
        <v>218</v>
      </c>
      <c r="F1115" s="118">
        <v>4</v>
      </c>
      <c r="G1115" s="118">
        <v>9</v>
      </c>
      <c r="H1115" s="118"/>
      <c r="I1115" s="118"/>
      <c r="J1115" s="118"/>
      <c r="K1115" s="119"/>
      <c r="L1115" s="113">
        <v>4619990</v>
      </c>
      <c r="M1115" s="113">
        <v>0</v>
      </c>
      <c r="N1115" s="113">
        <v>0</v>
      </c>
      <c r="O1115" s="113">
        <f t="shared" si="344"/>
        <v>4619990</v>
      </c>
      <c r="P1115" s="113">
        <v>0</v>
      </c>
      <c r="Q1115" s="114" t="e">
        <f t="shared" si="345"/>
        <v>#DIV/0!</v>
      </c>
      <c r="R1115" s="115"/>
      <c r="S1115" s="335">
        <v>43830</v>
      </c>
    </row>
    <row r="1116" spans="1:19" customFormat="1" ht="31.2">
      <c r="A1116" s="107">
        <f t="shared" si="346"/>
        <v>30</v>
      </c>
      <c r="B1116" s="305" t="s">
        <v>373</v>
      </c>
      <c r="C1116" s="118">
        <v>1960</v>
      </c>
      <c r="D1116" s="118"/>
      <c r="E1116" s="109" t="s">
        <v>218</v>
      </c>
      <c r="F1116" s="118">
        <v>4</v>
      </c>
      <c r="G1116" s="118">
        <v>3</v>
      </c>
      <c r="H1116" s="118"/>
      <c r="I1116" s="118"/>
      <c r="J1116" s="118"/>
      <c r="K1116" s="119"/>
      <c r="L1116" s="113">
        <v>1865304</v>
      </c>
      <c r="M1116" s="113">
        <v>0</v>
      </c>
      <c r="N1116" s="113">
        <v>0</v>
      </c>
      <c r="O1116" s="113">
        <f t="shared" si="344"/>
        <v>1865304</v>
      </c>
      <c r="P1116" s="113">
        <v>0</v>
      </c>
      <c r="Q1116" s="114" t="e">
        <f t="shared" si="345"/>
        <v>#DIV/0!</v>
      </c>
      <c r="R1116" s="115"/>
      <c r="S1116" s="335">
        <v>43830</v>
      </c>
    </row>
    <row r="1117" spans="1:19" customFormat="1" ht="31.2">
      <c r="A1117" s="107">
        <f t="shared" si="346"/>
        <v>31</v>
      </c>
      <c r="B1117" s="305" t="s">
        <v>381</v>
      </c>
      <c r="C1117" s="108">
        <v>1961</v>
      </c>
      <c r="D1117" s="108"/>
      <c r="E1117" s="109" t="s">
        <v>218</v>
      </c>
      <c r="F1117" s="110">
        <v>5</v>
      </c>
      <c r="G1117" s="110">
        <v>4</v>
      </c>
      <c r="H1117" s="111"/>
      <c r="I1117" s="111"/>
      <c r="J1117" s="111"/>
      <c r="K1117" s="112"/>
      <c r="L1117" s="113">
        <v>1870910</v>
      </c>
      <c r="M1117" s="113">
        <v>0</v>
      </c>
      <c r="N1117" s="113">
        <v>0</v>
      </c>
      <c r="O1117" s="113">
        <f t="shared" si="344"/>
        <v>1870910</v>
      </c>
      <c r="P1117" s="113">
        <v>0</v>
      </c>
      <c r="Q1117" s="114" t="e">
        <f t="shared" si="345"/>
        <v>#DIV/0!</v>
      </c>
      <c r="R1117" s="115"/>
      <c r="S1117" s="335">
        <v>43830</v>
      </c>
    </row>
    <row r="1118" spans="1:19" customFormat="1" ht="31.2">
      <c r="A1118" s="107">
        <f t="shared" si="346"/>
        <v>32</v>
      </c>
      <c r="B1118" s="305" t="s">
        <v>382</v>
      </c>
      <c r="C1118" s="108">
        <v>1960</v>
      </c>
      <c r="D1118" s="108"/>
      <c r="E1118" s="109" t="s">
        <v>218</v>
      </c>
      <c r="F1118" s="110">
        <v>5</v>
      </c>
      <c r="G1118" s="110">
        <v>4</v>
      </c>
      <c r="H1118" s="111"/>
      <c r="I1118" s="111"/>
      <c r="J1118" s="111"/>
      <c r="K1118" s="112"/>
      <c r="L1118" s="113">
        <v>1533757</v>
      </c>
      <c r="M1118" s="113">
        <v>0</v>
      </c>
      <c r="N1118" s="113">
        <v>0</v>
      </c>
      <c r="O1118" s="113">
        <f t="shared" si="344"/>
        <v>1533757</v>
      </c>
      <c r="P1118" s="113">
        <v>0</v>
      </c>
      <c r="Q1118" s="114" t="e">
        <f t="shared" si="345"/>
        <v>#DIV/0!</v>
      </c>
      <c r="R1118" s="115"/>
      <c r="S1118" s="335">
        <v>43830</v>
      </c>
    </row>
    <row r="1119" spans="1:19" customFormat="1" ht="31.2">
      <c r="A1119" s="107">
        <f t="shared" si="346"/>
        <v>33</v>
      </c>
      <c r="B1119" s="305" t="s">
        <v>371</v>
      </c>
      <c r="C1119" s="118">
        <v>1960</v>
      </c>
      <c r="D1119" s="118"/>
      <c r="E1119" s="109" t="s">
        <v>218</v>
      </c>
      <c r="F1119" s="118">
        <v>5</v>
      </c>
      <c r="G1119" s="118">
        <v>4</v>
      </c>
      <c r="H1119" s="118"/>
      <c r="I1119" s="118"/>
      <c r="J1119" s="118"/>
      <c r="K1119" s="119"/>
      <c r="L1119" s="113">
        <v>939858</v>
      </c>
      <c r="M1119" s="113">
        <v>0</v>
      </c>
      <c r="N1119" s="113">
        <v>0</v>
      </c>
      <c r="O1119" s="113">
        <f t="shared" si="344"/>
        <v>939858</v>
      </c>
      <c r="P1119" s="113">
        <v>0</v>
      </c>
      <c r="Q1119" s="114" t="e">
        <f t="shared" si="345"/>
        <v>#DIV/0!</v>
      </c>
      <c r="R1119" s="115"/>
      <c r="S1119" s="335">
        <v>43830</v>
      </c>
    </row>
    <row r="1120" spans="1:19" customFormat="1" ht="15.6">
      <c r="A1120" s="107">
        <f t="shared" si="346"/>
        <v>34</v>
      </c>
      <c r="B1120" s="301" t="s">
        <v>377</v>
      </c>
      <c r="C1120" s="108">
        <v>1973</v>
      </c>
      <c r="D1120" s="108"/>
      <c r="E1120" s="109" t="s">
        <v>219</v>
      </c>
      <c r="F1120" s="110">
        <v>5</v>
      </c>
      <c r="G1120" s="110">
        <v>6</v>
      </c>
      <c r="H1120" s="111"/>
      <c r="I1120" s="111"/>
      <c r="J1120" s="111"/>
      <c r="K1120" s="112"/>
      <c r="L1120" s="113">
        <v>2368392</v>
      </c>
      <c r="M1120" s="113">
        <v>0</v>
      </c>
      <c r="N1120" s="113">
        <v>0</v>
      </c>
      <c r="O1120" s="113">
        <f t="shared" si="344"/>
        <v>2368392</v>
      </c>
      <c r="P1120" s="113">
        <v>0</v>
      </c>
      <c r="Q1120" s="114" t="e">
        <f t="shared" si="345"/>
        <v>#DIV/0!</v>
      </c>
      <c r="R1120" s="115"/>
      <c r="S1120" s="335">
        <v>43830</v>
      </c>
    </row>
    <row r="1121" spans="1:48" customFormat="1" ht="31.2">
      <c r="A1121" s="107">
        <f t="shared" si="346"/>
        <v>35</v>
      </c>
      <c r="B1121" s="301" t="s">
        <v>378</v>
      </c>
      <c r="C1121" s="108">
        <v>1961</v>
      </c>
      <c r="D1121" s="108"/>
      <c r="E1121" s="109" t="s">
        <v>218</v>
      </c>
      <c r="F1121" s="110">
        <v>5</v>
      </c>
      <c r="G1121" s="110">
        <v>2</v>
      </c>
      <c r="H1121" s="111"/>
      <c r="I1121" s="111"/>
      <c r="J1121" s="111"/>
      <c r="K1121" s="112"/>
      <c r="L1121" s="113">
        <v>2433930.91</v>
      </c>
      <c r="M1121" s="113">
        <v>0</v>
      </c>
      <c r="N1121" s="113">
        <v>0</v>
      </c>
      <c r="O1121" s="113">
        <f t="shared" si="344"/>
        <v>2433930.91</v>
      </c>
      <c r="P1121" s="113">
        <v>0</v>
      </c>
      <c r="Q1121" s="114" t="e">
        <f t="shared" si="345"/>
        <v>#DIV/0!</v>
      </c>
      <c r="R1121" s="115"/>
      <c r="S1121" s="335">
        <v>43830</v>
      </c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</row>
    <row r="1122" spans="1:48" customFormat="1" ht="31.2">
      <c r="A1122" s="107">
        <f t="shared" si="346"/>
        <v>36</v>
      </c>
      <c r="B1122" s="305" t="s">
        <v>383</v>
      </c>
      <c r="C1122" s="108">
        <v>1964</v>
      </c>
      <c r="D1122" s="108"/>
      <c r="E1122" s="109" t="s">
        <v>218</v>
      </c>
      <c r="F1122" s="110">
        <v>5</v>
      </c>
      <c r="G1122" s="110">
        <v>4</v>
      </c>
      <c r="H1122" s="111"/>
      <c r="I1122" s="111"/>
      <c r="J1122" s="111"/>
      <c r="K1122" s="112"/>
      <c r="L1122" s="113">
        <v>1721850</v>
      </c>
      <c r="M1122" s="113">
        <v>0</v>
      </c>
      <c r="N1122" s="113">
        <v>0</v>
      </c>
      <c r="O1122" s="113">
        <f t="shared" si="344"/>
        <v>1721850</v>
      </c>
      <c r="P1122" s="113">
        <v>0</v>
      </c>
      <c r="Q1122" s="114" t="e">
        <f t="shared" si="345"/>
        <v>#DIV/0!</v>
      </c>
      <c r="R1122" s="115"/>
      <c r="S1122" s="335">
        <v>43830</v>
      </c>
    </row>
    <row r="1123" spans="1:48" s="3" customFormat="1" ht="31.2">
      <c r="A1123" s="107">
        <f t="shared" si="346"/>
        <v>37</v>
      </c>
      <c r="B1123" s="305" t="s">
        <v>368</v>
      </c>
      <c r="C1123" s="118">
        <v>1957</v>
      </c>
      <c r="D1123" s="118"/>
      <c r="E1123" s="109" t="s">
        <v>218</v>
      </c>
      <c r="F1123" s="118">
        <v>4</v>
      </c>
      <c r="G1123" s="118">
        <v>4</v>
      </c>
      <c r="H1123" s="118"/>
      <c r="I1123" s="118"/>
      <c r="J1123" s="118"/>
      <c r="K1123" s="119"/>
      <c r="L1123" s="113">
        <v>814117</v>
      </c>
      <c r="M1123" s="113">
        <v>0</v>
      </c>
      <c r="N1123" s="113">
        <v>0</v>
      </c>
      <c r="O1123" s="113">
        <f t="shared" si="344"/>
        <v>814117</v>
      </c>
      <c r="P1123" s="113">
        <v>0</v>
      </c>
      <c r="Q1123" s="114" t="e">
        <f t="shared" si="345"/>
        <v>#DIV/0!</v>
      </c>
      <c r="R1123" s="115"/>
      <c r="S1123" s="335">
        <v>43830</v>
      </c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</row>
    <row r="1124" spans="1:48" customFormat="1" ht="31.2">
      <c r="A1124" s="107">
        <f t="shared" si="346"/>
        <v>38</v>
      </c>
      <c r="B1124" s="305" t="s">
        <v>375</v>
      </c>
      <c r="C1124" s="108">
        <v>1957</v>
      </c>
      <c r="D1124" s="108"/>
      <c r="E1124" s="109" t="s">
        <v>218</v>
      </c>
      <c r="F1124" s="110">
        <v>4</v>
      </c>
      <c r="G1124" s="110">
        <v>4</v>
      </c>
      <c r="H1124" s="111"/>
      <c r="I1124" s="111"/>
      <c r="J1124" s="111"/>
      <c r="K1124" s="112"/>
      <c r="L1124" s="113">
        <v>3045081</v>
      </c>
      <c r="M1124" s="113">
        <v>0</v>
      </c>
      <c r="N1124" s="113">
        <v>0</v>
      </c>
      <c r="O1124" s="113">
        <f t="shared" si="344"/>
        <v>3045081</v>
      </c>
      <c r="P1124" s="113">
        <v>0</v>
      </c>
      <c r="Q1124" s="114" t="e">
        <f t="shared" si="345"/>
        <v>#DIV/0!</v>
      </c>
      <c r="R1124" s="115"/>
      <c r="S1124" s="335">
        <v>43830</v>
      </c>
    </row>
    <row r="1125" spans="1:48" customFormat="1" ht="31.2">
      <c r="A1125" s="107">
        <f t="shared" si="346"/>
        <v>39</v>
      </c>
      <c r="B1125" s="305" t="s">
        <v>380</v>
      </c>
      <c r="C1125" s="108">
        <v>1954</v>
      </c>
      <c r="D1125" s="108"/>
      <c r="E1125" s="109" t="s">
        <v>218</v>
      </c>
      <c r="F1125" s="110">
        <v>3</v>
      </c>
      <c r="G1125" s="110">
        <v>3</v>
      </c>
      <c r="H1125" s="111"/>
      <c r="I1125" s="111"/>
      <c r="J1125" s="111"/>
      <c r="K1125" s="112"/>
      <c r="L1125" s="113">
        <v>2244806</v>
      </c>
      <c r="M1125" s="113">
        <v>0</v>
      </c>
      <c r="N1125" s="113">
        <v>0</v>
      </c>
      <c r="O1125" s="113">
        <f t="shared" si="344"/>
        <v>2244806</v>
      </c>
      <c r="P1125" s="113">
        <v>0</v>
      </c>
      <c r="Q1125" s="114" t="e">
        <f t="shared" si="345"/>
        <v>#DIV/0!</v>
      </c>
      <c r="R1125" s="115"/>
      <c r="S1125" s="335">
        <v>43830</v>
      </c>
    </row>
    <row r="1126" spans="1:48" customFormat="1" ht="31.2">
      <c r="A1126" s="107">
        <f t="shared" si="346"/>
        <v>40</v>
      </c>
      <c r="B1126" s="305" t="s">
        <v>374</v>
      </c>
      <c r="C1126" s="108">
        <v>1963</v>
      </c>
      <c r="D1126" s="108"/>
      <c r="E1126" s="109" t="s">
        <v>218</v>
      </c>
      <c r="F1126" s="110">
        <v>4</v>
      </c>
      <c r="G1126" s="110">
        <v>2</v>
      </c>
      <c r="H1126" s="111"/>
      <c r="I1126" s="111"/>
      <c r="J1126" s="111"/>
      <c r="K1126" s="112"/>
      <c r="L1126" s="113">
        <v>1361273</v>
      </c>
      <c r="M1126" s="113">
        <v>0</v>
      </c>
      <c r="N1126" s="113">
        <v>0</v>
      </c>
      <c r="O1126" s="113">
        <f t="shared" si="344"/>
        <v>1361273</v>
      </c>
      <c r="P1126" s="113">
        <v>0</v>
      </c>
      <c r="Q1126" s="114" t="e">
        <f t="shared" si="345"/>
        <v>#DIV/0!</v>
      </c>
      <c r="R1126" s="115"/>
      <c r="S1126" s="335">
        <v>43830</v>
      </c>
    </row>
    <row r="1127" spans="1:48" customFormat="1" ht="31.2">
      <c r="A1127" s="107">
        <f t="shared" si="346"/>
        <v>41</v>
      </c>
      <c r="B1127" s="305" t="s">
        <v>469</v>
      </c>
      <c r="C1127" s="108">
        <v>1959</v>
      </c>
      <c r="D1127" s="108"/>
      <c r="E1127" s="109" t="s">
        <v>218</v>
      </c>
      <c r="F1127" s="110">
        <v>4</v>
      </c>
      <c r="G1127" s="110">
        <v>4</v>
      </c>
      <c r="H1127" s="111"/>
      <c r="I1127" s="111"/>
      <c r="J1127" s="111"/>
      <c r="K1127" s="112"/>
      <c r="L1127" s="113">
        <v>2421596</v>
      </c>
      <c r="M1127" s="113">
        <v>0</v>
      </c>
      <c r="N1127" s="113">
        <v>0</v>
      </c>
      <c r="O1127" s="113">
        <f t="shared" si="344"/>
        <v>2421596</v>
      </c>
      <c r="P1127" s="113">
        <v>0</v>
      </c>
      <c r="Q1127" s="114" t="e">
        <f t="shared" si="345"/>
        <v>#DIV/0!</v>
      </c>
      <c r="R1127" s="115"/>
      <c r="S1127" s="335">
        <v>43830</v>
      </c>
    </row>
    <row r="1128" spans="1:48" customFormat="1" ht="31.2">
      <c r="A1128" s="107">
        <f t="shared" si="346"/>
        <v>42</v>
      </c>
      <c r="B1128" s="305" t="s">
        <v>379</v>
      </c>
      <c r="C1128" s="108">
        <v>1967</v>
      </c>
      <c r="D1128" s="108"/>
      <c r="E1128" s="109" t="s">
        <v>218</v>
      </c>
      <c r="F1128" s="110">
        <v>6</v>
      </c>
      <c r="G1128" s="110">
        <v>5</v>
      </c>
      <c r="H1128" s="111"/>
      <c r="I1128" s="111"/>
      <c r="J1128" s="111"/>
      <c r="K1128" s="112"/>
      <c r="L1128" s="113">
        <v>2056315</v>
      </c>
      <c r="M1128" s="113">
        <v>0</v>
      </c>
      <c r="N1128" s="113">
        <v>0</v>
      </c>
      <c r="O1128" s="113">
        <f t="shared" si="344"/>
        <v>2056315</v>
      </c>
      <c r="P1128" s="113">
        <v>0</v>
      </c>
      <c r="Q1128" s="114" t="e">
        <f t="shared" si="345"/>
        <v>#DIV/0!</v>
      </c>
      <c r="R1128" s="115"/>
      <c r="S1128" s="335">
        <v>43830</v>
      </c>
    </row>
    <row r="1129" spans="1:48" customFormat="1" ht="31.2">
      <c r="A1129" s="107">
        <f t="shared" si="346"/>
        <v>43</v>
      </c>
      <c r="B1129" s="305" t="s">
        <v>372</v>
      </c>
      <c r="C1129" s="118">
        <v>1975</v>
      </c>
      <c r="D1129" s="118"/>
      <c r="E1129" s="109" t="s">
        <v>218</v>
      </c>
      <c r="F1129" s="118">
        <v>9</v>
      </c>
      <c r="G1129" s="118">
        <v>5</v>
      </c>
      <c r="H1129" s="118"/>
      <c r="I1129" s="118"/>
      <c r="J1129" s="118"/>
      <c r="K1129" s="119"/>
      <c r="L1129" s="113">
        <v>9473593</v>
      </c>
      <c r="M1129" s="113">
        <v>0</v>
      </c>
      <c r="N1129" s="113">
        <v>0</v>
      </c>
      <c r="O1129" s="113">
        <f t="shared" si="344"/>
        <v>9473593</v>
      </c>
      <c r="P1129" s="113">
        <v>0</v>
      </c>
      <c r="Q1129" s="114" t="e">
        <f t="shared" si="345"/>
        <v>#DIV/0!</v>
      </c>
      <c r="R1129" s="115"/>
      <c r="S1129" s="335">
        <v>43830</v>
      </c>
    </row>
    <row r="1130" spans="1:48" customFormat="1" ht="31.2">
      <c r="A1130" s="107">
        <f t="shared" si="346"/>
        <v>44</v>
      </c>
      <c r="B1130" s="301" t="s">
        <v>344</v>
      </c>
      <c r="C1130" s="107">
        <v>1968</v>
      </c>
      <c r="D1130" s="108"/>
      <c r="E1130" s="109" t="s">
        <v>218</v>
      </c>
      <c r="F1130" s="108">
        <v>5</v>
      </c>
      <c r="G1130" s="108">
        <v>6</v>
      </c>
      <c r="H1130" s="117"/>
      <c r="I1130" s="117"/>
      <c r="J1130" s="102"/>
      <c r="K1130" s="101"/>
      <c r="L1130" s="113">
        <v>4441828</v>
      </c>
      <c r="M1130" s="113">
        <v>0</v>
      </c>
      <c r="N1130" s="113">
        <v>0</v>
      </c>
      <c r="O1130" s="113">
        <f t="shared" si="344"/>
        <v>4441828</v>
      </c>
      <c r="P1130" s="113">
        <v>0</v>
      </c>
      <c r="Q1130" s="114" t="e">
        <f t="shared" si="345"/>
        <v>#DIV/0!</v>
      </c>
      <c r="R1130" s="115"/>
      <c r="S1130" s="335">
        <v>43830</v>
      </c>
    </row>
    <row r="1131" spans="1:48" customFormat="1" ht="15.6">
      <c r="A1131" s="107">
        <f t="shared" si="346"/>
        <v>45</v>
      </c>
      <c r="B1131" s="305" t="s">
        <v>348</v>
      </c>
      <c r="C1131" s="108">
        <v>1977</v>
      </c>
      <c r="D1131" s="108"/>
      <c r="E1131" s="109" t="s">
        <v>219</v>
      </c>
      <c r="F1131" s="110">
        <v>5</v>
      </c>
      <c r="G1131" s="110">
        <v>8</v>
      </c>
      <c r="H1131" s="111"/>
      <c r="I1131" s="111"/>
      <c r="J1131" s="111"/>
      <c r="K1131" s="112"/>
      <c r="L1131" s="113">
        <v>3051089</v>
      </c>
      <c r="M1131" s="113">
        <v>0</v>
      </c>
      <c r="N1131" s="113">
        <v>0</v>
      </c>
      <c r="O1131" s="113">
        <f t="shared" si="344"/>
        <v>3051089</v>
      </c>
      <c r="P1131" s="113">
        <v>0</v>
      </c>
      <c r="Q1131" s="114" t="e">
        <f t="shared" si="345"/>
        <v>#DIV/0!</v>
      </c>
      <c r="R1131" s="115"/>
      <c r="S1131" s="335">
        <v>43830</v>
      </c>
    </row>
    <row r="1132" spans="1:48" customFormat="1" ht="31.2">
      <c r="A1132" s="107">
        <f t="shared" si="346"/>
        <v>46</v>
      </c>
      <c r="B1132" s="301" t="s">
        <v>386</v>
      </c>
      <c r="C1132" s="118">
        <v>1956</v>
      </c>
      <c r="D1132" s="118"/>
      <c r="E1132" s="109" t="s">
        <v>218</v>
      </c>
      <c r="F1132" s="118">
        <v>2</v>
      </c>
      <c r="G1132" s="118">
        <v>2</v>
      </c>
      <c r="H1132" s="118"/>
      <c r="I1132" s="118"/>
      <c r="J1132" s="118"/>
      <c r="K1132" s="119"/>
      <c r="L1132" s="113">
        <v>869749</v>
      </c>
      <c r="M1132" s="113">
        <v>0</v>
      </c>
      <c r="N1132" s="113">
        <v>0</v>
      </c>
      <c r="O1132" s="113">
        <f t="shared" si="344"/>
        <v>869749</v>
      </c>
      <c r="P1132" s="113">
        <v>0</v>
      </c>
      <c r="Q1132" s="114" t="e">
        <f t="shared" si="345"/>
        <v>#DIV/0!</v>
      </c>
      <c r="R1132" s="115"/>
      <c r="S1132" s="335">
        <v>43830</v>
      </c>
    </row>
    <row r="1133" spans="1:48" customFormat="1" ht="31.2">
      <c r="A1133" s="107">
        <f t="shared" si="346"/>
        <v>47</v>
      </c>
      <c r="B1133" s="301" t="s">
        <v>461</v>
      </c>
      <c r="C1133" s="108">
        <v>1956</v>
      </c>
      <c r="D1133" s="108"/>
      <c r="E1133" s="109" t="s">
        <v>218</v>
      </c>
      <c r="F1133" s="110">
        <v>2</v>
      </c>
      <c r="G1133" s="110">
        <v>2</v>
      </c>
      <c r="H1133" s="111"/>
      <c r="I1133" s="111"/>
      <c r="J1133" s="111"/>
      <c r="K1133" s="112"/>
      <c r="L1133" s="113">
        <v>869880</v>
      </c>
      <c r="M1133" s="113">
        <v>0</v>
      </c>
      <c r="N1133" s="113">
        <v>0</v>
      </c>
      <c r="O1133" s="113">
        <f t="shared" si="344"/>
        <v>869880</v>
      </c>
      <c r="P1133" s="113">
        <v>0</v>
      </c>
      <c r="Q1133" s="114" t="e">
        <f t="shared" si="345"/>
        <v>#DIV/0!</v>
      </c>
      <c r="R1133" s="115"/>
      <c r="S1133" s="335">
        <v>43830</v>
      </c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</row>
    <row r="1134" spans="1:48" customFormat="1" ht="31.2">
      <c r="A1134" s="107">
        <f t="shared" si="346"/>
        <v>48</v>
      </c>
      <c r="B1134" s="305" t="s">
        <v>462</v>
      </c>
      <c r="C1134" s="108">
        <v>1959</v>
      </c>
      <c r="D1134" s="116"/>
      <c r="E1134" s="109" t="s">
        <v>218</v>
      </c>
      <c r="F1134" s="110">
        <v>2</v>
      </c>
      <c r="G1134" s="110">
        <v>2</v>
      </c>
      <c r="H1134" s="111"/>
      <c r="I1134" s="111"/>
      <c r="J1134" s="111"/>
      <c r="K1134" s="112"/>
      <c r="L1134" s="113">
        <v>172302</v>
      </c>
      <c r="M1134" s="113">
        <v>0</v>
      </c>
      <c r="N1134" s="113">
        <v>0</v>
      </c>
      <c r="O1134" s="113">
        <f t="shared" si="344"/>
        <v>172302</v>
      </c>
      <c r="P1134" s="113">
        <v>0</v>
      </c>
      <c r="Q1134" s="114" t="e">
        <f t="shared" si="345"/>
        <v>#DIV/0!</v>
      </c>
      <c r="R1134" s="115"/>
      <c r="S1134" s="335">
        <v>43830</v>
      </c>
    </row>
    <row r="1135" spans="1:48" customFormat="1" ht="31.2">
      <c r="A1135" s="107">
        <f t="shared" si="346"/>
        <v>49</v>
      </c>
      <c r="B1135" s="305" t="s">
        <v>389</v>
      </c>
      <c r="C1135" s="108">
        <v>1910</v>
      </c>
      <c r="D1135" s="108"/>
      <c r="E1135" s="109" t="s">
        <v>218</v>
      </c>
      <c r="F1135" s="110">
        <v>4</v>
      </c>
      <c r="G1135" s="110">
        <v>1</v>
      </c>
      <c r="H1135" s="111"/>
      <c r="I1135" s="111"/>
      <c r="J1135" s="111"/>
      <c r="K1135" s="112"/>
      <c r="L1135" s="113">
        <v>3706393</v>
      </c>
      <c r="M1135" s="113">
        <v>0</v>
      </c>
      <c r="N1135" s="113">
        <v>0</v>
      </c>
      <c r="O1135" s="113">
        <f t="shared" si="344"/>
        <v>3706393</v>
      </c>
      <c r="P1135" s="113">
        <v>0</v>
      </c>
      <c r="Q1135" s="114" t="e">
        <f t="shared" si="345"/>
        <v>#DIV/0!</v>
      </c>
      <c r="R1135" s="115"/>
      <c r="S1135" s="335">
        <v>43830</v>
      </c>
    </row>
    <row r="1136" spans="1:48" customFormat="1" ht="31.2">
      <c r="A1136" s="107">
        <f t="shared" si="346"/>
        <v>50</v>
      </c>
      <c r="B1136" s="305" t="s">
        <v>317</v>
      </c>
      <c r="C1136" s="118">
        <v>1914</v>
      </c>
      <c r="D1136" s="118"/>
      <c r="E1136" s="109" t="s">
        <v>218</v>
      </c>
      <c r="F1136" s="118">
        <v>4</v>
      </c>
      <c r="G1136" s="118">
        <v>5</v>
      </c>
      <c r="H1136" s="118"/>
      <c r="I1136" s="118"/>
      <c r="J1136" s="118"/>
      <c r="K1136" s="119"/>
      <c r="L1136" s="113">
        <v>698585</v>
      </c>
      <c r="M1136" s="113">
        <v>0</v>
      </c>
      <c r="N1136" s="113">
        <v>0</v>
      </c>
      <c r="O1136" s="113">
        <f t="shared" si="344"/>
        <v>698585</v>
      </c>
      <c r="P1136" s="113">
        <v>0</v>
      </c>
      <c r="Q1136" s="114" t="e">
        <f t="shared" si="345"/>
        <v>#DIV/0!</v>
      </c>
      <c r="R1136" s="115"/>
      <c r="S1136" s="335">
        <v>43830</v>
      </c>
    </row>
    <row r="1137" spans="1:19" customFormat="1" ht="31.2">
      <c r="A1137" s="107">
        <f t="shared" si="346"/>
        <v>51</v>
      </c>
      <c r="B1137" s="305" t="s">
        <v>384</v>
      </c>
      <c r="C1137" s="118" t="s">
        <v>190</v>
      </c>
      <c r="D1137" s="118"/>
      <c r="E1137" s="109" t="s">
        <v>218</v>
      </c>
      <c r="F1137" s="118">
        <v>2</v>
      </c>
      <c r="G1137" s="118">
        <v>3</v>
      </c>
      <c r="H1137" s="118"/>
      <c r="I1137" s="118"/>
      <c r="J1137" s="118"/>
      <c r="K1137" s="119"/>
      <c r="L1137" s="113">
        <v>951740</v>
      </c>
      <c r="M1137" s="113">
        <v>0</v>
      </c>
      <c r="N1137" s="113">
        <v>0</v>
      </c>
      <c r="O1137" s="113">
        <f t="shared" si="344"/>
        <v>951740</v>
      </c>
      <c r="P1137" s="113">
        <v>0</v>
      </c>
      <c r="Q1137" s="114" t="e">
        <f t="shared" si="345"/>
        <v>#DIV/0!</v>
      </c>
      <c r="R1137" s="115"/>
      <c r="S1137" s="335">
        <v>43830</v>
      </c>
    </row>
    <row r="1138" spans="1:19" customFormat="1" ht="31.2">
      <c r="A1138" s="107">
        <f t="shared" si="346"/>
        <v>52</v>
      </c>
      <c r="B1138" s="301" t="s">
        <v>247</v>
      </c>
      <c r="C1138" s="118">
        <v>1953</v>
      </c>
      <c r="D1138" s="118"/>
      <c r="E1138" s="109" t="s">
        <v>218</v>
      </c>
      <c r="F1138" s="118">
        <v>3</v>
      </c>
      <c r="G1138" s="118">
        <v>3</v>
      </c>
      <c r="H1138" s="118"/>
      <c r="I1138" s="118"/>
      <c r="J1138" s="118"/>
      <c r="K1138" s="119"/>
      <c r="L1138" s="113">
        <v>2056139</v>
      </c>
      <c r="M1138" s="113">
        <v>0</v>
      </c>
      <c r="N1138" s="113">
        <v>0</v>
      </c>
      <c r="O1138" s="113">
        <f t="shared" si="344"/>
        <v>2056139</v>
      </c>
      <c r="P1138" s="113">
        <v>0</v>
      </c>
      <c r="Q1138" s="114" t="e">
        <f t="shared" si="345"/>
        <v>#DIV/0!</v>
      </c>
      <c r="R1138" s="115"/>
      <c r="S1138" s="335">
        <v>43830</v>
      </c>
    </row>
    <row r="1139" spans="1:19" customFormat="1" ht="31.2">
      <c r="A1139" s="107">
        <f t="shared" si="346"/>
        <v>53</v>
      </c>
      <c r="B1139" s="305" t="s">
        <v>274</v>
      </c>
      <c r="C1139" s="107">
        <v>1958</v>
      </c>
      <c r="D1139" s="108"/>
      <c r="E1139" s="109" t="s">
        <v>218</v>
      </c>
      <c r="F1139" s="108">
        <v>2</v>
      </c>
      <c r="G1139" s="108">
        <v>2</v>
      </c>
      <c r="H1139" s="117"/>
      <c r="I1139" s="117"/>
      <c r="J1139" s="117"/>
      <c r="K1139" s="101"/>
      <c r="L1139" s="113">
        <v>1321356</v>
      </c>
      <c r="M1139" s="113">
        <v>0</v>
      </c>
      <c r="N1139" s="113">
        <v>0</v>
      </c>
      <c r="O1139" s="113">
        <f t="shared" si="344"/>
        <v>1321356</v>
      </c>
      <c r="P1139" s="113">
        <v>0</v>
      </c>
      <c r="Q1139" s="114" t="e">
        <f t="shared" si="345"/>
        <v>#DIV/0!</v>
      </c>
      <c r="R1139" s="115"/>
      <c r="S1139" s="335">
        <v>43830</v>
      </c>
    </row>
    <row r="1140" spans="1:19" customFormat="1" ht="31.2">
      <c r="A1140" s="107">
        <f t="shared" si="346"/>
        <v>54</v>
      </c>
      <c r="B1140" s="305" t="s">
        <v>338</v>
      </c>
      <c r="C1140" s="118">
        <v>1959</v>
      </c>
      <c r="D1140" s="118"/>
      <c r="E1140" s="109" t="s">
        <v>218</v>
      </c>
      <c r="F1140" s="118">
        <v>2</v>
      </c>
      <c r="G1140" s="118">
        <v>2</v>
      </c>
      <c r="H1140" s="118"/>
      <c r="I1140" s="118"/>
      <c r="J1140" s="118"/>
      <c r="K1140" s="119"/>
      <c r="L1140" s="113">
        <v>1679278</v>
      </c>
      <c r="M1140" s="113">
        <v>0</v>
      </c>
      <c r="N1140" s="113">
        <v>0</v>
      </c>
      <c r="O1140" s="113">
        <f t="shared" si="344"/>
        <v>1679278</v>
      </c>
      <c r="P1140" s="113">
        <v>0</v>
      </c>
      <c r="Q1140" s="114" t="e">
        <f t="shared" si="345"/>
        <v>#DIV/0!</v>
      </c>
      <c r="R1140" s="115"/>
      <c r="S1140" s="335">
        <v>43830</v>
      </c>
    </row>
    <row r="1141" spans="1:19" customFormat="1" ht="31.2">
      <c r="A1141" s="107">
        <f t="shared" si="346"/>
        <v>55</v>
      </c>
      <c r="B1141" s="305" t="s">
        <v>272</v>
      </c>
      <c r="C1141" s="118">
        <v>1959</v>
      </c>
      <c r="D1141" s="118"/>
      <c r="E1141" s="109" t="s">
        <v>218</v>
      </c>
      <c r="F1141" s="118">
        <v>2</v>
      </c>
      <c r="G1141" s="118">
        <v>2</v>
      </c>
      <c r="H1141" s="118"/>
      <c r="I1141" s="118"/>
      <c r="J1141" s="118"/>
      <c r="K1141" s="119"/>
      <c r="L1141" s="113">
        <v>1100896</v>
      </c>
      <c r="M1141" s="113">
        <v>0</v>
      </c>
      <c r="N1141" s="113">
        <v>0</v>
      </c>
      <c r="O1141" s="113">
        <f t="shared" si="344"/>
        <v>1100896</v>
      </c>
      <c r="P1141" s="113">
        <v>0</v>
      </c>
      <c r="Q1141" s="114" t="e">
        <f t="shared" si="345"/>
        <v>#DIV/0!</v>
      </c>
      <c r="R1141" s="115"/>
      <c r="S1141" s="335">
        <v>43830</v>
      </c>
    </row>
    <row r="1142" spans="1:19" customFormat="1" ht="31.2">
      <c r="A1142" s="107">
        <f t="shared" si="346"/>
        <v>56</v>
      </c>
      <c r="B1142" s="305" t="s">
        <v>337</v>
      </c>
      <c r="C1142" s="118">
        <v>1959</v>
      </c>
      <c r="D1142" s="118"/>
      <c r="E1142" s="109" t="s">
        <v>218</v>
      </c>
      <c r="F1142" s="118">
        <v>2</v>
      </c>
      <c r="G1142" s="118">
        <v>2</v>
      </c>
      <c r="H1142" s="118"/>
      <c r="I1142" s="118"/>
      <c r="J1142" s="118"/>
      <c r="K1142" s="119"/>
      <c r="L1142" s="113">
        <v>1729707</v>
      </c>
      <c r="M1142" s="113">
        <v>0</v>
      </c>
      <c r="N1142" s="113">
        <v>0</v>
      </c>
      <c r="O1142" s="113">
        <f t="shared" si="344"/>
        <v>1729707</v>
      </c>
      <c r="P1142" s="113">
        <v>0</v>
      </c>
      <c r="Q1142" s="114" t="e">
        <f t="shared" si="345"/>
        <v>#DIV/0!</v>
      </c>
      <c r="R1142" s="115"/>
      <c r="S1142" s="335">
        <v>43830</v>
      </c>
    </row>
    <row r="1143" spans="1:19" customFormat="1" ht="31.2">
      <c r="A1143" s="107">
        <f t="shared" si="346"/>
        <v>57</v>
      </c>
      <c r="B1143" s="301" t="s">
        <v>257</v>
      </c>
      <c r="C1143" s="118">
        <v>1959</v>
      </c>
      <c r="D1143" s="118"/>
      <c r="E1143" s="109" t="s">
        <v>218</v>
      </c>
      <c r="F1143" s="118">
        <v>2</v>
      </c>
      <c r="G1143" s="118">
        <v>2</v>
      </c>
      <c r="H1143" s="118"/>
      <c r="I1143" s="118"/>
      <c r="J1143" s="118"/>
      <c r="K1143" s="119"/>
      <c r="L1143" s="113">
        <v>451222.57</v>
      </c>
      <c r="M1143" s="113">
        <v>0</v>
      </c>
      <c r="N1143" s="113">
        <v>0</v>
      </c>
      <c r="O1143" s="113">
        <f t="shared" si="344"/>
        <v>451222.57</v>
      </c>
      <c r="P1143" s="113">
        <v>0</v>
      </c>
      <c r="Q1143" s="114" t="e">
        <f t="shared" si="345"/>
        <v>#DIV/0!</v>
      </c>
      <c r="R1143" s="115"/>
      <c r="S1143" s="335">
        <v>43830</v>
      </c>
    </row>
    <row r="1144" spans="1:19" customFormat="1" ht="31.2">
      <c r="A1144" s="107">
        <f t="shared" si="346"/>
        <v>58</v>
      </c>
      <c r="B1144" s="305" t="s">
        <v>307</v>
      </c>
      <c r="C1144" s="108">
        <v>1959</v>
      </c>
      <c r="D1144" s="108"/>
      <c r="E1144" s="109" t="s">
        <v>218</v>
      </c>
      <c r="F1144" s="110">
        <v>2</v>
      </c>
      <c r="G1144" s="110">
        <v>1</v>
      </c>
      <c r="H1144" s="111"/>
      <c r="I1144" s="111"/>
      <c r="J1144" s="111"/>
      <c r="K1144" s="112"/>
      <c r="L1144" s="113">
        <v>703675.57</v>
      </c>
      <c r="M1144" s="113">
        <v>0</v>
      </c>
      <c r="N1144" s="113">
        <v>0</v>
      </c>
      <c r="O1144" s="113">
        <f t="shared" si="344"/>
        <v>703675.57</v>
      </c>
      <c r="P1144" s="113">
        <v>0</v>
      </c>
      <c r="Q1144" s="114" t="e">
        <f t="shared" si="345"/>
        <v>#DIV/0!</v>
      </c>
      <c r="R1144" s="115"/>
      <c r="S1144" s="335">
        <v>43830</v>
      </c>
    </row>
    <row r="1145" spans="1:19" customFormat="1" ht="31.2">
      <c r="A1145" s="107">
        <f t="shared" si="346"/>
        <v>59</v>
      </c>
      <c r="B1145" s="305" t="s">
        <v>268</v>
      </c>
      <c r="C1145" s="118">
        <v>1959</v>
      </c>
      <c r="D1145" s="118"/>
      <c r="E1145" s="109" t="s">
        <v>218</v>
      </c>
      <c r="F1145" s="118">
        <v>4</v>
      </c>
      <c r="G1145" s="118">
        <v>3</v>
      </c>
      <c r="H1145" s="118"/>
      <c r="I1145" s="118"/>
      <c r="J1145" s="118"/>
      <c r="K1145" s="119"/>
      <c r="L1145" s="113">
        <v>1053533.22</v>
      </c>
      <c r="M1145" s="113">
        <v>0</v>
      </c>
      <c r="N1145" s="113">
        <v>0</v>
      </c>
      <c r="O1145" s="113">
        <f t="shared" si="344"/>
        <v>1053533.22</v>
      </c>
      <c r="P1145" s="113">
        <v>0</v>
      </c>
      <c r="Q1145" s="114" t="e">
        <f t="shared" si="345"/>
        <v>#DIV/0!</v>
      </c>
      <c r="R1145" s="115"/>
      <c r="S1145" s="335">
        <v>43830</v>
      </c>
    </row>
    <row r="1146" spans="1:19" customFormat="1" ht="31.2">
      <c r="A1146" s="107">
        <f t="shared" si="346"/>
        <v>60</v>
      </c>
      <c r="B1146" s="301" t="s">
        <v>246</v>
      </c>
      <c r="C1146" s="118">
        <v>1979</v>
      </c>
      <c r="D1146" s="118"/>
      <c r="E1146" s="109" t="s">
        <v>218</v>
      </c>
      <c r="F1146" s="118">
        <v>9</v>
      </c>
      <c r="G1146" s="118">
        <v>1</v>
      </c>
      <c r="H1146" s="118"/>
      <c r="I1146" s="118"/>
      <c r="J1146" s="118"/>
      <c r="K1146" s="119"/>
      <c r="L1146" s="113">
        <v>1253738</v>
      </c>
      <c r="M1146" s="113">
        <v>0</v>
      </c>
      <c r="N1146" s="113">
        <v>0</v>
      </c>
      <c r="O1146" s="113">
        <f t="shared" si="344"/>
        <v>1253738</v>
      </c>
      <c r="P1146" s="113">
        <v>0</v>
      </c>
      <c r="Q1146" s="114" t="e">
        <f t="shared" si="345"/>
        <v>#DIV/0!</v>
      </c>
      <c r="R1146" s="115"/>
      <c r="S1146" s="335">
        <v>43830</v>
      </c>
    </row>
    <row r="1147" spans="1:19" customFormat="1" ht="15.6">
      <c r="A1147" s="107">
        <f t="shared" si="346"/>
        <v>61</v>
      </c>
      <c r="B1147" s="305" t="s">
        <v>470</v>
      </c>
      <c r="C1147" s="108">
        <v>1984</v>
      </c>
      <c r="D1147" s="108"/>
      <c r="E1147" s="109" t="s">
        <v>219</v>
      </c>
      <c r="F1147" s="110">
        <v>9</v>
      </c>
      <c r="G1147" s="110">
        <v>1</v>
      </c>
      <c r="H1147" s="111"/>
      <c r="I1147" s="111"/>
      <c r="J1147" s="111"/>
      <c r="K1147" s="112"/>
      <c r="L1147" s="113">
        <v>1870046</v>
      </c>
      <c r="M1147" s="113">
        <v>0</v>
      </c>
      <c r="N1147" s="113">
        <v>0</v>
      </c>
      <c r="O1147" s="113">
        <f t="shared" si="344"/>
        <v>1870046</v>
      </c>
      <c r="P1147" s="113">
        <v>0</v>
      </c>
      <c r="Q1147" s="114" t="e">
        <f t="shared" si="345"/>
        <v>#DIV/0!</v>
      </c>
      <c r="R1147" s="115"/>
      <c r="S1147" s="335">
        <v>43830</v>
      </c>
    </row>
    <row r="1148" spans="1:19" customFormat="1" ht="15.6">
      <c r="A1148" s="107">
        <f t="shared" si="346"/>
        <v>62</v>
      </c>
      <c r="B1148" s="305" t="s">
        <v>350</v>
      </c>
      <c r="C1148" s="108">
        <v>1984</v>
      </c>
      <c r="D1148" s="108"/>
      <c r="E1148" s="109" t="s">
        <v>219</v>
      </c>
      <c r="F1148" s="110">
        <v>9</v>
      </c>
      <c r="G1148" s="110">
        <v>2</v>
      </c>
      <c r="H1148" s="111"/>
      <c r="I1148" s="111"/>
      <c r="J1148" s="111"/>
      <c r="K1148" s="112"/>
      <c r="L1148" s="113">
        <v>3720676</v>
      </c>
      <c r="M1148" s="113">
        <v>0</v>
      </c>
      <c r="N1148" s="113">
        <v>0</v>
      </c>
      <c r="O1148" s="113">
        <f t="shared" si="344"/>
        <v>3720676</v>
      </c>
      <c r="P1148" s="113">
        <v>0</v>
      </c>
      <c r="Q1148" s="114" t="e">
        <f t="shared" si="345"/>
        <v>#DIV/0!</v>
      </c>
      <c r="R1148" s="115"/>
      <c r="S1148" s="335">
        <v>43830</v>
      </c>
    </row>
    <row r="1149" spans="1:19" customFormat="1" ht="31.2">
      <c r="A1149" s="107">
        <f t="shared" si="346"/>
        <v>63</v>
      </c>
      <c r="B1149" s="305" t="s">
        <v>251</v>
      </c>
      <c r="C1149" s="118">
        <v>1977</v>
      </c>
      <c r="D1149" s="118"/>
      <c r="E1149" s="109" t="s">
        <v>218</v>
      </c>
      <c r="F1149" s="118">
        <v>5</v>
      </c>
      <c r="G1149" s="118">
        <v>6</v>
      </c>
      <c r="H1149" s="118"/>
      <c r="I1149" s="118"/>
      <c r="J1149" s="118"/>
      <c r="K1149" s="119"/>
      <c r="L1149" s="113">
        <v>3687908</v>
      </c>
      <c r="M1149" s="113">
        <v>0</v>
      </c>
      <c r="N1149" s="113">
        <v>0</v>
      </c>
      <c r="O1149" s="113">
        <f t="shared" si="344"/>
        <v>3687908</v>
      </c>
      <c r="P1149" s="113">
        <v>0</v>
      </c>
      <c r="Q1149" s="114" t="e">
        <f t="shared" si="345"/>
        <v>#DIV/0!</v>
      </c>
      <c r="R1149" s="115"/>
      <c r="S1149" s="335">
        <v>43830</v>
      </c>
    </row>
    <row r="1150" spans="1:19" customFormat="1" ht="31.2">
      <c r="A1150" s="107">
        <f t="shared" si="346"/>
        <v>64</v>
      </c>
      <c r="B1150" s="305" t="s">
        <v>226</v>
      </c>
      <c r="C1150" s="118">
        <v>1933</v>
      </c>
      <c r="D1150" s="118"/>
      <c r="E1150" s="109" t="s">
        <v>218</v>
      </c>
      <c r="F1150" s="118">
        <v>4</v>
      </c>
      <c r="G1150" s="118">
        <v>5</v>
      </c>
      <c r="H1150" s="118"/>
      <c r="I1150" s="118"/>
      <c r="J1150" s="118"/>
      <c r="K1150" s="119"/>
      <c r="L1150" s="113">
        <v>1760967.35</v>
      </c>
      <c r="M1150" s="113">
        <v>0</v>
      </c>
      <c r="N1150" s="113">
        <v>0</v>
      </c>
      <c r="O1150" s="113">
        <f t="shared" si="344"/>
        <v>1760967.35</v>
      </c>
      <c r="P1150" s="113">
        <v>0</v>
      </c>
      <c r="Q1150" s="114" t="e">
        <f t="shared" si="345"/>
        <v>#DIV/0!</v>
      </c>
      <c r="R1150" s="115"/>
      <c r="S1150" s="335">
        <v>43830</v>
      </c>
    </row>
    <row r="1151" spans="1:19" customFormat="1" ht="31.2">
      <c r="A1151" s="107">
        <f t="shared" si="346"/>
        <v>65</v>
      </c>
      <c r="B1151" s="305" t="s">
        <v>271</v>
      </c>
      <c r="C1151" s="118">
        <v>1961</v>
      </c>
      <c r="D1151" s="118"/>
      <c r="E1151" s="109" t="s">
        <v>218</v>
      </c>
      <c r="F1151" s="118">
        <v>5</v>
      </c>
      <c r="G1151" s="118">
        <v>4</v>
      </c>
      <c r="H1151" s="118"/>
      <c r="I1151" s="118"/>
      <c r="J1151" s="118"/>
      <c r="K1151" s="119"/>
      <c r="L1151" s="113">
        <v>881947</v>
      </c>
      <c r="M1151" s="113">
        <v>0</v>
      </c>
      <c r="N1151" s="113">
        <v>0</v>
      </c>
      <c r="O1151" s="113">
        <f t="shared" ref="O1151:O1214" si="347">L1151</f>
        <v>881947</v>
      </c>
      <c r="P1151" s="113">
        <v>0</v>
      </c>
      <c r="Q1151" s="114" t="e">
        <f t="shared" ref="Q1151:Q1214" si="348">L1151/I1151</f>
        <v>#DIV/0!</v>
      </c>
      <c r="R1151" s="115"/>
      <c r="S1151" s="335">
        <v>43830</v>
      </c>
    </row>
    <row r="1152" spans="1:19" customFormat="1" ht="31.2">
      <c r="A1152" s="107">
        <f t="shared" si="346"/>
        <v>66</v>
      </c>
      <c r="B1152" s="305" t="s">
        <v>287</v>
      </c>
      <c r="C1152" s="108">
        <v>1960</v>
      </c>
      <c r="D1152" s="108"/>
      <c r="E1152" s="109" t="s">
        <v>218</v>
      </c>
      <c r="F1152" s="110">
        <v>2</v>
      </c>
      <c r="G1152" s="110">
        <v>2</v>
      </c>
      <c r="H1152" s="111"/>
      <c r="I1152" s="111"/>
      <c r="J1152" s="111"/>
      <c r="K1152" s="112"/>
      <c r="L1152" s="113">
        <v>517739</v>
      </c>
      <c r="M1152" s="113">
        <v>0</v>
      </c>
      <c r="N1152" s="113">
        <v>0</v>
      </c>
      <c r="O1152" s="113">
        <f t="shared" si="347"/>
        <v>517739</v>
      </c>
      <c r="P1152" s="113">
        <v>0</v>
      </c>
      <c r="Q1152" s="114" t="e">
        <f t="shared" si="348"/>
        <v>#DIV/0!</v>
      </c>
      <c r="R1152" s="115"/>
      <c r="S1152" s="335">
        <v>43830</v>
      </c>
    </row>
    <row r="1153" spans="1:19" customFormat="1" ht="31.2">
      <c r="A1153" s="107">
        <f t="shared" ref="A1153:A1216" si="349">A1152+1</f>
        <v>67</v>
      </c>
      <c r="B1153" s="301" t="s">
        <v>289</v>
      </c>
      <c r="C1153" s="108">
        <v>1966</v>
      </c>
      <c r="D1153" s="108"/>
      <c r="E1153" s="109" t="s">
        <v>218</v>
      </c>
      <c r="F1153" s="110">
        <v>5</v>
      </c>
      <c r="G1153" s="110">
        <v>4</v>
      </c>
      <c r="H1153" s="111"/>
      <c r="I1153" s="111"/>
      <c r="J1153" s="111"/>
      <c r="K1153" s="112"/>
      <c r="L1153" s="113">
        <v>1728895</v>
      </c>
      <c r="M1153" s="113">
        <v>0</v>
      </c>
      <c r="N1153" s="113">
        <v>0</v>
      </c>
      <c r="O1153" s="113">
        <f t="shared" si="347"/>
        <v>1728895</v>
      </c>
      <c r="P1153" s="113">
        <v>0</v>
      </c>
      <c r="Q1153" s="114" t="e">
        <f t="shared" si="348"/>
        <v>#DIV/0!</v>
      </c>
      <c r="R1153" s="115"/>
      <c r="S1153" s="335">
        <v>43830</v>
      </c>
    </row>
    <row r="1154" spans="1:19" customFormat="1" ht="15.6">
      <c r="A1154" s="107">
        <f t="shared" si="349"/>
        <v>68</v>
      </c>
      <c r="B1154" s="305" t="s">
        <v>259</v>
      </c>
      <c r="C1154" s="118">
        <v>1925</v>
      </c>
      <c r="D1154" s="118"/>
      <c r="E1154" s="109" t="s">
        <v>221</v>
      </c>
      <c r="F1154" s="118">
        <v>2</v>
      </c>
      <c r="G1154" s="118">
        <v>2</v>
      </c>
      <c r="H1154" s="118"/>
      <c r="I1154" s="118"/>
      <c r="J1154" s="118"/>
      <c r="K1154" s="119"/>
      <c r="L1154" s="113">
        <v>682529</v>
      </c>
      <c r="M1154" s="113">
        <v>0</v>
      </c>
      <c r="N1154" s="113">
        <v>0</v>
      </c>
      <c r="O1154" s="113">
        <f t="shared" si="347"/>
        <v>682529</v>
      </c>
      <c r="P1154" s="113">
        <v>0</v>
      </c>
      <c r="Q1154" s="114" t="e">
        <f t="shared" si="348"/>
        <v>#DIV/0!</v>
      </c>
      <c r="R1154" s="115"/>
      <c r="S1154" s="335">
        <v>43830</v>
      </c>
    </row>
    <row r="1155" spans="1:19" customFormat="1" ht="15.6">
      <c r="A1155" s="107">
        <f t="shared" si="349"/>
        <v>69</v>
      </c>
      <c r="B1155" s="305" t="s">
        <v>291</v>
      </c>
      <c r="C1155" s="108">
        <v>1900</v>
      </c>
      <c r="D1155" s="108"/>
      <c r="E1155" s="109" t="s">
        <v>221</v>
      </c>
      <c r="F1155" s="110">
        <v>2</v>
      </c>
      <c r="G1155" s="110">
        <v>2</v>
      </c>
      <c r="H1155" s="111"/>
      <c r="I1155" s="111"/>
      <c r="J1155" s="111"/>
      <c r="K1155" s="112"/>
      <c r="L1155" s="113">
        <v>582157</v>
      </c>
      <c r="M1155" s="113">
        <v>0</v>
      </c>
      <c r="N1155" s="113">
        <v>0</v>
      </c>
      <c r="O1155" s="113">
        <f t="shared" si="347"/>
        <v>582157</v>
      </c>
      <c r="P1155" s="113">
        <v>0</v>
      </c>
      <c r="Q1155" s="114" t="e">
        <f t="shared" si="348"/>
        <v>#DIV/0!</v>
      </c>
      <c r="R1155" s="115"/>
      <c r="S1155" s="335">
        <v>43830</v>
      </c>
    </row>
    <row r="1156" spans="1:19" customFormat="1" ht="31.2">
      <c r="A1156" s="107">
        <f t="shared" si="349"/>
        <v>70</v>
      </c>
      <c r="B1156" s="305" t="s">
        <v>224</v>
      </c>
      <c r="C1156" s="118">
        <v>1934</v>
      </c>
      <c r="D1156" s="118"/>
      <c r="E1156" s="109" t="s">
        <v>218</v>
      </c>
      <c r="F1156" s="118">
        <v>3</v>
      </c>
      <c r="G1156" s="118">
        <v>5</v>
      </c>
      <c r="H1156" s="118"/>
      <c r="I1156" s="118"/>
      <c r="J1156" s="118"/>
      <c r="K1156" s="119"/>
      <c r="L1156" s="113">
        <v>701704</v>
      </c>
      <c r="M1156" s="113">
        <v>0</v>
      </c>
      <c r="N1156" s="113">
        <v>0</v>
      </c>
      <c r="O1156" s="113">
        <f t="shared" si="347"/>
        <v>701704</v>
      </c>
      <c r="P1156" s="113">
        <v>0</v>
      </c>
      <c r="Q1156" s="114" t="e">
        <f t="shared" si="348"/>
        <v>#DIV/0!</v>
      </c>
      <c r="R1156" s="115"/>
      <c r="S1156" s="335">
        <v>43830</v>
      </c>
    </row>
    <row r="1157" spans="1:19" customFormat="1" ht="15.6">
      <c r="A1157" s="107">
        <f t="shared" si="349"/>
        <v>71</v>
      </c>
      <c r="B1157" s="305" t="s">
        <v>261</v>
      </c>
      <c r="C1157" s="118">
        <v>1970</v>
      </c>
      <c r="D1157" s="118"/>
      <c r="E1157" s="109" t="s">
        <v>219</v>
      </c>
      <c r="F1157" s="118">
        <v>5</v>
      </c>
      <c r="G1157" s="118">
        <v>6</v>
      </c>
      <c r="H1157" s="118"/>
      <c r="I1157" s="118"/>
      <c r="J1157" s="118"/>
      <c r="K1157" s="119"/>
      <c r="L1157" s="113">
        <v>1969149</v>
      </c>
      <c r="M1157" s="113">
        <v>0</v>
      </c>
      <c r="N1157" s="113">
        <v>0</v>
      </c>
      <c r="O1157" s="113">
        <f t="shared" si="347"/>
        <v>1969149</v>
      </c>
      <c r="P1157" s="113">
        <v>0</v>
      </c>
      <c r="Q1157" s="114" t="e">
        <f t="shared" si="348"/>
        <v>#DIV/0!</v>
      </c>
      <c r="R1157" s="115"/>
      <c r="S1157" s="335">
        <v>43830</v>
      </c>
    </row>
    <row r="1158" spans="1:19" customFormat="1" ht="31.2">
      <c r="A1158" s="107">
        <f t="shared" si="349"/>
        <v>72</v>
      </c>
      <c r="B1158" s="305" t="s">
        <v>239</v>
      </c>
      <c r="C1158" s="118">
        <v>1956</v>
      </c>
      <c r="D1158" s="118"/>
      <c r="E1158" s="109" t="s">
        <v>218</v>
      </c>
      <c r="F1158" s="118">
        <v>3</v>
      </c>
      <c r="G1158" s="118">
        <v>3</v>
      </c>
      <c r="H1158" s="118"/>
      <c r="I1158" s="118"/>
      <c r="J1158" s="118"/>
      <c r="K1158" s="119"/>
      <c r="L1158" s="113">
        <v>1023088</v>
      </c>
      <c r="M1158" s="113">
        <v>0</v>
      </c>
      <c r="N1158" s="113">
        <v>0</v>
      </c>
      <c r="O1158" s="113">
        <f t="shared" si="347"/>
        <v>1023088</v>
      </c>
      <c r="P1158" s="113">
        <v>0</v>
      </c>
      <c r="Q1158" s="114" t="e">
        <f t="shared" si="348"/>
        <v>#DIV/0!</v>
      </c>
      <c r="R1158" s="115"/>
      <c r="S1158" s="335">
        <v>43830</v>
      </c>
    </row>
    <row r="1159" spans="1:19" customFormat="1" ht="31.2">
      <c r="A1159" s="107">
        <f t="shared" si="349"/>
        <v>73</v>
      </c>
      <c r="B1159" s="305" t="s">
        <v>336</v>
      </c>
      <c r="C1159" s="118">
        <v>1957</v>
      </c>
      <c r="D1159" s="118"/>
      <c r="E1159" s="109" t="s">
        <v>218</v>
      </c>
      <c r="F1159" s="118">
        <v>3</v>
      </c>
      <c r="G1159" s="118">
        <v>3</v>
      </c>
      <c r="H1159" s="118"/>
      <c r="I1159" s="118"/>
      <c r="J1159" s="118"/>
      <c r="K1159" s="119"/>
      <c r="L1159" s="113">
        <v>3334570</v>
      </c>
      <c r="M1159" s="113">
        <v>0</v>
      </c>
      <c r="N1159" s="113">
        <v>0</v>
      </c>
      <c r="O1159" s="113">
        <f t="shared" si="347"/>
        <v>3334570</v>
      </c>
      <c r="P1159" s="113">
        <v>0</v>
      </c>
      <c r="Q1159" s="114" t="e">
        <f t="shared" si="348"/>
        <v>#DIV/0!</v>
      </c>
      <c r="R1159" s="115"/>
      <c r="S1159" s="335">
        <v>43830</v>
      </c>
    </row>
    <row r="1160" spans="1:19" customFormat="1" ht="31.2">
      <c r="A1160" s="107">
        <f t="shared" si="349"/>
        <v>74</v>
      </c>
      <c r="B1160" s="305" t="s">
        <v>306</v>
      </c>
      <c r="C1160" s="108">
        <v>1970</v>
      </c>
      <c r="D1160" s="108"/>
      <c r="E1160" s="109" t="s">
        <v>218</v>
      </c>
      <c r="F1160" s="110">
        <v>5</v>
      </c>
      <c r="G1160" s="110">
        <v>2</v>
      </c>
      <c r="H1160" s="111"/>
      <c r="I1160" s="111"/>
      <c r="J1160" s="111"/>
      <c r="K1160" s="112"/>
      <c r="L1160" s="113">
        <v>1127374.33</v>
      </c>
      <c r="M1160" s="113">
        <v>0</v>
      </c>
      <c r="N1160" s="113">
        <v>0</v>
      </c>
      <c r="O1160" s="113">
        <f t="shared" si="347"/>
        <v>1127374.33</v>
      </c>
      <c r="P1160" s="113">
        <v>0</v>
      </c>
      <c r="Q1160" s="114" t="e">
        <f t="shared" si="348"/>
        <v>#DIV/0!</v>
      </c>
      <c r="R1160" s="115"/>
      <c r="S1160" s="335">
        <v>43830</v>
      </c>
    </row>
    <row r="1161" spans="1:19" customFormat="1" ht="15.6">
      <c r="A1161" s="107">
        <f t="shared" si="349"/>
        <v>75</v>
      </c>
      <c r="B1161" s="301" t="s">
        <v>234</v>
      </c>
      <c r="C1161" s="118">
        <v>1968</v>
      </c>
      <c r="D1161" s="118"/>
      <c r="E1161" s="109" t="s">
        <v>219</v>
      </c>
      <c r="F1161" s="118">
        <v>5</v>
      </c>
      <c r="G1161" s="118">
        <v>6</v>
      </c>
      <c r="H1161" s="111"/>
      <c r="I1161" s="118"/>
      <c r="J1161" s="118"/>
      <c r="K1161" s="119"/>
      <c r="L1161" s="113">
        <v>1161456</v>
      </c>
      <c r="M1161" s="113">
        <v>0</v>
      </c>
      <c r="N1161" s="113">
        <v>0</v>
      </c>
      <c r="O1161" s="113">
        <f t="shared" si="347"/>
        <v>1161456</v>
      </c>
      <c r="P1161" s="113">
        <v>0</v>
      </c>
      <c r="Q1161" s="114" t="e">
        <f t="shared" si="348"/>
        <v>#DIV/0!</v>
      </c>
      <c r="R1161" s="115"/>
      <c r="S1161" s="335">
        <v>43830</v>
      </c>
    </row>
    <row r="1162" spans="1:19" customFormat="1" ht="31.2">
      <c r="A1162" s="107">
        <f t="shared" si="349"/>
        <v>76</v>
      </c>
      <c r="B1162" s="301" t="s">
        <v>277</v>
      </c>
      <c r="C1162" s="107">
        <v>1971</v>
      </c>
      <c r="D1162" s="108"/>
      <c r="E1162" s="109" t="s">
        <v>218</v>
      </c>
      <c r="F1162" s="108">
        <v>5</v>
      </c>
      <c r="G1162" s="108">
        <v>4</v>
      </c>
      <c r="H1162" s="117"/>
      <c r="I1162" s="117"/>
      <c r="J1162" s="117"/>
      <c r="K1162" s="101"/>
      <c r="L1162" s="113">
        <v>1197250.23</v>
      </c>
      <c r="M1162" s="113">
        <v>0</v>
      </c>
      <c r="N1162" s="113">
        <v>0</v>
      </c>
      <c r="O1162" s="113">
        <f t="shared" si="347"/>
        <v>1197250.23</v>
      </c>
      <c r="P1162" s="113">
        <v>0</v>
      </c>
      <c r="Q1162" s="114" t="e">
        <f t="shared" si="348"/>
        <v>#DIV/0!</v>
      </c>
      <c r="R1162" s="115"/>
      <c r="S1162" s="335">
        <v>43830</v>
      </c>
    </row>
    <row r="1163" spans="1:19" customFormat="1" ht="31.2">
      <c r="A1163" s="107">
        <f t="shared" si="349"/>
        <v>77</v>
      </c>
      <c r="B1163" s="305" t="s">
        <v>303</v>
      </c>
      <c r="C1163" s="108">
        <v>1954</v>
      </c>
      <c r="D1163" s="108"/>
      <c r="E1163" s="109" t="s">
        <v>218</v>
      </c>
      <c r="F1163" s="110">
        <v>4</v>
      </c>
      <c r="G1163" s="110">
        <v>3</v>
      </c>
      <c r="H1163" s="111"/>
      <c r="I1163" s="111"/>
      <c r="J1163" s="111"/>
      <c r="K1163" s="112"/>
      <c r="L1163" s="113">
        <v>2784233</v>
      </c>
      <c r="M1163" s="113">
        <v>0</v>
      </c>
      <c r="N1163" s="113">
        <v>0</v>
      </c>
      <c r="O1163" s="113">
        <f t="shared" si="347"/>
        <v>2784233</v>
      </c>
      <c r="P1163" s="113">
        <v>0</v>
      </c>
      <c r="Q1163" s="114" t="e">
        <f t="shared" si="348"/>
        <v>#DIV/0!</v>
      </c>
      <c r="R1163" s="115"/>
      <c r="S1163" s="335">
        <v>43830</v>
      </c>
    </row>
    <row r="1164" spans="1:19" customFormat="1" ht="31.2">
      <c r="A1164" s="107">
        <f t="shared" si="349"/>
        <v>78</v>
      </c>
      <c r="B1164" s="305" t="s">
        <v>293</v>
      </c>
      <c r="C1164" s="108">
        <v>1968</v>
      </c>
      <c r="D1164" s="108"/>
      <c r="E1164" s="109" t="s">
        <v>218</v>
      </c>
      <c r="F1164" s="110">
        <v>5</v>
      </c>
      <c r="G1164" s="110">
        <v>4</v>
      </c>
      <c r="H1164" s="111"/>
      <c r="I1164" s="111"/>
      <c r="J1164" s="111"/>
      <c r="K1164" s="112"/>
      <c r="L1164" s="113">
        <v>2369961</v>
      </c>
      <c r="M1164" s="113">
        <v>0</v>
      </c>
      <c r="N1164" s="113">
        <v>0</v>
      </c>
      <c r="O1164" s="113">
        <f t="shared" si="347"/>
        <v>2369961</v>
      </c>
      <c r="P1164" s="113">
        <v>0</v>
      </c>
      <c r="Q1164" s="114" t="e">
        <f t="shared" si="348"/>
        <v>#DIV/0!</v>
      </c>
      <c r="R1164" s="115"/>
      <c r="S1164" s="335">
        <v>43830</v>
      </c>
    </row>
    <row r="1165" spans="1:19" customFormat="1" ht="31.2">
      <c r="A1165" s="107">
        <f t="shared" si="349"/>
        <v>79</v>
      </c>
      <c r="B1165" s="301" t="s">
        <v>463</v>
      </c>
      <c r="C1165" s="107">
        <v>1959</v>
      </c>
      <c r="D1165" s="108"/>
      <c r="E1165" s="109" t="s">
        <v>218</v>
      </c>
      <c r="F1165" s="108">
        <v>2</v>
      </c>
      <c r="G1165" s="108">
        <v>1</v>
      </c>
      <c r="H1165" s="117"/>
      <c r="I1165" s="117"/>
      <c r="J1165" s="117"/>
      <c r="K1165" s="101"/>
      <c r="L1165" s="113">
        <v>672819</v>
      </c>
      <c r="M1165" s="113">
        <v>0</v>
      </c>
      <c r="N1165" s="113">
        <v>0</v>
      </c>
      <c r="O1165" s="113">
        <f t="shared" si="347"/>
        <v>672819</v>
      </c>
      <c r="P1165" s="113">
        <v>0</v>
      </c>
      <c r="Q1165" s="114" t="e">
        <f t="shared" si="348"/>
        <v>#DIV/0!</v>
      </c>
      <c r="R1165" s="115"/>
      <c r="S1165" s="335">
        <v>43830</v>
      </c>
    </row>
    <row r="1166" spans="1:19" customFormat="1" ht="15.6">
      <c r="A1166" s="107">
        <f t="shared" si="349"/>
        <v>80</v>
      </c>
      <c r="B1166" s="305" t="s">
        <v>340</v>
      </c>
      <c r="C1166" s="107">
        <v>1968</v>
      </c>
      <c r="D1166" s="108"/>
      <c r="E1166" s="109" t="s">
        <v>219</v>
      </c>
      <c r="F1166" s="108">
        <v>5</v>
      </c>
      <c r="G1166" s="108">
        <v>5</v>
      </c>
      <c r="H1166" s="117"/>
      <c r="I1166" s="117"/>
      <c r="J1166" s="117"/>
      <c r="K1166" s="101"/>
      <c r="L1166" s="113">
        <v>1651491</v>
      </c>
      <c r="M1166" s="113">
        <v>0</v>
      </c>
      <c r="N1166" s="113">
        <v>0</v>
      </c>
      <c r="O1166" s="113">
        <f t="shared" si="347"/>
        <v>1651491</v>
      </c>
      <c r="P1166" s="113">
        <v>0</v>
      </c>
      <c r="Q1166" s="114" t="e">
        <f t="shared" si="348"/>
        <v>#DIV/0!</v>
      </c>
      <c r="R1166" s="115"/>
      <c r="S1166" s="335">
        <v>43830</v>
      </c>
    </row>
    <row r="1167" spans="1:19" customFormat="1" ht="31.2">
      <c r="A1167" s="107">
        <f t="shared" si="349"/>
        <v>81</v>
      </c>
      <c r="B1167" s="301" t="s">
        <v>254</v>
      </c>
      <c r="C1167" s="118">
        <v>1962</v>
      </c>
      <c r="D1167" s="118"/>
      <c r="E1167" s="109" t="s">
        <v>218</v>
      </c>
      <c r="F1167" s="118">
        <v>3</v>
      </c>
      <c r="G1167" s="118">
        <v>3</v>
      </c>
      <c r="H1167" s="118"/>
      <c r="I1167" s="118"/>
      <c r="J1167" s="118"/>
      <c r="K1167" s="119"/>
      <c r="L1167" s="113">
        <v>1432926</v>
      </c>
      <c r="M1167" s="113">
        <v>0</v>
      </c>
      <c r="N1167" s="113">
        <v>0</v>
      </c>
      <c r="O1167" s="113">
        <f t="shared" si="347"/>
        <v>1432926</v>
      </c>
      <c r="P1167" s="113">
        <v>0</v>
      </c>
      <c r="Q1167" s="114" t="e">
        <f t="shared" si="348"/>
        <v>#DIV/0!</v>
      </c>
      <c r="R1167" s="115"/>
      <c r="S1167" s="335">
        <v>43830</v>
      </c>
    </row>
    <row r="1168" spans="1:19" customFormat="1" ht="31.2">
      <c r="A1168" s="107">
        <f t="shared" si="349"/>
        <v>82</v>
      </c>
      <c r="B1168" s="301" t="s">
        <v>343</v>
      </c>
      <c r="C1168" s="107">
        <v>1955</v>
      </c>
      <c r="D1168" s="108"/>
      <c r="E1168" s="109" t="s">
        <v>218</v>
      </c>
      <c r="F1168" s="108">
        <v>2</v>
      </c>
      <c r="G1168" s="108">
        <v>2</v>
      </c>
      <c r="H1168" s="117"/>
      <c r="I1168" s="117"/>
      <c r="J1168" s="117"/>
      <c r="K1168" s="101"/>
      <c r="L1168" s="113">
        <v>1137886</v>
      </c>
      <c r="M1168" s="113">
        <v>0</v>
      </c>
      <c r="N1168" s="113">
        <v>0</v>
      </c>
      <c r="O1168" s="113">
        <f t="shared" si="347"/>
        <v>1137886</v>
      </c>
      <c r="P1168" s="113">
        <v>0</v>
      </c>
      <c r="Q1168" s="114" t="e">
        <f t="shared" si="348"/>
        <v>#DIV/0!</v>
      </c>
      <c r="R1168" s="115"/>
      <c r="S1168" s="335">
        <v>43830</v>
      </c>
    </row>
    <row r="1169" spans="1:30" customFormat="1" ht="31.2">
      <c r="A1169" s="107">
        <f t="shared" si="349"/>
        <v>83</v>
      </c>
      <c r="B1169" s="305" t="s">
        <v>305</v>
      </c>
      <c r="C1169" s="108">
        <v>1971</v>
      </c>
      <c r="D1169" s="108"/>
      <c r="E1169" s="109" t="s">
        <v>218</v>
      </c>
      <c r="F1169" s="110">
        <v>5</v>
      </c>
      <c r="G1169" s="110">
        <v>4</v>
      </c>
      <c r="H1169" s="111"/>
      <c r="I1169" s="111"/>
      <c r="J1169" s="111"/>
      <c r="K1169" s="112"/>
      <c r="L1169" s="113">
        <v>1814838</v>
      </c>
      <c r="M1169" s="113">
        <v>0</v>
      </c>
      <c r="N1169" s="113">
        <v>0</v>
      </c>
      <c r="O1169" s="113">
        <f t="shared" si="347"/>
        <v>1814838</v>
      </c>
      <c r="P1169" s="113">
        <v>0</v>
      </c>
      <c r="Q1169" s="114" t="e">
        <f t="shared" si="348"/>
        <v>#DIV/0!</v>
      </c>
      <c r="R1169" s="115"/>
      <c r="S1169" s="335">
        <v>43830</v>
      </c>
    </row>
    <row r="1170" spans="1:30" customFormat="1" ht="31.2">
      <c r="A1170" s="107">
        <f t="shared" si="349"/>
        <v>84</v>
      </c>
      <c r="B1170" s="305" t="s">
        <v>345</v>
      </c>
      <c r="C1170" s="108">
        <v>1970</v>
      </c>
      <c r="D1170" s="108"/>
      <c r="E1170" s="109" t="s">
        <v>218</v>
      </c>
      <c r="F1170" s="110">
        <v>5</v>
      </c>
      <c r="G1170" s="110">
        <v>4</v>
      </c>
      <c r="H1170" s="111"/>
      <c r="I1170" s="111"/>
      <c r="J1170" s="111"/>
      <c r="K1170" s="112"/>
      <c r="L1170" s="113">
        <v>1544359.54</v>
      </c>
      <c r="M1170" s="113">
        <v>0</v>
      </c>
      <c r="N1170" s="113">
        <v>0</v>
      </c>
      <c r="O1170" s="113">
        <f t="shared" si="347"/>
        <v>1544359.54</v>
      </c>
      <c r="P1170" s="113">
        <v>0</v>
      </c>
      <c r="Q1170" s="114" t="e">
        <f t="shared" si="348"/>
        <v>#DIV/0!</v>
      </c>
      <c r="R1170" s="115"/>
      <c r="S1170" s="335">
        <v>43830</v>
      </c>
    </row>
    <row r="1171" spans="1:30" customFormat="1" ht="31.2">
      <c r="A1171" s="107">
        <f t="shared" si="349"/>
        <v>85</v>
      </c>
      <c r="B1171" s="301" t="s">
        <v>447</v>
      </c>
      <c r="C1171" s="108">
        <v>1987</v>
      </c>
      <c r="D1171" s="108"/>
      <c r="E1171" s="109" t="s">
        <v>219</v>
      </c>
      <c r="F1171" s="110">
        <v>9</v>
      </c>
      <c r="G1171" s="110">
        <v>1</v>
      </c>
      <c r="H1171" s="111"/>
      <c r="I1171" s="111"/>
      <c r="J1171" s="111"/>
      <c r="K1171" s="112"/>
      <c r="L1171" s="113">
        <v>1787034</v>
      </c>
      <c r="M1171" s="113">
        <v>0</v>
      </c>
      <c r="N1171" s="113">
        <v>0</v>
      </c>
      <c r="O1171" s="113">
        <f t="shared" si="347"/>
        <v>1787034</v>
      </c>
      <c r="P1171" s="113">
        <v>0</v>
      </c>
      <c r="Q1171" s="114" t="e">
        <f t="shared" si="348"/>
        <v>#DIV/0!</v>
      </c>
      <c r="R1171" s="115"/>
      <c r="S1171" s="335">
        <v>43830</v>
      </c>
    </row>
    <row r="1172" spans="1:30" customFormat="1" ht="15.6">
      <c r="A1172" s="107">
        <f t="shared" si="349"/>
        <v>86</v>
      </c>
      <c r="B1172" s="301" t="s">
        <v>223</v>
      </c>
      <c r="C1172" s="118">
        <v>1983</v>
      </c>
      <c r="D1172" s="118"/>
      <c r="E1172" s="109" t="s">
        <v>219</v>
      </c>
      <c r="F1172" s="118">
        <v>9</v>
      </c>
      <c r="G1172" s="118">
        <v>4</v>
      </c>
      <c r="H1172" s="118"/>
      <c r="I1172" s="118"/>
      <c r="J1172" s="118"/>
      <c r="K1172" s="119"/>
      <c r="L1172" s="113">
        <v>437998.57</v>
      </c>
      <c r="M1172" s="113">
        <v>0</v>
      </c>
      <c r="N1172" s="113">
        <v>0</v>
      </c>
      <c r="O1172" s="113">
        <f t="shared" si="347"/>
        <v>437998.57</v>
      </c>
      <c r="P1172" s="113">
        <v>0</v>
      </c>
      <c r="Q1172" s="114" t="e">
        <f t="shared" si="348"/>
        <v>#DIV/0!</v>
      </c>
      <c r="R1172" s="115"/>
      <c r="S1172" s="335">
        <v>43830</v>
      </c>
      <c r="T1172" s="3"/>
      <c r="U1172" s="3"/>
      <c r="V1172" s="3"/>
      <c r="W1172" s="3"/>
      <c r="X1172" s="3"/>
      <c r="Y1172" s="3"/>
    </row>
    <row r="1173" spans="1:30" customFormat="1" ht="31.2">
      <c r="A1173" s="107">
        <f t="shared" si="349"/>
        <v>87</v>
      </c>
      <c r="B1173" s="301" t="s">
        <v>446</v>
      </c>
      <c r="C1173" s="108">
        <v>1976</v>
      </c>
      <c r="D1173" s="108"/>
      <c r="E1173" s="109" t="s">
        <v>219</v>
      </c>
      <c r="F1173" s="110">
        <v>5</v>
      </c>
      <c r="G1173" s="110">
        <v>4</v>
      </c>
      <c r="H1173" s="111"/>
      <c r="I1173" s="111"/>
      <c r="J1173" s="111"/>
      <c r="K1173" s="112"/>
      <c r="L1173" s="113">
        <v>1116228</v>
      </c>
      <c r="M1173" s="113">
        <v>0</v>
      </c>
      <c r="N1173" s="113">
        <v>0</v>
      </c>
      <c r="O1173" s="113">
        <f t="shared" si="347"/>
        <v>1116228</v>
      </c>
      <c r="P1173" s="113">
        <v>0</v>
      </c>
      <c r="Q1173" s="114" t="e">
        <f t="shared" si="348"/>
        <v>#DIV/0!</v>
      </c>
      <c r="R1173" s="115"/>
      <c r="S1173" s="335">
        <v>43830</v>
      </c>
      <c r="Z1173" s="3"/>
      <c r="AA1173" s="3"/>
      <c r="AB1173" s="3"/>
      <c r="AC1173" s="3"/>
      <c r="AD1173" s="3"/>
    </row>
    <row r="1174" spans="1:30" customFormat="1" ht="31.2">
      <c r="A1174" s="107">
        <f t="shared" si="349"/>
        <v>88</v>
      </c>
      <c r="B1174" s="301" t="s">
        <v>448</v>
      </c>
      <c r="C1174" s="108">
        <v>1983</v>
      </c>
      <c r="D1174" s="108"/>
      <c r="E1174" s="109" t="s">
        <v>219</v>
      </c>
      <c r="F1174" s="110">
        <v>5</v>
      </c>
      <c r="G1174" s="110">
        <v>3</v>
      </c>
      <c r="H1174" s="111"/>
      <c r="I1174" s="111"/>
      <c r="J1174" s="111"/>
      <c r="K1174" s="112"/>
      <c r="L1174" s="113">
        <v>1313728</v>
      </c>
      <c r="M1174" s="113">
        <v>0</v>
      </c>
      <c r="N1174" s="113">
        <v>0</v>
      </c>
      <c r="O1174" s="113">
        <f t="shared" si="347"/>
        <v>1313728</v>
      </c>
      <c r="P1174" s="113">
        <v>0</v>
      </c>
      <c r="Q1174" s="114" t="e">
        <f t="shared" si="348"/>
        <v>#DIV/0!</v>
      </c>
      <c r="R1174" s="115"/>
      <c r="S1174" s="335">
        <v>43830</v>
      </c>
      <c r="T1174" s="62"/>
      <c r="U1174" s="62"/>
      <c r="V1174" s="62"/>
      <c r="W1174" s="62"/>
      <c r="X1174" s="62"/>
      <c r="Y1174" s="62"/>
    </row>
    <row r="1175" spans="1:30" customFormat="1" ht="31.2">
      <c r="A1175" s="107">
        <f t="shared" si="349"/>
        <v>89</v>
      </c>
      <c r="B1175" s="305" t="s">
        <v>241</v>
      </c>
      <c r="C1175" s="118">
        <v>1958</v>
      </c>
      <c r="D1175" s="118"/>
      <c r="E1175" s="109" t="s">
        <v>218</v>
      </c>
      <c r="F1175" s="118">
        <v>2</v>
      </c>
      <c r="G1175" s="118">
        <v>1</v>
      </c>
      <c r="H1175" s="118"/>
      <c r="I1175" s="118"/>
      <c r="J1175" s="118"/>
      <c r="K1175" s="119"/>
      <c r="L1175" s="113">
        <v>359651</v>
      </c>
      <c r="M1175" s="113">
        <v>0</v>
      </c>
      <c r="N1175" s="113">
        <v>0</v>
      </c>
      <c r="O1175" s="113">
        <f t="shared" si="347"/>
        <v>359651</v>
      </c>
      <c r="P1175" s="113">
        <v>0</v>
      </c>
      <c r="Q1175" s="114" t="e">
        <f t="shared" si="348"/>
        <v>#DIV/0!</v>
      </c>
      <c r="R1175" s="115"/>
      <c r="S1175" s="335">
        <v>43830</v>
      </c>
      <c r="Z1175" s="62"/>
      <c r="AA1175" s="62"/>
      <c r="AB1175" s="62"/>
      <c r="AC1175" s="62"/>
      <c r="AD1175" s="62"/>
    </row>
    <row r="1176" spans="1:30" customFormat="1" ht="15.6">
      <c r="A1176" s="107">
        <f t="shared" si="349"/>
        <v>90</v>
      </c>
      <c r="B1176" s="305" t="s">
        <v>233</v>
      </c>
      <c r="C1176" s="118">
        <v>1965</v>
      </c>
      <c r="D1176" s="118"/>
      <c r="E1176" s="109" t="s">
        <v>219</v>
      </c>
      <c r="F1176" s="118">
        <v>5</v>
      </c>
      <c r="G1176" s="118">
        <v>5</v>
      </c>
      <c r="H1176" s="118"/>
      <c r="I1176" s="118"/>
      <c r="J1176" s="118"/>
      <c r="K1176" s="119"/>
      <c r="L1176" s="113">
        <v>906779</v>
      </c>
      <c r="M1176" s="113">
        <v>0</v>
      </c>
      <c r="N1176" s="113">
        <v>0</v>
      </c>
      <c r="O1176" s="113">
        <f t="shared" si="347"/>
        <v>906779</v>
      </c>
      <c r="P1176" s="113">
        <v>0</v>
      </c>
      <c r="Q1176" s="114" t="e">
        <f t="shared" si="348"/>
        <v>#DIV/0!</v>
      </c>
      <c r="R1176" s="115"/>
      <c r="S1176" s="335">
        <v>43830</v>
      </c>
    </row>
    <row r="1177" spans="1:30" customFormat="1" ht="31.2">
      <c r="A1177" s="107">
        <f t="shared" si="349"/>
        <v>91</v>
      </c>
      <c r="B1177" s="305" t="s">
        <v>278</v>
      </c>
      <c r="C1177" s="107">
        <v>1958</v>
      </c>
      <c r="D1177" s="108"/>
      <c r="E1177" s="109" t="s">
        <v>218</v>
      </c>
      <c r="F1177" s="108">
        <v>2</v>
      </c>
      <c r="G1177" s="108">
        <v>1</v>
      </c>
      <c r="H1177" s="117"/>
      <c r="I1177" s="117"/>
      <c r="J1177" s="117"/>
      <c r="K1177" s="101"/>
      <c r="L1177" s="113">
        <v>886559</v>
      </c>
      <c r="M1177" s="113">
        <v>0</v>
      </c>
      <c r="N1177" s="113">
        <v>0</v>
      </c>
      <c r="O1177" s="113">
        <f t="shared" si="347"/>
        <v>886559</v>
      </c>
      <c r="P1177" s="113">
        <v>0</v>
      </c>
      <c r="Q1177" s="114" t="e">
        <f t="shared" si="348"/>
        <v>#DIV/0!</v>
      </c>
      <c r="R1177" s="115"/>
      <c r="S1177" s="335">
        <v>43830</v>
      </c>
    </row>
    <row r="1178" spans="1:30" customFormat="1" ht="31.2">
      <c r="A1178" s="107">
        <f t="shared" si="349"/>
        <v>92</v>
      </c>
      <c r="B1178" s="305" t="s">
        <v>347</v>
      </c>
      <c r="C1178" s="108">
        <v>1959</v>
      </c>
      <c r="D1178" s="108"/>
      <c r="E1178" s="109" t="s">
        <v>218</v>
      </c>
      <c r="F1178" s="110">
        <v>2</v>
      </c>
      <c r="G1178" s="110">
        <v>1</v>
      </c>
      <c r="H1178" s="111"/>
      <c r="I1178" s="111"/>
      <c r="J1178" s="111"/>
      <c r="K1178" s="112"/>
      <c r="L1178" s="113">
        <v>642210</v>
      </c>
      <c r="M1178" s="113">
        <v>0</v>
      </c>
      <c r="N1178" s="113">
        <v>0</v>
      </c>
      <c r="O1178" s="113">
        <f t="shared" si="347"/>
        <v>642210</v>
      </c>
      <c r="P1178" s="113">
        <v>0</v>
      </c>
      <c r="Q1178" s="114" t="e">
        <f t="shared" si="348"/>
        <v>#DIV/0!</v>
      </c>
      <c r="R1178" s="115"/>
      <c r="S1178" s="335">
        <v>43830</v>
      </c>
    </row>
    <row r="1179" spans="1:30" customFormat="1" ht="31.2">
      <c r="A1179" s="107">
        <f t="shared" si="349"/>
        <v>93</v>
      </c>
      <c r="B1179" s="301" t="s">
        <v>266</v>
      </c>
      <c r="C1179" s="118">
        <v>1957</v>
      </c>
      <c r="D1179" s="118"/>
      <c r="E1179" s="109" t="s">
        <v>218</v>
      </c>
      <c r="F1179" s="118">
        <v>4</v>
      </c>
      <c r="G1179" s="118">
        <v>3</v>
      </c>
      <c r="H1179" s="118"/>
      <c r="I1179" s="118"/>
      <c r="J1179" s="118"/>
      <c r="K1179" s="119"/>
      <c r="L1179" s="113">
        <v>1952489</v>
      </c>
      <c r="M1179" s="113">
        <v>0</v>
      </c>
      <c r="N1179" s="113">
        <v>0</v>
      </c>
      <c r="O1179" s="113">
        <f t="shared" si="347"/>
        <v>1952489</v>
      </c>
      <c r="P1179" s="113">
        <v>0</v>
      </c>
      <c r="Q1179" s="114" t="e">
        <f t="shared" si="348"/>
        <v>#DIV/0!</v>
      </c>
      <c r="R1179" s="115"/>
      <c r="S1179" s="335">
        <v>43830</v>
      </c>
    </row>
    <row r="1180" spans="1:30" customFormat="1" ht="15.6">
      <c r="A1180" s="107">
        <f t="shared" si="349"/>
        <v>94</v>
      </c>
      <c r="B1180" s="301" t="s">
        <v>310</v>
      </c>
      <c r="C1180" s="108">
        <v>1983</v>
      </c>
      <c r="D1180" s="108"/>
      <c r="E1180" s="109" t="s">
        <v>219</v>
      </c>
      <c r="F1180" s="110">
        <v>9</v>
      </c>
      <c r="G1180" s="110">
        <v>8</v>
      </c>
      <c r="H1180" s="111"/>
      <c r="I1180" s="111"/>
      <c r="J1180" s="111"/>
      <c r="K1180" s="112"/>
      <c r="L1180" s="113">
        <v>15157748</v>
      </c>
      <c r="M1180" s="113">
        <v>0</v>
      </c>
      <c r="N1180" s="113">
        <v>0</v>
      </c>
      <c r="O1180" s="113">
        <f t="shared" si="347"/>
        <v>15157748</v>
      </c>
      <c r="P1180" s="113">
        <v>0</v>
      </c>
      <c r="Q1180" s="114" t="e">
        <f t="shared" si="348"/>
        <v>#DIV/0!</v>
      </c>
      <c r="R1180" s="115"/>
      <c r="S1180" s="335">
        <v>43830</v>
      </c>
    </row>
    <row r="1181" spans="1:30" customFormat="1" ht="31.2">
      <c r="A1181" s="107">
        <f t="shared" si="349"/>
        <v>95</v>
      </c>
      <c r="B1181" s="305" t="s">
        <v>281</v>
      </c>
      <c r="C1181" s="107">
        <v>1959</v>
      </c>
      <c r="D1181" s="108"/>
      <c r="E1181" s="109" t="s">
        <v>218</v>
      </c>
      <c r="F1181" s="108">
        <v>4</v>
      </c>
      <c r="G1181" s="108">
        <v>5</v>
      </c>
      <c r="H1181" s="117"/>
      <c r="I1181" s="117"/>
      <c r="J1181" s="117"/>
      <c r="K1181" s="101"/>
      <c r="L1181" s="113">
        <v>2542298.37</v>
      </c>
      <c r="M1181" s="113">
        <v>0</v>
      </c>
      <c r="N1181" s="113">
        <v>0</v>
      </c>
      <c r="O1181" s="113">
        <f t="shared" si="347"/>
        <v>2542298.37</v>
      </c>
      <c r="P1181" s="113">
        <v>0</v>
      </c>
      <c r="Q1181" s="114" t="e">
        <f t="shared" si="348"/>
        <v>#DIV/0!</v>
      </c>
      <c r="R1181" s="115"/>
      <c r="S1181" s="335">
        <v>43830</v>
      </c>
    </row>
    <row r="1182" spans="1:30" customFormat="1" ht="15.6">
      <c r="A1182" s="107">
        <f t="shared" si="349"/>
        <v>96</v>
      </c>
      <c r="B1182" s="301" t="s">
        <v>248</v>
      </c>
      <c r="C1182" s="118">
        <v>1983</v>
      </c>
      <c r="D1182" s="118"/>
      <c r="E1182" s="109" t="s">
        <v>219</v>
      </c>
      <c r="F1182" s="118">
        <v>9</v>
      </c>
      <c r="G1182" s="118">
        <v>1</v>
      </c>
      <c r="H1182" s="118"/>
      <c r="I1182" s="118"/>
      <c r="J1182" s="118"/>
      <c r="K1182" s="119"/>
      <c r="L1182" s="113">
        <v>1114586</v>
      </c>
      <c r="M1182" s="113">
        <v>0</v>
      </c>
      <c r="N1182" s="113">
        <v>0</v>
      </c>
      <c r="O1182" s="113">
        <f t="shared" si="347"/>
        <v>1114586</v>
      </c>
      <c r="P1182" s="113">
        <v>0</v>
      </c>
      <c r="Q1182" s="114" t="e">
        <f t="shared" si="348"/>
        <v>#DIV/0!</v>
      </c>
      <c r="R1182" s="115"/>
      <c r="S1182" s="335">
        <v>43830</v>
      </c>
      <c r="T1182" s="3"/>
      <c r="U1182" s="3"/>
      <c r="V1182" s="3"/>
      <c r="W1182" s="3"/>
      <c r="X1182" s="3"/>
      <c r="Y1182" s="3"/>
    </row>
    <row r="1183" spans="1:30" customFormat="1" ht="15.6">
      <c r="A1183" s="107">
        <f t="shared" si="349"/>
        <v>97</v>
      </c>
      <c r="B1183" s="301" t="s">
        <v>301</v>
      </c>
      <c r="C1183" s="108">
        <v>1975</v>
      </c>
      <c r="D1183" s="108"/>
      <c r="E1183" s="109" t="s">
        <v>219</v>
      </c>
      <c r="F1183" s="110">
        <v>9</v>
      </c>
      <c r="G1183" s="110">
        <v>3</v>
      </c>
      <c r="H1183" s="111"/>
      <c r="I1183" s="111"/>
      <c r="J1183" s="111"/>
      <c r="K1183" s="112"/>
      <c r="L1183" s="113">
        <v>5623853</v>
      </c>
      <c r="M1183" s="113">
        <v>0</v>
      </c>
      <c r="N1183" s="113">
        <v>0</v>
      </c>
      <c r="O1183" s="113">
        <f t="shared" si="347"/>
        <v>5623853</v>
      </c>
      <c r="P1183" s="113">
        <v>0</v>
      </c>
      <c r="Q1183" s="114" t="e">
        <f t="shared" si="348"/>
        <v>#DIV/0!</v>
      </c>
      <c r="R1183" s="115"/>
      <c r="S1183" s="335">
        <v>43830</v>
      </c>
      <c r="Z1183" s="3"/>
      <c r="AA1183" s="3"/>
      <c r="AB1183" s="3"/>
      <c r="AC1183" s="3"/>
      <c r="AD1183" s="3"/>
    </row>
    <row r="1184" spans="1:30" customFormat="1" ht="15.6">
      <c r="A1184" s="107">
        <f t="shared" si="349"/>
        <v>98</v>
      </c>
      <c r="B1184" s="301" t="s">
        <v>244</v>
      </c>
      <c r="C1184" s="118">
        <v>1976</v>
      </c>
      <c r="D1184" s="118"/>
      <c r="E1184" s="109" t="s">
        <v>219</v>
      </c>
      <c r="F1184" s="118">
        <v>9</v>
      </c>
      <c r="G1184" s="118">
        <v>4</v>
      </c>
      <c r="H1184" s="118"/>
      <c r="I1184" s="118"/>
      <c r="J1184" s="118"/>
      <c r="K1184" s="119"/>
      <c r="L1184" s="113">
        <v>2721106</v>
      </c>
      <c r="M1184" s="113">
        <v>0</v>
      </c>
      <c r="N1184" s="113">
        <v>0</v>
      </c>
      <c r="O1184" s="113">
        <f t="shared" si="347"/>
        <v>2721106</v>
      </c>
      <c r="P1184" s="113">
        <v>0</v>
      </c>
      <c r="Q1184" s="114" t="e">
        <f t="shared" si="348"/>
        <v>#DIV/0!</v>
      </c>
      <c r="R1184" s="115"/>
      <c r="S1184" s="335">
        <v>43830</v>
      </c>
    </row>
    <row r="1185" spans="1:30" customFormat="1" ht="15.6">
      <c r="A1185" s="107">
        <f t="shared" si="349"/>
        <v>99</v>
      </c>
      <c r="B1185" s="305" t="s">
        <v>288</v>
      </c>
      <c r="C1185" s="107">
        <v>1973</v>
      </c>
      <c r="D1185" s="108"/>
      <c r="E1185" s="109" t="s">
        <v>219</v>
      </c>
      <c r="F1185" s="108">
        <v>9</v>
      </c>
      <c r="G1185" s="108">
        <v>6</v>
      </c>
      <c r="H1185" s="117"/>
      <c r="I1185" s="117"/>
      <c r="J1185" s="117"/>
      <c r="K1185" s="101"/>
      <c r="L1185" s="113">
        <v>9789326.5500000007</v>
      </c>
      <c r="M1185" s="113">
        <v>0</v>
      </c>
      <c r="N1185" s="113">
        <v>0</v>
      </c>
      <c r="O1185" s="113">
        <f t="shared" si="347"/>
        <v>9789326.5500000007</v>
      </c>
      <c r="P1185" s="113">
        <v>0</v>
      </c>
      <c r="Q1185" s="114" t="e">
        <f t="shared" si="348"/>
        <v>#DIV/0!</v>
      </c>
      <c r="R1185" s="115"/>
      <c r="S1185" s="335">
        <v>43830</v>
      </c>
    </row>
    <row r="1186" spans="1:30" customFormat="1" ht="31.2">
      <c r="A1186" s="107">
        <f t="shared" si="349"/>
        <v>100</v>
      </c>
      <c r="B1186" s="305" t="s">
        <v>249</v>
      </c>
      <c r="C1186" s="118" t="s">
        <v>190</v>
      </c>
      <c r="D1186" s="118"/>
      <c r="E1186" s="109" t="s">
        <v>218</v>
      </c>
      <c r="F1186" s="118">
        <v>3</v>
      </c>
      <c r="G1186" s="118">
        <v>3</v>
      </c>
      <c r="H1186" s="118"/>
      <c r="I1186" s="118"/>
      <c r="J1186" s="118"/>
      <c r="K1186" s="119"/>
      <c r="L1186" s="113">
        <v>1615074</v>
      </c>
      <c r="M1186" s="113">
        <v>0</v>
      </c>
      <c r="N1186" s="113">
        <v>0</v>
      </c>
      <c r="O1186" s="113">
        <f t="shared" si="347"/>
        <v>1615074</v>
      </c>
      <c r="P1186" s="113">
        <v>0</v>
      </c>
      <c r="Q1186" s="114" t="e">
        <f t="shared" si="348"/>
        <v>#DIV/0!</v>
      </c>
      <c r="R1186" s="115"/>
      <c r="S1186" s="335">
        <v>43830</v>
      </c>
    </row>
    <row r="1187" spans="1:30" customFormat="1" ht="31.2">
      <c r="A1187" s="107">
        <f t="shared" si="349"/>
        <v>101</v>
      </c>
      <c r="B1187" s="301" t="s">
        <v>265</v>
      </c>
      <c r="C1187" s="118">
        <v>1953</v>
      </c>
      <c r="D1187" s="118"/>
      <c r="E1187" s="109" t="s">
        <v>218</v>
      </c>
      <c r="F1187" s="118">
        <v>2</v>
      </c>
      <c r="G1187" s="118">
        <v>2</v>
      </c>
      <c r="H1187" s="118"/>
      <c r="I1187" s="118"/>
      <c r="J1187" s="118"/>
      <c r="K1187" s="119"/>
      <c r="L1187" s="113">
        <v>824390</v>
      </c>
      <c r="M1187" s="113">
        <v>0</v>
      </c>
      <c r="N1187" s="113">
        <v>0</v>
      </c>
      <c r="O1187" s="113">
        <f t="shared" si="347"/>
        <v>824390</v>
      </c>
      <c r="P1187" s="113">
        <v>0</v>
      </c>
      <c r="Q1187" s="114" t="e">
        <f t="shared" si="348"/>
        <v>#DIV/0!</v>
      </c>
      <c r="R1187" s="115"/>
      <c r="S1187" s="335">
        <v>43830</v>
      </c>
    </row>
    <row r="1188" spans="1:30" customFormat="1" ht="15.6">
      <c r="A1188" s="107">
        <f t="shared" si="349"/>
        <v>102</v>
      </c>
      <c r="B1188" s="305" t="s">
        <v>292</v>
      </c>
      <c r="C1188" s="108">
        <v>1951</v>
      </c>
      <c r="D1188" s="108"/>
      <c r="E1188" s="109" t="s">
        <v>220</v>
      </c>
      <c r="F1188" s="110">
        <v>2</v>
      </c>
      <c r="G1188" s="110">
        <v>3</v>
      </c>
      <c r="H1188" s="111"/>
      <c r="I1188" s="111"/>
      <c r="J1188" s="111"/>
      <c r="K1188" s="112"/>
      <c r="L1188" s="113">
        <v>2661189</v>
      </c>
      <c r="M1188" s="113">
        <v>0</v>
      </c>
      <c r="N1188" s="113">
        <v>0</v>
      </c>
      <c r="O1188" s="113">
        <f t="shared" si="347"/>
        <v>2661189</v>
      </c>
      <c r="P1188" s="113">
        <v>0</v>
      </c>
      <c r="Q1188" s="114" t="e">
        <f t="shared" si="348"/>
        <v>#DIV/0!</v>
      </c>
      <c r="R1188" s="115"/>
      <c r="S1188" s="335">
        <v>43830</v>
      </c>
    </row>
    <row r="1189" spans="1:30" s="62" customFormat="1" ht="31.2">
      <c r="A1189" s="107">
        <f t="shared" si="349"/>
        <v>103</v>
      </c>
      <c r="B1189" s="305" t="s">
        <v>276</v>
      </c>
      <c r="C1189" s="107">
        <v>1959</v>
      </c>
      <c r="D1189" s="108"/>
      <c r="E1189" s="109" t="s">
        <v>218</v>
      </c>
      <c r="F1189" s="108">
        <v>2</v>
      </c>
      <c r="G1189" s="108">
        <v>1</v>
      </c>
      <c r="H1189" s="117"/>
      <c r="I1189" s="117"/>
      <c r="J1189" s="117"/>
      <c r="K1189" s="101"/>
      <c r="L1189" s="113">
        <v>278220</v>
      </c>
      <c r="M1189" s="113">
        <v>0</v>
      </c>
      <c r="N1189" s="113">
        <v>0</v>
      </c>
      <c r="O1189" s="113">
        <f t="shared" si="347"/>
        <v>278220</v>
      </c>
      <c r="P1189" s="113">
        <v>0</v>
      </c>
      <c r="Q1189" s="114" t="e">
        <f t="shared" si="348"/>
        <v>#DIV/0!</v>
      </c>
      <c r="R1189" s="115"/>
      <c r="S1189" s="335">
        <v>43830</v>
      </c>
      <c r="T1189"/>
      <c r="U1189"/>
      <c r="V1189"/>
      <c r="W1189"/>
      <c r="X1189"/>
      <c r="Y1189"/>
      <c r="Z1189"/>
      <c r="AA1189"/>
      <c r="AB1189"/>
      <c r="AC1189"/>
      <c r="AD1189"/>
    </row>
    <row r="1190" spans="1:30" customFormat="1" ht="31.2">
      <c r="A1190" s="107">
        <f t="shared" si="349"/>
        <v>104</v>
      </c>
      <c r="B1190" s="301" t="s">
        <v>229</v>
      </c>
      <c r="C1190" s="118">
        <v>1928</v>
      </c>
      <c r="D1190" s="118"/>
      <c r="E1190" s="109" t="s">
        <v>218</v>
      </c>
      <c r="F1190" s="118">
        <v>3</v>
      </c>
      <c r="G1190" s="118">
        <v>6</v>
      </c>
      <c r="H1190" s="118"/>
      <c r="I1190" s="118"/>
      <c r="J1190" s="118"/>
      <c r="K1190" s="119"/>
      <c r="L1190" s="113">
        <v>2511472</v>
      </c>
      <c r="M1190" s="113">
        <v>0</v>
      </c>
      <c r="N1190" s="113">
        <v>0</v>
      </c>
      <c r="O1190" s="113">
        <f t="shared" si="347"/>
        <v>2511472</v>
      </c>
      <c r="P1190" s="113">
        <v>0</v>
      </c>
      <c r="Q1190" s="114" t="e">
        <f t="shared" si="348"/>
        <v>#DIV/0!</v>
      </c>
      <c r="R1190" s="115"/>
      <c r="S1190" s="335">
        <v>43830</v>
      </c>
    </row>
    <row r="1191" spans="1:30" customFormat="1" ht="31.2">
      <c r="A1191" s="107">
        <f t="shared" si="349"/>
        <v>105</v>
      </c>
      <c r="B1191" s="301" t="s">
        <v>309</v>
      </c>
      <c r="C1191" s="108">
        <v>1964</v>
      </c>
      <c r="D1191" s="108"/>
      <c r="E1191" s="109" t="s">
        <v>218</v>
      </c>
      <c r="F1191" s="110">
        <v>4</v>
      </c>
      <c r="G1191" s="110">
        <v>2</v>
      </c>
      <c r="H1191" s="111"/>
      <c r="I1191" s="111"/>
      <c r="J1191" s="111"/>
      <c r="K1191" s="112"/>
      <c r="L1191" s="113">
        <v>871988</v>
      </c>
      <c r="M1191" s="113">
        <v>0</v>
      </c>
      <c r="N1191" s="113">
        <v>0</v>
      </c>
      <c r="O1191" s="113">
        <f t="shared" si="347"/>
        <v>871988</v>
      </c>
      <c r="P1191" s="113">
        <v>0</v>
      </c>
      <c r="Q1191" s="114" t="e">
        <f t="shared" si="348"/>
        <v>#DIV/0!</v>
      </c>
      <c r="R1191" s="115"/>
      <c r="S1191" s="335">
        <v>43830</v>
      </c>
    </row>
    <row r="1192" spans="1:30" customFormat="1" ht="31.2">
      <c r="A1192" s="107">
        <f t="shared" si="349"/>
        <v>106</v>
      </c>
      <c r="B1192" s="301" t="s">
        <v>308</v>
      </c>
      <c r="C1192" s="108">
        <v>1966</v>
      </c>
      <c r="D1192" s="108"/>
      <c r="E1192" s="109" t="s">
        <v>218</v>
      </c>
      <c r="F1192" s="110">
        <v>4</v>
      </c>
      <c r="G1192" s="110">
        <v>4</v>
      </c>
      <c r="H1192" s="111"/>
      <c r="I1192" s="111"/>
      <c r="J1192" s="111"/>
      <c r="K1192" s="112"/>
      <c r="L1192" s="113">
        <v>2113335</v>
      </c>
      <c r="M1192" s="113">
        <v>0</v>
      </c>
      <c r="N1192" s="113">
        <v>0</v>
      </c>
      <c r="O1192" s="113">
        <f t="shared" si="347"/>
        <v>2113335</v>
      </c>
      <c r="P1192" s="113">
        <v>0</v>
      </c>
      <c r="Q1192" s="114" t="e">
        <f t="shared" si="348"/>
        <v>#DIV/0!</v>
      </c>
      <c r="R1192" s="115"/>
      <c r="S1192" s="335">
        <v>43830</v>
      </c>
    </row>
    <row r="1193" spans="1:30" customFormat="1" ht="31.2">
      <c r="A1193" s="107">
        <f t="shared" si="349"/>
        <v>107</v>
      </c>
      <c r="B1193" s="305" t="s">
        <v>296</v>
      </c>
      <c r="C1193" s="108">
        <v>1960</v>
      </c>
      <c r="D1193" s="108"/>
      <c r="E1193" s="109" t="s">
        <v>218</v>
      </c>
      <c r="F1193" s="110">
        <v>2</v>
      </c>
      <c r="G1193" s="110">
        <v>2</v>
      </c>
      <c r="H1193" s="111"/>
      <c r="I1193" s="111"/>
      <c r="J1193" s="111"/>
      <c r="K1193" s="112"/>
      <c r="L1193" s="113">
        <v>996585</v>
      </c>
      <c r="M1193" s="113">
        <v>0</v>
      </c>
      <c r="N1193" s="113">
        <v>0</v>
      </c>
      <c r="O1193" s="113">
        <f t="shared" si="347"/>
        <v>996585</v>
      </c>
      <c r="P1193" s="113">
        <v>0</v>
      </c>
      <c r="Q1193" s="114" t="e">
        <f t="shared" si="348"/>
        <v>#DIV/0!</v>
      </c>
      <c r="R1193" s="115"/>
      <c r="S1193" s="335">
        <v>43830</v>
      </c>
    </row>
    <row r="1194" spans="1:30" customFormat="1" ht="31.2">
      <c r="A1194" s="107">
        <f t="shared" si="349"/>
        <v>108</v>
      </c>
      <c r="B1194" s="305" t="s">
        <v>240</v>
      </c>
      <c r="C1194" s="118">
        <v>1955</v>
      </c>
      <c r="D1194" s="118"/>
      <c r="E1194" s="109" t="s">
        <v>218</v>
      </c>
      <c r="F1194" s="118">
        <v>2</v>
      </c>
      <c r="G1194" s="118">
        <v>2</v>
      </c>
      <c r="H1194" s="118"/>
      <c r="I1194" s="118"/>
      <c r="J1194" s="118"/>
      <c r="K1194" s="119"/>
      <c r="L1194" s="113">
        <v>637739</v>
      </c>
      <c r="M1194" s="113">
        <v>0</v>
      </c>
      <c r="N1194" s="113">
        <v>0</v>
      </c>
      <c r="O1194" s="113">
        <f t="shared" si="347"/>
        <v>637739</v>
      </c>
      <c r="P1194" s="113">
        <v>0</v>
      </c>
      <c r="Q1194" s="114" t="e">
        <f t="shared" si="348"/>
        <v>#DIV/0!</v>
      </c>
      <c r="R1194" s="115"/>
      <c r="S1194" s="335">
        <v>43830</v>
      </c>
    </row>
    <row r="1195" spans="1:30" customFormat="1" ht="15.6">
      <c r="A1195" s="107">
        <f t="shared" si="349"/>
        <v>109</v>
      </c>
      <c r="B1195" s="301" t="s">
        <v>243</v>
      </c>
      <c r="C1195" s="118">
        <v>1976</v>
      </c>
      <c r="D1195" s="118"/>
      <c r="E1195" s="109" t="s">
        <v>219</v>
      </c>
      <c r="F1195" s="118">
        <v>9</v>
      </c>
      <c r="G1195" s="118">
        <v>2</v>
      </c>
      <c r="H1195" s="118"/>
      <c r="I1195" s="118"/>
      <c r="J1195" s="118"/>
      <c r="K1195" s="119"/>
      <c r="L1195" s="113">
        <v>1357217</v>
      </c>
      <c r="M1195" s="113">
        <v>0</v>
      </c>
      <c r="N1195" s="113">
        <v>0</v>
      </c>
      <c r="O1195" s="113">
        <f t="shared" si="347"/>
        <v>1357217</v>
      </c>
      <c r="P1195" s="113">
        <v>0</v>
      </c>
      <c r="Q1195" s="114" t="e">
        <f t="shared" si="348"/>
        <v>#DIV/0!</v>
      </c>
      <c r="R1195" s="115"/>
      <c r="S1195" s="335">
        <v>43830</v>
      </c>
    </row>
    <row r="1196" spans="1:30" customFormat="1" ht="31.2">
      <c r="A1196" s="107">
        <f t="shared" si="349"/>
        <v>110</v>
      </c>
      <c r="B1196" s="305" t="s">
        <v>269</v>
      </c>
      <c r="C1196" s="118">
        <v>1952</v>
      </c>
      <c r="D1196" s="118"/>
      <c r="E1196" s="109" t="s">
        <v>218</v>
      </c>
      <c r="F1196" s="118">
        <v>2</v>
      </c>
      <c r="G1196" s="118">
        <v>2</v>
      </c>
      <c r="H1196" s="118"/>
      <c r="I1196" s="118"/>
      <c r="J1196" s="118"/>
      <c r="K1196" s="119"/>
      <c r="L1196" s="113">
        <v>836226</v>
      </c>
      <c r="M1196" s="113">
        <v>0</v>
      </c>
      <c r="N1196" s="113">
        <v>0</v>
      </c>
      <c r="O1196" s="113">
        <f t="shared" si="347"/>
        <v>836226</v>
      </c>
      <c r="P1196" s="113">
        <v>0</v>
      </c>
      <c r="Q1196" s="114" t="e">
        <f t="shared" si="348"/>
        <v>#DIV/0!</v>
      </c>
      <c r="R1196" s="115"/>
      <c r="S1196" s="335">
        <v>43830</v>
      </c>
    </row>
    <row r="1197" spans="1:30" customFormat="1" ht="31.2">
      <c r="A1197" s="107">
        <f t="shared" si="349"/>
        <v>111</v>
      </c>
      <c r="B1197" s="305" t="s">
        <v>299</v>
      </c>
      <c r="C1197" s="108">
        <v>1952</v>
      </c>
      <c r="D1197" s="108"/>
      <c r="E1197" s="109" t="s">
        <v>218</v>
      </c>
      <c r="F1197" s="110">
        <v>2</v>
      </c>
      <c r="G1197" s="110">
        <v>2</v>
      </c>
      <c r="H1197" s="111"/>
      <c r="I1197" s="111"/>
      <c r="J1197" s="111"/>
      <c r="K1197" s="112"/>
      <c r="L1197" s="113">
        <v>640078</v>
      </c>
      <c r="M1197" s="113">
        <v>0</v>
      </c>
      <c r="N1197" s="113">
        <v>0</v>
      </c>
      <c r="O1197" s="113">
        <f t="shared" si="347"/>
        <v>640078</v>
      </c>
      <c r="P1197" s="113">
        <v>0</v>
      </c>
      <c r="Q1197" s="114" t="e">
        <f t="shared" si="348"/>
        <v>#DIV/0!</v>
      </c>
      <c r="R1197" s="115"/>
      <c r="S1197" s="335">
        <v>43830</v>
      </c>
    </row>
    <row r="1198" spans="1:30" customFormat="1" ht="31.2">
      <c r="A1198" s="107">
        <f t="shared" si="349"/>
        <v>112</v>
      </c>
      <c r="B1198" s="301" t="s">
        <v>236</v>
      </c>
      <c r="C1198" s="118">
        <v>1959</v>
      </c>
      <c r="D1198" s="118"/>
      <c r="E1198" s="109" t="s">
        <v>218</v>
      </c>
      <c r="F1198" s="118">
        <v>2</v>
      </c>
      <c r="G1198" s="118">
        <v>2</v>
      </c>
      <c r="H1198" s="118"/>
      <c r="I1198" s="118"/>
      <c r="J1198" s="118"/>
      <c r="K1198" s="119"/>
      <c r="L1198" s="113">
        <v>202649</v>
      </c>
      <c r="M1198" s="113">
        <v>0</v>
      </c>
      <c r="N1198" s="113">
        <v>0</v>
      </c>
      <c r="O1198" s="113">
        <f t="shared" si="347"/>
        <v>202649</v>
      </c>
      <c r="P1198" s="113">
        <v>0</v>
      </c>
      <c r="Q1198" s="114" t="e">
        <f t="shared" si="348"/>
        <v>#DIV/0!</v>
      </c>
      <c r="R1198" s="115"/>
      <c r="S1198" s="335">
        <v>43830</v>
      </c>
    </row>
    <row r="1199" spans="1:30" customFormat="1" ht="31.2">
      <c r="A1199" s="107">
        <f t="shared" si="349"/>
        <v>113</v>
      </c>
      <c r="B1199" s="305" t="s">
        <v>285</v>
      </c>
      <c r="C1199" s="108">
        <v>1954</v>
      </c>
      <c r="D1199" s="108"/>
      <c r="E1199" s="109" t="s">
        <v>218</v>
      </c>
      <c r="F1199" s="121" t="s">
        <v>191</v>
      </c>
      <c r="G1199" s="110">
        <v>10</v>
      </c>
      <c r="H1199" s="111"/>
      <c r="I1199" s="111"/>
      <c r="J1199" s="111"/>
      <c r="K1199" s="112"/>
      <c r="L1199" s="113">
        <v>7892437</v>
      </c>
      <c r="M1199" s="113">
        <v>0</v>
      </c>
      <c r="N1199" s="113">
        <v>0</v>
      </c>
      <c r="O1199" s="113">
        <f t="shared" si="347"/>
        <v>7892437</v>
      </c>
      <c r="P1199" s="113">
        <v>0</v>
      </c>
      <c r="Q1199" s="114" t="e">
        <f t="shared" si="348"/>
        <v>#DIV/0!</v>
      </c>
      <c r="R1199" s="115"/>
      <c r="S1199" s="335">
        <v>43830</v>
      </c>
    </row>
    <row r="1200" spans="1:30" customFormat="1" ht="31.2">
      <c r="A1200" s="107">
        <f t="shared" si="349"/>
        <v>114</v>
      </c>
      <c r="B1200" s="305" t="s">
        <v>237</v>
      </c>
      <c r="C1200" s="118">
        <v>1950</v>
      </c>
      <c r="D1200" s="118"/>
      <c r="E1200" s="109" t="s">
        <v>218</v>
      </c>
      <c r="F1200" s="118">
        <v>2</v>
      </c>
      <c r="G1200" s="118">
        <v>1</v>
      </c>
      <c r="H1200" s="118"/>
      <c r="I1200" s="118"/>
      <c r="J1200" s="118"/>
      <c r="K1200" s="119"/>
      <c r="L1200" s="113">
        <v>523389</v>
      </c>
      <c r="M1200" s="113">
        <v>0</v>
      </c>
      <c r="N1200" s="113">
        <v>0</v>
      </c>
      <c r="O1200" s="113">
        <f t="shared" si="347"/>
        <v>523389</v>
      </c>
      <c r="P1200" s="113">
        <v>0</v>
      </c>
      <c r="Q1200" s="114" t="e">
        <f t="shared" si="348"/>
        <v>#DIV/0!</v>
      </c>
      <c r="R1200" s="115"/>
      <c r="S1200" s="335">
        <v>43830</v>
      </c>
    </row>
    <row r="1201" spans="1:30" customFormat="1" ht="15.6">
      <c r="A1201" s="107">
        <f t="shared" si="349"/>
        <v>115</v>
      </c>
      <c r="B1201" s="305" t="s">
        <v>264</v>
      </c>
      <c r="C1201" s="118">
        <v>1950</v>
      </c>
      <c r="D1201" s="118"/>
      <c r="E1201" s="109" t="s">
        <v>220</v>
      </c>
      <c r="F1201" s="118">
        <v>2</v>
      </c>
      <c r="G1201" s="118">
        <v>3</v>
      </c>
      <c r="H1201" s="118"/>
      <c r="I1201" s="118"/>
      <c r="J1201" s="118"/>
      <c r="K1201" s="119"/>
      <c r="L1201" s="113">
        <v>1038920</v>
      </c>
      <c r="M1201" s="113">
        <v>0</v>
      </c>
      <c r="N1201" s="113">
        <v>0</v>
      </c>
      <c r="O1201" s="113">
        <f t="shared" si="347"/>
        <v>1038920</v>
      </c>
      <c r="P1201" s="113">
        <v>0</v>
      </c>
      <c r="Q1201" s="114" t="e">
        <f t="shared" si="348"/>
        <v>#DIV/0!</v>
      </c>
      <c r="R1201" s="115"/>
      <c r="S1201" s="335">
        <v>43830</v>
      </c>
    </row>
    <row r="1202" spans="1:30" s="3" customFormat="1" ht="15.6">
      <c r="A1202" s="107">
        <f t="shared" si="349"/>
        <v>116</v>
      </c>
      <c r="B1202" s="305" t="s">
        <v>258</v>
      </c>
      <c r="C1202" s="118">
        <v>1950</v>
      </c>
      <c r="D1202" s="118"/>
      <c r="E1202" s="109" t="s">
        <v>220</v>
      </c>
      <c r="F1202" s="118">
        <v>2</v>
      </c>
      <c r="G1202" s="118">
        <v>2</v>
      </c>
      <c r="H1202" s="118"/>
      <c r="I1202" s="118"/>
      <c r="J1202" s="118"/>
      <c r="K1202" s="119"/>
      <c r="L1202" s="113">
        <v>1742553</v>
      </c>
      <c r="M1202" s="113">
        <v>0</v>
      </c>
      <c r="N1202" s="113">
        <v>0</v>
      </c>
      <c r="O1202" s="113">
        <f t="shared" si="347"/>
        <v>1742553</v>
      </c>
      <c r="P1202" s="113">
        <v>0</v>
      </c>
      <c r="Q1202" s="114" t="e">
        <f t="shared" si="348"/>
        <v>#DIV/0!</v>
      </c>
      <c r="R1202" s="115"/>
      <c r="S1202" s="335">
        <v>43830</v>
      </c>
      <c r="T1202"/>
      <c r="U1202"/>
      <c r="V1202"/>
      <c r="W1202"/>
      <c r="X1202"/>
      <c r="Y1202"/>
      <c r="Z1202"/>
      <c r="AA1202"/>
      <c r="AB1202"/>
      <c r="AC1202"/>
      <c r="AD1202"/>
    </row>
    <row r="1203" spans="1:30" customFormat="1" ht="31.2">
      <c r="A1203" s="107">
        <f t="shared" si="349"/>
        <v>117</v>
      </c>
      <c r="B1203" s="305" t="s">
        <v>250</v>
      </c>
      <c r="C1203" s="118">
        <v>1948</v>
      </c>
      <c r="D1203" s="118"/>
      <c r="E1203" s="109" t="s">
        <v>218</v>
      </c>
      <c r="F1203" s="118">
        <v>2</v>
      </c>
      <c r="G1203" s="118">
        <v>3</v>
      </c>
      <c r="H1203" s="118"/>
      <c r="I1203" s="118"/>
      <c r="J1203" s="118"/>
      <c r="K1203" s="119"/>
      <c r="L1203" s="113">
        <v>2124581</v>
      </c>
      <c r="M1203" s="113">
        <v>0</v>
      </c>
      <c r="N1203" s="113">
        <v>0</v>
      </c>
      <c r="O1203" s="113">
        <f t="shared" si="347"/>
        <v>2124581</v>
      </c>
      <c r="P1203" s="113">
        <v>0</v>
      </c>
      <c r="Q1203" s="114" t="e">
        <f t="shared" si="348"/>
        <v>#DIV/0!</v>
      </c>
      <c r="R1203" s="115"/>
      <c r="S1203" s="335">
        <v>43830</v>
      </c>
    </row>
    <row r="1204" spans="1:30" customFormat="1" ht="15.6">
      <c r="A1204" s="107">
        <f t="shared" si="349"/>
        <v>118</v>
      </c>
      <c r="B1204" s="305" t="s">
        <v>282</v>
      </c>
      <c r="C1204" s="107">
        <v>1948</v>
      </c>
      <c r="D1204" s="108"/>
      <c r="E1204" s="109" t="s">
        <v>220</v>
      </c>
      <c r="F1204" s="108">
        <v>2</v>
      </c>
      <c r="G1204" s="108">
        <v>3</v>
      </c>
      <c r="H1204" s="117"/>
      <c r="I1204" s="117"/>
      <c r="J1204" s="117"/>
      <c r="K1204" s="101"/>
      <c r="L1204" s="113">
        <v>2347478</v>
      </c>
      <c r="M1204" s="113">
        <v>0</v>
      </c>
      <c r="N1204" s="113">
        <v>0</v>
      </c>
      <c r="O1204" s="113">
        <f t="shared" si="347"/>
        <v>2347478</v>
      </c>
      <c r="P1204" s="113">
        <v>0</v>
      </c>
      <c r="Q1204" s="114" t="e">
        <f t="shared" si="348"/>
        <v>#DIV/0!</v>
      </c>
      <c r="R1204" s="115"/>
      <c r="S1204" s="335">
        <v>43830</v>
      </c>
    </row>
    <row r="1205" spans="1:30" customFormat="1" ht="31.2">
      <c r="A1205" s="107">
        <f t="shared" si="349"/>
        <v>119</v>
      </c>
      <c r="B1205" s="301" t="s">
        <v>267</v>
      </c>
      <c r="C1205" s="118">
        <v>1948</v>
      </c>
      <c r="D1205" s="118"/>
      <c r="E1205" s="109" t="s">
        <v>218</v>
      </c>
      <c r="F1205" s="118">
        <v>2</v>
      </c>
      <c r="G1205" s="118">
        <v>3</v>
      </c>
      <c r="H1205" s="118"/>
      <c r="I1205" s="118"/>
      <c r="J1205" s="118"/>
      <c r="K1205" s="119"/>
      <c r="L1205" s="113">
        <v>2468472</v>
      </c>
      <c r="M1205" s="113">
        <v>0</v>
      </c>
      <c r="N1205" s="113">
        <v>0</v>
      </c>
      <c r="O1205" s="113">
        <f t="shared" si="347"/>
        <v>2468472</v>
      </c>
      <c r="P1205" s="113">
        <v>0</v>
      </c>
      <c r="Q1205" s="114" t="e">
        <f t="shared" si="348"/>
        <v>#DIV/0!</v>
      </c>
      <c r="R1205" s="115"/>
      <c r="S1205" s="335">
        <v>43830</v>
      </c>
    </row>
    <row r="1206" spans="1:30" customFormat="1" ht="31.2">
      <c r="A1206" s="107">
        <f t="shared" si="349"/>
        <v>120</v>
      </c>
      <c r="B1206" s="305" t="s">
        <v>284</v>
      </c>
      <c r="C1206" s="108">
        <v>1950</v>
      </c>
      <c r="D1206" s="116"/>
      <c r="E1206" s="109" t="s">
        <v>218</v>
      </c>
      <c r="F1206" s="110">
        <v>2</v>
      </c>
      <c r="G1206" s="110">
        <v>2</v>
      </c>
      <c r="H1206" s="111"/>
      <c r="I1206" s="111"/>
      <c r="J1206" s="111"/>
      <c r="K1206" s="112"/>
      <c r="L1206" s="113">
        <v>1612780</v>
      </c>
      <c r="M1206" s="113">
        <v>0</v>
      </c>
      <c r="N1206" s="113">
        <v>0</v>
      </c>
      <c r="O1206" s="113">
        <f t="shared" si="347"/>
        <v>1612780</v>
      </c>
      <c r="P1206" s="113">
        <v>0</v>
      </c>
      <c r="Q1206" s="114" t="e">
        <f t="shared" si="348"/>
        <v>#DIV/0!</v>
      </c>
      <c r="R1206" s="115"/>
      <c r="S1206" s="335">
        <v>43830</v>
      </c>
    </row>
    <row r="1207" spans="1:30" customFormat="1" ht="31.2">
      <c r="A1207" s="107">
        <f t="shared" si="349"/>
        <v>121</v>
      </c>
      <c r="B1207" s="305" t="s">
        <v>256</v>
      </c>
      <c r="C1207" s="118">
        <v>1947</v>
      </c>
      <c r="D1207" s="118"/>
      <c r="E1207" s="109" t="s">
        <v>218</v>
      </c>
      <c r="F1207" s="118">
        <v>2</v>
      </c>
      <c r="G1207" s="118">
        <v>2</v>
      </c>
      <c r="H1207" s="118"/>
      <c r="I1207" s="118"/>
      <c r="J1207" s="118"/>
      <c r="K1207" s="119"/>
      <c r="L1207" s="113">
        <v>2580419</v>
      </c>
      <c r="M1207" s="113">
        <v>0</v>
      </c>
      <c r="N1207" s="113">
        <v>0</v>
      </c>
      <c r="O1207" s="113">
        <f t="shared" si="347"/>
        <v>2580419</v>
      </c>
      <c r="P1207" s="113">
        <v>0</v>
      </c>
      <c r="Q1207" s="114" t="e">
        <f t="shared" si="348"/>
        <v>#DIV/0!</v>
      </c>
      <c r="R1207" s="115"/>
      <c r="S1207" s="335">
        <v>43830</v>
      </c>
    </row>
    <row r="1208" spans="1:30" customFormat="1" ht="15.6">
      <c r="A1208" s="107">
        <f t="shared" si="349"/>
        <v>122</v>
      </c>
      <c r="B1208" s="301" t="s">
        <v>335</v>
      </c>
      <c r="C1208" s="118">
        <v>1963</v>
      </c>
      <c r="D1208" s="118"/>
      <c r="E1208" s="109" t="s">
        <v>219</v>
      </c>
      <c r="F1208" s="118">
        <v>5</v>
      </c>
      <c r="G1208" s="118">
        <v>4</v>
      </c>
      <c r="H1208" s="118"/>
      <c r="I1208" s="118"/>
      <c r="J1208" s="118"/>
      <c r="K1208" s="119"/>
      <c r="L1208" s="113">
        <v>1681645</v>
      </c>
      <c r="M1208" s="113">
        <v>0</v>
      </c>
      <c r="N1208" s="113">
        <v>0</v>
      </c>
      <c r="O1208" s="113">
        <f t="shared" si="347"/>
        <v>1681645</v>
      </c>
      <c r="P1208" s="113">
        <v>0</v>
      </c>
      <c r="Q1208" s="114" t="e">
        <f t="shared" si="348"/>
        <v>#DIV/0!</v>
      </c>
      <c r="R1208" s="115"/>
      <c r="S1208" s="335">
        <v>43830</v>
      </c>
    </row>
    <row r="1209" spans="1:30" customFormat="1" ht="31.2">
      <c r="A1209" s="107">
        <f t="shared" si="349"/>
        <v>123</v>
      </c>
      <c r="B1209" s="305" t="s">
        <v>255</v>
      </c>
      <c r="C1209" s="118">
        <v>1950</v>
      </c>
      <c r="D1209" s="118"/>
      <c r="E1209" s="109" t="s">
        <v>218</v>
      </c>
      <c r="F1209" s="118">
        <v>2</v>
      </c>
      <c r="G1209" s="118">
        <v>2</v>
      </c>
      <c r="H1209" s="118"/>
      <c r="I1209" s="118"/>
      <c r="J1209" s="118"/>
      <c r="K1209" s="119"/>
      <c r="L1209" s="113">
        <v>1318880</v>
      </c>
      <c r="M1209" s="113">
        <v>0</v>
      </c>
      <c r="N1209" s="113">
        <v>0</v>
      </c>
      <c r="O1209" s="113">
        <f t="shared" si="347"/>
        <v>1318880</v>
      </c>
      <c r="P1209" s="113">
        <v>0</v>
      </c>
      <c r="Q1209" s="114" t="e">
        <f t="shared" si="348"/>
        <v>#DIV/0!</v>
      </c>
      <c r="R1209" s="115"/>
      <c r="S1209" s="335">
        <v>43830</v>
      </c>
    </row>
    <row r="1210" spans="1:30" customFormat="1" ht="15.6">
      <c r="A1210" s="107">
        <f t="shared" si="349"/>
        <v>124</v>
      </c>
      <c r="B1210" s="305" t="s">
        <v>245</v>
      </c>
      <c r="C1210" s="118">
        <v>1949</v>
      </c>
      <c r="D1210" s="118"/>
      <c r="E1210" s="109" t="s">
        <v>220</v>
      </c>
      <c r="F1210" s="118">
        <v>2</v>
      </c>
      <c r="G1210" s="118">
        <v>1</v>
      </c>
      <c r="H1210" s="118"/>
      <c r="I1210" s="118"/>
      <c r="J1210" s="118"/>
      <c r="K1210" s="119"/>
      <c r="L1210" s="113">
        <v>1566345</v>
      </c>
      <c r="M1210" s="113">
        <v>0</v>
      </c>
      <c r="N1210" s="113">
        <v>0</v>
      </c>
      <c r="O1210" s="113">
        <f t="shared" si="347"/>
        <v>1566345</v>
      </c>
      <c r="P1210" s="113">
        <v>0</v>
      </c>
      <c r="Q1210" s="114" t="e">
        <f t="shared" si="348"/>
        <v>#DIV/0!</v>
      </c>
      <c r="R1210" s="115"/>
      <c r="S1210" s="335">
        <v>43830</v>
      </c>
    </row>
    <row r="1211" spans="1:30" customFormat="1" ht="31.2">
      <c r="A1211" s="107">
        <f t="shared" si="349"/>
        <v>125</v>
      </c>
      <c r="B1211" s="301" t="s">
        <v>449</v>
      </c>
      <c r="C1211" s="108">
        <v>1984</v>
      </c>
      <c r="D1211" s="108"/>
      <c r="E1211" s="109" t="s">
        <v>219</v>
      </c>
      <c r="F1211" s="110">
        <v>9</v>
      </c>
      <c r="G1211" s="110">
        <v>1</v>
      </c>
      <c r="H1211" s="111"/>
      <c r="I1211" s="111"/>
      <c r="J1211" s="111"/>
      <c r="K1211" s="112"/>
      <c r="L1211" s="113">
        <v>1910088</v>
      </c>
      <c r="M1211" s="113">
        <v>0</v>
      </c>
      <c r="N1211" s="113">
        <v>0</v>
      </c>
      <c r="O1211" s="113">
        <f t="shared" si="347"/>
        <v>1910088</v>
      </c>
      <c r="P1211" s="113">
        <v>0</v>
      </c>
      <c r="Q1211" s="114" t="e">
        <f t="shared" si="348"/>
        <v>#DIV/0!</v>
      </c>
      <c r="R1211" s="115"/>
      <c r="S1211" s="335">
        <v>43830</v>
      </c>
    </row>
    <row r="1212" spans="1:30" customFormat="1" ht="31.2">
      <c r="A1212" s="107">
        <f t="shared" si="349"/>
        <v>126</v>
      </c>
      <c r="B1212" s="305" t="s">
        <v>280</v>
      </c>
      <c r="C1212" s="107">
        <v>1966</v>
      </c>
      <c r="D1212" s="108"/>
      <c r="E1212" s="109" t="s">
        <v>218</v>
      </c>
      <c r="F1212" s="108">
        <v>5</v>
      </c>
      <c r="G1212" s="108">
        <v>3</v>
      </c>
      <c r="H1212" s="117"/>
      <c r="I1212" s="117"/>
      <c r="J1212" s="117"/>
      <c r="K1212" s="101"/>
      <c r="L1212" s="113">
        <v>2694957</v>
      </c>
      <c r="M1212" s="113">
        <v>0</v>
      </c>
      <c r="N1212" s="113">
        <v>0</v>
      </c>
      <c r="O1212" s="113">
        <f t="shared" si="347"/>
        <v>2694957</v>
      </c>
      <c r="P1212" s="113">
        <v>0</v>
      </c>
      <c r="Q1212" s="114" t="e">
        <f t="shared" si="348"/>
        <v>#DIV/0!</v>
      </c>
      <c r="R1212" s="115"/>
      <c r="S1212" s="335">
        <v>43830</v>
      </c>
    </row>
    <row r="1213" spans="1:30" customFormat="1" ht="31.2">
      <c r="A1213" s="107">
        <f t="shared" si="349"/>
        <v>127</v>
      </c>
      <c r="B1213" s="305" t="s">
        <v>367</v>
      </c>
      <c r="C1213" s="118">
        <v>1958</v>
      </c>
      <c r="D1213" s="118"/>
      <c r="E1213" s="109" t="s">
        <v>218</v>
      </c>
      <c r="F1213" s="118">
        <v>2</v>
      </c>
      <c r="G1213" s="118">
        <v>1</v>
      </c>
      <c r="H1213" s="118"/>
      <c r="I1213" s="118"/>
      <c r="J1213" s="118"/>
      <c r="K1213" s="119"/>
      <c r="L1213" s="113">
        <v>580578</v>
      </c>
      <c r="M1213" s="113">
        <v>0</v>
      </c>
      <c r="N1213" s="113">
        <v>0</v>
      </c>
      <c r="O1213" s="113">
        <f t="shared" si="347"/>
        <v>580578</v>
      </c>
      <c r="P1213" s="113">
        <v>0</v>
      </c>
      <c r="Q1213" s="114" t="e">
        <f t="shared" si="348"/>
        <v>#DIV/0!</v>
      </c>
      <c r="R1213" s="115"/>
      <c r="S1213" s="335">
        <v>43830</v>
      </c>
    </row>
    <row r="1214" spans="1:30" customFormat="1" ht="31.2">
      <c r="A1214" s="107">
        <f t="shared" si="349"/>
        <v>128</v>
      </c>
      <c r="B1214" s="305" t="s">
        <v>464</v>
      </c>
      <c r="C1214" s="118">
        <v>1971</v>
      </c>
      <c r="D1214" s="118"/>
      <c r="E1214" s="109" t="s">
        <v>218</v>
      </c>
      <c r="F1214" s="118">
        <v>2</v>
      </c>
      <c r="G1214" s="118">
        <v>1</v>
      </c>
      <c r="H1214" s="118"/>
      <c r="I1214" s="118"/>
      <c r="J1214" s="118"/>
      <c r="K1214" s="119"/>
      <c r="L1214" s="113">
        <v>615357</v>
      </c>
      <c r="M1214" s="113">
        <v>0</v>
      </c>
      <c r="N1214" s="113">
        <v>0</v>
      </c>
      <c r="O1214" s="113">
        <f t="shared" si="347"/>
        <v>615357</v>
      </c>
      <c r="P1214" s="113">
        <v>0</v>
      </c>
      <c r="Q1214" s="114" t="e">
        <f t="shared" si="348"/>
        <v>#DIV/0!</v>
      </c>
      <c r="R1214" s="115"/>
      <c r="S1214" s="335">
        <v>43830</v>
      </c>
    </row>
    <row r="1215" spans="1:30" customFormat="1" ht="31.2">
      <c r="A1215" s="107">
        <f t="shared" si="349"/>
        <v>129</v>
      </c>
      <c r="B1215" s="305" t="s">
        <v>385</v>
      </c>
      <c r="C1215" s="118">
        <v>1957</v>
      </c>
      <c r="D1215" s="118"/>
      <c r="E1215" s="109" t="s">
        <v>218</v>
      </c>
      <c r="F1215" s="118">
        <v>2</v>
      </c>
      <c r="G1215" s="118">
        <v>1</v>
      </c>
      <c r="H1215" s="118"/>
      <c r="I1215" s="118"/>
      <c r="J1215" s="118"/>
      <c r="K1215" s="119"/>
      <c r="L1215" s="113">
        <v>269948.13</v>
      </c>
      <c r="M1215" s="113">
        <v>0</v>
      </c>
      <c r="N1215" s="113">
        <v>0</v>
      </c>
      <c r="O1215" s="113">
        <f t="shared" ref="O1215:O1254" si="350">L1215</f>
        <v>269948.13</v>
      </c>
      <c r="P1215" s="113">
        <v>0</v>
      </c>
      <c r="Q1215" s="114" t="e">
        <f t="shared" ref="Q1215:Q1254" si="351">L1215/I1215</f>
        <v>#DIV/0!</v>
      </c>
      <c r="R1215" s="115"/>
      <c r="S1215" s="335">
        <v>43830</v>
      </c>
    </row>
    <row r="1216" spans="1:30" customFormat="1" ht="15.6">
      <c r="A1216" s="107">
        <f t="shared" si="349"/>
        <v>130</v>
      </c>
      <c r="B1216" s="305" t="s">
        <v>238</v>
      </c>
      <c r="C1216" s="118">
        <v>1924</v>
      </c>
      <c r="D1216" s="118"/>
      <c r="E1216" s="109" t="s">
        <v>221</v>
      </c>
      <c r="F1216" s="118">
        <v>2</v>
      </c>
      <c r="G1216" s="118">
        <v>2</v>
      </c>
      <c r="H1216" s="118"/>
      <c r="I1216" s="118"/>
      <c r="J1216" s="118"/>
      <c r="K1216" s="119"/>
      <c r="L1216" s="113">
        <v>807980</v>
      </c>
      <c r="M1216" s="113">
        <v>0</v>
      </c>
      <c r="N1216" s="113">
        <v>0</v>
      </c>
      <c r="O1216" s="113">
        <f t="shared" si="350"/>
        <v>807980</v>
      </c>
      <c r="P1216" s="113">
        <v>0</v>
      </c>
      <c r="Q1216" s="114" t="e">
        <f t="shared" si="351"/>
        <v>#DIV/0!</v>
      </c>
      <c r="R1216" s="115"/>
      <c r="S1216" s="335">
        <v>43830</v>
      </c>
    </row>
    <row r="1217" spans="1:19" customFormat="1" ht="31.2">
      <c r="A1217" s="107">
        <f t="shared" ref="A1217:A1273" si="352">A1216+1</f>
        <v>131</v>
      </c>
      <c r="B1217" s="305" t="s">
        <v>273</v>
      </c>
      <c r="C1217" s="107">
        <v>1949</v>
      </c>
      <c r="D1217" s="108"/>
      <c r="E1217" s="109" t="s">
        <v>218</v>
      </c>
      <c r="F1217" s="108">
        <v>2</v>
      </c>
      <c r="G1217" s="108">
        <v>1</v>
      </c>
      <c r="H1217" s="117"/>
      <c r="I1217" s="117"/>
      <c r="J1217" s="117"/>
      <c r="K1217" s="101"/>
      <c r="L1217" s="113">
        <v>661525</v>
      </c>
      <c r="M1217" s="113">
        <v>0</v>
      </c>
      <c r="N1217" s="113">
        <v>0</v>
      </c>
      <c r="O1217" s="113">
        <f t="shared" si="350"/>
        <v>661525</v>
      </c>
      <c r="P1217" s="113">
        <v>0</v>
      </c>
      <c r="Q1217" s="114" t="e">
        <f t="shared" si="351"/>
        <v>#DIV/0!</v>
      </c>
      <c r="R1217" s="115"/>
      <c r="S1217" s="335">
        <v>43830</v>
      </c>
    </row>
    <row r="1218" spans="1:19" customFormat="1" ht="15.6">
      <c r="A1218" s="107">
        <f t="shared" si="352"/>
        <v>132</v>
      </c>
      <c r="B1218" s="305" t="s">
        <v>297</v>
      </c>
      <c r="C1218" s="108">
        <v>1981</v>
      </c>
      <c r="D1218" s="108"/>
      <c r="E1218" s="109" t="s">
        <v>219</v>
      </c>
      <c r="F1218" s="110">
        <v>9</v>
      </c>
      <c r="G1218" s="110">
        <v>2</v>
      </c>
      <c r="H1218" s="111"/>
      <c r="I1218" s="111"/>
      <c r="J1218" s="111"/>
      <c r="K1218" s="112"/>
      <c r="L1218" s="113">
        <v>3719885</v>
      </c>
      <c r="M1218" s="113">
        <v>0</v>
      </c>
      <c r="N1218" s="113">
        <v>0</v>
      </c>
      <c r="O1218" s="113">
        <f t="shared" si="350"/>
        <v>3719885</v>
      </c>
      <c r="P1218" s="113">
        <v>0</v>
      </c>
      <c r="Q1218" s="114" t="e">
        <f t="shared" si="351"/>
        <v>#DIV/0!</v>
      </c>
      <c r="R1218" s="115"/>
      <c r="S1218" s="335">
        <v>43830</v>
      </c>
    </row>
    <row r="1219" spans="1:19" customFormat="1" ht="31.2">
      <c r="A1219" s="107">
        <f t="shared" si="352"/>
        <v>133</v>
      </c>
      <c r="B1219" s="305" t="s">
        <v>263</v>
      </c>
      <c r="C1219" s="118">
        <v>1949</v>
      </c>
      <c r="D1219" s="118"/>
      <c r="E1219" s="109" t="s">
        <v>218</v>
      </c>
      <c r="F1219" s="118">
        <v>2</v>
      </c>
      <c r="G1219" s="118">
        <v>2</v>
      </c>
      <c r="H1219" s="118"/>
      <c r="I1219" s="118"/>
      <c r="J1219" s="118"/>
      <c r="K1219" s="119"/>
      <c r="L1219" s="113">
        <v>1726391</v>
      </c>
      <c r="M1219" s="113">
        <v>0</v>
      </c>
      <c r="N1219" s="113">
        <v>0</v>
      </c>
      <c r="O1219" s="113">
        <f t="shared" si="350"/>
        <v>1726391</v>
      </c>
      <c r="P1219" s="113">
        <v>0</v>
      </c>
      <c r="Q1219" s="114" t="e">
        <f t="shared" si="351"/>
        <v>#DIV/0!</v>
      </c>
      <c r="R1219" s="115"/>
      <c r="S1219" s="335">
        <v>43830</v>
      </c>
    </row>
    <row r="1220" spans="1:19" customFormat="1" ht="15.6">
      <c r="A1220" s="107">
        <f t="shared" si="352"/>
        <v>134</v>
      </c>
      <c r="B1220" s="305" t="s">
        <v>235</v>
      </c>
      <c r="C1220" s="118">
        <v>1950</v>
      </c>
      <c r="D1220" s="118"/>
      <c r="E1220" s="109" t="s">
        <v>220</v>
      </c>
      <c r="F1220" s="118">
        <v>2</v>
      </c>
      <c r="G1220" s="118">
        <v>1</v>
      </c>
      <c r="H1220" s="118"/>
      <c r="I1220" s="118"/>
      <c r="J1220" s="118"/>
      <c r="K1220" s="119"/>
      <c r="L1220" s="113">
        <v>1521754</v>
      </c>
      <c r="M1220" s="113">
        <v>0</v>
      </c>
      <c r="N1220" s="113">
        <v>0</v>
      </c>
      <c r="O1220" s="113">
        <f t="shared" si="350"/>
        <v>1521754</v>
      </c>
      <c r="P1220" s="113">
        <v>0</v>
      </c>
      <c r="Q1220" s="114" t="e">
        <f t="shared" si="351"/>
        <v>#DIV/0!</v>
      </c>
      <c r="R1220" s="115"/>
      <c r="S1220" s="335">
        <v>43830</v>
      </c>
    </row>
    <row r="1221" spans="1:19" customFormat="1" ht="31.2">
      <c r="A1221" s="107">
        <f t="shared" si="352"/>
        <v>135</v>
      </c>
      <c r="B1221" s="301" t="s">
        <v>227</v>
      </c>
      <c r="C1221" s="118">
        <v>1937</v>
      </c>
      <c r="D1221" s="118"/>
      <c r="E1221" s="109" t="s">
        <v>218</v>
      </c>
      <c r="F1221" s="118">
        <v>2</v>
      </c>
      <c r="G1221" s="118">
        <v>1</v>
      </c>
      <c r="H1221" s="118"/>
      <c r="I1221" s="118"/>
      <c r="J1221" s="118"/>
      <c r="K1221" s="119"/>
      <c r="L1221" s="113">
        <v>671505</v>
      </c>
      <c r="M1221" s="113">
        <v>0</v>
      </c>
      <c r="N1221" s="113">
        <v>0</v>
      </c>
      <c r="O1221" s="113">
        <f t="shared" si="350"/>
        <v>671505</v>
      </c>
      <c r="P1221" s="113">
        <v>0</v>
      </c>
      <c r="Q1221" s="114" t="e">
        <f t="shared" si="351"/>
        <v>#DIV/0!</v>
      </c>
      <c r="R1221" s="115"/>
      <c r="S1221" s="335">
        <v>43830</v>
      </c>
    </row>
    <row r="1222" spans="1:19" customFormat="1" ht="31.2">
      <c r="A1222" s="107">
        <f t="shared" si="352"/>
        <v>136</v>
      </c>
      <c r="B1222" s="305" t="s">
        <v>339</v>
      </c>
      <c r="C1222" s="118">
        <v>1961</v>
      </c>
      <c r="D1222" s="118"/>
      <c r="E1222" s="109" t="s">
        <v>218</v>
      </c>
      <c r="F1222" s="118">
        <v>3</v>
      </c>
      <c r="G1222" s="118">
        <v>2</v>
      </c>
      <c r="H1222" s="118"/>
      <c r="I1222" s="118"/>
      <c r="J1222" s="118"/>
      <c r="K1222" s="119"/>
      <c r="L1222" s="113">
        <v>1081718</v>
      </c>
      <c r="M1222" s="113">
        <v>0</v>
      </c>
      <c r="N1222" s="113">
        <v>0</v>
      </c>
      <c r="O1222" s="113">
        <f t="shared" si="350"/>
        <v>1081718</v>
      </c>
      <c r="P1222" s="113">
        <v>0</v>
      </c>
      <c r="Q1222" s="114" t="e">
        <f t="shared" si="351"/>
        <v>#DIV/0!</v>
      </c>
      <c r="R1222" s="115"/>
      <c r="S1222" s="335">
        <v>43830</v>
      </c>
    </row>
    <row r="1223" spans="1:19" customFormat="1" ht="15.6">
      <c r="A1223" s="107">
        <f t="shared" si="352"/>
        <v>137</v>
      </c>
      <c r="B1223" s="305" t="s">
        <v>231</v>
      </c>
      <c r="C1223" s="118">
        <v>1960</v>
      </c>
      <c r="D1223" s="118"/>
      <c r="E1223" s="109" t="s">
        <v>220</v>
      </c>
      <c r="F1223" s="118">
        <v>3</v>
      </c>
      <c r="G1223" s="118">
        <v>2</v>
      </c>
      <c r="H1223" s="118"/>
      <c r="I1223" s="118"/>
      <c r="J1223" s="118"/>
      <c r="K1223" s="119"/>
      <c r="L1223" s="113">
        <v>206635</v>
      </c>
      <c r="M1223" s="113">
        <v>0</v>
      </c>
      <c r="N1223" s="113">
        <v>0</v>
      </c>
      <c r="O1223" s="113">
        <f t="shared" si="350"/>
        <v>206635</v>
      </c>
      <c r="P1223" s="113">
        <v>0</v>
      </c>
      <c r="Q1223" s="114" t="e">
        <f t="shared" si="351"/>
        <v>#DIV/0!</v>
      </c>
      <c r="R1223" s="115"/>
      <c r="S1223" s="335">
        <v>43830</v>
      </c>
    </row>
    <row r="1224" spans="1:19" customFormat="1" ht="15.6">
      <c r="A1224" s="107">
        <f t="shared" si="352"/>
        <v>138</v>
      </c>
      <c r="B1224" s="301" t="s">
        <v>300</v>
      </c>
      <c r="C1224" s="108">
        <v>1961</v>
      </c>
      <c r="D1224" s="108"/>
      <c r="E1224" s="109" t="s">
        <v>220</v>
      </c>
      <c r="F1224" s="110">
        <v>3</v>
      </c>
      <c r="G1224" s="110">
        <v>2</v>
      </c>
      <c r="H1224" s="111"/>
      <c r="I1224" s="111"/>
      <c r="J1224" s="111"/>
      <c r="K1224" s="112"/>
      <c r="L1224" s="113">
        <v>1044081.04</v>
      </c>
      <c r="M1224" s="113">
        <v>0</v>
      </c>
      <c r="N1224" s="113">
        <v>0</v>
      </c>
      <c r="O1224" s="113">
        <f t="shared" si="350"/>
        <v>1044081.04</v>
      </c>
      <c r="P1224" s="113">
        <v>0</v>
      </c>
      <c r="Q1224" s="114" t="e">
        <f t="shared" si="351"/>
        <v>#DIV/0!</v>
      </c>
      <c r="R1224" s="115"/>
      <c r="S1224" s="335">
        <v>43830</v>
      </c>
    </row>
    <row r="1225" spans="1:19" customFormat="1" ht="31.2">
      <c r="A1225" s="107">
        <f t="shared" si="352"/>
        <v>139</v>
      </c>
      <c r="B1225" s="301" t="s">
        <v>283</v>
      </c>
      <c r="C1225" s="107">
        <v>1959</v>
      </c>
      <c r="D1225" s="108"/>
      <c r="E1225" s="109" t="s">
        <v>218</v>
      </c>
      <c r="F1225" s="108">
        <v>2</v>
      </c>
      <c r="G1225" s="108">
        <v>2</v>
      </c>
      <c r="H1225" s="117"/>
      <c r="I1225" s="117"/>
      <c r="J1225" s="117"/>
      <c r="K1225" s="101"/>
      <c r="L1225" s="113">
        <v>1340000</v>
      </c>
      <c r="M1225" s="113">
        <v>0</v>
      </c>
      <c r="N1225" s="113">
        <v>0</v>
      </c>
      <c r="O1225" s="113">
        <f t="shared" si="350"/>
        <v>1340000</v>
      </c>
      <c r="P1225" s="113">
        <v>0</v>
      </c>
      <c r="Q1225" s="114" t="e">
        <f t="shared" si="351"/>
        <v>#DIV/0!</v>
      </c>
      <c r="R1225" s="115"/>
      <c r="S1225" s="335">
        <v>43830</v>
      </c>
    </row>
    <row r="1226" spans="1:19" customFormat="1" ht="15.6">
      <c r="A1226" s="107">
        <f t="shared" si="352"/>
        <v>140</v>
      </c>
      <c r="B1226" s="305" t="s">
        <v>450</v>
      </c>
      <c r="C1226" s="107">
        <v>1975</v>
      </c>
      <c r="D1226" s="108"/>
      <c r="E1226" s="109" t="s">
        <v>219</v>
      </c>
      <c r="F1226" s="108">
        <v>5</v>
      </c>
      <c r="G1226" s="108">
        <v>6</v>
      </c>
      <c r="H1226" s="117"/>
      <c r="I1226" s="117"/>
      <c r="J1226" s="117"/>
      <c r="K1226" s="101"/>
      <c r="L1226" s="113">
        <v>2294529</v>
      </c>
      <c r="M1226" s="113">
        <v>0</v>
      </c>
      <c r="N1226" s="113">
        <v>0</v>
      </c>
      <c r="O1226" s="113">
        <f t="shared" si="350"/>
        <v>2294529</v>
      </c>
      <c r="P1226" s="113">
        <v>0</v>
      </c>
      <c r="Q1226" s="114" t="e">
        <f t="shared" si="351"/>
        <v>#DIV/0!</v>
      </c>
      <c r="R1226" s="115"/>
      <c r="S1226" s="335">
        <v>43830</v>
      </c>
    </row>
    <row r="1227" spans="1:19" customFormat="1" ht="15.6">
      <c r="A1227" s="107">
        <f t="shared" si="352"/>
        <v>141</v>
      </c>
      <c r="B1227" s="305" t="s">
        <v>230</v>
      </c>
      <c r="C1227" s="118">
        <v>1981</v>
      </c>
      <c r="D1227" s="118"/>
      <c r="E1227" s="109" t="s">
        <v>219</v>
      </c>
      <c r="F1227" s="118">
        <v>9</v>
      </c>
      <c r="G1227" s="118">
        <v>2</v>
      </c>
      <c r="H1227" s="118"/>
      <c r="I1227" s="118"/>
      <c r="J1227" s="118"/>
      <c r="K1227" s="119"/>
      <c r="L1227" s="113">
        <v>2615616.2000000002</v>
      </c>
      <c r="M1227" s="113">
        <v>0</v>
      </c>
      <c r="N1227" s="113">
        <v>0</v>
      </c>
      <c r="O1227" s="113">
        <f t="shared" si="350"/>
        <v>2615616.2000000002</v>
      </c>
      <c r="P1227" s="113">
        <v>0</v>
      </c>
      <c r="Q1227" s="114" t="e">
        <f t="shared" si="351"/>
        <v>#DIV/0!</v>
      </c>
      <c r="R1227" s="115"/>
      <c r="S1227" s="335">
        <v>43830</v>
      </c>
    </row>
    <row r="1228" spans="1:19" customFormat="1" ht="31.2">
      <c r="A1228" s="107">
        <f t="shared" si="352"/>
        <v>142</v>
      </c>
      <c r="B1228" s="301" t="s">
        <v>295</v>
      </c>
      <c r="C1228" s="108">
        <v>1964</v>
      </c>
      <c r="D1228" s="108"/>
      <c r="E1228" s="109" t="s">
        <v>218</v>
      </c>
      <c r="F1228" s="110">
        <v>5</v>
      </c>
      <c r="G1228" s="110">
        <v>3</v>
      </c>
      <c r="H1228" s="111"/>
      <c r="I1228" s="111"/>
      <c r="J1228" s="111"/>
      <c r="K1228" s="112"/>
      <c r="L1228" s="113">
        <v>1561539</v>
      </c>
      <c r="M1228" s="113">
        <v>0</v>
      </c>
      <c r="N1228" s="113">
        <v>0</v>
      </c>
      <c r="O1228" s="113">
        <f t="shared" si="350"/>
        <v>1561539</v>
      </c>
      <c r="P1228" s="113">
        <v>0</v>
      </c>
      <c r="Q1228" s="114" t="e">
        <f t="shared" si="351"/>
        <v>#DIV/0!</v>
      </c>
      <c r="R1228" s="115"/>
      <c r="S1228" s="335">
        <v>43830</v>
      </c>
    </row>
    <row r="1229" spans="1:19" customFormat="1" ht="31.2">
      <c r="A1229" s="107">
        <f t="shared" si="352"/>
        <v>143</v>
      </c>
      <c r="B1229" s="305" t="s">
        <v>294</v>
      </c>
      <c r="C1229" s="108">
        <v>1960</v>
      </c>
      <c r="D1229" s="108"/>
      <c r="E1229" s="109" t="s">
        <v>218</v>
      </c>
      <c r="F1229" s="110">
        <v>5</v>
      </c>
      <c r="G1229" s="110">
        <v>2</v>
      </c>
      <c r="H1229" s="111"/>
      <c r="I1229" s="111"/>
      <c r="J1229" s="111"/>
      <c r="K1229" s="112"/>
      <c r="L1229" s="113">
        <v>1421187</v>
      </c>
      <c r="M1229" s="113">
        <v>0</v>
      </c>
      <c r="N1229" s="113">
        <v>0</v>
      </c>
      <c r="O1229" s="113">
        <f t="shared" si="350"/>
        <v>1421187</v>
      </c>
      <c r="P1229" s="113">
        <v>0</v>
      </c>
      <c r="Q1229" s="114" t="e">
        <f t="shared" si="351"/>
        <v>#DIV/0!</v>
      </c>
      <c r="R1229" s="115"/>
      <c r="S1229" s="335">
        <v>43830</v>
      </c>
    </row>
    <row r="1230" spans="1:19" customFormat="1" ht="15.6">
      <c r="A1230" s="107">
        <f t="shared" si="352"/>
        <v>144</v>
      </c>
      <c r="B1230" s="305" t="s">
        <v>270</v>
      </c>
      <c r="C1230" s="118">
        <v>1962</v>
      </c>
      <c r="D1230" s="118"/>
      <c r="E1230" s="109" t="s">
        <v>219</v>
      </c>
      <c r="F1230" s="118">
        <v>4</v>
      </c>
      <c r="G1230" s="118">
        <v>4</v>
      </c>
      <c r="H1230" s="118"/>
      <c r="I1230" s="118"/>
      <c r="J1230" s="118"/>
      <c r="K1230" s="119"/>
      <c r="L1230" s="113">
        <v>2469740</v>
      </c>
      <c r="M1230" s="113">
        <v>0</v>
      </c>
      <c r="N1230" s="113">
        <v>0</v>
      </c>
      <c r="O1230" s="113">
        <f t="shared" si="350"/>
        <v>2469740</v>
      </c>
      <c r="P1230" s="113">
        <v>0</v>
      </c>
      <c r="Q1230" s="114" t="e">
        <f t="shared" si="351"/>
        <v>#DIV/0!</v>
      </c>
      <c r="R1230" s="115"/>
      <c r="S1230" s="335">
        <v>43830</v>
      </c>
    </row>
    <row r="1231" spans="1:19" customFormat="1" ht="31.2">
      <c r="A1231" s="107">
        <f t="shared" si="352"/>
        <v>145</v>
      </c>
      <c r="B1231" s="305" t="s">
        <v>252</v>
      </c>
      <c r="C1231" s="118">
        <v>1986</v>
      </c>
      <c r="D1231" s="118"/>
      <c r="E1231" s="109" t="s">
        <v>218</v>
      </c>
      <c r="F1231" s="118">
        <v>9</v>
      </c>
      <c r="G1231" s="118">
        <v>1</v>
      </c>
      <c r="H1231" s="118"/>
      <c r="I1231" s="118"/>
      <c r="J1231" s="118"/>
      <c r="K1231" s="119"/>
      <c r="L1231" s="113">
        <v>1104857</v>
      </c>
      <c r="M1231" s="113">
        <v>0</v>
      </c>
      <c r="N1231" s="113">
        <v>0</v>
      </c>
      <c r="O1231" s="113">
        <f t="shared" si="350"/>
        <v>1104857</v>
      </c>
      <c r="P1231" s="113">
        <v>0</v>
      </c>
      <c r="Q1231" s="114" t="e">
        <f t="shared" si="351"/>
        <v>#DIV/0!</v>
      </c>
      <c r="R1231" s="115"/>
      <c r="S1231" s="335">
        <v>43830</v>
      </c>
    </row>
    <row r="1232" spans="1:19" customFormat="1" ht="31.2">
      <c r="A1232" s="107">
        <f t="shared" si="352"/>
        <v>146</v>
      </c>
      <c r="B1232" s="305" t="s">
        <v>304</v>
      </c>
      <c r="C1232" s="108">
        <v>1989</v>
      </c>
      <c r="D1232" s="108"/>
      <c r="E1232" s="109" t="s">
        <v>218</v>
      </c>
      <c r="F1232" s="110">
        <v>9</v>
      </c>
      <c r="G1232" s="110">
        <v>1</v>
      </c>
      <c r="H1232" s="111"/>
      <c r="I1232" s="111"/>
      <c r="J1232" s="111"/>
      <c r="K1232" s="112"/>
      <c r="L1232" s="113">
        <v>1877378</v>
      </c>
      <c r="M1232" s="113">
        <v>0</v>
      </c>
      <c r="N1232" s="113">
        <v>0</v>
      </c>
      <c r="O1232" s="113">
        <f t="shared" si="350"/>
        <v>1877378</v>
      </c>
      <c r="P1232" s="113">
        <v>0</v>
      </c>
      <c r="Q1232" s="114" t="e">
        <f t="shared" si="351"/>
        <v>#DIV/0!</v>
      </c>
      <c r="R1232" s="115"/>
      <c r="S1232" s="335">
        <v>43830</v>
      </c>
    </row>
    <row r="1233" spans="1:30" customFormat="1" ht="31.2">
      <c r="A1233" s="107">
        <f t="shared" si="352"/>
        <v>147</v>
      </c>
      <c r="B1233" s="305" t="s">
        <v>228</v>
      </c>
      <c r="C1233" s="118" t="s">
        <v>190</v>
      </c>
      <c r="D1233" s="118"/>
      <c r="E1233" s="109" t="s">
        <v>218</v>
      </c>
      <c r="F1233" s="118">
        <v>4</v>
      </c>
      <c r="G1233" s="118">
        <v>2</v>
      </c>
      <c r="H1233" s="118"/>
      <c r="I1233" s="118"/>
      <c r="J1233" s="118"/>
      <c r="K1233" s="119"/>
      <c r="L1233" s="113">
        <v>2945836</v>
      </c>
      <c r="M1233" s="113">
        <v>0</v>
      </c>
      <c r="N1233" s="113">
        <v>0</v>
      </c>
      <c r="O1233" s="113">
        <f t="shared" si="350"/>
        <v>2945836</v>
      </c>
      <c r="P1233" s="113">
        <v>0</v>
      </c>
      <c r="Q1233" s="114" t="e">
        <f t="shared" si="351"/>
        <v>#DIV/0!</v>
      </c>
      <c r="R1233" s="115"/>
      <c r="S1233" s="335">
        <v>43830</v>
      </c>
    </row>
    <row r="1234" spans="1:30" customFormat="1" ht="31.2">
      <c r="A1234" s="107">
        <f t="shared" si="352"/>
        <v>148</v>
      </c>
      <c r="B1234" s="305" t="s">
        <v>225</v>
      </c>
      <c r="C1234" s="118">
        <v>1932</v>
      </c>
      <c r="D1234" s="118"/>
      <c r="E1234" s="109" t="s">
        <v>218</v>
      </c>
      <c r="F1234" s="118">
        <v>5</v>
      </c>
      <c r="G1234" s="118">
        <v>5</v>
      </c>
      <c r="H1234" s="118"/>
      <c r="I1234" s="118"/>
      <c r="J1234" s="118"/>
      <c r="K1234" s="119"/>
      <c r="L1234" s="113">
        <v>1118494</v>
      </c>
      <c r="M1234" s="113">
        <v>0</v>
      </c>
      <c r="N1234" s="113">
        <v>0</v>
      </c>
      <c r="O1234" s="113">
        <f t="shared" si="350"/>
        <v>1118494</v>
      </c>
      <c r="P1234" s="113">
        <v>0</v>
      </c>
      <c r="Q1234" s="114" t="e">
        <f t="shared" si="351"/>
        <v>#DIV/0!</v>
      </c>
      <c r="R1234" s="115"/>
      <c r="S1234" s="335">
        <v>43830</v>
      </c>
    </row>
    <row r="1235" spans="1:30" customFormat="1" ht="31.2">
      <c r="A1235" s="107">
        <f t="shared" si="352"/>
        <v>149</v>
      </c>
      <c r="B1235" s="305" t="s">
        <v>232</v>
      </c>
      <c r="C1235" s="118" t="s">
        <v>190</v>
      </c>
      <c r="D1235" s="118"/>
      <c r="E1235" s="109" t="s">
        <v>218</v>
      </c>
      <c r="F1235" s="118">
        <v>3</v>
      </c>
      <c r="G1235" s="118">
        <v>2</v>
      </c>
      <c r="H1235" s="118"/>
      <c r="I1235" s="118"/>
      <c r="J1235" s="118"/>
      <c r="K1235" s="119"/>
      <c r="L1235" s="113">
        <v>2540427</v>
      </c>
      <c r="M1235" s="113">
        <v>0</v>
      </c>
      <c r="N1235" s="113">
        <v>0</v>
      </c>
      <c r="O1235" s="113">
        <f t="shared" si="350"/>
        <v>2540427</v>
      </c>
      <c r="P1235" s="113">
        <v>0</v>
      </c>
      <c r="Q1235" s="114" t="e">
        <f t="shared" si="351"/>
        <v>#DIV/0!</v>
      </c>
      <c r="R1235" s="115"/>
      <c r="S1235" s="335">
        <v>43830</v>
      </c>
    </row>
    <row r="1236" spans="1:30" customFormat="1" ht="31.2">
      <c r="A1236" s="107">
        <f t="shared" si="352"/>
        <v>150</v>
      </c>
      <c r="B1236" s="305" t="s">
        <v>275</v>
      </c>
      <c r="C1236" s="107">
        <v>1951</v>
      </c>
      <c r="D1236" s="108"/>
      <c r="E1236" s="109" t="s">
        <v>218</v>
      </c>
      <c r="F1236" s="108">
        <v>3</v>
      </c>
      <c r="G1236" s="108">
        <v>3</v>
      </c>
      <c r="H1236" s="117"/>
      <c r="I1236" s="117"/>
      <c r="J1236" s="117"/>
      <c r="K1236" s="101"/>
      <c r="L1236" s="113">
        <v>2253297</v>
      </c>
      <c r="M1236" s="113">
        <v>0</v>
      </c>
      <c r="N1236" s="113">
        <v>0</v>
      </c>
      <c r="O1236" s="113">
        <f t="shared" si="350"/>
        <v>2253297</v>
      </c>
      <c r="P1236" s="113">
        <v>0</v>
      </c>
      <c r="Q1236" s="114" t="e">
        <f t="shared" si="351"/>
        <v>#DIV/0!</v>
      </c>
      <c r="R1236" s="115"/>
      <c r="S1236" s="335">
        <v>43830</v>
      </c>
    </row>
    <row r="1237" spans="1:30" customFormat="1" ht="21.75" customHeight="1">
      <c r="A1237" s="107">
        <f t="shared" si="352"/>
        <v>151</v>
      </c>
      <c r="B1237" s="305" t="s">
        <v>286</v>
      </c>
      <c r="C1237" s="108">
        <v>1971</v>
      </c>
      <c r="D1237" s="108"/>
      <c r="E1237" s="109" t="s">
        <v>219</v>
      </c>
      <c r="F1237" s="110">
        <v>5</v>
      </c>
      <c r="G1237" s="110">
        <v>4</v>
      </c>
      <c r="H1237" s="111"/>
      <c r="I1237" s="111"/>
      <c r="J1237" s="111"/>
      <c r="K1237" s="112"/>
      <c r="L1237" s="113">
        <v>1390061</v>
      </c>
      <c r="M1237" s="113">
        <v>0</v>
      </c>
      <c r="N1237" s="113">
        <v>0</v>
      </c>
      <c r="O1237" s="113">
        <f t="shared" si="350"/>
        <v>1390061</v>
      </c>
      <c r="P1237" s="113">
        <v>0</v>
      </c>
      <c r="Q1237" s="114" t="e">
        <f t="shared" si="351"/>
        <v>#DIV/0!</v>
      </c>
      <c r="R1237" s="115"/>
      <c r="S1237" s="335">
        <v>43830</v>
      </c>
    </row>
    <row r="1238" spans="1:30" customFormat="1" ht="31.2">
      <c r="A1238" s="107">
        <f t="shared" si="352"/>
        <v>152</v>
      </c>
      <c r="B1238" s="301" t="s">
        <v>342</v>
      </c>
      <c r="C1238" s="107">
        <v>1961</v>
      </c>
      <c r="D1238" s="108"/>
      <c r="E1238" s="109" t="s">
        <v>218</v>
      </c>
      <c r="F1238" s="108">
        <v>5</v>
      </c>
      <c r="G1238" s="108">
        <v>4</v>
      </c>
      <c r="H1238" s="117"/>
      <c r="I1238" s="117"/>
      <c r="J1238" s="117"/>
      <c r="K1238" s="101"/>
      <c r="L1238" s="113">
        <v>3213804</v>
      </c>
      <c r="M1238" s="113">
        <v>0</v>
      </c>
      <c r="N1238" s="113">
        <v>0</v>
      </c>
      <c r="O1238" s="113">
        <f t="shared" si="350"/>
        <v>3213804</v>
      </c>
      <c r="P1238" s="113">
        <v>0</v>
      </c>
      <c r="Q1238" s="114" t="e">
        <f t="shared" si="351"/>
        <v>#DIV/0!</v>
      </c>
      <c r="R1238" s="115"/>
      <c r="S1238" s="335">
        <v>43830</v>
      </c>
    </row>
    <row r="1239" spans="1:30" customFormat="1" ht="31.2">
      <c r="A1239" s="107">
        <f t="shared" si="352"/>
        <v>153</v>
      </c>
      <c r="B1239" s="305" t="s">
        <v>298</v>
      </c>
      <c r="C1239" s="108">
        <v>1958</v>
      </c>
      <c r="D1239" s="108"/>
      <c r="E1239" s="109" t="s">
        <v>218</v>
      </c>
      <c r="F1239" s="110">
        <v>4</v>
      </c>
      <c r="G1239" s="110">
        <v>3</v>
      </c>
      <c r="H1239" s="111"/>
      <c r="I1239" s="111"/>
      <c r="J1239" s="111"/>
      <c r="K1239" s="112"/>
      <c r="L1239" s="113">
        <v>3202371</v>
      </c>
      <c r="M1239" s="113">
        <v>0</v>
      </c>
      <c r="N1239" s="113">
        <v>0</v>
      </c>
      <c r="O1239" s="113">
        <f t="shared" si="350"/>
        <v>3202371</v>
      </c>
      <c r="P1239" s="113">
        <v>0</v>
      </c>
      <c r="Q1239" s="114" t="e">
        <f t="shared" si="351"/>
        <v>#DIV/0!</v>
      </c>
      <c r="R1239" s="115"/>
      <c r="S1239" s="335">
        <v>43830</v>
      </c>
    </row>
    <row r="1240" spans="1:30" s="3" customFormat="1" ht="31.2">
      <c r="A1240" s="107">
        <f t="shared" si="352"/>
        <v>154</v>
      </c>
      <c r="B1240" s="305" t="s">
        <v>253</v>
      </c>
      <c r="C1240" s="118">
        <v>1959</v>
      </c>
      <c r="D1240" s="118"/>
      <c r="E1240" s="109" t="s">
        <v>218</v>
      </c>
      <c r="F1240" s="118">
        <v>2</v>
      </c>
      <c r="G1240" s="118">
        <v>1</v>
      </c>
      <c r="H1240" s="118"/>
      <c r="I1240" s="118"/>
      <c r="J1240" s="118"/>
      <c r="K1240" s="119"/>
      <c r="L1240" s="113">
        <v>709022</v>
      </c>
      <c r="M1240" s="113">
        <v>0</v>
      </c>
      <c r="N1240" s="113">
        <v>0</v>
      </c>
      <c r="O1240" s="113">
        <f t="shared" si="350"/>
        <v>709022</v>
      </c>
      <c r="P1240" s="113">
        <v>0</v>
      </c>
      <c r="Q1240" s="114" t="e">
        <f t="shared" si="351"/>
        <v>#DIV/0!</v>
      </c>
      <c r="R1240" s="115"/>
      <c r="S1240" s="335">
        <v>43830</v>
      </c>
      <c r="T1240"/>
      <c r="U1240"/>
      <c r="V1240"/>
      <c r="W1240"/>
      <c r="X1240"/>
      <c r="Y1240"/>
      <c r="Z1240"/>
      <c r="AA1240"/>
      <c r="AB1240"/>
      <c r="AC1240"/>
      <c r="AD1240"/>
    </row>
    <row r="1241" spans="1:30" customFormat="1" ht="31.2">
      <c r="A1241" s="107">
        <f t="shared" si="352"/>
        <v>155</v>
      </c>
      <c r="B1241" s="305" t="s">
        <v>260</v>
      </c>
      <c r="C1241" s="118">
        <v>1958</v>
      </c>
      <c r="D1241" s="118"/>
      <c r="E1241" s="109" t="s">
        <v>218</v>
      </c>
      <c r="F1241" s="118">
        <v>2</v>
      </c>
      <c r="G1241" s="118">
        <v>1</v>
      </c>
      <c r="H1241" s="118"/>
      <c r="I1241" s="118"/>
      <c r="J1241" s="118"/>
      <c r="K1241" s="119"/>
      <c r="L1241" s="113">
        <v>1136930</v>
      </c>
      <c r="M1241" s="113">
        <v>0</v>
      </c>
      <c r="N1241" s="113">
        <v>0</v>
      </c>
      <c r="O1241" s="113">
        <f t="shared" si="350"/>
        <v>1136930</v>
      </c>
      <c r="P1241" s="113">
        <v>0</v>
      </c>
      <c r="Q1241" s="114" t="e">
        <f t="shared" si="351"/>
        <v>#DIV/0!</v>
      </c>
      <c r="R1241" s="115"/>
      <c r="S1241" s="335">
        <v>43830</v>
      </c>
    </row>
    <row r="1242" spans="1:30" customFormat="1" ht="31.2">
      <c r="A1242" s="107">
        <f t="shared" si="352"/>
        <v>156</v>
      </c>
      <c r="B1242" s="305" t="s">
        <v>349</v>
      </c>
      <c r="C1242" s="108">
        <v>1958</v>
      </c>
      <c r="D1242" s="108"/>
      <c r="E1242" s="109" t="s">
        <v>218</v>
      </c>
      <c r="F1242" s="110">
        <v>2</v>
      </c>
      <c r="G1242" s="110">
        <v>2</v>
      </c>
      <c r="H1242" s="111"/>
      <c r="I1242" s="111"/>
      <c r="J1242" s="111"/>
      <c r="K1242" s="112"/>
      <c r="L1242" s="113">
        <v>1320636</v>
      </c>
      <c r="M1242" s="113">
        <v>0</v>
      </c>
      <c r="N1242" s="113">
        <v>0</v>
      </c>
      <c r="O1242" s="113">
        <f t="shared" si="350"/>
        <v>1320636</v>
      </c>
      <c r="P1242" s="113">
        <v>0</v>
      </c>
      <c r="Q1242" s="114" t="e">
        <f t="shared" si="351"/>
        <v>#DIV/0!</v>
      </c>
      <c r="R1242" s="115"/>
      <c r="S1242" s="335">
        <v>43830</v>
      </c>
    </row>
    <row r="1243" spans="1:30" customFormat="1" ht="15.6">
      <c r="A1243" s="107">
        <f t="shared" si="352"/>
        <v>157</v>
      </c>
      <c r="B1243" s="305" t="s">
        <v>302</v>
      </c>
      <c r="C1243" s="108">
        <v>1986</v>
      </c>
      <c r="D1243" s="108"/>
      <c r="E1243" s="109" t="s">
        <v>219</v>
      </c>
      <c r="F1243" s="110">
        <v>9</v>
      </c>
      <c r="G1243" s="110">
        <v>3</v>
      </c>
      <c r="H1243" s="111"/>
      <c r="I1243" s="111"/>
      <c r="J1243" s="111"/>
      <c r="K1243" s="112"/>
      <c r="L1243" s="113">
        <v>4265098</v>
      </c>
      <c r="M1243" s="113">
        <v>0</v>
      </c>
      <c r="N1243" s="113">
        <v>0</v>
      </c>
      <c r="O1243" s="113">
        <f t="shared" si="350"/>
        <v>4265098</v>
      </c>
      <c r="P1243" s="113">
        <v>0</v>
      </c>
      <c r="Q1243" s="114" t="e">
        <f t="shared" si="351"/>
        <v>#DIV/0!</v>
      </c>
      <c r="R1243" s="115"/>
      <c r="S1243" s="335">
        <v>43830</v>
      </c>
    </row>
    <row r="1244" spans="1:30" customFormat="1" ht="31.2">
      <c r="A1244" s="107">
        <f t="shared" si="352"/>
        <v>158</v>
      </c>
      <c r="B1244" s="305" t="s">
        <v>341</v>
      </c>
      <c r="C1244" s="107">
        <v>1963</v>
      </c>
      <c r="D1244" s="108"/>
      <c r="E1244" s="109" t="s">
        <v>218</v>
      </c>
      <c r="F1244" s="108">
        <v>4</v>
      </c>
      <c r="G1244" s="108">
        <v>4</v>
      </c>
      <c r="H1244" s="117"/>
      <c r="I1244" s="117"/>
      <c r="J1244" s="117"/>
      <c r="K1244" s="101"/>
      <c r="L1244" s="113">
        <v>2115890</v>
      </c>
      <c r="M1244" s="113">
        <v>0</v>
      </c>
      <c r="N1244" s="113">
        <v>0</v>
      </c>
      <c r="O1244" s="113">
        <f t="shared" si="350"/>
        <v>2115890</v>
      </c>
      <c r="P1244" s="113">
        <v>0</v>
      </c>
      <c r="Q1244" s="114" t="e">
        <f t="shared" si="351"/>
        <v>#DIV/0!</v>
      </c>
      <c r="R1244" s="115"/>
      <c r="S1244" s="335">
        <v>43830</v>
      </c>
    </row>
    <row r="1245" spans="1:30" customFormat="1" ht="31.2">
      <c r="A1245" s="107">
        <f t="shared" si="352"/>
        <v>159</v>
      </c>
      <c r="B1245" s="301" t="s">
        <v>242</v>
      </c>
      <c r="C1245" s="118">
        <v>1961</v>
      </c>
      <c r="D1245" s="118"/>
      <c r="E1245" s="109" t="s">
        <v>218</v>
      </c>
      <c r="F1245" s="118">
        <v>3</v>
      </c>
      <c r="G1245" s="118">
        <v>2</v>
      </c>
      <c r="H1245" s="118"/>
      <c r="I1245" s="118"/>
      <c r="J1245" s="118"/>
      <c r="K1245" s="119"/>
      <c r="L1245" s="113">
        <v>482251.51</v>
      </c>
      <c r="M1245" s="113">
        <v>0</v>
      </c>
      <c r="N1245" s="113">
        <v>0</v>
      </c>
      <c r="O1245" s="113">
        <f t="shared" si="350"/>
        <v>482251.51</v>
      </c>
      <c r="P1245" s="113">
        <v>0</v>
      </c>
      <c r="Q1245" s="114" t="e">
        <f t="shared" si="351"/>
        <v>#DIV/0!</v>
      </c>
      <c r="R1245" s="115"/>
      <c r="S1245" s="335">
        <v>43830</v>
      </c>
    </row>
    <row r="1246" spans="1:30" customFormat="1" ht="31.2">
      <c r="A1246" s="107">
        <f t="shared" si="352"/>
        <v>160</v>
      </c>
      <c r="B1246" s="305" t="s">
        <v>279</v>
      </c>
      <c r="C1246" s="107">
        <v>1959</v>
      </c>
      <c r="D1246" s="108"/>
      <c r="E1246" s="109" t="s">
        <v>218</v>
      </c>
      <c r="F1246" s="108">
        <v>3</v>
      </c>
      <c r="G1246" s="108">
        <v>2</v>
      </c>
      <c r="H1246" s="117"/>
      <c r="I1246" s="117"/>
      <c r="J1246" s="117"/>
      <c r="K1246" s="101"/>
      <c r="L1246" s="113">
        <v>1018040.92</v>
      </c>
      <c r="M1246" s="113">
        <v>0</v>
      </c>
      <c r="N1246" s="113">
        <v>0</v>
      </c>
      <c r="O1246" s="113">
        <f t="shared" si="350"/>
        <v>1018040.92</v>
      </c>
      <c r="P1246" s="113">
        <v>0</v>
      </c>
      <c r="Q1246" s="114" t="e">
        <f t="shared" si="351"/>
        <v>#DIV/0!</v>
      </c>
      <c r="R1246" s="115"/>
      <c r="S1246" s="335">
        <v>43830</v>
      </c>
    </row>
    <row r="1247" spans="1:30" customFormat="1" ht="31.2">
      <c r="A1247" s="107">
        <f t="shared" si="352"/>
        <v>161</v>
      </c>
      <c r="B1247" s="305" t="s">
        <v>262</v>
      </c>
      <c r="C1247" s="118">
        <v>1977</v>
      </c>
      <c r="D1247" s="118"/>
      <c r="E1247" s="109" t="s">
        <v>218</v>
      </c>
      <c r="F1247" s="118">
        <v>9</v>
      </c>
      <c r="G1247" s="118">
        <v>1</v>
      </c>
      <c r="H1247" s="118"/>
      <c r="I1247" s="118"/>
      <c r="J1247" s="118"/>
      <c r="K1247" s="119"/>
      <c r="L1247" s="113">
        <v>1871554</v>
      </c>
      <c r="M1247" s="113">
        <v>0</v>
      </c>
      <c r="N1247" s="113">
        <v>0</v>
      </c>
      <c r="O1247" s="113">
        <f t="shared" si="350"/>
        <v>1871554</v>
      </c>
      <c r="P1247" s="113">
        <v>0</v>
      </c>
      <c r="Q1247" s="114" t="e">
        <f t="shared" si="351"/>
        <v>#DIV/0!</v>
      </c>
      <c r="R1247" s="115"/>
      <c r="S1247" s="335">
        <v>43830</v>
      </c>
    </row>
    <row r="1248" spans="1:30" customFormat="1" ht="31.2">
      <c r="A1248" s="107">
        <f t="shared" si="352"/>
        <v>162</v>
      </c>
      <c r="B1248" s="301" t="s">
        <v>290</v>
      </c>
      <c r="C1248" s="108">
        <v>1974</v>
      </c>
      <c r="D1248" s="108"/>
      <c r="E1248" s="109" t="s">
        <v>218</v>
      </c>
      <c r="F1248" s="110">
        <v>5</v>
      </c>
      <c r="G1248" s="110">
        <v>4</v>
      </c>
      <c r="H1248" s="111"/>
      <c r="I1248" s="111"/>
      <c r="J1248" s="111"/>
      <c r="K1248" s="112"/>
      <c r="L1248" s="113">
        <v>2652530</v>
      </c>
      <c r="M1248" s="113">
        <v>0</v>
      </c>
      <c r="N1248" s="113">
        <v>0</v>
      </c>
      <c r="O1248" s="113">
        <f t="shared" si="350"/>
        <v>2652530</v>
      </c>
      <c r="P1248" s="113">
        <v>0</v>
      </c>
      <c r="Q1248" s="114" t="e">
        <f t="shared" si="351"/>
        <v>#DIV/0!</v>
      </c>
      <c r="R1248" s="115"/>
      <c r="S1248" s="335">
        <v>43830</v>
      </c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</row>
    <row r="1249" spans="1:30" customFormat="1" ht="15.6">
      <c r="A1249" s="107">
        <f t="shared" si="352"/>
        <v>163</v>
      </c>
      <c r="B1249" s="305" t="s">
        <v>356</v>
      </c>
      <c r="C1249" s="108">
        <v>1974</v>
      </c>
      <c r="D1249" s="108"/>
      <c r="E1249" s="109" t="s">
        <v>219</v>
      </c>
      <c r="F1249" s="110">
        <v>5</v>
      </c>
      <c r="G1249" s="110">
        <v>6</v>
      </c>
      <c r="H1249" s="111"/>
      <c r="I1249" s="111"/>
      <c r="J1249" s="111"/>
      <c r="K1249" s="112"/>
      <c r="L1249" s="113">
        <v>3645969</v>
      </c>
      <c r="M1249" s="113">
        <v>0</v>
      </c>
      <c r="N1249" s="113">
        <v>0</v>
      </c>
      <c r="O1249" s="113">
        <f t="shared" si="350"/>
        <v>3645969</v>
      </c>
      <c r="P1249" s="113">
        <v>0</v>
      </c>
      <c r="Q1249" s="114" t="e">
        <f t="shared" si="351"/>
        <v>#DIV/0!</v>
      </c>
      <c r="R1249" s="115"/>
      <c r="S1249" s="335">
        <v>43830</v>
      </c>
    </row>
    <row r="1250" spans="1:30" s="62" customFormat="1" ht="15.6">
      <c r="A1250" s="107">
        <f t="shared" si="352"/>
        <v>164</v>
      </c>
      <c r="B1250" s="305" t="s">
        <v>354</v>
      </c>
      <c r="C1250" s="107">
        <v>1986</v>
      </c>
      <c r="D1250" s="108"/>
      <c r="E1250" s="109" t="s">
        <v>219</v>
      </c>
      <c r="F1250" s="108">
        <v>9</v>
      </c>
      <c r="G1250" s="108">
        <v>1</v>
      </c>
      <c r="H1250" s="117"/>
      <c r="I1250" s="117"/>
      <c r="J1250" s="117"/>
      <c r="K1250" s="101"/>
      <c r="L1250" s="113">
        <v>771330</v>
      </c>
      <c r="M1250" s="113">
        <v>0</v>
      </c>
      <c r="N1250" s="113">
        <v>0</v>
      </c>
      <c r="O1250" s="113">
        <f t="shared" si="350"/>
        <v>771330</v>
      </c>
      <c r="P1250" s="113">
        <v>0</v>
      </c>
      <c r="Q1250" s="114" t="e">
        <f t="shared" si="351"/>
        <v>#DIV/0!</v>
      </c>
      <c r="R1250" s="115"/>
      <c r="S1250" s="335">
        <v>43830</v>
      </c>
      <c r="T1250"/>
      <c r="U1250"/>
      <c r="V1250"/>
      <c r="W1250"/>
      <c r="X1250"/>
      <c r="Y1250"/>
      <c r="Z1250"/>
      <c r="AA1250"/>
      <c r="AB1250"/>
      <c r="AC1250"/>
      <c r="AD1250"/>
    </row>
    <row r="1251" spans="1:30" customFormat="1" ht="15.6">
      <c r="A1251" s="107">
        <f t="shared" si="352"/>
        <v>165</v>
      </c>
      <c r="B1251" s="301" t="s">
        <v>352</v>
      </c>
      <c r="C1251" s="118">
        <v>1972</v>
      </c>
      <c r="D1251" s="118"/>
      <c r="E1251" s="109" t="s">
        <v>219</v>
      </c>
      <c r="F1251" s="118">
        <v>9</v>
      </c>
      <c r="G1251" s="118">
        <v>1</v>
      </c>
      <c r="H1251" s="118"/>
      <c r="I1251" s="118"/>
      <c r="J1251" s="118"/>
      <c r="K1251" s="119"/>
      <c r="L1251" s="113">
        <v>1894719</v>
      </c>
      <c r="M1251" s="113">
        <v>0</v>
      </c>
      <c r="N1251" s="113">
        <v>0</v>
      </c>
      <c r="O1251" s="113">
        <f t="shared" si="350"/>
        <v>1894719</v>
      </c>
      <c r="P1251" s="113">
        <v>0</v>
      </c>
      <c r="Q1251" s="114" t="e">
        <f t="shared" si="351"/>
        <v>#DIV/0!</v>
      </c>
      <c r="R1251" s="115"/>
      <c r="S1251" s="335">
        <v>43830</v>
      </c>
    </row>
    <row r="1252" spans="1:30" customFormat="1" ht="31.2">
      <c r="A1252" s="107">
        <f t="shared" si="352"/>
        <v>166</v>
      </c>
      <c r="B1252" s="305" t="s">
        <v>355</v>
      </c>
      <c r="C1252" s="107">
        <v>1964</v>
      </c>
      <c r="D1252" s="108"/>
      <c r="E1252" s="109" t="s">
        <v>218</v>
      </c>
      <c r="F1252" s="108">
        <v>5</v>
      </c>
      <c r="G1252" s="108">
        <v>3</v>
      </c>
      <c r="H1252" s="117"/>
      <c r="I1252" s="117"/>
      <c r="J1252" s="117"/>
      <c r="K1252" s="101"/>
      <c r="L1252" s="113">
        <v>1492412</v>
      </c>
      <c r="M1252" s="113">
        <v>0</v>
      </c>
      <c r="N1252" s="113">
        <v>0</v>
      </c>
      <c r="O1252" s="113">
        <f t="shared" si="350"/>
        <v>1492412</v>
      </c>
      <c r="P1252" s="113">
        <v>0</v>
      </c>
      <c r="Q1252" s="114" t="e">
        <f t="shared" si="351"/>
        <v>#DIV/0!</v>
      </c>
      <c r="R1252" s="115"/>
      <c r="S1252" s="335">
        <v>43830</v>
      </c>
    </row>
    <row r="1253" spans="1:30" customFormat="1" ht="31.2">
      <c r="A1253" s="107">
        <f t="shared" si="352"/>
        <v>167</v>
      </c>
      <c r="B1253" s="301" t="s">
        <v>318</v>
      </c>
      <c r="C1253" s="118">
        <v>1884</v>
      </c>
      <c r="D1253" s="118"/>
      <c r="E1253" s="109" t="s">
        <v>218</v>
      </c>
      <c r="F1253" s="118">
        <v>2</v>
      </c>
      <c r="G1253" s="118">
        <v>2</v>
      </c>
      <c r="H1253" s="118"/>
      <c r="I1253" s="118"/>
      <c r="J1253" s="118"/>
      <c r="K1253" s="119"/>
      <c r="L1253" s="113">
        <v>651523.25</v>
      </c>
      <c r="M1253" s="113">
        <v>0</v>
      </c>
      <c r="N1253" s="113">
        <v>0</v>
      </c>
      <c r="O1253" s="113">
        <f t="shared" si="350"/>
        <v>651523.25</v>
      </c>
      <c r="P1253" s="113">
        <v>0</v>
      </c>
      <c r="Q1253" s="114" t="e">
        <f t="shared" si="351"/>
        <v>#DIV/0!</v>
      </c>
      <c r="R1253" s="115"/>
      <c r="S1253" s="335">
        <v>43830</v>
      </c>
    </row>
    <row r="1254" spans="1:30" customFormat="1" ht="15.6">
      <c r="A1254" s="107">
        <f t="shared" si="352"/>
        <v>168</v>
      </c>
      <c r="B1254" s="305" t="s">
        <v>353</v>
      </c>
      <c r="C1254" s="118">
        <v>1948</v>
      </c>
      <c r="D1254" s="118"/>
      <c r="E1254" s="109" t="s">
        <v>220</v>
      </c>
      <c r="F1254" s="118">
        <v>2</v>
      </c>
      <c r="G1254" s="118">
        <v>2</v>
      </c>
      <c r="H1254" s="118"/>
      <c r="I1254" s="118"/>
      <c r="J1254" s="118"/>
      <c r="K1254" s="119"/>
      <c r="L1254" s="113">
        <v>1221424.83</v>
      </c>
      <c r="M1254" s="113">
        <v>0</v>
      </c>
      <c r="N1254" s="113">
        <v>0</v>
      </c>
      <c r="O1254" s="113">
        <f t="shared" si="350"/>
        <v>1221424.83</v>
      </c>
      <c r="P1254" s="113">
        <v>0</v>
      </c>
      <c r="Q1254" s="114" t="e">
        <f t="shared" si="351"/>
        <v>#DIV/0!</v>
      </c>
      <c r="R1254" s="115"/>
      <c r="S1254" s="335">
        <v>43830</v>
      </c>
    </row>
    <row r="1255" spans="1:30" s="1" customFormat="1" ht="30.6" customHeight="1">
      <c r="A1255" s="107"/>
      <c r="B1255" s="1483" t="s">
        <v>91</v>
      </c>
      <c r="C1255" s="1483"/>
      <c r="D1255" s="1483"/>
      <c r="E1255" s="1483"/>
      <c r="F1255" s="1484"/>
      <c r="G1255" s="1484"/>
      <c r="H1255" s="891">
        <f t="shared" ref="H1255:P1255" si="353">SUM(H1256:H1266)</f>
        <v>14224.600000000002</v>
      </c>
      <c r="I1255" s="891">
        <f t="shared" si="353"/>
        <v>11656.000000000002</v>
      </c>
      <c r="J1255" s="891">
        <f t="shared" si="353"/>
        <v>9609.0999999999985</v>
      </c>
      <c r="K1255" s="892">
        <f t="shared" si="353"/>
        <v>391</v>
      </c>
      <c r="L1255" s="113">
        <f t="shared" si="353"/>
        <v>20085822.140000001</v>
      </c>
      <c r="M1255" s="113">
        <f t="shared" si="353"/>
        <v>0</v>
      </c>
      <c r="N1255" s="113">
        <f t="shared" si="353"/>
        <v>0</v>
      </c>
      <c r="O1255" s="113">
        <f t="shared" si="353"/>
        <v>20085822.140000001</v>
      </c>
      <c r="P1255" s="113">
        <f t="shared" si="353"/>
        <v>0</v>
      </c>
      <c r="Q1255" s="106" t="s">
        <v>40</v>
      </c>
      <c r="R1255" s="106" t="s">
        <v>40</v>
      </c>
      <c r="S1255" s="335">
        <v>43830</v>
      </c>
    </row>
    <row r="1256" spans="1:30" s="30" customFormat="1" ht="21.6" customHeight="1">
      <c r="A1256" s="107">
        <v>1</v>
      </c>
      <c r="B1256" s="889" t="s">
        <v>963</v>
      </c>
      <c r="C1256" s="108">
        <v>1938</v>
      </c>
      <c r="D1256" s="108"/>
      <c r="E1256" s="611" t="s">
        <v>962</v>
      </c>
      <c r="F1256" s="764">
        <v>1</v>
      </c>
      <c r="G1256" s="764">
        <v>1</v>
      </c>
      <c r="H1256" s="764">
        <v>178.4</v>
      </c>
      <c r="I1256" s="764">
        <v>167.5</v>
      </c>
      <c r="J1256" s="764">
        <v>178.4</v>
      </c>
      <c r="K1256" s="764">
        <v>8</v>
      </c>
      <c r="L1256" s="655">
        <f>O1256</f>
        <v>568539.85</v>
      </c>
      <c r="M1256" s="113">
        <v>0</v>
      </c>
      <c r="N1256" s="113">
        <v>0</v>
      </c>
      <c r="O1256" s="113">
        <v>568539.85</v>
      </c>
      <c r="P1256" s="113">
        <v>0</v>
      </c>
      <c r="Q1256" s="114">
        <f t="shared" ref="Q1256:Q1266" si="354">L1256/I1256</f>
        <v>3394.2677611940298</v>
      </c>
      <c r="R1256" s="114">
        <v>7920</v>
      </c>
      <c r="S1256" s="335">
        <v>43830</v>
      </c>
    </row>
    <row r="1257" spans="1:30" s="30" customFormat="1" ht="29.4" customHeight="1">
      <c r="A1257" s="107">
        <v>2</v>
      </c>
      <c r="B1257" s="889" t="s">
        <v>964</v>
      </c>
      <c r="C1257" s="108">
        <v>1917</v>
      </c>
      <c r="D1257" s="108"/>
      <c r="E1257" s="611" t="s">
        <v>962</v>
      </c>
      <c r="F1257" s="764">
        <v>2</v>
      </c>
      <c r="G1257" s="764">
        <v>1</v>
      </c>
      <c r="H1257" s="764">
        <v>153.19999999999999</v>
      </c>
      <c r="I1257" s="764">
        <v>140.69999999999999</v>
      </c>
      <c r="J1257" s="764">
        <v>117.3</v>
      </c>
      <c r="K1257" s="764">
        <v>7</v>
      </c>
      <c r="L1257" s="655">
        <f t="shared" ref="L1257:L1266" si="355">O1257</f>
        <v>690413</v>
      </c>
      <c r="M1257" s="113">
        <v>0</v>
      </c>
      <c r="N1257" s="113">
        <v>0</v>
      </c>
      <c r="O1257" s="113">
        <v>690413</v>
      </c>
      <c r="P1257" s="113">
        <v>0</v>
      </c>
      <c r="Q1257" s="114">
        <f t="shared" si="354"/>
        <v>4906.9864960909745</v>
      </c>
      <c r="R1257" s="114">
        <v>7920</v>
      </c>
      <c r="S1257" s="335">
        <v>43830</v>
      </c>
    </row>
    <row r="1258" spans="1:30" s="30" customFormat="1" ht="31.2">
      <c r="A1258" s="107">
        <v>3</v>
      </c>
      <c r="B1258" s="889" t="s">
        <v>965</v>
      </c>
      <c r="C1258" s="108">
        <v>1959</v>
      </c>
      <c r="D1258" s="108"/>
      <c r="E1258" s="611" t="s">
        <v>974</v>
      </c>
      <c r="F1258" s="764">
        <v>2</v>
      </c>
      <c r="G1258" s="764">
        <v>2</v>
      </c>
      <c r="H1258" s="764">
        <v>671.6</v>
      </c>
      <c r="I1258" s="764">
        <v>671.1</v>
      </c>
      <c r="J1258" s="764">
        <v>659.2</v>
      </c>
      <c r="K1258" s="764">
        <v>21</v>
      </c>
      <c r="L1258" s="655">
        <f t="shared" si="355"/>
        <v>1677206</v>
      </c>
      <c r="M1258" s="113">
        <v>0</v>
      </c>
      <c r="N1258" s="113">
        <v>0</v>
      </c>
      <c r="O1258" s="113">
        <v>1677206</v>
      </c>
      <c r="P1258" s="113">
        <v>0</v>
      </c>
      <c r="Q1258" s="114">
        <f t="shared" si="354"/>
        <v>2499.1893905528236</v>
      </c>
      <c r="R1258" s="114">
        <v>7920</v>
      </c>
      <c r="S1258" s="335">
        <v>43830</v>
      </c>
    </row>
    <row r="1259" spans="1:30" s="30" customFormat="1" ht="31.2">
      <c r="A1259" s="107">
        <v>4</v>
      </c>
      <c r="B1259" s="889" t="s">
        <v>966</v>
      </c>
      <c r="C1259" s="108">
        <v>1960</v>
      </c>
      <c r="D1259" s="108"/>
      <c r="E1259" s="611" t="s">
        <v>218</v>
      </c>
      <c r="F1259" s="764">
        <v>2</v>
      </c>
      <c r="G1259" s="764">
        <v>2</v>
      </c>
      <c r="H1259" s="764">
        <v>620.70000000000005</v>
      </c>
      <c r="I1259" s="764">
        <v>620.70000000000005</v>
      </c>
      <c r="J1259" s="764">
        <v>591.5</v>
      </c>
      <c r="K1259" s="764">
        <v>23</v>
      </c>
      <c r="L1259" s="655">
        <f t="shared" si="355"/>
        <v>1912197</v>
      </c>
      <c r="M1259" s="113">
        <v>0</v>
      </c>
      <c r="N1259" s="113">
        <v>0</v>
      </c>
      <c r="O1259" s="113">
        <v>1912197</v>
      </c>
      <c r="P1259" s="113">
        <v>0</v>
      </c>
      <c r="Q1259" s="114">
        <f t="shared" si="354"/>
        <v>3080.7104881585306</v>
      </c>
      <c r="R1259" s="114">
        <v>7920</v>
      </c>
      <c r="S1259" s="335">
        <v>43830</v>
      </c>
    </row>
    <row r="1260" spans="1:30" s="30" customFormat="1" ht="31.2">
      <c r="A1260" s="107">
        <v>5</v>
      </c>
      <c r="B1260" s="889" t="s">
        <v>967</v>
      </c>
      <c r="C1260" s="108">
        <v>1960</v>
      </c>
      <c r="D1260" s="108"/>
      <c r="E1260" s="611" t="s">
        <v>218</v>
      </c>
      <c r="F1260" s="764">
        <v>3</v>
      </c>
      <c r="G1260" s="764">
        <v>3</v>
      </c>
      <c r="H1260" s="764">
        <v>1641.6</v>
      </c>
      <c r="I1260" s="764">
        <v>1533.4</v>
      </c>
      <c r="J1260" s="764">
        <v>1492.4</v>
      </c>
      <c r="K1260" s="764">
        <v>53</v>
      </c>
      <c r="L1260" s="655">
        <f t="shared" si="355"/>
        <v>2920191</v>
      </c>
      <c r="M1260" s="113">
        <v>0</v>
      </c>
      <c r="N1260" s="113">
        <v>0</v>
      </c>
      <c r="O1260" s="113">
        <v>2920191</v>
      </c>
      <c r="P1260" s="113">
        <v>0</v>
      </c>
      <c r="Q1260" s="114">
        <f t="shared" si="354"/>
        <v>1904.38959175688</v>
      </c>
      <c r="R1260" s="114">
        <v>7920</v>
      </c>
      <c r="S1260" s="335">
        <v>43830</v>
      </c>
    </row>
    <row r="1261" spans="1:30" s="30" customFormat="1" ht="21.6" customHeight="1">
      <c r="A1261" s="107">
        <v>6</v>
      </c>
      <c r="B1261" s="889" t="s">
        <v>968</v>
      </c>
      <c r="C1261" s="108">
        <v>1937</v>
      </c>
      <c r="D1261" s="108"/>
      <c r="E1261" s="611" t="s">
        <v>962</v>
      </c>
      <c r="F1261" s="764">
        <v>2</v>
      </c>
      <c r="G1261" s="764">
        <v>2</v>
      </c>
      <c r="H1261" s="764">
        <v>614.5</v>
      </c>
      <c r="I1261" s="764">
        <v>499.1</v>
      </c>
      <c r="J1261" s="764">
        <v>498.9</v>
      </c>
      <c r="K1261" s="764">
        <v>25</v>
      </c>
      <c r="L1261" s="655">
        <f t="shared" si="355"/>
        <v>1379030</v>
      </c>
      <c r="M1261" s="113">
        <v>0</v>
      </c>
      <c r="N1261" s="113">
        <v>0</v>
      </c>
      <c r="O1261" s="113">
        <v>1379030</v>
      </c>
      <c r="P1261" s="113">
        <v>0</v>
      </c>
      <c r="Q1261" s="114">
        <f t="shared" si="354"/>
        <v>2763.0334602284111</v>
      </c>
      <c r="R1261" s="114">
        <v>7920</v>
      </c>
      <c r="S1261" s="335">
        <v>43830</v>
      </c>
    </row>
    <row r="1262" spans="1:30" s="30" customFormat="1" ht="24.6" customHeight="1">
      <c r="A1262" s="107">
        <v>7</v>
      </c>
      <c r="B1262" s="889" t="s">
        <v>969</v>
      </c>
      <c r="C1262" s="108">
        <v>1958</v>
      </c>
      <c r="D1262" s="108"/>
      <c r="E1262" s="611" t="s">
        <v>962</v>
      </c>
      <c r="F1262" s="764">
        <v>2</v>
      </c>
      <c r="G1262" s="764">
        <v>1</v>
      </c>
      <c r="H1262" s="764">
        <v>414.3</v>
      </c>
      <c r="I1262" s="764">
        <v>296.8</v>
      </c>
      <c r="J1262" s="764">
        <v>206.2</v>
      </c>
      <c r="K1262" s="764">
        <v>12</v>
      </c>
      <c r="L1262" s="655">
        <f t="shared" si="355"/>
        <v>1053343</v>
      </c>
      <c r="M1262" s="113">
        <v>0</v>
      </c>
      <c r="N1262" s="113">
        <v>0</v>
      </c>
      <c r="O1262" s="113">
        <v>1053343</v>
      </c>
      <c r="P1262" s="113">
        <v>0</v>
      </c>
      <c r="Q1262" s="114">
        <f t="shared" si="354"/>
        <v>3548.9993261455525</v>
      </c>
      <c r="R1262" s="114">
        <v>7920</v>
      </c>
      <c r="S1262" s="335">
        <v>43830</v>
      </c>
    </row>
    <row r="1263" spans="1:30" s="30" customFormat="1" ht="24.6" customHeight="1">
      <c r="A1263" s="107">
        <v>8</v>
      </c>
      <c r="B1263" s="889" t="s">
        <v>970</v>
      </c>
      <c r="C1263" s="108">
        <v>1972</v>
      </c>
      <c r="D1263" s="108"/>
      <c r="E1263" s="611" t="s">
        <v>218</v>
      </c>
      <c r="F1263" s="764">
        <v>5</v>
      </c>
      <c r="G1263" s="764">
        <v>4</v>
      </c>
      <c r="H1263" s="764">
        <v>3992.9</v>
      </c>
      <c r="I1263" s="764">
        <v>2555.4</v>
      </c>
      <c r="J1263" s="764">
        <v>2298</v>
      </c>
      <c r="K1263" s="764">
        <v>101</v>
      </c>
      <c r="L1263" s="655">
        <f t="shared" si="355"/>
        <v>2217592</v>
      </c>
      <c r="M1263" s="113">
        <v>0</v>
      </c>
      <c r="N1263" s="113">
        <v>0</v>
      </c>
      <c r="O1263" s="113">
        <v>2217592</v>
      </c>
      <c r="P1263" s="113">
        <v>0</v>
      </c>
      <c r="Q1263" s="114">
        <f t="shared" si="354"/>
        <v>867.80621429130463</v>
      </c>
      <c r="R1263" s="114">
        <v>7920</v>
      </c>
      <c r="S1263" s="335">
        <v>43830</v>
      </c>
    </row>
    <row r="1264" spans="1:30" s="30" customFormat="1" ht="31.2">
      <c r="A1264" s="107">
        <v>9</v>
      </c>
      <c r="B1264" s="889" t="s">
        <v>971</v>
      </c>
      <c r="C1264" s="108">
        <v>1961</v>
      </c>
      <c r="D1264" s="108"/>
      <c r="E1264" s="611" t="s">
        <v>218</v>
      </c>
      <c r="F1264" s="764">
        <v>3</v>
      </c>
      <c r="G1264" s="764">
        <v>3</v>
      </c>
      <c r="H1264" s="764">
        <v>2465.9</v>
      </c>
      <c r="I1264" s="764">
        <v>2299.1</v>
      </c>
      <c r="J1264" s="764">
        <v>1233.4000000000001</v>
      </c>
      <c r="K1264" s="764">
        <v>48</v>
      </c>
      <c r="L1264" s="655">
        <f t="shared" si="355"/>
        <v>3519351</v>
      </c>
      <c r="M1264" s="113">
        <v>0</v>
      </c>
      <c r="N1264" s="113">
        <v>0</v>
      </c>
      <c r="O1264" s="113">
        <v>3519351</v>
      </c>
      <c r="P1264" s="113">
        <v>0</v>
      </c>
      <c r="Q1264" s="114">
        <f t="shared" si="354"/>
        <v>1530.751598451568</v>
      </c>
      <c r="R1264" s="114">
        <v>7920</v>
      </c>
      <c r="S1264" s="335">
        <v>43830</v>
      </c>
    </row>
    <row r="1265" spans="1:62" s="30" customFormat="1" ht="31.2">
      <c r="A1265" s="107">
        <v>10</v>
      </c>
      <c r="B1265" s="889" t="s">
        <v>972</v>
      </c>
      <c r="C1265" s="108">
        <v>1917</v>
      </c>
      <c r="D1265" s="108"/>
      <c r="E1265" s="611" t="s">
        <v>218</v>
      </c>
      <c r="F1265" s="764">
        <v>2</v>
      </c>
      <c r="G1265" s="764">
        <v>3</v>
      </c>
      <c r="H1265" s="764">
        <v>942.7</v>
      </c>
      <c r="I1265" s="764">
        <v>852.1</v>
      </c>
      <c r="J1265" s="764">
        <v>432</v>
      </c>
      <c r="K1265" s="764">
        <v>17</v>
      </c>
      <c r="L1265" s="655">
        <f t="shared" si="355"/>
        <v>1482982.29</v>
      </c>
      <c r="M1265" s="113">
        <v>0</v>
      </c>
      <c r="N1265" s="113">
        <v>0</v>
      </c>
      <c r="O1265" s="113">
        <v>1482982.29</v>
      </c>
      <c r="P1265" s="113">
        <v>0</v>
      </c>
      <c r="Q1265" s="114">
        <f t="shared" si="354"/>
        <v>1740.3852716817275</v>
      </c>
      <c r="R1265" s="114">
        <v>7920</v>
      </c>
      <c r="S1265" s="335">
        <v>43830</v>
      </c>
    </row>
    <row r="1266" spans="1:62" s="30" customFormat="1" ht="31.2">
      <c r="A1266" s="107">
        <v>11</v>
      </c>
      <c r="B1266" s="889" t="s">
        <v>973</v>
      </c>
      <c r="C1266" s="108">
        <v>1972</v>
      </c>
      <c r="D1266" s="108"/>
      <c r="E1266" s="611" t="s">
        <v>218</v>
      </c>
      <c r="F1266" s="764">
        <v>5</v>
      </c>
      <c r="G1266" s="764">
        <v>3</v>
      </c>
      <c r="H1266" s="764">
        <v>2528.8000000000002</v>
      </c>
      <c r="I1266" s="764">
        <v>2020.1</v>
      </c>
      <c r="J1266" s="764">
        <v>1901.8</v>
      </c>
      <c r="K1266" s="764">
        <v>76</v>
      </c>
      <c r="L1266" s="655">
        <f t="shared" si="355"/>
        <v>2664977</v>
      </c>
      <c r="M1266" s="113">
        <v>0</v>
      </c>
      <c r="N1266" s="113">
        <v>0</v>
      </c>
      <c r="O1266" s="113">
        <v>2664977</v>
      </c>
      <c r="P1266" s="113">
        <v>0</v>
      </c>
      <c r="Q1266" s="114">
        <f t="shared" si="354"/>
        <v>1319.2302361269244</v>
      </c>
      <c r="R1266" s="114">
        <v>7920</v>
      </c>
      <c r="S1266" s="335">
        <v>43830</v>
      </c>
    </row>
    <row r="1267" spans="1:62" s="30" customFormat="1" ht="15.75" customHeight="1">
      <c r="A1267" s="327"/>
      <c r="B1267" s="1485" t="s">
        <v>92</v>
      </c>
      <c r="C1267" s="1485"/>
      <c r="D1267" s="1485"/>
      <c r="E1267" s="1485"/>
      <c r="F1267" s="1486"/>
      <c r="G1267" s="1486"/>
      <c r="H1267" s="896">
        <f>H1268</f>
        <v>0</v>
      </c>
      <c r="I1267" s="896">
        <f t="shared" ref="I1267:P1267" si="356">I1268</f>
        <v>0</v>
      </c>
      <c r="J1267" s="896">
        <f t="shared" si="356"/>
        <v>0</v>
      </c>
      <c r="K1267" s="896">
        <f t="shared" si="356"/>
        <v>0</v>
      </c>
      <c r="L1267" s="897">
        <f t="shared" si="356"/>
        <v>0</v>
      </c>
      <c r="M1267" s="897">
        <f t="shared" si="356"/>
        <v>0</v>
      </c>
      <c r="N1267" s="897">
        <f t="shared" si="356"/>
        <v>0</v>
      </c>
      <c r="O1267" s="897">
        <f t="shared" si="356"/>
        <v>0</v>
      </c>
      <c r="P1267" s="897">
        <f t="shared" si="356"/>
        <v>0</v>
      </c>
      <c r="Q1267" s="334" t="s">
        <v>40</v>
      </c>
      <c r="R1267" s="664" t="s">
        <v>40</v>
      </c>
      <c r="S1267" s="335">
        <v>43830</v>
      </c>
    </row>
    <row r="1268" spans="1:62" s="1" customFormat="1" ht="15.6">
      <c r="A1268" s="327"/>
      <c r="B1268" s="396"/>
      <c r="C1268" s="367"/>
      <c r="D1268" s="367"/>
      <c r="E1268" s="330"/>
      <c r="F1268" s="367"/>
      <c r="G1268" s="367"/>
      <c r="H1268" s="368"/>
      <c r="I1268" s="367"/>
      <c r="J1268" s="367"/>
      <c r="K1268" s="370"/>
      <c r="L1268" s="333"/>
      <c r="M1268" s="333"/>
      <c r="N1268" s="333"/>
      <c r="O1268" s="333"/>
      <c r="P1268" s="333"/>
      <c r="Q1268" s="371"/>
      <c r="R1268" s="334"/>
      <c r="S1268" s="335"/>
    </row>
    <row r="1269" spans="1:62" s="1" customFormat="1" ht="15.75" customHeight="1">
      <c r="A1269" s="327"/>
      <c r="B1269" s="1483" t="s">
        <v>93</v>
      </c>
      <c r="C1269" s="1483"/>
      <c r="D1269" s="1483"/>
      <c r="E1269" s="1483"/>
      <c r="F1269" s="1483"/>
      <c r="G1269" s="1483"/>
      <c r="H1269" s="368">
        <f>SUM(H1270:H1273)</f>
        <v>16121.400000000001</v>
      </c>
      <c r="I1269" s="368">
        <f t="shared" ref="I1269:P1269" si="357">SUM(I1270:I1273)</f>
        <v>15093.3</v>
      </c>
      <c r="J1269" s="368">
        <f t="shared" si="357"/>
        <v>9440.59</v>
      </c>
      <c r="K1269" s="368">
        <f t="shared" si="357"/>
        <v>400</v>
      </c>
      <c r="L1269" s="697">
        <f t="shared" si="357"/>
        <v>12233600</v>
      </c>
      <c r="M1269" s="697">
        <f t="shared" si="357"/>
        <v>0</v>
      </c>
      <c r="N1269" s="697">
        <f t="shared" si="357"/>
        <v>0</v>
      </c>
      <c r="O1269" s="697">
        <f t="shared" si="357"/>
        <v>12233600</v>
      </c>
      <c r="P1269" s="697">
        <f t="shared" si="357"/>
        <v>0</v>
      </c>
      <c r="Q1269" s="356" t="s">
        <v>40</v>
      </c>
      <c r="R1269" s="356" t="s">
        <v>40</v>
      </c>
      <c r="S1269" s="335">
        <v>43830</v>
      </c>
    </row>
    <row r="1270" spans="1:62" s="1" customFormat="1" ht="15.6">
      <c r="A1270" s="327">
        <f>A1268+1</f>
        <v>1</v>
      </c>
      <c r="B1270" s="698" t="s">
        <v>790</v>
      </c>
      <c r="C1270" s="352">
        <v>1979</v>
      </c>
      <c r="D1270" s="352"/>
      <c r="E1270" s="330" t="s">
        <v>219</v>
      </c>
      <c r="F1270" s="355">
        <v>5</v>
      </c>
      <c r="G1270" s="355">
        <v>5</v>
      </c>
      <c r="H1270" s="574">
        <v>6227.3</v>
      </c>
      <c r="I1270" s="353">
        <v>6227.3</v>
      </c>
      <c r="J1270" s="353">
        <v>3788.52</v>
      </c>
      <c r="K1270" s="355">
        <v>174</v>
      </c>
      <c r="L1270" s="333">
        <v>3401438</v>
      </c>
      <c r="M1270" s="333">
        <v>0</v>
      </c>
      <c r="N1270" s="333">
        <v>0</v>
      </c>
      <c r="O1270" s="333">
        <f t="shared" ref="O1270:O1273" si="358">L1270</f>
        <v>3401438</v>
      </c>
      <c r="P1270" s="333">
        <v>0</v>
      </c>
      <c r="Q1270" s="356">
        <f>L1270/I1270</f>
        <v>546.21392899009197</v>
      </c>
      <c r="R1270" s="334">
        <v>7920</v>
      </c>
      <c r="S1270" s="335">
        <v>43830</v>
      </c>
    </row>
    <row r="1271" spans="1:62" s="1" customFormat="1" ht="15.6">
      <c r="A1271" s="327">
        <f t="shared" si="352"/>
        <v>2</v>
      </c>
      <c r="B1271" s="698" t="s">
        <v>791</v>
      </c>
      <c r="C1271" s="352">
        <v>1991</v>
      </c>
      <c r="D1271" s="352"/>
      <c r="E1271" s="330" t="s">
        <v>219</v>
      </c>
      <c r="F1271" s="355">
        <v>5</v>
      </c>
      <c r="G1271" s="355">
        <v>4</v>
      </c>
      <c r="H1271" s="574">
        <v>3557.4</v>
      </c>
      <c r="I1271" s="353">
        <v>3287.3</v>
      </c>
      <c r="J1271" s="353">
        <v>2188.1</v>
      </c>
      <c r="K1271" s="355">
        <v>79</v>
      </c>
      <c r="L1271" s="333">
        <v>2323942</v>
      </c>
      <c r="M1271" s="333">
        <v>0</v>
      </c>
      <c r="N1271" s="333">
        <v>0</v>
      </c>
      <c r="O1271" s="333">
        <f t="shared" si="358"/>
        <v>2323942</v>
      </c>
      <c r="P1271" s="333">
        <v>0</v>
      </c>
      <c r="Q1271" s="356">
        <f t="shared" ref="Q1271:Q1273" si="359">L1271/I1271</f>
        <v>706.94551759802869</v>
      </c>
      <c r="R1271" s="334">
        <v>7920</v>
      </c>
      <c r="S1271" s="335">
        <v>43830</v>
      </c>
    </row>
    <row r="1272" spans="1:62" s="1" customFormat="1" ht="31.2">
      <c r="A1272" s="327">
        <f t="shared" si="352"/>
        <v>3</v>
      </c>
      <c r="B1272" s="698" t="s">
        <v>792</v>
      </c>
      <c r="C1272" s="352">
        <v>1950</v>
      </c>
      <c r="D1272" s="352"/>
      <c r="E1272" s="330" t="s">
        <v>218</v>
      </c>
      <c r="F1272" s="355">
        <v>3</v>
      </c>
      <c r="G1272" s="355">
        <v>4</v>
      </c>
      <c r="H1272" s="574">
        <v>2375</v>
      </c>
      <c r="I1272" s="353">
        <v>2375</v>
      </c>
      <c r="J1272" s="353">
        <v>1480.89</v>
      </c>
      <c r="K1272" s="355">
        <v>54</v>
      </c>
      <c r="L1272" s="333">
        <v>4059506</v>
      </c>
      <c r="M1272" s="333">
        <v>0</v>
      </c>
      <c r="N1272" s="333">
        <v>0</v>
      </c>
      <c r="O1272" s="333">
        <f t="shared" si="358"/>
        <v>4059506</v>
      </c>
      <c r="P1272" s="333">
        <v>0</v>
      </c>
      <c r="Q1272" s="356">
        <f t="shared" si="359"/>
        <v>1709.2656842105264</v>
      </c>
      <c r="R1272" s="334">
        <v>7920</v>
      </c>
      <c r="S1272" s="335">
        <v>43830</v>
      </c>
    </row>
    <row r="1273" spans="1:62" s="1" customFormat="1" ht="15.6">
      <c r="A1273" s="327">
        <f t="shared" si="352"/>
        <v>4</v>
      </c>
      <c r="B1273" s="698" t="s">
        <v>793</v>
      </c>
      <c r="C1273" s="352">
        <v>1980</v>
      </c>
      <c r="D1273" s="352"/>
      <c r="E1273" s="330" t="s">
        <v>220</v>
      </c>
      <c r="F1273" s="355">
        <v>5</v>
      </c>
      <c r="G1273" s="355">
        <v>4</v>
      </c>
      <c r="H1273" s="574">
        <v>3961.7</v>
      </c>
      <c r="I1273" s="353">
        <v>3203.7</v>
      </c>
      <c r="J1273" s="353">
        <v>1983.08</v>
      </c>
      <c r="K1273" s="355">
        <v>93</v>
      </c>
      <c r="L1273" s="333">
        <v>2448714</v>
      </c>
      <c r="M1273" s="333">
        <v>0</v>
      </c>
      <c r="N1273" s="333">
        <v>0</v>
      </c>
      <c r="O1273" s="333">
        <f t="shared" si="358"/>
        <v>2448714</v>
      </c>
      <c r="P1273" s="333">
        <v>0</v>
      </c>
      <c r="Q1273" s="356">
        <f t="shared" si="359"/>
        <v>764.33935761775456</v>
      </c>
      <c r="R1273" s="334">
        <v>7920</v>
      </c>
      <c r="S1273" s="335">
        <v>43830</v>
      </c>
    </row>
    <row r="1274" spans="1:62" s="1" customFormat="1" ht="15.6">
      <c r="A1274" s="327"/>
      <c r="B1274" s="698"/>
      <c r="C1274" s="352"/>
      <c r="D1274" s="352"/>
      <c r="E1274" s="330"/>
      <c r="F1274" s="355"/>
      <c r="G1274" s="355"/>
      <c r="H1274" s="574"/>
      <c r="I1274" s="353"/>
      <c r="J1274" s="353"/>
      <c r="K1274" s="355"/>
      <c r="L1274" s="333"/>
      <c r="M1274" s="333"/>
      <c r="N1274" s="333"/>
      <c r="O1274" s="333"/>
      <c r="P1274" s="333"/>
      <c r="Q1274" s="356"/>
      <c r="R1274" s="334"/>
      <c r="S1274" s="335"/>
    </row>
    <row r="1275" spans="1:62" s="1" customFormat="1" ht="15.6">
      <c r="A1275" s="327"/>
      <c r="B1275" s="698"/>
      <c r="C1275" s="352"/>
      <c r="D1275" s="352"/>
      <c r="E1275" s="330"/>
      <c r="F1275" s="355"/>
      <c r="G1275" s="355"/>
      <c r="H1275" s="574"/>
      <c r="I1275" s="353"/>
      <c r="J1275" s="353"/>
      <c r="K1275" s="355"/>
      <c r="L1275" s="333"/>
      <c r="M1275" s="333"/>
      <c r="N1275" s="333"/>
      <c r="O1275" s="333"/>
      <c r="P1275" s="333"/>
      <c r="Q1275" s="356"/>
      <c r="R1275" s="334"/>
      <c r="S1275" s="335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I1275" s="10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10"/>
      <c r="AU1275" s="10"/>
      <c r="AV1275" s="10"/>
      <c r="AW1275" s="10"/>
      <c r="AX1275" s="10"/>
      <c r="AY1275" s="10"/>
      <c r="AZ1275" s="10"/>
      <c r="BA1275" s="10"/>
      <c r="BB1275" s="10"/>
      <c r="BC1275" s="10"/>
      <c r="BD1275" s="10"/>
      <c r="BE1275" s="10"/>
      <c r="BF1275" s="10"/>
      <c r="BG1275" s="10"/>
      <c r="BH1275" s="10"/>
      <c r="BI1275" s="10"/>
      <c r="BJ1275" s="10"/>
    </row>
    <row r="1276" spans="1:62" s="1" customFormat="1" ht="15.6">
      <c r="A1276" s="327"/>
      <c r="B1276" s="698"/>
      <c r="C1276" s="352"/>
      <c r="D1276" s="352"/>
      <c r="E1276" s="330"/>
      <c r="F1276" s="355"/>
      <c r="G1276" s="355"/>
      <c r="H1276" s="574"/>
      <c r="I1276" s="353"/>
      <c r="J1276" s="353"/>
      <c r="K1276" s="355"/>
      <c r="L1276" s="333"/>
      <c r="M1276" s="333"/>
      <c r="N1276" s="333"/>
      <c r="O1276" s="333"/>
      <c r="P1276" s="333"/>
      <c r="Q1276" s="356"/>
      <c r="R1276" s="334"/>
      <c r="S1276" s="335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0"/>
      <c r="BE1276" s="10"/>
      <c r="BF1276" s="10"/>
      <c r="BG1276" s="10"/>
      <c r="BH1276" s="10"/>
      <c r="BI1276" s="10"/>
      <c r="BJ1276" s="10"/>
    </row>
    <row r="1277" spans="1:62" s="1" customFormat="1" ht="15.6">
      <c r="A1277" s="327"/>
      <c r="B1277" s="698"/>
      <c r="C1277" s="352"/>
      <c r="D1277" s="352"/>
      <c r="E1277" s="330"/>
      <c r="F1277" s="355"/>
      <c r="G1277" s="355"/>
      <c r="H1277" s="574"/>
      <c r="I1277" s="353"/>
      <c r="J1277" s="353"/>
      <c r="K1277" s="355"/>
      <c r="L1277" s="333"/>
      <c r="M1277" s="333"/>
      <c r="N1277" s="333"/>
      <c r="O1277" s="333"/>
      <c r="P1277" s="333"/>
      <c r="Q1277" s="356"/>
      <c r="R1277" s="334"/>
      <c r="S1277" s="335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/>
      <c r="BE1277" s="10"/>
      <c r="BF1277" s="10"/>
      <c r="BG1277" s="10"/>
      <c r="BH1277" s="10"/>
      <c r="BI1277" s="10"/>
      <c r="BJ1277" s="10"/>
    </row>
    <row r="1278" spans="1:62" s="1" customFormat="1" ht="15.6">
      <c r="A1278" s="327"/>
      <c r="B1278" s="698"/>
      <c r="C1278" s="352"/>
      <c r="D1278" s="352"/>
      <c r="E1278" s="330"/>
      <c r="F1278" s="355"/>
      <c r="G1278" s="355"/>
      <c r="H1278" s="574"/>
      <c r="I1278" s="353"/>
      <c r="J1278" s="353"/>
      <c r="K1278" s="355"/>
      <c r="L1278" s="333"/>
      <c r="M1278" s="333"/>
      <c r="N1278" s="333"/>
      <c r="O1278" s="333"/>
      <c r="P1278" s="333"/>
      <c r="Q1278" s="356"/>
      <c r="R1278" s="334"/>
      <c r="S1278" s="335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</row>
    <row r="1279" spans="1:62" s="1" customFormat="1" ht="15.6">
      <c r="A1279" s="327"/>
      <c r="B1279" s="698"/>
      <c r="C1279" s="352"/>
      <c r="D1279" s="352"/>
      <c r="E1279" s="330"/>
      <c r="F1279" s="355"/>
      <c r="G1279" s="355"/>
      <c r="H1279" s="574"/>
      <c r="I1279" s="353"/>
      <c r="J1279" s="353"/>
      <c r="K1279" s="355"/>
      <c r="L1279" s="333"/>
      <c r="M1279" s="333"/>
      <c r="N1279" s="333"/>
      <c r="O1279" s="333"/>
      <c r="P1279" s="333"/>
      <c r="Q1279" s="356"/>
      <c r="R1279" s="334"/>
      <c r="S1279" s="335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0"/>
      <c r="AF1279" s="10"/>
      <c r="AG1279" s="10"/>
      <c r="AH1279" s="10"/>
      <c r="AI1279" s="10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10"/>
      <c r="AU1279" s="10"/>
      <c r="AV1279" s="10"/>
      <c r="AW1279" s="10"/>
      <c r="AX1279" s="10"/>
      <c r="AY1279" s="10"/>
      <c r="AZ1279" s="10"/>
      <c r="BA1279" s="10"/>
      <c r="BB1279" s="10"/>
      <c r="BC1279" s="10"/>
      <c r="BD1279" s="10"/>
      <c r="BE1279" s="10"/>
      <c r="BF1279" s="10"/>
      <c r="BG1279" s="10"/>
      <c r="BH1279" s="10"/>
      <c r="BI1279" s="10"/>
      <c r="BJ1279" s="10"/>
    </row>
    <row r="1280" spans="1:62" s="1" customFormat="1" ht="15.6">
      <c r="A1280" s="327"/>
      <c r="B1280" s="698"/>
      <c r="C1280" s="352"/>
      <c r="D1280" s="352"/>
      <c r="E1280" s="330"/>
      <c r="F1280" s="355"/>
      <c r="G1280" s="355"/>
      <c r="H1280" s="574"/>
      <c r="I1280" s="353"/>
      <c r="J1280" s="353"/>
      <c r="K1280" s="355"/>
      <c r="L1280" s="333"/>
      <c r="M1280" s="333"/>
      <c r="N1280" s="333"/>
      <c r="O1280" s="333"/>
      <c r="P1280" s="333"/>
      <c r="Q1280" s="356"/>
      <c r="R1280" s="334"/>
      <c r="S1280" s="335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0"/>
      <c r="BE1280" s="10"/>
      <c r="BF1280" s="10"/>
      <c r="BG1280" s="10"/>
      <c r="BH1280" s="10"/>
      <c r="BI1280" s="10"/>
      <c r="BJ1280" s="10"/>
    </row>
    <row r="1281" spans="1:62" s="1" customFormat="1" ht="15.6">
      <c r="A1281" s="327"/>
      <c r="B1281" s="698"/>
      <c r="C1281" s="352"/>
      <c r="D1281" s="352"/>
      <c r="E1281" s="330"/>
      <c r="F1281" s="355"/>
      <c r="G1281" s="355"/>
      <c r="H1281" s="574"/>
      <c r="I1281" s="353"/>
      <c r="J1281" s="353"/>
      <c r="K1281" s="355"/>
      <c r="L1281" s="333"/>
      <c r="M1281" s="333"/>
      <c r="N1281" s="333"/>
      <c r="O1281" s="333"/>
      <c r="P1281" s="333"/>
      <c r="Q1281" s="356"/>
      <c r="R1281" s="334"/>
      <c r="S1281" s="335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10"/>
      <c r="AW1281" s="10"/>
      <c r="AX1281" s="10"/>
      <c r="AY1281" s="10"/>
      <c r="AZ1281" s="10"/>
      <c r="BA1281" s="10"/>
      <c r="BB1281" s="10"/>
      <c r="BC1281" s="10"/>
      <c r="BD1281" s="10"/>
      <c r="BE1281" s="10"/>
      <c r="BF1281" s="10"/>
      <c r="BG1281" s="10"/>
      <c r="BH1281" s="10"/>
      <c r="BI1281" s="10"/>
      <c r="BJ1281" s="10"/>
    </row>
    <row r="1282" spans="1:62" s="1" customFormat="1" ht="15.6">
      <c r="A1282" s="327"/>
      <c r="B1282" s="698"/>
      <c r="C1282" s="352"/>
      <c r="D1282" s="352"/>
      <c r="E1282" s="330"/>
      <c r="F1282" s="355"/>
      <c r="G1282" s="355"/>
      <c r="H1282" s="574"/>
      <c r="I1282" s="353"/>
      <c r="J1282" s="353"/>
      <c r="K1282" s="355"/>
      <c r="L1282" s="333"/>
      <c r="M1282" s="333"/>
      <c r="N1282" s="333"/>
      <c r="O1282" s="333"/>
      <c r="P1282" s="333"/>
      <c r="Q1282" s="356"/>
      <c r="R1282" s="334"/>
      <c r="S1282" s="335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0"/>
      <c r="AF1282" s="10"/>
      <c r="AG1282" s="10"/>
      <c r="AH1282" s="10"/>
      <c r="AI1282" s="10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10"/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0"/>
      <c r="BE1282" s="10"/>
      <c r="BF1282" s="10"/>
      <c r="BG1282" s="10"/>
      <c r="BH1282" s="10"/>
      <c r="BI1282" s="10"/>
      <c r="BJ1282" s="10"/>
    </row>
    <row r="1283" spans="1:62" s="1" customFormat="1" ht="15.6">
      <c r="A1283" s="327"/>
      <c r="B1283" s="698"/>
      <c r="C1283" s="352"/>
      <c r="D1283" s="352"/>
      <c r="E1283" s="330"/>
      <c r="F1283" s="355"/>
      <c r="G1283" s="355"/>
      <c r="H1283" s="574"/>
      <c r="I1283" s="353"/>
      <c r="J1283" s="353"/>
      <c r="K1283" s="355"/>
      <c r="L1283" s="333"/>
      <c r="M1283" s="333"/>
      <c r="N1283" s="333"/>
      <c r="O1283" s="333"/>
      <c r="P1283" s="333"/>
      <c r="Q1283" s="356"/>
      <c r="R1283" s="334"/>
      <c r="S1283" s="335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0"/>
      <c r="AF1283" s="10"/>
      <c r="AG1283" s="10"/>
      <c r="AH1283" s="10"/>
      <c r="AI1283" s="10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10"/>
      <c r="AU1283" s="10"/>
      <c r="AV1283" s="10"/>
      <c r="AW1283" s="10"/>
      <c r="AX1283" s="10"/>
      <c r="AY1283" s="10"/>
      <c r="AZ1283" s="10"/>
      <c r="BA1283" s="10"/>
      <c r="BB1283" s="10"/>
      <c r="BC1283" s="10"/>
      <c r="BD1283" s="10"/>
      <c r="BE1283" s="10"/>
      <c r="BF1283" s="10"/>
      <c r="BG1283" s="10"/>
      <c r="BH1283" s="10"/>
      <c r="BI1283" s="10"/>
      <c r="BJ1283" s="10"/>
    </row>
    <row r="1284" spans="1:62" s="1" customFormat="1" ht="15.6">
      <c r="A1284" s="327"/>
      <c r="B1284" s="698"/>
      <c r="C1284" s="352"/>
      <c r="D1284" s="352"/>
      <c r="E1284" s="330"/>
      <c r="F1284" s="355"/>
      <c r="G1284" s="355"/>
      <c r="H1284" s="574"/>
      <c r="I1284" s="353"/>
      <c r="J1284" s="353"/>
      <c r="K1284" s="355"/>
      <c r="L1284" s="333"/>
      <c r="M1284" s="333"/>
      <c r="N1284" s="333"/>
      <c r="O1284" s="333"/>
      <c r="P1284" s="333"/>
      <c r="Q1284" s="356"/>
      <c r="R1284" s="334"/>
      <c r="S1284" s="335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</row>
    <row r="1285" spans="1:62" s="1" customFormat="1" ht="15.6">
      <c r="A1285" s="327"/>
      <c r="B1285" s="698"/>
      <c r="C1285" s="352"/>
      <c r="D1285" s="352"/>
      <c r="E1285" s="330"/>
      <c r="F1285" s="355"/>
      <c r="G1285" s="355"/>
      <c r="H1285" s="574"/>
      <c r="I1285" s="353"/>
      <c r="J1285" s="353"/>
      <c r="K1285" s="355"/>
      <c r="L1285" s="333"/>
      <c r="M1285" s="333"/>
      <c r="N1285" s="333"/>
      <c r="O1285" s="333"/>
      <c r="P1285" s="333"/>
      <c r="Q1285" s="356"/>
      <c r="R1285" s="334"/>
      <c r="S1285" s="335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0"/>
      <c r="AV1285" s="10"/>
      <c r="AW1285" s="10"/>
      <c r="AX1285" s="10"/>
      <c r="AY1285" s="10"/>
      <c r="AZ1285" s="10"/>
      <c r="BA1285" s="10"/>
      <c r="BB1285" s="10"/>
      <c r="BC1285" s="10"/>
      <c r="BD1285" s="10"/>
      <c r="BE1285" s="10"/>
      <c r="BF1285" s="10"/>
      <c r="BG1285" s="10"/>
      <c r="BH1285" s="10"/>
      <c r="BI1285" s="10"/>
      <c r="BJ1285" s="10"/>
    </row>
    <row r="1286" spans="1:62" s="1" customFormat="1" ht="15.6">
      <c r="A1286" s="327"/>
      <c r="B1286" s="698"/>
      <c r="C1286" s="352"/>
      <c r="D1286" s="352"/>
      <c r="E1286" s="330"/>
      <c r="F1286" s="355"/>
      <c r="G1286" s="355"/>
      <c r="H1286" s="574"/>
      <c r="I1286" s="353"/>
      <c r="J1286" s="353"/>
      <c r="K1286" s="355"/>
      <c r="L1286" s="333"/>
      <c r="M1286" s="333"/>
      <c r="N1286" s="333"/>
      <c r="O1286" s="333"/>
      <c r="P1286" s="333"/>
      <c r="Q1286" s="356"/>
      <c r="R1286" s="334"/>
      <c r="S1286" s="335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  <c r="AU1286" s="10"/>
      <c r="AV1286" s="10"/>
      <c r="AW1286" s="10"/>
      <c r="AX1286" s="10"/>
      <c r="AY1286" s="10"/>
      <c r="AZ1286" s="10"/>
      <c r="BA1286" s="10"/>
      <c r="BB1286" s="10"/>
      <c r="BC1286" s="10"/>
      <c r="BD1286" s="10"/>
      <c r="BE1286" s="10"/>
      <c r="BF1286" s="10"/>
      <c r="BG1286" s="10"/>
      <c r="BH1286" s="10"/>
      <c r="BI1286" s="10"/>
      <c r="BJ1286" s="10"/>
    </row>
    <row r="1287" spans="1:62" s="1" customFormat="1" ht="15.6">
      <c r="A1287" s="327"/>
      <c r="B1287" s="698"/>
      <c r="C1287" s="352"/>
      <c r="D1287" s="352"/>
      <c r="E1287" s="330"/>
      <c r="F1287" s="355"/>
      <c r="G1287" s="355"/>
      <c r="H1287" s="574"/>
      <c r="I1287" s="353"/>
      <c r="J1287" s="353"/>
      <c r="K1287" s="355"/>
      <c r="L1287" s="333"/>
      <c r="M1287" s="333"/>
      <c r="N1287" s="333"/>
      <c r="O1287" s="333"/>
      <c r="P1287" s="333"/>
      <c r="Q1287" s="356"/>
      <c r="R1287" s="334"/>
      <c r="S1287" s="335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  <c r="AX1287" s="10"/>
      <c r="AY1287" s="10"/>
      <c r="AZ1287" s="10"/>
      <c r="BA1287" s="10"/>
      <c r="BB1287" s="10"/>
      <c r="BC1287" s="10"/>
      <c r="BD1287" s="10"/>
      <c r="BE1287" s="10"/>
      <c r="BF1287" s="10"/>
      <c r="BG1287" s="10"/>
      <c r="BH1287" s="10"/>
      <c r="BI1287" s="10"/>
      <c r="BJ1287" s="10"/>
    </row>
    <row r="1288" spans="1:62" s="1" customFormat="1" ht="15.6">
      <c r="A1288" s="327"/>
      <c r="B1288" s="698"/>
      <c r="C1288" s="352"/>
      <c r="D1288" s="352"/>
      <c r="E1288" s="330"/>
      <c r="F1288" s="355"/>
      <c r="G1288" s="355"/>
      <c r="H1288" s="574"/>
      <c r="I1288" s="353"/>
      <c r="J1288" s="353"/>
      <c r="K1288" s="355"/>
      <c r="L1288" s="333"/>
      <c r="M1288" s="333"/>
      <c r="N1288" s="333"/>
      <c r="O1288" s="333"/>
      <c r="P1288" s="333"/>
      <c r="Q1288" s="356"/>
      <c r="R1288" s="334"/>
      <c r="S1288" s="335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0"/>
      <c r="AF1288" s="10"/>
      <c r="AG1288" s="10"/>
      <c r="AH1288" s="10"/>
      <c r="AI1288" s="10"/>
      <c r="AJ1288" s="10"/>
      <c r="AK1288" s="10"/>
      <c r="AL1288" s="10"/>
      <c r="AM1288" s="10"/>
      <c r="AN1288" s="10"/>
      <c r="AO1288" s="10"/>
      <c r="AP1288" s="10"/>
      <c r="AQ1288" s="10"/>
      <c r="AR1288" s="10"/>
      <c r="AS1288" s="10"/>
      <c r="AT1288" s="10"/>
      <c r="AU1288" s="10"/>
      <c r="AV1288" s="10"/>
      <c r="AW1288" s="10"/>
      <c r="AX1288" s="10"/>
      <c r="AY1288" s="10"/>
      <c r="AZ1288" s="10"/>
      <c r="BA1288" s="10"/>
      <c r="BB1288" s="10"/>
      <c r="BC1288" s="10"/>
      <c r="BD1288" s="10"/>
      <c r="BE1288" s="10"/>
      <c r="BF1288" s="10"/>
      <c r="BG1288" s="10"/>
      <c r="BH1288" s="10"/>
      <c r="BI1288" s="10"/>
      <c r="BJ1288" s="10"/>
    </row>
    <row r="1289" spans="1:62" s="1" customFormat="1" ht="15.6">
      <c r="A1289" s="327"/>
      <c r="B1289" s="698"/>
      <c r="C1289" s="352"/>
      <c r="D1289" s="352"/>
      <c r="E1289" s="330"/>
      <c r="F1289" s="355"/>
      <c r="G1289" s="355"/>
      <c r="H1289" s="574"/>
      <c r="I1289" s="353"/>
      <c r="J1289" s="353"/>
      <c r="K1289" s="355"/>
      <c r="L1289" s="333"/>
      <c r="M1289" s="333"/>
      <c r="N1289" s="333"/>
      <c r="O1289" s="333"/>
      <c r="P1289" s="333"/>
      <c r="Q1289" s="356"/>
      <c r="R1289" s="334"/>
      <c r="S1289" s="335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0"/>
      <c r="BF1289" s="10"/>
      <c r="BG1289" s="10"/>
      <c r="BH1289" s="10"/>
      <c r="BI1289" s="10"/>
      <c r="BJ1289" s="10"/>
    </row>
    <row r="1290" spans="1:62" s="1" customFormat="1" ht="15.6">
      <c r="A1290" s="327"/>
      <c r="B1290" s="698"/>
      <c r="C1290" s="352"/>
      <c r="D1290" s="352"/>
      <c r="E1290" s="330"/>
      <c r="F1290" s="355"/>
      <c r="G1290" s="355"/>
      <c r="H1290" s="574"/>
      <c r="I1290" s="353"/>
      <c r="J1290" s="353"/>
      <c r="K1290" s="355"/>
      <c r="L1290" s="333"/>
      <c r="M1290" s="333"/>
      <c r="N1290" s="333"/>
      <c r="O1290" s="333"/>
      <c r="P1290" s="333"/>
      <c r="Q1290" s="356"/>
      <c r="R1290" s="334"/>
      <c r="S1290" s="335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0"/>
      <c r="AT1290" s="10"/>
      <c r="AU1290" s="10"/>
      <c r="AV1290" s="10"/>
      <c r="AW1290" s="10"/>
      <c r="AX1290" s="10"/>
      <c r="AY1290" s="10"/>
      <c r="AZ1290" s="10"/>
      <c r="BA1290" s="10"/>
      <c r="BB1290" s="10"/>
      <c r="BC1290" s="10"/>
      <c r="BD1290" s="10"/>
      <c r="BE1290" s="10"/>
      <c r="BF1290" s="10"/>
      <c r="BG1290" s="10"/>
      <c r="BH1290" s="10"/>
      <c r="BI1290" s="10"/>
      <c r="BJ1290" s="10"/>
    </row>
    <row r="1291" spans="1:62" s="1" customFormat="1" ht="15.6">
      <c r="A1291" s="327"/>
      <c r="B1291" s="698"/>
      <c r="C1291" s="352"/>
      <c r="D1291" s="352"/>
      <c r="E1291" s="330"/>
      <c r="F1291" s="355"/>
      <c r="G1291" s="355"/>
      <c r="H1291" s="574"/>
      <c r="I1291" s="353"/>
      <c r="J1291" s="353"/>
      <c r="K1291" s="355"/>
      <c r="L1291" s="333"/>
      <c r="M1291" s="333"/>
      <c r="N1291" s="333"/>
      <c r="O1291" s="333"/>
      <c r="P1291" s="333"/>
      <c r="Q1291" s="356"/>
      <c r="R1291" s="334"/>
      <c r="S1291" s="335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10"/>
      <c r="AU1291" s="10"/>
      <c r="AV1291" s="10"/>
      <c r="AW1291" s="10"/>
      <c r="AX1291" s="10"/>
      <c r="AY1291" s="10"/>
      <c r="AZ1291" s="10"/>
      <c r="BA1291" s="10"/>
      <c r="BB1291" s="10"/>
      <c r="BC1291" s="10"/>
      <c r="BD1291" s="10"/>
      <c r="BE1291" s="10"/>
      <c r="BF1291" s="10"/>
      <c r="BG1291" s="10"/>
      <c r="BH1291" s="10"/>
      <c r="BI1291" s="10"/>
      <c r="BJ1291" s="10"/>
    </row>
    <row r="1292" spans="1:62" s="1" customFormat="1" ht="15.6">
      <c r="A1292" s="327"/>
      <c r="B1292" s="698"/>
      <c r="C1292" s="352"/>
      <c r="D1292" s="352"/>
      <c r="E1292" s="330"/>
      <c r="F1292" s="355"/>
      <c r="G1292" s="355"/>
      <c r="H1292" s="574"/>
      <c r="I1292" s="353"/>
      <c r="J1292" s="353"/>
      <c r="K1292" s="355"/>
      <c r="L1292" s="333"/>
      <c r="M1292" s="333"/>
      <c r="N1292" s="333"/>
      <c r="O1292" s="333"/>
      <c r="P1292" s="333"/>
      <c r="Q1292" s="356"/>
      <c r="R1292" s="334"/>
      <c r="S1292" s="335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  <c r="AU1292" s="10"/>
      <c r="AV1292" s="10"/>
      <c r="AW1292" s="10"/>
      <c r="AX1292" s="10"/>
      <c r="AY1292" s="10"/>
      <c r="AZ1292" s="10"/>
      <c r="BA1292" s="10"/>
      <c r="BB1292" s="10"/>
      <c r="BC1292" s="10"/>
      <c r="BD1292" s="10"/>
      <c r="BE1292" s="10"/>
      <c r="BF1292" s="10"/>
      <c r="BG1292" s="10"/>
      <c r="BH1292" s="10"/>
      <c r="BI1292" s="10"/>
      <c r="BJ1292" s="10"/>
    </row>
    <row r="1293" spans="1:62" s="1" customFormat="1" ht="15.6">
      <c r="A1293" s="327"/>
      <c r="B1293" s="698"/>
      <c r="C1293" s="352"/>
      <c r="D1293" s="352"/>
      <c r="E1293" s="330"/>
      <c r="F1293" s="355"/>
      <c r="G1293" s="355"/>
      <c r="H1293" s="574"/>
      <c r="I1293" s="353"/>
      <c r="J1293" s="353"/>
      <c r="K1293" s="355"/>
      <c r="L1293" s="333"/>
      <c r="M1293" s="333"/>
      <c r="N1293" s="333"/>
      <c r="O1293" s="333"/>
      <c r="P1293" s="333"/>
      <c r="Q1293" s="356"/>
      <c r="R1293" s="334"/>
      <c r="S1293" s="335"/>
    </row>
    <row r="1294" spans="1:62" s="1" customFormat="1" ht="15.6">
      <c r="A1294" s="327"/>
      <c r="B1294" s="698"/>
      <c r="C1294" s="352"/>
      <c r="D1294" s="352"/>
      <c r="E1294" s="330"/>
      <c r="F1294" s="355"/>
      <c r="G1294" s="355"/>
      <c r="H1294" s="574"/>
      <c r="I1294" s="353"/>
      <c r="J1294" s="353"/>
      <c r="K1294" s="355"/>
      <c r="L1294" s="333"/>
      <c r="M1294" s="333"/>
      <c r="N1294" s="333"/>
      <c r="O1294" s="333"/>
      <c r="P1294" s="333"/>
      <c r="Q1294" s="356"/>
      <c r="R1294" s="334"/>
      <c r="S1294" s="335"/>
    </row>
    <row r="1295" spans="1:62" s="1" customFormat="1" ht="15.6">
      <c r="A1295" s="107"/>
      <c r="B1295" s="1411" t="s">
        <v>94</v>
      </c>
      <c r="C1295" s="1411"/>
      <c r="D1295" s="1411"/>
      <c r="E1295" s="1411"/>
      <c r="F1295" s="1411"/>
      <c r="G1295" s="1411"/>
      <c r="H1295" s="106">
        <f>H1296+H1297</f>
        <v>5185.7</v>
      </c>
      <c r="I1295" s="106">
        <f t="shared" ref="I1295:P1295" si="360">I1296+I1297</f>
        <v>4237.5</v>
      </c>
      <c r="J1295" s="106">
        <f t="shared" si="360"/>
        <v>4010.2000000000003</v>
      </c>
      <c r="K1295" s="106">
        <f t="shared" si="360"/>
        <v>172</v>
      </c>
      <c r="L1295" s="565">
        <f t="shared" si="360"/>
        <v>2634518</v>
      </c>
      <c r="M1295" s="565">
        <f t="shared" si="360"/>
        <v>0</v>
      </c>
      <c r="N1295" s="565">
        <f t="shared" si="360"/>
        <v>0</v>
      </c>
      <c r="O1295" s="565">
        <f t="shared" si="360"/>
        <v>2634518</v>
      </c>
      <c r="P1295" s="565">
        <f t="shared" si="360"/>
        <v>0</v>
      </c>
      <c r="Q1295" s="106" t="s">
        <v>40</v>
      </c>
      <c r="R1295" s="106" t="s">
        <v>40</v>
      </c>
      <c r="S1295" s="335">
        <v>43830</v>
      </c>
    </row>
    <row r="1296" spans="1:62" s="47" customFormat="1" ht="15.6">
      <c r="A1296" s="327"/>
      <c r="B1296" s="905" t="s">
        <v>976</v>
      </c>
      <c r="C1296" s="906"/>
      <c r="D1296" s="330"/>
      <c r="E1296" s="330" t="s">
        <v>734</v>
      </c>
      <c r="F1296" s="397">
        <v>9</v>
      </c>
      <c r="G1296" s="397">
        <v>1</v>
      </c>
      <c r="H1296" s="398">
        <v>4656.8</v>
      </c>
      <c r="I1296" s="399">
        <v>3745.2</v>
      </c>
      <c r="J1296" s="399">
        <v>3572.3</v>
      </c>
      <c r="K1296" s="400">
        <v>153</v>
      </c>
      <c r="L1296" s="333">
        <v>1960022</v>
      </c>
      <c r="M1296" s="333">
        <v>0</v>
      </c>
      <c r="N1296" s="333">
        <v>0</v>
      </c>
      <c r="O1296" s="333">
        <v>1960022</v>
      </c>
      <c r="P1296" s="333">
        <v>0</v>
      </c>
      <c r="Q1296" s="399">
        <f>L1296/I1296</f>
        <v>523.34241162020726</v>
      </c>
      <c r="R1296" s="334">
        <v>7920</v>
      </c>
      <c r="S1296" s="335">
        <v>43830</v>
      </c>
      <c r="T1296" s="48"/>
      <c r="U1296" s="48"/>
      <c r="V1296" s="48"/>
      <c r="W1296" s="48"/>
      <c r="X1296" s="48"/>
      <c r="Y1296" s="48"/>
      <c r="Z1296" s="48"/>
      <c r="AA1296" s="48"/>
      <c r="AB1296" s="48"/>
      <c r="AC1296" s="48"/>
      <c r="AD1296" s="48"/>
    </row>
    <row r="1297" spans="1:30" s="1" customFormat="1" ht="31.2">
      <c r="A1297" s="327"/>
      <c r="B1297" s="905" t="s">
        <v>977</v>
      </c>
      <c r="C1297" s="906"/>
      <c r="D1297" s="330"/>
      <c r="E1297" s="330" t="s">
        <v>974</v>
      </c>
      <c r="F1297" s="397">
        <v>2</v>
      </c>
      <c r="G1297" s="397">
        <v>1</v>
      </c>
      <c r="H1297" s="398">
        <v>528.9</v>
      </c>
      <c r="I1297" s="399">
        <v>492.3</v>
      </c>
      <c r="J1297" s="399">
        <v>437.9</v>
      </c>
      <c r="K1297" s="400">
        <v>19</v>
      </c>
      <c r="L1297" s="333">
        <v>674496</v>
      </c>
      <c r="M1297" s="333">
        <v>0</v>
      </c>
      <c r="N1297" s="333">
        <v>0</v>
      </c>
      <c r="O1297" s="333">
        <v>674496</v>
      </c>
      <c r="P1297" s="333">
        <v>0</v>
      </c>
      <c r="Q1297" s="399">
        <f>L1297/I1297</f>
        <v>1370.0914076782449</v>
      </c>
      <c r="R1297" s="334">
        <v>7920</v>
      </c>
      <c r="S1297" s="335">
        <v>43830</v>
      </c>
      <c r="T1297" s="49"/>
      <c r="U1297" s="49"/>
      <c r="V1297" s="49"/>
      <c r="W1297" s="49"/>
      <c r="X1297" s="49"/>
      <c r="Y1297" s="49"/>
      <c r="Z1297" s="49"/>
      <c r="AA1297" s="49"/>
      <c r="AB1297" s="49"/>
      <c r="AC1297" s="49"/>
      <c r="AD1297" s="49"/>
    </row>
    <row r="1298" spans="1:30" s="1" customFormat="1" ht="15.6">
      <c r="A1298" s="327"/>
      <c r="B1298" s="396"/>
      <c r="C1298" s="330"/>
      <c r="D1298" s="330"/>
      <c r="E1298" s="330"/>
      <c r="F1298" s="397"/>
      <c r="G1298" s="397"/>
      <c r="H1298" s="398"/>
      <c r="I1298" s="398"/>
      <c r="J1298" s="398"/>
      <c r="K1298" s="400"/>
      <c r="L1298" s="333"/>
      <c r="M1298" s="333"/>
      <c r="N1298" s="333"/>
      <c r="O1298" s="333"/>
      <c r="P1298" s="333"/>
      <c r="Q1298" s="399"/>
      <c r="R1298" s="334"/>
      <c r="S1298" s="335"/>
    </row>
    <row r="1299" spans="1:30" s="1" customFormat="1" ht="15.6">
      <c r="A1299" s="327"/>
      <c r="B1299" s="396"/>
      <c r="C1299" s="330"/>
      <c r="D1299" s="330"/>
      <c r="E1299" s="330"/>
      <c r="F1299" s="397"/>
      <c r="G1299" s="397"/>
      <c r="H1299" s="398"/>
      <c r="I1299" s="399"/>
      <c r="J1299" s="399"/>
      <c r="K1299" s="400"/>
      <c r="L1299" s="333"/>
      <c r="M1299" s="333"/>
      <c r="N1299" s="333"/>
      <c r="O1299" s="333"/>
      <c r="P1299" s="333"/>
      <c r="Q1299" s="399"/>
      <c r="R1299" s="334"/>
      <c r="S1299" s="335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</row>
    <row r="1300" spans="1:30" s="1" customFormat="1" ht="15.6">
      <c r="A1300" s="327"/>
      <c r="B1300" s="396"/>
      <c r="C1300" s="330"/>
      <c r="D1300" s="330"/>
      <c r="E1300" s="330"/>
      <c r="F1300" s="397"/>
      <c r="G1300" s="397"/>
      <c r="H1300" s="398"/>
      <c r="I1300" s="399"/>
      <c r="J1300" s="399"/>
      <c r="K1300" s="400"/>
      <c r="L1300" s="333"/>
      <c r="M1300" s="333"/>
      <c r="N1300" s="333"/>
      <c r="O1300" s="333"/>
      <c r="P1300" s="333"/>
      <c r="Q1300" s="399"/>
      <c r="R1300" s="334"/>
      <c r="S1300" s="335"/>
      <c r="T1300" s="49"/>
      <c r="U1300" s="49"/>
      <c r="V1300" s="49"/>
      <c r="W1300" s="49"/>
      <c r="X1300" s="49"/>
      <c r="Y1300" s="49"/>
      <c r="Z1300" s="49"/>
      <c r="AA1300" s="49"/>
      <c r="AB1300" s="49"/>
      <c r="AC1300" s="49"/>
      <c r="AD1300" s="49"/>
    </row>
    <row r="1301" spans="1:30" s="10" customFormat="1" ht="15.6">
      <c r="A1301" s="327"/>
      <c r="B1301" s="401"/>
      <c r="C1301" s="330"/>
      <c r="D1301" s="330"/>
      <c r="E1301" s="330"/>
      <c r="F1301" s="397"/>
      <c r="G1301" s="397"/>
      <c r="H1301" s="398"/>
      <c r="I1301" s="398"/>
      <c r="J1301" s="398"/>
      <c r="K1301" s="400"/>
      <c r="L1301" s="333"/>
      <c r="M1301" s="333"/>
      <c r="N1301" s="333"/>
      <c r="O1301" s="333"/>
      <c r="P1301" s="333"/>
      <c r="Q1301" s="399"/>
      <c r="R1301" s="334"/>
      <c r="S1301" s="335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</row>
    <row r="1302" spans="1:30" s="10" customFormat="1" ht="15.6">
      <c r="A1302" s="327"/>
      <c r="B1302" s="396"/>
      <c r="C1302" s="330"/>
      <c r="D1302" s="330"/>
      <c r="E1302" s="330"/>
      <c r="F1302" s="397"/>
      <c r="G1302" s="397"/>
      <c r="H1302" s="398"/>
      <c r="I1302" s="399"/>
      <c r="J1302" s="399"/>
      <c r="K1302" s="400"/>
      <c r="L1302" s="333"/>
      <c r="M1302" s="333"/>
      <c r="N1302" s="333"/>
      <c r="O1302" s="333"/>
      <c r="P1302" s="333"/>
      <c r="Q1302" s="399"/>
      <c r="R1302" s="334"/>
      <c r="S1302" s="335"/>
      <c r="T1302" s="49"/>
      <c r="U1302" s="49"/>
      <c r="V1302" s="49"/>
      <c r="W1302" s="49"/>
      <c r="X1302" s="49"/>
      <c r="Y1302" s="49"/>
      <c r="Z1302" s="49"/>
      <c r="AA1302" s="49"/>
      <c r="AB1302" s="49"/>
      <c r="AC1302" s="49"/>
      <c r="AD1302" s="49"/>
    </row>
    <row r="1303" spans="1:30" s="48" customFormat="1" ht="15.6">
      <c r="A1303" s="327"/>
      <c r="B1303" s="396"/>
      <c r="C1303" s="330"/>
      <c r="D1303" s="330"/>
      <c r="E1303" s="330"/>
      <c r="F1303" s="397"/>
      <c r="G1303" s="397"/>
      <c r="H1303" s="398"/>
      <c r="I1303" s="399"/>
      <c r="J1303" s="399"/>
      <c r="K1303" s="400"/>
      <c r="L1303" s="333"/>
      <c r="M1303" s="333"/>
      <c r="N1303" s="333"/>
      <c r="O1303" s="333"/>
      <c r="P1303" s="333"/>
      <c r="Q1303" s="399"/>
      <c r="R1303" s="334"/>
      <c r="S1303" s="335"/>
      <c r="T1303" s="49"/>
      <c r="U1303" s="49"/>
      <c r="V1303" s="49"/>
      <c r="W1303" s="49"/>
      <c r="X1303" s="49"/>
      <c r="Y1303" s="49"/>
      <c r="Z1303" s="49"/>
      <c r="AA1303" s="49"/>
      <c r="AB1303" s="49"/>
      <c r="AC1303" s="49"/>
      <c r="AD1303" s="49"/>
    </row>
    <row r="1304" spans="1:30" s="49" customFormat="1" ht="15.6">
      <c r="A1304" s="327"/>
      <c r="B1304" s="401"/>
      <c r="C1304" s="330"/>
      <c r="D1304" s="330"/>
      <c r="E1304" s="330"/>
      <c r="F1304" s="397"/>
      <c r="G1304" s="397"/>
      <c r="H1304" s="398"/>
      <c r="I1304" s="398"/>
      <c r="J1304" s="399"/>
      <c r="K1304" s="400"/>
      <c r="L1304" s="333"/>
      <c r="M1304" s="333"/>
      <c r="N1304" s="333"/>
      <c r="O1304" s="333"/>
      <c r="P1304" s="333"/>
      <c r="Q1304" s="399"/>
      <c r="R1304" s="334"/>
      <c r="S1304" s="335"/>
      <c r="T1304" s="47"/>
      <c r="U1304" s="47"/>
      <c r="V1304" s="47"/>
      <c r="W1304" s="47"/>
      <c r="X1304" s="47"/>
      <c r="Y1304" s="47"/>
      <c r="Z1304" s="47"/>
      <c r="AA1304" s="47"/>
      <c r="AB1304" s="47"/>
      <c r="AC1304" s="47"/>
      <c r="AD1304" s="47"/>
    </row>
    <row r="1305" spans="1:30" s="49" customFormat="1" ht="15.6">
      <c r="A1305" s="327"/>
      <c r="B1305" s="396"/>
      <c r="C1305" s="330"/>
      <c r="D1305" s="330"/>
      <c r="E1305" s="330"/>
      <c r="F1305" s="397"/>
      <c r="G1305" s="397"/>
      <c r="H1305" s="398"/>
      <c r="I1305" s="398"/>
      <c r="J1305" s="398"/>
      <c r="K1305" s="400"/>
      <c r="L1305" s="333"/>
      <c r="M1305" s="333"/>
      <c r="N1305" s="333"/>
      <c r="O1305" s="333"/>
      <c r="P1305" s="333"/>
      <c r="Q1305" s="399"/>
      <c r="R1305" s="334"/>
      <c r="S1305" s="335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</row>
    <row r="1306" spans="1:30" s="49" customFormat="1" ht="15.6">
      <c r="A1306" s="327"/>
      <c r="B1306" s="396"/>
      <c r="C1306" s="330"/>
      <c r="D1306" s="330"/>
      <c r="E1306" s="330"/>
      <c r="F1306" s="397"/>
      <c r="G1306" s="397"/>
      <c r="H1306" s="398"/>
      <c r="I1306" s="399"/>
      <c r="J1306" s="399"/>
      <c r="K1306" s="400"/>
      <c r="L1306" s="333"/>
      <c r="M1306" s="333"/>
      <c r="N1306" s="333"/>
      <c r="O1306" s="333"/>
      <c r="P1306" s="333"/>
      <c r="Q1306" s="399"/>
      <c r="R1306" s="334"/>
      <c r="S1306" s="335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</row>
    <row r="1307" spans="1:30" s="49" customFormat="1" ht="15.6">
      <c r="A1307" s="327"/>
      <c r="B1307" s="401"/>
      <c r="C1307" s="330"/>
      <c r="D1307" s="330"/>
      <c r="E1307" s="330"/>
      <c r="F1307" s="397"/>
      <c r="G1307" s="397"/>
      <c r="H1307" s="398"/>
      <c r="I1307" s="399"/>
      <c r="J1307" s="399"/>
      <c r="K1307" s="400"/>
      <c r="L1307" s="333"/>
      <c r="M1307" s="333"/>
      <c r="N1307" s="333"/>
      <c r="O1307" s="333"/>
      <c r="P1307" s="333"/>
      <c r="Q1307" s="399"/>
      <c r="R1307" s="334"/>
      <c r="S1307" s="335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</row>
    <row r="1308" spans="1:30" s="1" customFormat="1" ht="15.6">
      <c r="A1308" s="327"/>
      <c r="B1308" s="1488" t="s">
        <v>123</v>
      </c>
      <c r="C1308" s="1488"/>
      <c r="D1308" s="1488"/>
      <c r="E1308" s="1488"/>
      <c r="F1308" s="1488"/>
      <c r="G1308" s="1488"/>
      <c r="H1308" s="353">
        <f t="shared" ref="H1308:P1308" si="361">SUM(H1309:H1311)</f>
        <v>20881.099999999999</v>
      </c>
      <c r="I1308" s="353">
        <f t="shared" si="361"/>
        <v>12692.79</v>
      </c>
      <c r="J1308" s="353">
        <f t="shared" si="361"/>
        <v>9770.1</v>
      </c>
      <c r="K1308" s="353">
        <f t="shared" si="361"/>
        <v>629</v>
      </c>
      <c r="L1308" s="708">
        <f t="shared" si="361"/>
        <v>10007426</v>
      </c>
      <c r="M1308" s="708">
        <f t="shared" si="361"/>
        <v>0</v>
      </c>
      <c r="N1308" s="708">
        <f t="shared" si="361"/>
        <v>0</v>
      </c>
      <c r="O1308" s="708">
        <f t="shared" si="361"/>
        <v>10007426</v>
      </c>
      <c r="P1308" s="708">
        <f t="shared" si="361"/>
        <v>0</v>
      </c>
      <c r="Q1308" s="356" t="s">
        <v>40</v>
      </c>
      <c r="R1308" s="352" t="s">
        <v>40</v>
      </c>
      <c r="S1308" s="335">
        <v>43830</v>
      </c>
    </row>
    <row r="1309" spans="1:30" s="1" customFormat="1" ht="31.2">
      <c r="A1309" s="327">
        <f>A1307+1</f>
        <v>1</v>
      </c>
      <c r="B1309" s="877" t="s">
        <v>943</v>
      </c>
      <c r="C1309" s="367">
        <v>1964</v>
      </c>
      <c r="D1309" s="367"/>
      <c r="E1309" s="330" t="s">
        <v>218</v>
      </c>
      <c r="F1309" s="352">
        <v>5</v>
      </c>
      <c r="G1309" s="352">
        <v>5</v>
      </c>
      <c r="H1309" s="353">
        <v>6196.8</v>
      </c>
      <c r="I1309" s="352">
        <v>4027.51</v>
      </c>
      <c r="J1309" s="352">
        <v>3262.28</v>
      </c>
      <c r="K1309" s="370">
        <v>233</v>
      </c>
      <c r="L1309" s="333">
        <v>3237114</v>
      </c>
      <c r="M1309" s="333">
        <f>SUM(M1310:M1321)</f>
        <v>0</v>
      </c>
      <c r="N1309" s="333">
        <v>0</v>
      </c>
      <c r="O1309" s="333">
        <f>L1309</f>
        <v>3237114</v>
      </c>
      <c r="P1309" s="333">
        <v>0</v>
      </c>
      <c r="Q1309" s="356">
        <f t="shared" ref="Q1309:Q1321" si="362">L1309/I1309</f>
        <v>803.75070452959767</v>
      </c>
      <c r="R1309" s="334">
        <v>7920</v>
      </c>
      <c r="S1309" s="335">
        <v>43830</v>
      </c>
    </row>
    <row r="1310" spans="1:30" s="1" customFormat="1" ht="31.2">
      <c r="A1310" s="327">
        <f t="shared" ref="A1310:A1334" si="363">A1309+1</f>
        <v>2</v>
      </c>
      <c r="B1310" s="877" t="s">
        <v>741</v>
      </c>
      <c r="C1310" s="367">
        <v>1979</v>
      </c>
      <c r="D1310" s="367"/>
      <c r="E1310" s="330" t="s">
        <v>218</v>
      </c>
      <c r="F1310" s="352">
        <v>5</v>
      </c>
      <c r="G1310" s="352">
        <v>5</v>
      </c>
      <c r="H1310" s="353">
        <v>6648.4</v>
      </c>
      <c r="I1310" s="352">
        <v>3931</v>
      </c>
      <c r="J1310" s="352">
        <v>2464.7399999999998</v>
      </c>
      <c r="K1310" s="370">
        <v>182</v>
      </c>
      <c r="L1310" s="333">
        <v>3071501</v>
      </c>
      <c r="M1310" s="333">
        <f>SUM(M1311:M1322)</f>
        <v>0</v>
      </c>
      <c r="N1310" s="333">
        <v>0</v>
      </c>
      <c r="O1310" s="333">
        <f>L1310</f>
        <v>3071501</v>
      </c>
      <c r="P1310" s="333">
        <v>0</v>
      </c>
      <c r="Q1310" s="356">
        <f t="shared" si="362"/>
        <v>781.35359959297887</v>
      </c>
      <c r="R1310" s="334">
        <v>7920</v>
      </c>
      <c r="S1310" s="335">
        <v>43830</v>
      </c>
    </row>
    <row r="1311" spans="1:30" s="1" customFormat="1" ht="31.2">
      <c r="A1311" s="327">
        <v>3</v>
      </c>
      <c r="B1311" s="877" t="s">
        <v>742</v>
      </c>
      <c r="C1311" s="367">
        <v>1975</v>
      </c>
      <c r="D1311" s="352"/>
      <c r="E1311" s="330" t="s">
        <v>218</v>
      </c>
      <c r="F1311" s="352">
        <v>5</v>
      </c>
      <c r="G1311" s="352">
        <v>6</v>
      </c>
      <c r="H1311" s="353">
        <v>8035.9</v>
      </c>
      <c r="I1311" s="352">
        <v>4734.28</v>
      </c>
      <c r="J1311" s="352">
        <v>4043.08</v>
      </c>
      <c r="K1311" s="370">
        <v>214</v>
      </c>
      <c r="L1311" s="333">
        <v>3698811</v>
      </c>
      <c r="M1311" s="333">
        <f t="shared" ref="M1311" si="364">SUM(M1312:M1324)</f>
        <v>0</v>
      </c>
      <c r="N1311" s="333">
        <v>0</v>
      </c>
      <c r="O1311" s="333">
        <f>L1311</f>
        <v>3698811</v>
      </c>
      <c r="P1311" s="333">
        <v>0</v>
      </c>
      <c r="Q1311" s="356">
        <f t="shared" si="362"/>
        <v>781.28268712454701</v>
      </c>
      <c r="R1311" s="334">
        <v>7920</v>
      </c>
      <c r="S1311" s="335">
        <v>43830</v>
      </c>
    </row>
    <row r="1312" spans="1:30" s="1" customFormat="1" ht="15.6">
      <c r="A1312" s="327"/>
      <c r="B1312" s="877"/>
      <c r="C1312" s="367"/>
      <c r="D1312" s="352"/>
      <c r="E1312" s="330"/>
      <c r="F1312" s="352"/>
      <c r="G1312" s="352"/>
      <c r="H1312" s="353"/>
      <c r="I1312" s="352"/>
      <c r="J1312" s="352"/>
      <c r="K1312" s="370"/>
      <c r="L1312" s="333"/>
      <c r="M1312" s="333"/>
      <c r="N1312" s="333"/>
      <c r="O1312" s="333"/>
      <c r="P1312" s="333"/>
      <c r="Q1312" s="356"/>
      <c r="R1312" s="334"/>
      <c r="S1312" s="335">
        <v>43830</v>
      </c>
    </row>
    <row r="1313" spans="1:19" s="1" customFormat="1" ht="15.6">
      <c r="A1313" s="327"/>
      <c r="B1313" s="877"/>
      <c r="C1313" s="367"/>
      <c r="D1313" s="352"/>
      <c r="E1313" s="330"/>
      <c r="F1313" s="352"/>
      <c r="G1313" s="352"/>
      <c r="H1313" s="353"/>
      <c r="I1313" s="352"/>
      <c r="J1313" s="352"/>
      <c r="K1313" s="370"/>
      <c r="L1313" s="333"/>
      <c r="M1313" s="333"/>
      <c r="N1313" s="333"/>
      <c r="O1313" s="333"/>
      <c r="P1313" s="333"/>
      <c r="Q1313" s="356"/>
      <c r="R1313" s="334"/>
      <c r="S1313" s="335">
        <v>43830</v>
      </c>
    </row>
    <row r="1314" spans="1:19" s="1" customFormat="1" ht="15.6">
      <c r="A1314" s="327"/>
      <c r="B1314" s="877"/>
      <c r="C1314" s="646"/>
      <c r="D1314" s="352"/>
      <c r="E1314" s="330"/>
      <c r="F1314" s="352"/>
      <c r="G1314" s="352"/>
      <c r="H1314" s="353"/>
      <c r="I1314" s="352"/>
      <c r="J1314" s="352"/>
      <c r="K1314" s="370"/>
      <c r="L1314" s="333"/>
      <c r="M1314" s="333"/>
      <c r="N1314" s="333"/>
      <c r="O1314" s="333"/>
      <c r="P1314" s="333"/>
      <c r="Q1314" s="356"/>
      <c r="R1314" s="334"/>
      <c r="S1314" s="335">
        <v>43830</v>
      </c>
    </row>
    <row r="1315" spans="1:19" s="1" customFormat="1" ht="15.6">
      <c r="A1315" s="327"/>
      <c r="B1315" s="877"/>
      <c r="C1315" s="646"/>
      <c r="D1315" s="352"/>
      <c r="E1315" s="330"/>
      <c r="F1315" s="352"/>
      <c r="G1315" s="352"/>
      <c r="H1315" s="353"/>
      <c r="I1315" s="352"/>
      <c r="J1315" s="352"/>
      <c r="K1315" s="370"/>
      <c r="L1315" s="333"/>
      <c r="M1315" s="333"/>
      <c r="N1315" s="333"/>
      <c r="O1315" s="333"/>
      <c r="P1315" s="333"/>
      <c r="Q1315" s="356"/>
      <c r="R1315" s="334"/>
      <c r="S1315" s="335">
        <v>43830</v>
      </c>
    </row>
    <row r="1316" spans="1:19" s="1" customFormat="1" ht="15.6">
      <c r="A1316" s="327"/>
      <c r="B1316" s="877"/>
      <c r="C1316" s="367"/>
      <c r="D1316" s="352"/>
      <c r="E1316" s="330"/>
      <c r="F1316" s="352"/>
      <c r="G1316" s="352"/>
      <c r="H1316" s="353"/>
      <c r="I1316" s="352"/>
      <c r="J1316" s="352"/>
      <c r="K1316" s="370"/>
      <c r="L1316" s="333"/>
      <c r="M1316" s="333"/>
      <c r="N1316" s="333"/>
      <c r="O1316" s="333"/>
      <c r="P1316" s="333"/>
      <c r="Q1316" s="356"/>
      <c r="R1316" s="334"/>
      <c r="S1316" s="335">
        <v>43830</v>
      </c>
    </row>
    <row r="1317" spans="1:19" s="1" customFormat="1" ht="15.6">
      <c r="A1317" s="327"/>
      <c r="B1317" s="877"/>
      <c r="C1317" s="367"/>
      <c r="D1317" s="352"/>
      <c r="E1317" s="330"/>
      <c r="F1317" s="352"/>
      <c r="G1317" s="352"/>
      <c r="H1317" s="353"/>
      <c r="I1317" s="352"/>
      <c r="J1317" s="352"/>
      <c r="K1317" s="370"/>
      <c r="L1317" s="333"/>
      <c r="M1317" s="333"/>
      <c r="N1317" s="333"/>
      <c r="O1317" s="333"/>
      <c r="P1317" s="333"/>
      <c r="Q1317" s="356"/>
      <c r="R1317" s="334"/>
      <c r="S1317" s="335">
        <v>43830</v>
      </c>
    </row>
    <row r="1318" spans="1:19" s="1" customFormat="1" ht="15.6">
      <c r="A1318" s="327"/>
      <c r="B1318" s="877"/>
      <c r="C1318" s="367"/>
      <c r="D1318" s="352"/>
      <c r="E1318" s="330"/>
      <c r="F1318" s="352"/>
      <c r="G1318" s="352"/>
      <c r="H1318" s="353"/>
      <c r="I1318" s="352"/>
      <c r="J1318" s="352"/>
      <c r="K1318" s="370"/>
      <c r="L1318" s="333"/>
      <c r="M1318" s="333"/>
      <c r="N1318" s="333"/>
      <c r="O1318" s="333"/>
      <c r="P1318" s="333"/>
      <c r="Q1318" s="356"/>
      <c r="R1318" s="334"/>
      <c r="S1318" s="335">
        <v>43830</v>
      </c>
    </row>
    <row r="1319" spans="1:19" s="1" customFormat="1" ht="15.6">
      <c r="A1319" s="327"/>
      <c r="B1319" s="877"/>
      <c r="C1319" s="367"/>
      <c r="D1319" s="352"/>
      <c r="E1319" s="330"/>
      <c r="F1319" s="352"/>
      <c r="G1319" s="352"/>
      <c r="H1319" s="353"/>
      <c r="I1319" s="352"/>
      <c r="J1319" s="352"/>
      <c r="K1319" s="370"/>
      <c r="L1319" s="333"/>
      <c r="M1319" s="333"/>
      <c r="N1319" s="333"/>
      <c r="O1319" s="333"/>
      <c r="P1319" s="333"/>
      <c r="Q1319" s="356"/>
      <c r="R1319" s="334"/>
      <c r="S1319" s="335">
        <v>43830</v>
      </c>
    </row>
    <row r="1320" spans="1:19" s="1" customFormat="1" ht="28.2" customHeight="1">
      <c r="A1320" s="327"/>
      <c r="B1320" s="1488" t="s">
        <v>864</v>
      </c>
      <c r="C1320" s="1488"/>
      <c r="D1320" s="1488"/>
      <c r="E1320" s="1488"/>
      <c r="F1320" s="1488"/>
      <c r="G1320" s="1488"/>
      <c r="H1320" s="353">
        <f>H1321</f>
        <v>2514.6999999999998</v>
      </c>
      <c r="I1320" s="353">
        <f t="shared" ref="I1320:P1320" si="365">I1321</f>
        <v>1996.2</v>
      </c>
      <c r="J1320" s="353">
        <f t="shared" si="365"/>
        <v>1756.5</v>
      </c>
      <c r="K1320" s="353">
        <f t="shared" si="365"/>
        <v>82</v>
      </c>
      <c r="L1320" s="708">
        <f t="shared" si="365"/>
        <v>1112894</v>
      </c>
      <c r="M1320" s="708">
        <f t="shared" si="365"/>
        <v>0</v>
      </c>
      <c r="N1320" s="708">
        <f t="shared" si="365"/>
        <v>0</v>
      </c>
      <c r="O1320" s="708">
        <f t="shared" si="365"/>
        <v>1112894</v>
      </c>
      <c r="P1320" s="708">
        <f t="shared" si="365"/>
        <v>0</v>
      </c>
      <c r="Q1320" s="356" t="s">
        <v>40</v>
      </c>
      <c r="R1320" s="352" t="s">
        <v>40</v>
      </c>
      <c r="S1320" s="335">
        <v>43830</v>
      </c>
    </row>
    <row r="1321" spans="1:19" s="1" customFormat="1" ht="31.2">
      <c r="A1321" s="327"/>
      <c r="B1321" s="910" t="s">
        <v>869</v>
      </c>
      <c r="C1321" s="367">
        <v>1966</v>
      </c>
      <c r="D1321" s="352"/>
      <c r="E1321" s="330" t="s">
        <v>218</v>
      </c>
      <c r="F1321" s="352">
        <v>4</v>
      </c>
      <c r="G1321" s="352">
        <v>3</v>
      </c>
      <c r="H1321" s="353">
        <v>2514.6999999999998</v>
      </c>
      <c r="I1321" s="352">
        <v>1996.2</v>
      </c>
      <c r="J1321" s="352">
        <v>1756.5</v>
      </c>
      <c r="K1321" s="370">
        <v>82</v>
      </c>
      <c r="L1321" s="333">
        <v>1112894</v>
      </c>
      <c r="M1321" s="333">
        <v>0</v>
      </c>
      <c r="N1321" s="333">
        <v>0</v>
      </c>
      <c r="O1321" s="333">
        <v>1112894</v>
      </c>
      <c r="P1321" s="333">
        <v>0</v>
      </c>
      <c r="Q1321" s="356">
        <f t="shared" si="362"/>
        <v>557.50626189760544</v>
      </c>
      <c r="R1321" s="334">
        <v>7920</v>
      </c>
      <c r="S1321" s="335">
        <v>43830</v>
      </c>
    </row>
    <row r="1322" spans="1:19" s="16" customFormat="1" ht="23.4" customHeight="1">
      <c r="A1322" s="327"/>
      <c r="B1322" s="1488" t="s">
        <v>72</v>
      </c>
      <c r="C1322" s="1488"/>
      <c r="D1322" s="1488"/>
      <c r="E1322" s="1488"/>
      <c r="F1322" s="1488"/>
      <c r="G1322" s="1488"/>
      <c r="H1322" s="353">
        <f>H1323</f>
        <v>2066.4</v>
      </c>
      <c r="I1322" s="352">
        <f t="shared" ref="I1322:R1322" si="366">I1323</f>
        <v>1872.3</v>
      </c>
      <c r="J1322" s="352">
        <f t="shared" si="366"/>
        <v>1662.1</v>
      </c>
      <c r="K1322" s="355">
        <f t="shared" si="366"/>
        <v>80</v>
      </c>
      <c r="L1322" s="333">
        <f t="shared" si="366"/>
        <v>4547991</v>
      </c>
      <c r="M1322" s="333">
        <f t="shared" si="366"/>
        <v>0</v>
      </c>
      <c r="N1322" s="333">
        <f t="shared" si="366"/>
        <v>0</v>
      </c>
      <c r="O1322" s="333">
        <f t="shared" si="366"/>
        <v>4547991</v>
      </c>
      <c r="P1322" s="333">
        <f t="shared" si="366"/>
        <v>0</v>
      </c>
      <c r="Q1322" s="356" t="str">
        <f t="shared" si="366"/>
        <v>Х</v>
      </c>
      <c r="R1322" s="352" t="str">
        <f t="shared" si="366"/>
        <v>Х</v>
      </c>
      <c r="S1322" s="335">
        <v>43830</v>
      </c>
    </row>
    <row r="1323" spans="1:19" s="16" customFormat="1" ht="30.6" customHeight="1">
      <c r="A1323" s="327"/>
      <c r="B1323" s="1488" t="s">
        <v>95</v>
      </c>
      <c r="C1323" s="1488"/>
      <c r="D1323" s="1488"/>
      <c r="E1323" s="1488"/>
      <c r="F1323" s="1488"/>
      <c r="G1323" s="1488"/>
      <c r="H1323" s="353">
        <f>SUM(H1324:H1327)</f>
        <v>2066.4</v>
      </c>
      <c r="I1323" s="353">
        <f t="shared" ref="I1323:P1323" si="367">SUM(I1324:I1327)</f>
        <v>1872.3</v>
      </c>
      <c r="J1323" s="353">
        <f t="shared" si="367"/>
        <v>1662.1</v>
      </c>
      <c r="K1323" s="353">
        <f t="shared" si="367"/>
        <v>80</v>
      </c>
      <c r="L1323" s="680">
        <f t="shared" si="367"/>
        <v>4547991</v>
      </c>
      <c r="M1323" s="680">
        <f t="shared" si="367"/>
        <v>0</v>
      </c>
      <c r="N1323" s="680">
        <f t="shared" si="367"/>
        <v>0</v>
      </c>
      <c r="O1323" s="680">
        <f t="shared" si="367"/>
        <v>4547991</v>
      </c>
      <c r="P1323" s="680">
        <f t="shared" si="367"/>
        <v>0</v>
      </c>
      <c r="Q1323" s="356" t="s">
        <v>40</v>
      </c>
      <c r="R1323" s="367" t="s">
        <v>40</v>
      </c>
      <c r="S1323" s="335">
        <v>43830</v>
      </c>
    </row>
    <row r="1324" spans="1:19" s="1" customFormat="1" ht="31.2">
      <c r="A1324" s="327" t="e">
        <f>#REF!+1</f>
        <v>#REF!</v>
      </c>
      <c r="B1324" s="338" t="s">
        <v>625</v>
      </c>
      <c r="C1324" s="329">
        <v>1978</v>
      </c>
      <c r="D1324" s="329"/>
      <c r="E1324" s="330" t="s">
        <v>218</v>
      </c>
      <c r="F1324" s="329">
        <v>2</v>
      </c>
      <c r="G1324" s="329">
        <v>2</v>
      </c>
      <c r="H1324" s="331">
        <v>568.9</v>
      </c>
      <c r="I1324" s="329">
        <v>523</v>
      </c>
      <c r="J1324" s="358">
        <v>490.1</v>
      </c>
      <c r="K1324" s="332">
        <v>24</v>
      </c>
      <c r="L1324" s="333">
        <v>2106656</v>
      </c>
      <c r="M1324" s="333">
        <v>0</v>
      </c>
      <c r="N1324" s="333">
        <v>0</v>
      </c>
      <c r="O1324" s="333">
        <f>L1324</f>
        <v>2106656</v>
      </c>
      <c r="P1324" s="333">
        <v>0</v>
      </c>
      <c r="Q1324" s="334">
        <f t="shared" ref="Q1324:Q1327" si="368">L1324/I1324</f>
        <v>4028.0229445506693</v>
      </c>
      <c r="R1324" s="620">
        <v>7920</v>
      </c>
      <c r="S1324" s="335">
        <v>43830</v>
      </c>
    </row>
    <row r="1325" spans="1:19" s="1" customFormat="1" ht="21.6" customHeight="1">
      <c r="A1325" s="327" t="e">
        <f t="shared" si="363"/>
        <v>#REF!</v>
      </c>
      <c r="B1325" s="338" t="s">
        <v>626</v>
      </c>
      <c r="C1325" s="329">
        <v>1975</v>
      </c>
      <c r="D1325" s="329"/>
      <c r="E1325" s="330" t="s">
        <v>220</v>
      </c>
      <c r="F1325" s="329">
        <v>2</v>
      </c>
      <c r="G1325" s="329">
        <v>2</v>
      </c>
      <c r="H1325" s="331">
        <v>572.6</v>
      </c>
      <c r="I1325" s="329">
        <v>520.20000000000005</v>
      </c>
      <c r="J1325" s="358">
        <v>342.9</v>
      </c>
      <c r="K1325" s="332">
        <v>22</v>
      </c>
      <c r="L1325" s="333">
        <v>649678</v>
      </c>
      <c r="M1325" s="333">
        <v>0</v>
      </c>
      <c r="N1325" s="333">
        <v>0</v>
      </c>
      <c r="O1325" s="333">
        <f t="shared" ref="O1325:O1327" si="369">L1325</f>
        <v>649678</v>
      </c>
      <c r="P1325" s="333">
        <v>0</v>
      </c>
      <c r="Q1325" s="334">
        <f t="shared" si="368"/>
        <v>1248.9004229142636</v>
      </c>
      <c r="R1325" s="620">
        <v>7920</v>
      </c>
      <c r="S1325" s="335">
        <v>43830</v>
      </c>
    </row>
    <row r="1326" spans="1:19" s="1" customFormat="1" ht="31.2">
      <c r="A1326" s="327" t="e">
        <f t="shared" si="363"/>
        <v>#REF!</v>
      </c>
      <c r="B1326" s="338" t="s">
        <v>443</v>
      </c>
      <c r="C1326" s="329">
        <v>1967</v>
      </c>
      <c r="D1326" s="329"/>
      <c r="E1326" s="330" t="s">
        <v>218</v>
      </c>
      <c r="F1326" s="329">
        <v>2</v>
      </c>
      <c r="G1326" s="329">
        <v>2</v>
      </c>
      <c r="H1326" s="331">
        <v>529.5</v>
      </c>
      <c r="I1326" s="329">
        <v>471.3</v>
      </c>
      <c r="J1326" s="329">
        <v>471.3</v>
      </c>
      <c r="K1326" s="332">
        <v>21</v>
      </c>
      <c r="L1326" s="333">
        <v>1157557</v>
      </c>
      <c r="M1326" s="333">
        <v>0</v>
      </c>
      <c r="N1326" s="333">
        <v>0</v>
      </c>
      <c r="O1326" s="333">
        <f t="shared" si="369"/>
        <v>1157557</v>
      </c>
      <c r="P1326" s="333">
        <v>0</v>
      </c>
      <c r="Q1326" s="334">
        <f t="shared" si="368"/>
        <v>2456.0937831529809</v>
      </c>
      <c r="R1326" s="334">
        <v>7920</v>
      </c>
      <c r="S1326" s="335">
        <v>43830</v>
      </c>
    </row>
    <row r="1327" spans="1:19" s="1" customFormat="1" ht="31.2">
      <c r="A1327" s="327" t="e">
        <f t="shared" si="363"/>
        <v>#REF!</v>
      </c>
      <c r="B1327" s="338" t="s">
        <v>391</v>
      </c>
      <c r="C1327" s="329">
        <v>1969</v>
      </c>
      <c r="D1327" s="329"/>
      <c r="E1327" s="330" t="s">
        <v>218</v>
      </c>
      <c r="F1327" s="329">
        <v>2</v>
      </c>
      <c r="G1327" s="329">
        <v>2</v>
      </c>
      <c r="H1327" s="331">
        <v>395.4</v>
      </c>
      <c r="I1327" s="329">
        <v>357.8</v>
      </c>
      <c r="J1327" s="329">
        <v>357.8</v>
      </c>
      <c r="K1327" s="332">
        <v>13</v>
      </c>
      <c r="L1327" s="333">
        <v>634100</v>
      </c>
      <c r="M1327" s="333">
        <v>0</v>
      </c>
      <c r="N1327" s="333">
        <v>0</v>
      </c>
      <c r="O1327" s="333">
        <f t="shared" si="369"/>
        <v>634100</v>
      </c>
      <c r="P1327" s="333">
        <v>0</v>
      </c>
      <c r="Q1327" s="334">
        <f t="shared" si="368"/>
        <v>1772.219116825042</v>
      </c>
      <c r="R1327" s="334">
        <v>7920</v>
      </c>
      <c r="S1327" s="335">
        <v>43830</v>
      </c>
    </row>
    <row r="1328" spans="1:19" s="1" customFormat="1" ht="15.6">
      <c r="A1328" s="327"/>
      <c r="B1328" s="338"/>
      <c r="C1328" s="329"/>
      <c r="D1328" s="329"/>
      <c r="E1328" s="330"/>
      <c r="F1328" s="329"/>
      <c r="G1328" s="329"/>
      <c r="H1328" s="331"/>
      <c r="I1328" s="329"/>
      <c r="J1328" s="329"/>
      <c r="K1328" s="332"/>
      <c r="L1328" s="333"/>
      <c r="M1328" s="333"/>
      <c r="N1328" s="333"/>
      <c r="O1328" s="333"/>
      <c r="P1328" s="333"/>
      <c r="Q1328" s="334"/>
      <c r="R1328" s="334"/>
      <c r="S1328" s="335"/>
    </row>
    <row r="1329" spans="1:34" s="1" customFormat="1" ht="15.6">
      <c r="A1329" s="327"/>
      <c r="B1329" s="338"/>
      <c r="C1329" s="329"/>
      <c r="D1329" s="329"/>
      <c r="E1329" s="330"/>
      <c r="F1329" s="329"/>
      <c r="G1329" s="329"/>
      <c r="H1329" s="331"/>
      <c r="I1329" s="329"/>
      <c r="J1329" s="329"/>
      <c r="K1329" s="332"/>
      <c r="L1329" s="333"/>
      <c r="M1329" s="333"/>
      <c r="N1329" s="333"/>
      <c r="O1329" s="333"/>
      <c r="P1329" s="333"/>
      <c r="Q1329" s="334"/>
      <c r="R1329" s="334"/>
      <c r="S1329" s="335"/>
    </row>
    <row r="1330" spans="1:34" s="1" customFormat="1" ht="15.6">
      <c r="A1330" s="327"/>
      <c r="B1330" s="338"/>
      <c r="C1330" s="329"/>
      <c r="D1330" s="329"/>
      <c r="E1330" s="330"/>
      <c r="F1330" s="329"/>
      <c r="G1330" s="329"/>
      <c r="H1330" s="331"/>
      <c r="I1330" s="329"/>
      <c r="J1330" s="358"/>
      <c r="K1330" s="332"/>
      <c r="L1330" s="333"/>
      <c r="M1330" s="333"/>
      <c r="N1330" s="333"/>
      <c r="O1330" s="333"/>
      <c r="P1330" s="333"/>
      <c r="Q1330" s="334"/>
      <c r="R1330" s="334"/>
      <c r="S1330" s="335"/>
    </row>
    <row r="1331" spans="1:34" s="1" customFormat="1" ht="15.75" customHeight="1">
      <c r="A1331" s="107"/>
      <c r="B1331" s="1450" t="s">
        <v>41</v>
      </c>
      <c r="C1331" s="1450"/>
      <c r="D1331" s="1450"/>
      <c r="E1331" s="1450"/>
      <c r="F1331" s="1450"/>
      <c r="G1331" s="1450"/>
      <c r="H1331" s="111">
        <f>H1332</f>
        <v>11641.5</v>
      </c>
      <c r="I1331" s="111">
        <f t="shared" ref="I1331:P1331" si="370">I1332</f>
        <v>9960.2199999999993</v>
      </c>
      <c r="J1331" s="111">
        <f t="shared" si="370"/>
        <v>9539.32</v>
      </c>
      <c r="K1331" s="112">
        <f t="shared" si="370"/>
        <v>480</v>
      </c>
      <c r="L1331" s="113">
        <f t="shared" si="370"/>
        <v>12671361</v>
      </c>
      <c r="M1331" s="113">
        <f t="shared" si="370"/>
        <v>0</v>
      </c>
      <c r="N1331" s="113">
        <f t="shared" si="370"/>
        <v>0</v>
      </c>
      <c r="O1331" s="113">
        <f t="shared" si="370"/>
        <v>12671361</v>
      </c>
      <c r="P1331" s="113">
        <f t="shared" si="370"/>
        <v>0</v>
      </c>
      <c r="Q1331" s="114" t="s">
        <v>40</v>
      </c>
      <c r="R1331" s="126" t="s">
        <v>40</v>
      </c>
      <c r="S1331" s="335">
        <v>43830</v>
      </c>
    </row>
    <row r="1332" spans="1:34" s="1" customFormat="1" ht="24.6" customHeight="1">
      <c r="A1332" s="107"/>
      <c r="B1332" s="1451" t="s">
        <v>96</v>
      </c>
      <c r="C1332" s="1451"/>
      <c r="D1332" s="1450"/>
      <c r="E1332" s="1450"/>
      <c r="F1332" s="1451"/>
      <c r="G1332" s="1451"/>
      <c r="H1332" s="628">
        <f>SUM(H1333:H1336)</f>
        <v>11641.5</v>
      </c>
      <c r="I1332" s="628">
        <f t="shared" ref="I1332:P1332" si="371">SUM(I1333:I1336)</f>
        <v>9960.2199999999993</v>
      </c>
      <c r="J1332" s="628">
        <f t="shared" si="371"/>
        <v>9539.32</v>
      </c>
      <c r="K1332" s="628">
        <f t="shared" si="371"/>
        <v>480</v>
      </c>
      <c r="L1332" s="635">
        <f t="shared" si="371"/>
        <v>12671361</v>
      </c>
      <c r="M1332" s="635">
        <f t="shared" si="371"/>
        <v>0</v>
      </c>
      <c r="N1332" s="635">
        <f t="shared" si="371"/>
        <v>0</v>
      </c>
      <c r="O1332" s="635">
        <f t="shared" si="371"/>
        <v>12671361</v>
      </c>
      <c r="P1332" s="635">
        <f t="shared" si="371"/>
        <v>0</v>
      </c>
      <c r="Q1332" s="114" t="s">
        <v>40</v>
      </c>
      <c r="R1332" s="126" t="s">
        <v>40</v>
      </c>
      <c r="S1332" s="335">
        <v>43830</v>
      </c>
    </row>
    <row r="1333" spans="1:34" s="1" customFormat="1" ht="31.2">
      <c r="A1333" s="631">
        <f>A1330+1</f>
        <v>1</v>
      </c>
      <c r="B1333" s="780" t="s">
        <v>831</v>
      </c>
      <c r="C1333" s="781">
        <v>1976</v>
      </c>
      <c r="D1333" s="761"/>
      <c r="E1333" s="611" t="s">
        <v>834</v>
      </c>
      <c r="F1333" s="781">
        <v>5</v>
      </c>
      <c r="G1333" s="781">
        <v>6</v>
      </c>
      <c r="H1333" s="783">
        <v>4451</v>
      </c>
      <c r="I1333" s="783">
        <v>4064.82</v>
      </c>
      <c r="J1333" s="783">
        <f>I1333-53.9</f>
        <v>4010.92</v>
      </c>
      <c r="K1333" s="781">
        <v>153</v>
      </c>
      <c r="L1333" s="784">
        <v>4056611</v>
      </c>
      <c r="M1333" s="655">
        <v>0</v>
      </c>
      <c r="N1333" s="113">
        <v>0</v>
      </c>
      <c r="O1333" s="113">
        <f>L1333</f>
        <v>4056611</v>
      </c>
      <c r="P1333" s="113">
        <v>0</v>
      </c>
      <c r="Q1333" s="114">
        <f>L1333/I1333</f>
        <v>997.98047638025787</v>
      </c>
      <c r="R1333" s="114">
        <v>7920</v>
      </c>
      <c r="S1333" s="335">
        <v>43830</v>
      </c>
    </row>
    <row r="1334" spans="1:34" s="1" customFormat="1" ht="31.2">
      <c r="A1334" s="631">
        <f t="shared" si="363"/>
        <v>2</v>
      </c>
      <c r="B1334" s="780" t="s">
        <v>832</v>
      </c>
      <c r="C1334" s="781">
        <v>1989</v>
      </c>
      <c r="D1334" s="761"/>
      <c r="E1334" s="611" t="s">
        <v>834</v>
      </c>
      <c r="F1334" s="781">
        <v>5</v>
      </c>
      <c r="G1334" s="781">
        <v>4</v>
      </c>
      <c r="H1334" s="783">
        <v>2784</v>
      </c>
      <c r="I1334" s="783">
        <v>1565.5</v>
      </c>
      <c r="J1334" s="783">
        <f>I1334-245.6</f>
        <v>1319.9</v>
      </c>
      <c r="K1334" s="781">
        <v>141</v>
      </c>
      <c r="L1334" s="784">
        <v>2157151</v>
      </c>
      <c r="M1334" s="655">
        <v>0</v>
      </c>
      <c r="N1334" s="113">
        <v>0</v>
      </c>
      <c r="O1334" s="113">
        <f t="shared" ref="O1334:O1336" si="372">L1334</f>
        <v>2157151</v>
      </c>
      <c r="P1334" s="113">
        <v>0</v>
      </c>
      <c r="Q1334" s="114">
        <f>L1334/I1334</f>
        <v>1377.9310124560843</v>
      </c>
      <c r="R1334" s="114">
        <v>7920</v>
      </c>
      <c r="S1334" s="335">
        <v>43830</v>
      </c>
    </row>
    <row r="1335" spans="1:34" s="1" customFormat="1" ht="31.2">
      <c r="A1335" s="631">
        <f>A1334+1</f>
        <v>3</v>
      </c>
      <c r="B1335" s="780" t="s">
        <v>833</v>
      </c>
      <c r="C1335" s="781">
        <v>1988</v>
      </c>
      <c r="D1335" s="761"/>
      <c r="E1335" s="611" t="s">
        <v>218</v>
      </c>
      <c r="F1335" s="781">
        <v>5</v>
      </c>
      <c r="G1335" s="781">
        <v>1</v>
      </c>
      <c r="H1335" s="783">
        <v>2379.9</v>
      </c>
      <c r="I1335" s="783">
        <v>2357.3000000000002</v>
      </c>
      <c r="J1335" s="783">
        <f>I1335-35</f>
        <v>2322.3000000000002</v>
      </c>
      <c r="K1335" s="781">
        <v>101</v>
      </c>
      <c r="L1335" s="784">
        <v>1992941</v>
      </c>
      <c r="M1335" s="655">
        <v>0</v>
      </c>
      <c r="N1335" s="113">
        <v>0</v>
      </c>
      <c r="O1335" s="113">
        <f t="shared" si="372"/>
        <v>1992941</v>
      </c>
      <c r="P1335" s="113">
        <v>0</v>
      </c>
      <c r="Q1335" s="114">
        <f>L1335/I1335</f>
        <v>845.43375896152372</v>
      </c>
      <c r="R1335" s="114">
        <v>7920</v>
      </c>
      <c r="S1335" s="335">
        <v>43830</v>
      </c>
    </row>
    <row r="1336" spans="1:34" s="1" customFormat="1" ht="31.2">
      <c r="A1336" s="107"/>
      <c r="B1336" s="778" t="s">
        <v>948</v>
      </c>
      <c r="C1336" s="779">
        <v>1963</v>
      </c>
      <c r="D1336" s="108"/>
      <c r="E1336" s="109" t="s">
        <v>218</v>
      </c>
      <c r="F1336" s="779">
        <v>4</v>
      </c>
      <c r="G1336" s="779">
        <v>3</v>
      </c>
      <c r="H1336" s="885">
        <v>2026.6</v>
      </c>
      <c r="I1336" s="886">
        <v>1972.6</v>
      </c>
      <c r="J1336" s="887">
        <v>1886.2</v>
      </c>
      <c r="K1336" s="782">
        <v>85</v>
      </c>
      <c r="L1336" s="771">
        <v>4464658</v>
      </c>
      <c r="M1336" s="113">
        <v>0</v>
      </c>
      <c r="N1336" s="113">
        <v>0</v>
      </c>
      <c r="O1336" s="113">
        <f t="shared" si="372"/>
        <v>4464658</v>
      </c>
      <c r="P1336" s="113">
        <v>0</v>
      </c>
      <c r="Q1336" s="114">
        <f>L1336/I1336</f>
        <v>2263.3367129676571</v>
      </c>
      <c r="R1336" s="114">
        <v>7920</v>
      </c>
      <c r="S1336" s="335">
        <v>43830</v>
      </c>
    </row>
    <row r="1337" spans="1:34" s="1" customFormat="1" ht="15.6">
      <c r="A1337" s="107"/>
      <c r="B1337" s="301"/>
      <c r="C1337" s="108"/>
      <c r="D1337" s="108"/>
      <c r="E1337" s="109"/>
      <c r="F1337" s="108"/>
      <c r="G1337" s="108"/>
      <c r="H1337" s="111"/>
      <c r="I1337" s="108"/>
      <c r="J1337" s="122"/>
      <c r="K1337" s="112"/>
      <c r="L1337" s="113"/>
      <c r="M1337" s="113"/>
      <c r="N1337" s="113"/>
      <c r="O1337" s="113"/>
      <c r="P1337" s="113"/>
      <c r="Q1337" s="114"/>
      <c r="R1337" s="114"/>
      <c r="S1337" s="335"/>
    </row>
    <row r="1338" spans="1:34" s="1" customFormat="1" ht="15.6">
      <c r="A1338" s="107"/>
      <c r="B1338" s="1411" t="s">
        <v>68</v>
      </c>
      <c r="C1338" s="1411"/>
      <c r="D1338" s="1411"/>
      <c r="E1338" s="1411"/>
      <c r="F1338" s="1411"/>
      <c r="G1338" s="1411"/>
      <c r="H1338" s="128">
        <f>H1339</f>
        <v>0</v>
      </c>
      <c r="I1338" s="106">
        <f t="shared" ref="I1338:P1339" si="373">I1339</f>
        <v>0</v>
      </c>
      <c r="J1338" s="106">
        <f t="shared" si="373"/>
        <v>0</v>
      </c>
      <c r="K1338" s="119">
        <f t="shared" si="373"/>
        <v>0</v>
      </c>
      <c r="L1338" s="113">
        <f t="shared" si="373"/>
        <v>0</v>
      </c>
      <c r="M1338" s="113">
        <f t="shared" si="373"/>
        <v>0</v>
      </c>
      <c r="N1338" s="113">
        <f t="shared" si="373"/>
        <v>0</v>
      </c>
      <c r="O1338" s="113">
        <f t="shared" si="373"/>
        <v>0</v>
      </c>
      <c r="P1338" s="113">
        <f t="shared" si="373"/>
        <v>0</v>
      </c>
      <c r="Q1338" s="106" t="s">
        <v>40</v>
      </c>
      <c r="R1338" s="106" t="s">
        <v>40</v>
      </c>
      <c r="S1338" s="335">
        <v>43830</v>
      </c>
    </row>
    <row r="1339" spans="1:34" s="1" customFormat="1" ht="15.75" customHeight="1">
      <c r="A1339" s="107"/>
      <c r="B1339" s="1413" t="s">
        <v>97</v>
      </c>
      <c r="C1339" s="1413"/>
      <c r="D1339" s="1413"/>
      <c r="E1339" s="1413"/>
      <c r="F1339" s="1413"/>
      <c r="G1339" s="1413"/>
      <c r="H1339" s="128">
        <f>H1340</f>
        <v>0</v>
      </c>
      <c r="I1339" s="106">
        <f t="shared" si="373"/>
        <v>0</v>
      </c>
      <c r="J1339" s="106">
        <f t="shared" si="373"/>
        <v>0</v>
      </c>
      <c r="K1339" s="119">
        <f t="shared" si="373"/>
        <v>0</v>
      </c>
      <c r="L1339" s="113">
        <f t="shared" si="373"/>
        <v>0</v>
      </c>
      <c r="M1339" s="113">
        <f t="shared" si="373"/>
        <v>0</v>
      </c>
      <c r="N1339" s="113">
        <f t="shared" si="373"/>
        <v>0</v>
      </c>
      <c r="O1339" s="113">
        <f t="shared" si="373"/>
        <v>0</v>
      </c>
      <c r="P1339" s="113">
        <f t="shared" si="373"/>
        <v>0</v>
      </c>
      <c r="Q1339" s="106" t="s">
        <v>40</v>
      </c>
      <c r="R1339" s="106" t="s">
        <v>40</v>
      </c>
      <c r="S1339" s="335">
        <v>43830</v>
      </c>
    </row>
    <row r="1340" spans="1:34" s="1" customFormat="1" ht="15.6">
      <c r="A1340" s="327"/>
      <c r="B1340" s="365"/>
      <c r="C1340" s="352"/>
      <c r="D1340" s="352"/>
      <c r="E1340" s="330"/>
      <c r="F1340" s="352"/>
      <c r="G1340" s="352"/>
      <c r="H1340" s="353"/>
      <c r="I1340" s="356"/>
      <c r="J1340" s="356"/>
      <c r="K1340" s="355"/>
      <c r="L1340" s="333"/>
      <c r="M1340" s="333"/>
      <c r="N1340" s="333"/>
      <c r="O1340" s="333"/>
      <c r="P1340" s="333"/>
      <c r="Q1340" s="356"/>
      <c r="R1340" s="334"/>
      <c r="S1340" s="335"/>
    </row>
    <row r="1341" spans="1:34" s="16" customFormat="1" ht="15.6">
      <c r="A1341" s="107"/>
      <c r="B1341" s="1411" t="s">
        <v>43</v>
      </c>
      <c r="C1341" s="1411"/>
      <c r="D1341" s="1411"/>
      <c r="E1341" s="1411"/>
      <c r="F1341" s="1411"/>
      <c r="G1341" s="1411"/>
      <c r="H1341" s="106">
        <f>H1342+H1357</f>
        <v>23164.559999999998</v>
      </c>
      <c r="I1341" s="106">
        <f t="shared" ref="I1341:J1341" si="374">I1342+I1357</f>
        <v>21134.959999999999</v>
      </c>
      <c r="J1341" s="106">
        <f t="shared" si="374"/>
        <v>19251.09</v>
      </c>
      <c r="K1341" s="119">
        <f>K1342+K1357</f>
        <v>853</v>
      </c>
      <c r="L1341" s="113">
        <f t="shared" ref="L1341:P1341" si="375">L1342+L1357</f>
        <v>23032470</v>
      </c>
      <c r="M1341" s="113">
        <f t="shared" si="375"/>
        <v>0</v>
      </c>
      <c r="N1341" s="113">
        <f t="shared" si="375"/>
        <v>1400000</v>
      </c>
      <c r="O1341" s="113">
        <f t="shared" si="375"/>
        <v>21632470</v>
      </c>
      <c r="P1341" s="113">
        <f t="shared" si="375"/>
        <v>0</v>
      </c>
      <c r="Q1341" s="106" t="s">
        <v>40</v>
      </c>
      <c r="R1341" s="106" t="s">
        <v>40</v>
      </c>
      <c r="S1341" s="335">
        <v>43830</v>
      </c>
    </row>
    <row r="1342" spans="1:34" s="10" customFormat="1" ht="15.75" customHeight="1">
      <c r="A1342" s="107"/>
      <c r="B1342" s="1413" t="s">
        <v>125</v>
      </c>
      <c r="C1342" s="1413"/>
      <c r="D1342" s="1413"/>
      <c r="E1342" s="1413"/>
      <c r="F1342" s="1413"/>
      <c r="G1342" s="1413"/>
      <c r="H1342" s="128">
        <f t="shared" ref="H1342:M1342" si="376">SUM(H1343:H1356)</f>
        <v>20106.559999999998</v>
      </c>
      <c r="I1342" s="106">
        <f t="shared" si="376"/>
        <v>18426.259999999998</v>
      </c>
      <c r="J1342" s="106">
        <f t="shared" si="376"/>
        <v>16665.189999999999</v>
      </c>
      <c r="K1342" s="119">
        <f t="shared" si="376"/>
        <v>735</v>
      </c>
      <c r="L1342" s="113">
        <f t="shared" si="376"/>
        <v>20696312</v>
      </c>
      <c r="M1342" s="113">
        <f t="shared" si="376"/>
        <v>0</v>
      </c>
      <c r="N1342" s="113">
        <f t="shared" ref="N1342:O1342" si="377">SUM(N1343:N1356)</f>
        <v>0</v>
      </c>
      <c r="O1342" s="113">
        <f t="shared" si="377"/>
        <v>20696312</v>
      </c>
      <c r="P1342" s="113">
        <f>SUM(P1343:P1359)</f>
        <v>0</v>
      </c>
      <c r="Q1342" s="106" t="s">
        <v>40</v>
      </c>
      <c r="R1342" s="106" t="s">
        <v>40</v>
      </c>
      <c r="S1342" s="335">
        <v>43830</v>
      </c>
    </row>
    <row r="1343" spans="1:34" s="40" customFormat="1" ht="15.6">
      <c r="A1343" s="107">
        <f>A1340+1</f>
        <v>1</v>
      </c>
      <c r="B1343" s="130" t="s">
        <v>405</v>
      </c>
      <c r="C1343" s="131">
        <v>1979</v>
      </c>
      <c r="D1343" s="132"/>
      <c r="E1343" s="109" t="s">
        <v>219</v>
      </c>
      <c r="F1343" s="131">
        <v>5</v>
      </c>
      <c r="G1343" s="131">
        <v>6</v>
      </c>
      <c r="H1343" s="133">
        <v>4364.1000000000004</v>
      </c>
      <c r="I1343" s="131">
        <v>3933.3</v>
      </c>
      <c r="J1343" s="131">
        <v>3786.33</v>
      </c>
      <c r="K1343" s="123">
        <v>163</v>
      </c>
      <c r="L1343" s="113">
        <v>2301804</v>
      </c>
      <c r="M1343" s="113">
        <v>0</v>
      </c>
      <c r="N1343" s="113">
        <v>0</v>
      </c>
      <c r="O1343" s="113">
        <f t="shared" ref="O1343:O1356" si="378">L1343</f>
        <v>2301804</v>
      </c>
      <c r="P1343" s="113">
        <v>0</v>
      </c>
      <c r="Q1343" s="134">
        <f>L1343/I1343</f>
        <v>585.2093661810693</v>
      </c>
      <c r="R1343" s="114">
        <v>6774</v>
      </c>
      <c r="S1343" s="335">
        <v>43830</v>
      </c>
      <c r="T1343" s="41"/>
      <c r="U1343" s="41"/>
      <c r="V1343" s="41"/>
      <c r="W1343" s="41"/>
      <c r="X1343" s="41"/>
      <c r="Y1343" s="41"/>
      <c r="Z1343" s="41"/>
      <c r="AA1343" s="41"/>
      <c r="AB1343" s="41"/>
      <c r="AC1343" s="41"/>
      <c r="AD1343" s="41"/>
      <c r="AE1343" s="41"/>
      <c r="AF1343" s="41"/>
      <c r="AG1343" s="41"/>
      <c r="AH1343" s="41"/>
    </row>
    <row r="1344" spans="1:34" s="41" customFormat="1" ht="31.2">
      <c r="A1344" s="107">
        <f t="shared" ref="A1344:A1397" si="379">A1343+1</f>
        <v>2</v>
      </c>
      <c r="B1344" s="120" t="s">
        <v>393</v>
      </c>
      <c r="C1344" s="109">
        <v>1976</v>
      </c>
      <c r="D1344" s="109"/>
      <c r="E1344" s="109" t="s">
        <v>218</v>
      </c>
      <c r="F1344" s="135">
        <v>5</v>
      </c>
      <c r="G1344" s="109">
        <v>6</v>
      </c>
      <c r="H1344" s="136">
        <v>4869.8</v>
      </c>
      <c r="I1344" s="137">
        <v>4494.8</v>
      </c>
      <c r="J1344" s="137">
        <v>3910.1</v>
      </c>
      <c r="K1344" s="138">
        <v>161</v>
      </c>
      <c r="L1344" s="113">
        <v>1743478</v>
      </c>
      <c r="M1344" s="113">
        <v>0</v>
      </c>
      <c r="N1344" s="113">
        <v>0</v>
      </c>
      <c r="O1344" s="113">
        <f t="shared" si="378"/>
        <v>1743478</v>
      </c>
      <c r="P1344" s="113">
        <v>0</v>
      </c>
      <c r="Q1344" s="139">
        <f>L1344/I1344</f>
        <v>387.88778143632641</v>
      </c>
      <c r="R1344" s="102">
        <v>6774</v>
      </c>
      <c r="S1344" s="335">
        <v>43830</v>
      </c>
      <c r="T1344" s="40"/>
      <c r="U1344" s="40"/>
      <c r="V1344" s="40"/>
      <c r="W1344" s="40"/>
      <c r="X1344" s="40"/>
      <c r="Y1344" s="40"/>
      <c r="Z1344" s="40"/>
      <c r="AA1344" s="40"/>
      <c r="AB1344" s="40"/>
      <c r="AC1344" s="40"/>
      <c r="AD1344" s="40"/>
      <c r="AE1344" s="40"/>
      <c r="AF1344" s="40"/>
      <c r="AG1344" s="40"/>
      <c r="AH1344" s="40"/>
    </row>
    <row r="1345" spans="1:34" s="41" customFormat="1" ht="31.2">
      <c r="A1345" s="107">
        <f t="shared" si="379"/>
        <v>3</v>
      </c>
      <c r="B1345" s="140" t="s">
        <v>406</v>
      </c>
      <c r="C1345" s="132">
        <v>2005</v>
      </c>
      <c r="D1345" s="132"/>
      <c r="E1345" s="109" t="s">
        <v>218</v>
      </c>
      <c r="F1345" s="131">
        <v>2</v>
      </c>
      <c r="G1345" s="131">
        <v>2</v>
      </c>
      <c r="H1345" s="133">
        <v>2170.6999999999998</v>
      </c>
      <c r="I1345" s="125">
        <v>1890.5</v>
      </c>
      <c r="J1345" s="125">
        <v>1756.6</v>
      </c>
      <c r="K1345" s="123">
        <v>72</v>
      </c>
      <c r="L1345" s="113">
        <v>2485001</v>
      </c>
      <c r="M1345" s="113">
        <v>0</v>
      </c>
      <c r="N1345" s="113">
        <v>0</v>
      </c>
      <c r="O1345" s="113">
        <f t="shared" si="378"/>
        <v>2485001</v>
      </c>
      <c r="P1345" s="113">
        <v>0</v>
      </c>
      <c r="Q1345" s="126">
        <f>L1345/I1345</f>
        <v>1314.4676011637132</v>
      </c>
      <c r="R1345" s="114">
        <v>6774</v>
      </c>
      <c r="S1345" s="335">
        <v>43830</v>
      </c>
    </row>
    <row r="1346" spans="1:34" s="41" customFormat="1" ht="31.2">
      <c r="A1346" s="107">
        <f t="shared" si="379"/>
        <v>4</v>
      </c>
      <c r="B1346" s="130" t="s">
        <v>402</v>
      </c>
      <c r="C1346" s="131">
        <v>1961</v>
      </c>
      <c r="D1346" s="132"/>
      <c r="E1346" s="109" t="s">
        <v>218</v>
      </c>
      <c r="F1346" s="131">
        <v>2</v>
      </c>
      <c r="G1346" s="132">
        <v>3</v>
      </c>
      <c r="H1346" s="141">
        <v>662.8</v>
      </c>
      <c r="I1346" s="142">
        <v>612.6</v>
      </c>
      <c r="J1346" s="142">
        <v>517</v>
      </c>
      <c r="K1346" s="143">
        <v>32</v>
      </c>
      <c r="L1346" s="113">
        <v>1237591</v>
      </c>
      <c r="M1346" s="113">
        <v>0</v>
      </c>
      <c r="N1346" s="113">
        <v>0</v>
      </c>
      <c r="O1346" s="113">
        <f t="shared" si="378"/>
        <v>1237591</v>
      </c>
      <c r="P1346" s="113">
        <v>0</v>
      </c>
      <c r="Q1346" s="144">
        <f>L1346/I1346</f>
        <v>2020.2269017303297</v>
      </c>
      <c r="R1346" s="114">
        <v>6774</v>
      </c>
      <c r="S1346" s="335">
        <v>43830</v>
      </c>
      <c r="T1346" s="42"/>
      <c r="U1346" s="42"/>
      <c r="V1346" s="42"/>
      <c r="W1346" s="42"/>
      <c r="X1346" s="42"/>
      <c r="Y1346" s="42"/>
      <c r="Z1346" s="42"/>
      <c r="AA1346" s="42"/>
      <c r="AB1346" s="42"/>
      <c r="AC1346" s="42"/>
      <c r="AD1346" s="42"/>
      <c r="AE1346" s="42"/>
      <c r="AF1346" s="42"/>
      <c r="AG1346" s="42"/>
      <c r="AH1346" s="42"/>
    </row>
    <row r="1347" spans="1:34" s="41" customFormat="1" ht="31.2">
      <c r="A1347" s="107">
        <f t="shared" si="379"/>
        <v>5</v>
      </c>
      <c r="B1347" s="145" t="s">
        <v>397</v>
      </c>
      <c r="C1347" s="131">
        <v>1953</v>
      </c>
      <c r="D1347" s="132"/>
      <c r="E1347" s="109" t="s">
        <v>218</v>
      </c>
      <c r="F1347" s="131">
        <v>2</v>
      </c>
      <c r="G1347" s="132">
        <v>2</v>
      </c>
      <c r="H1347" s="146">
        <v>470.96</v>
      </c>
      <c r="I1347" s="147">
        <v>417.36</v>
      </c>
      <c r="J1347" s="147">
        <v>356.76</v>
      </c>
      <c r="K1347" s="148">
        <v>10</v>
      </c>
      <c r="L1347" s="113">
        <v>1448078</v>
      </c>
      <c r="M1347" s="113">
        <v>0</v>
      </c>
      <c r="N1347" s="113">
        <v>0</v>
      </c>
      <c r="O1347" s="113">
        <f t="shared" si="378"/>
        <v>1448078</v>
      </c>
      <c r="P1347" s="113">
        <v>0</v>
      </c>
      <c r="Q1347" s="144">
        <f>L1347/I1347</f>
        <v>3469.6137626988689</v>
      </c>
      <c r="R1347" s="114">
        <v>6774</v>
      </c>
      <c r="S1347" s="335">
        <v>43830</v>
      </c>
    </row>
    <row r="1348" spans="1:34" s="41" customFormat="1" ht="31.2">
      <c r="A1348" s="107">
        <f t="shared" si="379"/>
        <v>6</v>
      </c>
      <c r="B1348" s="145" t="s">
        <v>398</v>
      </c>
      <c r="C1348" s="131">
        <v>1954</v>
      </c>
      <c r="D1348" s="132"/>
      <c r="E1348" s="109" t="s">
        <v>218</v>
      </c>
      <c r="F1348" s="131">
        <v>2</v>
      </c>
      <c r="G1348" s="132">
        <v>2</v>
      </c>
      <c r="H1348" s="141">
        <v>922.3</v>
      </c>
      <c r="I1348" s="142">
        <v>862.3</v>
      </c>
      <c r="J1348" s="142">
        <v>862.3</v>
      </c>
      <c r="K1348" s="123">
        <v>31</v>
      </c>
      <c r="L1348" s="113">
        <v>1963797</v>
      </c>
      <c r="M1348" s="113">
        <v>0</v>
      </c>
      <c r="N1348" s="113">
        <v>0</v>
      </c>
      <c r="O1348" s="113">
        <f t="shared" si="378"/>
        <v>1963797</v>
      </c>
      <c r="P1348" s="113">
        <v>0</v>
      </c>
      <c r="Q1348" s="144">
        <f xml:space="preserve"> L1348/I1348</f>
        <v>2277.3941783601995</v>
      </c>
      <c r="R1348" s="114">
        <v>6774</v>
      </c>
      <c r="S1348" s="335">
        <v>43830</v>
      </c>
    </row>
    <row r="1349" spans="1:34" s="42" customFormat="1" ht="31.2">
      <c r="A1349" s="107">
        <f t="shared" si="379"/>
        <v>7</v>
      </c>
      <c r="B1349" s="145" t="s">
        <v>399</v>
      </c>
      <c r="C1349" s="131">
        <v>1961</v>
      </c>
      <c r="D1349" s="132"/>
      <c r="E1349" s="109" t="s">
        <v>218</v>
      </c>
      <c r="F1349" s="131">
        <v>4</v>
      </c>
      <c r="G1349" s="132">
        <v>4</v>
      </c>
      <c r="H1349" s="133">
        <v>2386.6</v>
      </c>
      <c r="I1349" s="125">
        <v>2260.4</v>
      </c>
      <c r="J1349" s="125">
        <v>2024.9</v>
      </c>
      <c r="K1349" s="123">
        <v>66</v>
      </c>
      <c r="L1349" s="113">
        <v>2119530</v>
      </c>
      <c r="M1349" s="113">
        <v>0</v>
      </c>
      <c r="N1349" s="113">
        <v>0</v>
      </c>
      <c r="O1349" s="113">
        <f t="shared" si="378"/>
        <v>2119530</v>
      </c>
      <c r="P1349" s="113">
        <v>0</v>
      </c>
      <c r="Q1349" s="144">
        <f t="shared" ref="Q1349:Q1356" si="380">L1349/I1349</f>
        <v>937.67917182799499</v>
      </c>
      <c r="R1349" s="114">
        <v>6774</v>
      </c>
      <c r="S1349" s="335">
        <v>43830</v>
      </c>
    </row>
    <row r="1350" spans="1:34" s="42" customFormat="1" ht="31.2">
      <c r="A1350" s="107">
        <f t="shared" si="379"/>
        <v>8</v>
      </c>
      <c r="B1350" s="130" t="s">
        <v>403</v>
      </c>
      <c r="C1350" s="131">
        <v>1956</v>
      </c>
      <c r="D1350" s="132"/>
      <c r="E1350" s="109" t="s">
        <v>218</v>
      </c>
      <c r="F1350" s="131">
        <v>2</v>
      </c>
      <c r="G1350" s="132">
        <v>2</v>
      </c>
      <c r="H1350" s="149">
        <v>833.9</v>
      </c>
      <c r="I1350" s="142">
        <v>785.9</v>
      </c>
      <c r="J1350" s="142">
        <v>675</v>
      </c>
      <c r="K1350" s="143">
        <v>32</v>
      </c>
      <c r="L1350" s="113">
        <v>1098163</v>
      </c>
      <c r="M1350" s="113">
        <v>0</v>
      </c>
      <c r="N1350" s="113">
        <v>0</v>
      </c>
      <c r="O1350" s="113">
        <f t="shared" si="378"/>
        <v>1098163</v>
      </c>
      <c r="P1350" s="113">
        <v>0</v>
      </c>
      <c r="Q1350" s="144">
        <f t="shared" si="380"/>
        <v>1397.3317215930781</v>
      </c>
      <c r="R1350" s="114">
        <v>6774</v>
      </c>
      <c r="S1350" s="335">
        <v>43830</v>
      </c>
      <c r="T1350" s="44"/>
      <c r="U1350" s="44"/>
      <c r="V1350" s="44"/>
      <c r="W1350" s="44"/>
      <c r="X1350" s="44"/>
      <c r="Y1350" s="44"/>
      <c r="Z1350" s="44"/>
      <c r="AA1350" s="44"/>
      <c r="AB1350" s="44"/>
      <c r="AC1350" s="44"/>
      <c r="AD1350" s="44"/>
      <c r="AE1350" s="44"/>
      <c r="AF1350" s="44"/>
      <c r="AG1350" s="44"/>
      <c r="AH1350" s="44"/>
    </row>
    <row r="1351" spans="1:34" s="42" customFormat="1" ht="31.2">
      <c r="A1351" s="107">
        <f t="shared" si="379"/>
        <v>9</v>
      </c>
      <c r="B1351" s="130" t="s">
        <v>404</v>
      </c>
      <c r="C1351" s="131">
        <v>1959</v>
      </c>
      <c r="D1351" s="132"/>
      <c r="E1351" s="109" t="s">
        <v>218</v>
      </c>
      <c r="F1351" s="131">
        <v>2</v>
      </c>
      <c r="G1351" s="132">
        <v>3</v>
      </c>
      <c r="H1351" s="150">
        <v>640.5</v>
      </c>
      <c r="I1351" s="147">
        <v>621.79999999999995</v>
      </c>
      <c r="J1351" s="147">
        <v>490.9</v>
      </c>
      <c r="K1351" s="143">
        <v>35</v>
      </c>
      <c r="L1351" s="113">
        <v>1241309</v>
      </c>
      <c r="M1351" s="113">
        <v>0</v>
      </c>
      <c r="N1351" s="113">
        <v>0</v>
      </c>
      <c r="O1351" s="113">
        <f t="shared" si="378"/>
        <v>1241309</v>
      </c>
      <c r="P1351" s="113">
        <v>0</v>
      </c>
      <c r="Q1351" s="144">
        <f t="shared" si="380"/>
        <v>1996.3155355419751</v>
      </c>
      <c r="R1351" s="114">
        <v>6774</v>
      </c>
      <c r="S1351" s="335">
        <v>43830</v>
      </c>
      <c r="T1351" s="41"/>
      <c r="U1351" s="41"/>
      <c r="V1351" s="41"/>
      <c r="W1351" s="41"/>
      <c r="X1351" s="41"/>
      <c r="Y1351" s="41"/>
      <c r="Z1351" s="41"/>
      <c r="AA1351" s="41"/>
      <c r="AB1351" s="41"/>
      <c r="AC1351" s="41"/>
      <c r="AD1351" s="41"/>
      <c r="AE1351" s="41"/>
      <c r="AF1351" s="41"/>
      <c r="AG1351" s="41"/>
      <c r="AH1351" s="41"/>
    </row>
    <row r="1352" spans="1:34" s="42" customFormat="1" ht="31.2">
      <c r="A1352" s="107">
        <f t="shared" si="379"/>
        <v>10</v>
      </c>
      <c r="B1352" s="130" t="s">
        <v>400</v>
      </c>
      <c r="C1352" s="131">
        <v>1960</v>
      </c>
      <c r="D1352" s="132"/>
      <c r="E1352" s="109" t="s">
        <v>218</v>
      </c>
      <c r="F1352" s="131">
        <v>2</v>
      </c>
      <c r="G1352" s="132">
        <v>2</v>
      </c>
      <c r="H1352" s="141">
        <v>504.1</v>
      </c>
      <c r="I1352" s="142">
        <v>445.3</v>
      </c>
      <c r="J1352" s="142">
        <v>373.3</v>
      </c>
      <c r="K1352" s="143">
        <v>24</v>
      </c>
      <c r="L1352" s="113">
        <v>1041360</v>
      </c>
      <c r="M1352" s="113">
        <v>0</v>
      </c>
      <c r="N1352" s="113">
        <v>0</v>
      </c>
      <c r="O1352" s="113">
        <f t="shared" si="378"/>
        <v>1041360</v>
      </c>
      <c r="P1352" s="113">
        <v>0</v>
      </c>
      <c r="Q1352" s="144">
        <f t="shared" si="380"/>
        <v>2338.5582753200088</v>
      </c>
      <c r="R1352" s="114">
        <v>6774</v>
      </c>
      <c r="S1352" s="335">
        <v>43830</v>
      </c>
    </row>
    <row r="1353" spans="1:34" s="44" customFormat="1" ht="31.2">
      <c r="A1353" s="107">
        <f>A1352+1</f>
        <v>11</v>
      </c>
      <c r="B1353" s="130" t="s">
        <v>401</v>
      </c>
      <c r="C1353" s="131">
        <v>1961</v>
      </c>
      <c r="D1353" s="132"/>
      <c r="E1353" s="109" t="s">
        <v>218</v>
      </c>
      <c r="F1353" s="131">
        <v>2</v>
      </c>
      <c r="G1353" s="132">
        <v>2</v>
      </c>
      <c r="H1353" s="141">
        <v>506.2</v>
      </c>
      <c r="I1353" s="142">
        <v>447.4</v>
      </c>
      <c r="J1353" s="142">
        <f>I1353</f>
        <v>447.4</v>
      </c>
      <c r="K1353" s="143">
        <v>18</v>
      </c>
      <c r="L1353" s="113">
        <v>1138866</v>
      </c>
      <c r="M1353" s="113">
        <v>0</v>
      </c>
      <c r="N1353" s="113">
        <v>0</v>
      </c>
      <c r="O1353" s="113">
        <f t="shared" si="378"/>
        <v>1138866</v>
      </c>
      <c r="P1353" s="113">
        <v>0</v>
      </c>
      <c r="Q1353" s="144">
        <f t="shared" si="380"/>
        <v>2545.5207867679928</v>
      </c>
      <c r="R1353" s="114">
        <v>6774</v>
      </c>
      <c r="S1353" s="335">
        <v>43830</v>
      </c>
      <c r="T1353" s="42"/>
      <c r="U1353" s="42"/>
      <c r="V1353" s="42"/>
      <c r="W1353" s="42"/>
      <c r="X1353" s="42"/>
      <c r="Y1353" s="42"/>
      <c r="Z1353" s="42"/>
      <c r="AA1353" s="42"/>
      <c r="AB1353" s="42"/>
      <c r="AC1353" s="42"/>
      <c r="AD1353" s="42"/>
      <c r="AE1353" s="42"/>
      <c r="AF1353" s="42"/>
      <c r="AG1353" s="42"/>
      <c r="AH1353" s="42"/>
    </row>
    <row r="1354" spans="1:34" s="41" customFormat="1" ht="31.2">
      <c r="A1354" s="107">
        <f>A1353+1</f>
        <v>12</v>
      </c>
      <c r="B1354" s="145" t="s">
        <v>394</v>
      </c>
      <c r="C1354" s="131">
        <v>1966</v>
      </c>
      <c r="D1354" s="132"/>
      <c r="E1354" s="109" t="s">
        <v>218</v>
      </c>
      <c r="F1354" s="131">
        <v>2</v>
      </c>
      <c r="G1354" s="132">
        <v>2</v>
      </c>
      <c r="H1354" s="141">
        <v>482.5</v>
      </c>
      <c r="I1354" s="142">
        <v>454.1</v>
      </c>
      <c r="J1354" s="142">
        <v>370.7</v>
      </c>
      <c r="K1354" s="123">
        <v>31</v>
      </c>
      <c r="L1354" s="113">
        <v>848546</v>
      </c>
      <c r="M1354" s="113">
        <v>0</v>
      </c>
      <c r="N1354" s="113">
        <v>0</v>
      </c>
      <c r="O1354" s="113">
        <f t="shared" si="378"/>
        <v>848546</v>
      </c>
      <c r="P1354" s="113">
        <v>0</v>
      </c>
      <c r="Q1354" s="144">
        <f t="shared" si="380"/>
        <v>1868.6324598106144</v>
      </c>
      <c r="R1354" s="114">
        <v>6774</v>
      </c>
      <c r="S1354" s="335">
        <v>43830</v>
      </c>
    </row>
    <row r="1355" spans="1:34" s="41" customFormat="1" ht="31.2">
      <c r="A1355" s="107">
        <f>A1354+1</f>
        <v>13</v>
      </c>
      <c r="B1355" s="145" t="s">
        <v>395</v>
      </c>
      <c r="C1355" s="131">
        <v>1969</v>
      </c>
      <c r="D1355" s="132"/>
      <c r="E1355" s="109" t="s">
        <v>218</v>
      </c>
      <c r="F1355" s="131">
        <v>2</v>
      </c>
      <c r="G1355" s="132">
        <v>2</v>
      </c>
      <c r="H1355" s="141">
        <v>502.6</v>
      </c>
      <c r="I1355" s="151">
        <v>471</v>
      </c>
      <c r="J1355" s="142">
        <v>423.8</v>
      </c>
      <c r="K1355" s="123">
        <v>21</v>
      </c>
      <c r="L1355" s="113">
        <v>848706</v>
      </c>
      <c r="M1355" s="113">
        <v>0</v>
      </c>
      <c r="N1355" s="113">
        <v>0</v>
      </c>
      <c r="O1355" s="113">
        <f t="shared" si="378"/>
        <v>848706</v>
      </c>
      <c r="P1355" s="113">
        <v>0</v>
      </c>
      <c r="Q1355" s="144">
        <f t="shared" si="380"/>
        <v>1801.9235668789809</v>
      </c>
      <c r="R1355" s="114">
        <v>6774</v>
      </c>
      <c r="S1355" s="335">
        <v>43830</v>
      </c>
    </row>
    <row r="1356" spans="1:34" s="41" customFormat="1" ht="31.2">
      <c r="A1356" s="107">
        <f>A1355+1</f>
        <v>14</v>
      </c>
      <c r="B1356" s="145" t="s">
        <v>396</v>
      </c>
      <c r="C1356" s="131">
        <v>1973</v>
      </c>
      <c r="D1356" s="132"/>
      <c r="E1356" s="109" t="s">
        <v>218</v>
      </c>
      <c r="F1356" s="131">
        <v>2</v>
      </c>
      <c r="G1356" s="132">
        <v>2</v>
      </c>
      <c r="H1356" s="141">
        <v>789.5</v>
      </c>
      <c r="I1356" s="142">
        <v>729.5</v>
      </c>
      <c r="J1356" s="142">
        <v>670.1</v>
      </c>
      <c r="K1356" s="123">
        <v>39</v>
      </c>
      <c r="L1356" s="113">
        <v>1180083</v>
      </c>
      <c r="M1356" s="113">
        <v>0</v>
      </c>
      <c r="N1356" s="113">
        <v>0</v>
      </c>
      <c r="O1356" s="113">
        <f t="shared" si="378"/>
        <v>1180083</v>
      </c>
      <c r="P1356" s="113">
        <v>0</v>
      </c>
      <c r="Q1356" s="144">
        <f t="shared" si="380"/>
        <v>1617.6600411240577</v>
      </c>
      <c r="R1356" s="114">
        <v>6774</v>
      </c>
      <c r="S1356" s="335">
        <v>43830</v>
      </c>
    </row>
    <row r="1357" spans="1:34" s="42" customFormat="1" ht="15.75" customHeight="1">
      <c r="A1357" s="107"/>
      <c r="B1357" s="1413" t="s">
        <v>210</v>
      </c>
      <c r="C1357" s="1413"/>
      <c r="D1357" s="1413"/>
      <c r="E1357" s="1413"/>
      <c r="F1357" s="1413"/>
      <c r="G1357" s="1413"/>
      <c r="H1357" s="106">
        <f>H1358+H1359</f>
        <v>3058</v>
      </c>
      <c r="I1357" s="106">
        <f t="shared" ref="I1357:P1357" si="381">I1358+I1359</f>
        <v>2708.7</v>
      </c>
      <c r="J1357" s="106">
        <f t="shared" si="381"/>
        <v>2585.9</v>
      </c>
      <c r="K1357" s="119">
        <f t="shared" si="381"/>
        <v>118</v>
      </c>
      <c r="L1357" s="113">
        <f t="shared" si="381"/>
        <v>2336158</v>
      </c>
      <c r="M1357" s="113">
        <f t="shared" si="381"/>
        <v>0</v>
      </c>
      <c r="N1357" s="113">
        <f t="shared" si="381"/>
        <v>1400000</v>
      </c>
      <c r="O1357" s="113">
        <f t="shared" si="381"/>
        <v>936158</v>
      </c>
      <c r="P1357" s="113">
        <f t="shared" si="381"/>
        <v>0</v>
      </c>
      <c r="Q1357" s="106" t="s">
        <v>40</v>
      </c>
      <c r="R1357" s="106" t="s">
        <v>40</v>
      </c>
      <c r="S1357" s="335">
        <v>43830</v>
      </c>
    </row>
    <row r="1358" spans="1:34" s="42" customFormat="1" ht="16.5" customHeight="1">
      <c r="A1358" s="107">
        <f>A1356+1</f>
        <v>15</v>
      </c>
      <c r="B1358" s="140" t="s">
        <v>407</v>
      </c>
      <c r="C1358" s="132">
        <v>1986</v>
      </c>
      <c r="D1358" s="132"/>
      <c r="E1358" s="109" t="s">
        <v>222</v>
      </c>
      <c r="F1358" s="131">
        <v>3</v>
      </c>
      <c r="G1358" s="132">
        <v>3</v>
      </c>
      <c r="H1358" s="152">
        <v>1529</v>
      </c>
      <c r="I1358" s="153">
        <v>1345.2</v>
      </c>
      <c r="J1358" s="153">
        <v>1345.2</v>
      </c>
      <c r="K1358" s="143">
        <v>60</v>
      </c>
      <c r="L1358" s="113">
        <f>O1358+N1358</f>
        <v>1168079</v>
      </c>
      <c r="M1358" s="113">
        <v>0</v>
      </c>
      <c r="N1358" s="113">
        <v>700000</v>
      </c>
      <c r="O1358" s="113">
        <v>468079</v>
      </c>
      <c r="P1358" s="113">
        <v>0</v>
      </c>
      <c r="Q1358" s="144">
        <f>L1358/I1358</f>
        <v>868.33110318168303</v>
      </c>
      <c r="R1358" s="114">
        <v>6774</v>
      </c>
      <c r="S1358" s="335">
        <v>43830</v>
      </c>
    </row>
    <row r="1359" spans="1:34" s="42" customFormat="1" ht="18" customHeight="1">
      <c r="A1359" s="107">
        <f>A1358+1</f>
        <v>16</v>
      </c>
      <c r="B1359" s="140" t="s">
        <v>408</v>
      </c>
      <c r="C1359" s="132">
        <v>1986</v>
      </c>
      <c r="D1359" s="132"/>
      <c r="E1359" s="109" t="s">
        <v>222</v>
      </c>
      <c r="F1359" s="131">
        <v>3</v>
      </c>
      <c r="G1359" s="132">
        <v>3</v>
      </c>
      <c r="H1359" s="152">
        <v>1529</v>
      </c>
      <c r="I1359" s="153">
        <v>1363.5</v>
      </c>
      <c r="J1359" s="153">
        <v>1240.7</v>
      </c>
      <c r="K1359" s="143">
        <v>58</v>
      </c>
      <c r="L1359" s="113">
        <f>O1359+N1359</f>
        <v>1168079</v>
      </c>
      <c r="M1359" s="113">
        <v>0</v>
      </c>
      <c r="N1359" s="113">
        <v>700000</v>
      </c>
      <c r="O1359" s="113">
        <v>468079</v>
      </c>
      <c r="P1359" s="113">
        <v>0</v>
      </c>
      <c r="Q1359" s="144">
        <f>L1359/I1359</f>
        <v>856.67693436010268</v>
      </c>
      <c r="R1359" s="114">
        <v>6774</v>
      </c>
      <c r="S1359" s="335">
        <v>43830</v>
      </c>
    </row>
    <row r="1360" spans="1:34" s="1" customFormat="1" ht="15.6">
      <c r="A1360" s="107"/>
      <c r="B1360" s="1411" t="s">
        <v>44</v>
      </c>
      <c r="C1360" s="1411"/>
      <c r="D1360" s="1411"/>
      <c r="E1360" s="1411"/>
      <c r="F1360" s="1411"/>
      <c r="G1360" s="1411"/>
      <c r="H1360" s="128">
        <f>H1361</f>
        <v>518.5</v>
      </c>
      <c r="I1360" s="106">
        <f t="shared" ref="I1360:P1361" si="382">I1361</f>
        <v>518.5</v>
      </c>
      <c r="J1360" s="106">
        <f t="shared" si="382"/>
        <v>298.10000000000002</v>
      </c>
      <c r="K1360" s="119">
        <f t="shared" si="382"/>
        <v>27</v>
      </c>
      <c r="L1360" s="113">
        <f>L1361</f>
        <v>906976</v>
      </c>
      <c r="M1360" s="113">
        <f t="shared" si="382"/>
        <v>0</v>
      </c>
      <c r="N1360" s="113">
        <f t="shared" si="382"/>
        <v>0</v>
      </c>
      <c r="O1360" s="113">
        <f t="shared" si="382"/>
        <v>906976</v>
      </c>
      <c r="P1360" s="113">
        <f t="shared" si="382"/>
        <v>0</v>
      </c>
      <c r="Q1360" s="106" t="s">
        <v>40</v>
      </c>
      <c r="R1360" s="114" t="s">
        <v>40</v>
      </c>
      <c r="S1360" s="335">
        <v>43830</v>
      </c>
    </row>
    <row r="1361" spans="1:19" s="1" customFormat="1" ht="15.75" customHeight="1">
      <c r="A1361" s="107"/>
      <c r="B1361" s="1413" t="s">
        <v>435</v>
      </c>
      <c r="C1361" s="1413"/>
      <c r="D1361" s="1413"/>
      <c r="E1361" s="1413"/>
      <c r="F1361" s="1413"/>
      <c r="G1361" s="1413"/>
      <c r="H1361" s="128">
        <f>H1362</f>
        <v>518.5</v>
      </c>
      <c r="I1361" s="128">
        <f t="shared" si="382"/>
        <v>518.5</v>
      </c>
      <c r="J1361" s="128">
        <f t="shared" si="382"/>
        <v>298.10000000000002</v>
      </c>
      <c r="K1361" s="128">
        <f t="shared" si="382"/>
        <v>27</v>
      </c>
      <c r="L1361" s="565">
        <f t="shared" si="382"/>
        <v>906976</v>
      </c>
      <c r="M1361" s="565">
        <f t="shared" si="382"/>
        <v>0</v>
      </c>
      <c r="N1361" s="565">
        <f t="shared" si="382"/>
        <v>0</v>
      </c>
      <c r="O1361" s="565">
        <f t="shared" si="382"/>
        <v>906976</v>
      </c>
      <c r="P1361" s="565">
        <f t="shared" si="382"/>
        <v>0</v>
      </c>
      <c r="Q1361" s="106" t="s">
        <v>40</v>
      </c>
      <c r="R1361" s="106" t="s">
        <v>40</v>
      </c>
      <c r="S1361" s="335">
        <v>43830</v>
      </c>
    </row>
    <row r="1362" spans="1:19" s="1" customFormat="1" ht="31.2">
      <c r="A1362" s="327"/>
      <c r="B1362" s="338" t="s">
        <v>768</v>
      </c>
      <c r="C1362" s="327">
        <v>1967</v>
      </c>
      <c r="D1362" s="329"/>
      <c r="E1362" s="330" t="s">
        <v>218</v>
      </c>
      <c r="F1362" s="329">
        <v>2</v>
      </c>
      <c r="G1362" s="329">
        <v>2</v>
      </c>
      <c r="H1362" s="331">
        <v>518.5</v>
      </c>
      <c r="I1362" s="329">
        <v>518.5</v>
      </c>
      <c r="J1362" s="329">
        <v>298.10000000000002</v>
      </c>
      <c r="K1362" s="332">
        <v>27</v>
      </c>
      <c r="L1362" s="333">
        <v>906976</v>
      </c>
      <c r="M1362" s="333">
        <v>0</v>
      </c>
      <c r="N1362" s="333">
        <v>0</v>
      </c>
      <c r="O1362" s="333">
        <v>906976</v>
      </c>
      <c r="P1362" s="333">
        <v>0</v>
      </c>
      <c r="Q1362" s="664">
        <f>L1362/I1362</f>
        <v>1749.2304725168756</v>
      </c>
      <c r="R1362" s="334">
        <v>7920</v>
      </c>
      <c r="S1362" s="335">
        <v>43830</v>
      </c>
    </row>
    <row r="1363" spans="1:19" s="1" customFormat="1" ht="15.6">
      <c r="A1363" s="327"/>
      <c r="B1363" s="338"/>
      <c r="C1363" s="329"/>
      <c r="D1363" s="329"/>
      <c r="E1363" s="330"/>
      <c r="F1363" s="329"/>
      <c r="G1363" s="329"/>
      <c r="H1363" s="331"/>
      <c r="I1363" s="329"/>
      <c r="J1363" s="329"/>
      <c r="K1363" s="332"/>
      <c r="L1363" s="333"/>
      <c r="M1363" s="333"/>
      <c r="N1363" s="333"/>
      <c r="O1363" s="333"/>
      <c r="P1363" s="333"/>
      <c r="Q1363" s="334"/>
      <c r="R1363" s="334"/>
      <c r="S1363" s="335">
        <v>43830</v>
      </c>
    </row>
    <row r="1364" spans="1:19" s="1" customFormat="1" ht="21.6" customHeight="1">
      <c r="A1364" s="107"/>
      <c r="B1364" s="1411" t="s">
        <v>45</v>
      </c>
      <c r="C1364" s="1411"/>
      <c r="D1364" s="1411"/>
      <c r="E1364" s="1411"/>
      <c r="F1364" s="1411"/>
      <c r="G1364" s="1411"/>
      <c r="H1364" s="128">
        <f>H1365+H1367+H1369+H1372+H1373+H1375+H1377</f>
        <v>11088.41</v>
      </c>
      <c r="I1364" s="128">
        <f t="shared" ref="I1364:P1364" si="383">I1365+I1367+I1369+I1372+I1373+I1375+I1377</f>
        <v>9212.02</v>
      </c>
      <c r="J1364" s="128">
        <f t="shared" si="383"/>
        <v>7783.04</v>
      </c>
      <c r="K1364" s="128">
        <f t="shared" si="383"/>
        <v>381</v>
      </c>
      <c r="L1364" s="565">
        <f t="shared" si="383"/>
        <v>11109566</v>
      </c>
      <c r="M1364" s="565">
        <f t="shared" si="383"/>
        <v>0</v>
      </c>
      <c r="N1364" s="565">
        <f t="shared" si="383"/>
        <v>0</v>
      </c>
      <c r="O1364" s="565">
        <f t="shared" si="383"/>
        <v>11109566</v>
      </c>
      <c r="P1364" s="565">
        <f t="shared" si="383"/>
        <v>0</v>
      </c>
      <c r="Q1364" s="106" t="s">
        <v>40</v>
      </c>
      <c r="R1364" s="114" t="s">
        <v>40</v>
      </c>
      <c r="S1364" s="335">
        <v>43830</v>
      </c>
    </row>
    <row r="1365" spans="1:19" s="1" customFormat="1" ht="15.6">
      <c r="A1365" s="327"/>
      <c r="B1365" s="1488" t="s">
        <v>98</v>
      </c>
      <c r="C1365" s="1488"/>
      <c r="D1365" s="1488"/>
      <c r="E1365" s="1488"/>
      <c r="F1365" s="1488"/>
      <c r="G1365" s="1488"/>
      <c r="H1365" s="353">
        <f>H1366</f>
        <v>3642.1</v>
      </c>
      <c r="I1365" s="353">
        <f t="shared" ref="I1365:P1365" si="384">I1366</f>
        <v>3274.61</v>
      </c>
      <c r="J1365" s="353">
        <f t="shared" si="384"/>
        <v>3121.61</v>
      </c>
      <c r="K1365" s="353">
        <f t="shared" si="384"/>
        <v>158</v>
      </c>
      <c r="L1365" s="708">
        <f t="shared" si="384"/>
        <v>2377747</v>
      </c>
      <c r="M1365" s="708">
        <f t="shared" si="384"/>
        <v>0</v>
      </c>
      <c r="N1365" s="708">
        <f t="shared" si="384"/>
        <v>0</v>
      </c>
      <c r="O1365" s="708">
        <f t="shared" si="384"/>
        <v>2377747</v>
      </c>
      <c r="P1365" s="708">
        <f t="shared" si="384"/>
        <v>0</v>
      </c>
      <c r="Q1365" s="356" t="s">
        <v>40</v>
      </c>
      <c r="R1365" s="356" t="s">
        <v>40</v>
      </c>
      <c r="S1365" s="335">
        <v>43830</v>
      </c>
    </row>
    <row r="1366" spans="1:19" s="1" customFormat="1" ht="31.2">
      <c r="A1366" s="327">
        <f>A1363+1</f>
        <v>1</v>
      </c>
      <c r="B1366" s="576" t="s">
        <v>798</v>
      </c>
      <c r="C1366" s="327">
        <v>1970</v>
      </c>
      <c r="D1366" s="329"/>
      <c r="E1366" s="330" t="s">
        <v>218</v>
      </c>
      <c r="F1366" s="577">
        <v>5</v>
      </c>
      <c r="G1366" s="577">
        <v>4</v>
      </c>
      <c r="H1366" s="574">
        <v>3642.1</v>
      </c>
      <c r="I1366" s="578">
        <v>3274.61</v>
      </c>
      <c r="J1366" s="579">
        <v>3121.61</v>
      </c>
      <c r="K1366" s="580">
        <v>158</v>
      </c>
      <c r="L1366" s="333">
        <v>2377747</v>
      </c>
      <c r="M1366" s="333">
        <v>0</v>
      </c>
      <c r="N1366" s="333">
        <v>0</v>
      </c>
      <c r="O1366" s="333">
        <v>2377747</v>
      </c>
      <c r="P1366" s="333">
        <f>SUM(P1372:P1372)</f>
        <v>0</v>
      </c>
      <c r="Q1366" s="334">
        <f>L1366/I1366</f>
        <v>726.11608710655617</v>
      </c>
      <c r="R1366" s="334">
        <v>7920</v>
      </c>
      <c r="S1366" s="335">
        <v>43830</v>
      </c>
    </row>
    <row r="1367" spans="1:19" s="1" customFormat="1" ht="18" customHeight="1">
      <c r="A1367" s="327"/>
      <c r="B1367" s="1488" t="s">
        <v>688</v>
      </c>
      <c r="C1367" s="1488"/>
      <c r="D1367" s="1488"/>
      <c r="E1367" s="1488"/>
      <c r="F1367" s="1488"/>
      <c r="G1367" s="1488"/>
      <c r="H1367" s="574">
        <f>H1368</f>
        <v>489.41</v>
      </c>
      <c r="I1367" s="574">
        <f t="shared" ref="I1367:P1367" si="385">I1368</f>
        <v>489.41</v>
      </c>
      <c r="J1367" s="574">
        <f t="shared" si="385"/>
        <v>317</v>
      </c>
      <c r="K1367" s="574">
        <f t="shared" si="385"/>
        <v>20</v>
      </c>
      <c r="L1367" s="575">
        <f t="shared" si="385"/>
        <v>901450</v>
      </c>
      <c r="M1367" s="575">
        <f t="shared" si="385"/>
        <v>0</v>
      </c>
      <c r="N1367" s="575">
        <f t="shared" si="385"/>
        <v>0</v>
      </c>
      <c r="O1367" s="575">
        <f t="shared" si="385"/>
        <v>901450</v>
      </c>
      <c r="P1367" s="575">
        <f t="shared" si="385"/>
        <v>0</v>
      </c>
      <c r="Q1367" s="356" t="s">
        <v>40</v>
      </c>
      <c r="R1367" s="334" t="s">
        <v>40</v>
      </c>
      <c r="S1367" s="335">
        <v>43830</v>
      </c>
    </row>
    <row r="1368" spans="1:19" s="1" customFormat="1" ht="37.200000000000003" customHeight="1">
      <c r="A1368" s="327"/>
      <c r="B1368" s="576" t="s">
        <v>691</v>
      </c>
      <c r="C1368" s="327">
        <v>1960</v>
      </c>
      <c r="D1368" s="329"/>
      <c r="E1368" s="330" t="s">
        <v>218</v>
      </c>
      <c r="F1368" s="577">
        <v>2</v>
      </c>
      <c r="G1368" s="577">
        <v>3</v>
      </c>
      <c r="H1368" s="574">
        <v>489.41</v>
      </c>
      <c r="I1368" s="578">
        <v>489.41</v>
      </c>
      <c r="J1368" s="579">
        <v>317</v>
      </c>
      <c r="K1368" s="580">
        <v>20</v>
      </c>
      <c r="L1368" s="333">
        <v>901450</v>
      </c>
      <c r="M1368" s="333">
        <v>0</v>
      </c>
      <c r="N1368" s="333">
        <v>0</v>
      </c>
      <c r="O1368" s="333">
        <v>901450</v>
      </c>
      <c r="P1368" s="333">
        <v>0</v>
      </c>
      <c r="Q1368" s="334">
        <f t="shared" ref="Q1368" si="386">L1368/I1368</f>
        <v>1841.911689585419</v>
      </c>
      <c r="R1368" s="334">
        <v>7920</v>
      </c>
      <c r="S1368" s="335">
        <v>43830</v>
      </c>
    </row>
    <row r="1369" spans="1:19" s="1" customFormat="1" ht="15.6">
      <c r="A1369" s="327"/>
      <c r="B1369" s="1488" t="s">
        <v>99</v>
      </c>
      <c r="C1369" s="1488"/>
      <c r="D1369" s="1488"/>
      <c r="E1369" s="1488"/>
      <c r="F1369" s="1488"/>
      <c r="G1369" s="1488"/>
      <c r="H1369" s="353">
        <f>SUM(H1370:H1371)</f>
        <v>1025.3</v>
      </c>
      <c r="I1369" s="356">
        <f t="shared" ref="I1369:P1369" si="387">SUM(I1370:I1371)</f>
        <v>941.9</v>
      </c>
      <c r="J1369" s="356">
        <f t="shared" si="387"/>
        <v>830.5</v>
      </c>
      <c r="K1369" s="355">
        <f t="shared" si="387"/>
        <v>34</v>
      </c>
      <c r="L1369" s="333">
        <f t="shared" si="387"/>
        <v>1696092</v>
      </c>
      <c r="M1369" s="333">
        <f t="shared" si="387"/>
        <v>0</v>
      </c>
      <c r="N1369" s="333">
        <f t="shared" si="387"/>
        <v>0</v>
      </c>
      <c r="O1369" s="333">
        <f t="shared" si="387"/>
        <v>1696092</v>
      </c>
      <c r="P1369" s="333">
        <f t="shared" si="387"/>
        <v>0</v>
      </c>
      <c r="Q1369" s="356" t="s">
        <v>40</v>
      </c>
      <c r="R1369" s="356" t="s">
        <v>40</v>
      </c>
      <c r="S1369" s="335">
        <v>43830</v>
      </c>
    </row>
    <row r="1370" spans="1:19" s="20" customFormat="1" ht="31.2">
      <c r="A1370" s="327" t="e">
        <f>#REF!+1</f>
        <v>#REF!</v>
      </c>
      <c r="B1370" s="705" t="s">
        <v>801</v>
      </c>
      <c r="C1370" s="367">
        <v>1967</v>
      </c>
      <c r="D1370" s="367"/>
      <c r="E1370" s="330" t="s">
        <v>218</v>
      </c>
      <c r="F1370" s="367">
        <v>2</v>
      </c>
      <c r="G1370" s="367">
        <v>2</v>
      </c>
      <c r="H1370" s="368">
        <v>523.9</v>
      </c>
      <c r="I1370" s="713">
        <v>470.7</v>
      </c>
      <c r="J1370" s="713">
        <v>433.4</v>
      </c>
      <c r="K1370" s="370">
        <v>13</v>
      </c>
      <c r="L1370" s="333">
        <v>851963</v>
      </c>
      <c r="M1370" s="333">
        <v>0</v>
      </c>
      <c r="N1370" s="333">
        <v>0</v>
      </c>
      <c r="O1370" s="333">
        <f>L1370</f>
        <v>851963</v>
      </c>
      <c r="P1370" s="333">
        <v>0</v>
      </c>
      <c r="Q1370" s="371">
        <f>L1370/I1370</f>
        <v>1809.9915020182707</v>
      </c>
      <c r="R1370" s="334">
        <v>7920</v>
      </c>
      <c r="S1370" s="335">
        <v>43830</v>
      </c>
    </row>
    <row r="1371" spans="1:19" s="20" customFormat="1" ht="31.2">
      <c r="A1371" s="327" t="e">
        <f t="shared" si="379"/>
        <v>#REF!</v>
      </c>
      <c r="B1371" s="705" t="s">
        <v>802</v>
      </c>
      <c r="C1371" s="367">
        <v>1967</v>
      </c>
      <c r="D1371" s="367"/>
      <c r="E1371" s="330" t="s">
        <v>218</v>
      </c>
      <c r="F1371" s="367">
        <v>2</v>
      </c>
      <c r="G1371" s="367">
        <v>2</v>
      </c>
      <c r="H1371" s="368">
        <v>501.4</v>
      </c>
      <c r="I1371" s="713">
        <v>471.2</v>
      </c>
      <c r="J1371" s="713">
        <v>397.1</v>
      </c>
      <c r="K1371" s="370">
        <v>21</v>
      </c>
      <c r="L1371" s="333">
        <v>844129</v>
      </c>
      <c r="M1371" s="333">
        <v>0</v>
      </c>
      <c r="N1371" s="333">
        <v>0</v>
      </c>
      <c r="O1371" s="333">
        <f>L1371</f>
        <v>844129</v>
      </c>
      <c r="P1371" s="333">
        <v>0</v>
      </c>
      <c r="Q1371" s="371">
        <f>L1371/I1371</f>
        <v>1791.445246179966</v>
      </c>
      <c r="R1371" s="334">
        <v>7920</v>
      </c>
      <c r="S1371" s="335">
        <v>43830</v>
      </c>
    </row>
    <row r="1372" spans="1:19" s="1" customFormat="1" ht="24.6" customHeight="1">
      <c r="A1372" s="327"/>
      <c r="B1372" s="1489" t="s">
        <v>100</v>
      </c>
      <c r="C1372" s="1489"/>
      <c r="D1372" s="1489"/>
      <c r="E1372" s="1489"/>
      <c r="F1372" s="1489"/>
      <c r="G1372" s="1489"/>
      <c r="H1372" s="574">
        <v>0</v>
      </c>
      <c r="I1372" s="398">
        <v>0</v>
      </c>
      <c r="J1372" s="398">
        <v>0</v>
      </c>
      <c r="K1372" s="597">
        <v>0</v>
      </c>
      <c r="L1372" s="333">
        <v>0</v>
      </c>
      <c r="M1372" s="333">
        <v>0</v>
      </c>
      <c r="N1372" s="333">
        <v>0</v>
      </c>
      <c r="O1372" s="333">
        <v>0</v>
      </c>
      <c r="P1372" s="333">
        <v>0</v>
      </c>
      <c r="Q1372" s="334" t="s">
        <v>40</v>
      </c>
      <c r="R1372" s="334" t="s">
        <v>40</v>
      </c>
      <c r="S1372" s="335">
        <v>43830</v>
      </c>
    </row>
    <row r="1373" spans="1:19" s="1" customFormat="1" ht="15.75" customHeight="1">
      <c r="A1373" s="327"/>
      <c r="B1373" s="1490" t="s">
        <v>101</v>
      </c>
      <c r="C1373" s="1490"/>
      <c r="D1373" s="1490"/>
      <c r="E1373" s="1490"/>
      <c r="F1373" s="1490"/>
      <c r="G1373" s="1490"/>
      <c r="H1373" s="353">
        <f>H1374</f>
        <v>1472.1</v>
      </c>
      <c r="I1373" s="353">
        <f t="shared" ref="I1373:P1373" si="388">I1374</f>
        <v>872.9</v>
      </c>
      <c r="J1373" s="353">
        <f t="shared" si="388"/>
        <v>872.9</v>
      </c>
      <c r="K1373" s="353">
        <f t="shared" si="388"/>
        <v>29</v>
      </c>
      <c r="L1373" s="708">
        <f t="shared" si="388"/>
        <v>1648047</v>
      </c>
      <c r="M1373" s="708">
        <f t="shared" si="388"/>
        <v>0</v>
      </c>
      <c r="N1373" s="708">
        <f t="shared" si="388"/>
        <v>0</v>
      </c>
      <c r="O1373" s="708">
        <f t="shared" si="388"/>
        <v>1648047</v>
      </c>
      <c r="P1373" s="708">
        <f t="shared" si="388"/>
        <v>0</v>
      </c>
      <c r="Q1373" s="356" t="s">
        <v>40</v>
      </c>
      <c r="R1373" s="356" t="s">
        <v>40</v>
      </c>
      <c r="S1373" s="335">
        <v>43830</v>
      </c>
    </row>
    <row r="1374" spans="1:19" s="20" customFormat="1" ht="31.2">
      <c r="A1374" s="327" t="e">
        <f>#REF!+1</f>
        <v>#REF!</v>
      </c>
      <c r="B1374" s="872" t="s">
        <v>923</v>
      </c>
      <c r="C1374" s="367">
        <v>1984</v>
      </c>
      <c r="D1374" s="367"/>
      <c r="E1374" s="330" t="s">
        <v>218</v>
      </c>
      <c r="F1374" s="367">
        <v>2</v>
      </c>
      <c r="G1374" s="367">
        <v>3</v>
      </c>
      <c r="H1374" s="368">
        <v>1472.1</v>
      </c>
      <c r="I1374" s="371">
        <v>872.9</v>
      </c>
      <c r="J1374" s="371">
        <v>872.9</v>
      </c>
      <c r="K1374" s="370">
        <v>29</v>
      </c>
      <c r="L1374" s="333">
        <v>1648047</v>
      </c>
      <c r="M1374" s="333">
        <v>0</v>
      </c>
      <c r="N1374" s="333">
        <v>0</v>
      </c>
      <c r="O1374" s="333">
        <f>L1374</f>
        <v>1648047</v>
      </c>
      <c r="P1374" s="333">
        <v>0</v>
      </c>
      <c r="Q1374" s="371">
        <f>L1374/I1374</f>
        <v>1888.0135181578646</v>
      </c>
      <c r="R1374" s="334">
        <v>7920</v>
      </c>
      <c r="S1374" s="335">
        <v>43830</v>
      </c>
    </row>
    <row r="1375" spans="1:19" s="20" customFormat="1" ht="15.75" customHeight="1">
      <c r="A1375" s="327"/>
      <c r="B1375" s="1490" t="s">
        <v>126</v>
      </c>
      <c r="C1375" s="1490"/>
      <c r="D1375" s="1490"/>
      <c r="E1375" s="1490"/>
      <c r="F1375" s="1490"/>
      <c r="G1375" s="1490"/>
      <c r="H1375" s="368">
        <f>H1376</f>
        <v>874.2</v>
      </c>
      <c r="I1375" s="367">
        <f t="shared" ref="I1375:P1375" si="389">I1376</f>
        <v>874.2</v>
      </c>
      <c r="J1375" s="367">
        <f t="shared" si="389"/>
        <v>778.53</v>
      </c>
      <c r="K1375" s="370">
        <f t="shared" si="389"/>
        <v>33</v>
      </c>
      <c r="L1375" s="333">
        <f t="shared" si="389"/>
        <v>2577836</v>
      </c>
      <c r="M1375" s="333">
        <f t="shared" si="389"/>
        <v>0</v>
      </c>
      <c r="N1375" s="333">
        <f t="shared" si="389"/>
        <v>0</v>
      </c>
      <c r="O1375" s="333">
        <f t="shared" si="389"/>
        <v>2577836</v>
      </c>
      <c r="P1375" s="333">
        <f t="shared" si="389"/>
        <v>0</v>
      </c>
      <c r="Q1375" s="371" t="s">
        <v>40</v>
      </c>
      <c r="R1375" s="367" t="s">
        <v>40</v>
      </c>
      <c r="S1375" s="335">
        <v>43830</v>
      </c>
    </row>
    <row r="1376" spans="1:19" s="1" customFormat="1" ht="31.2">
      <c r="A1376" s="327" t="e">
        <f>#REF!+1</f>
        <v>#REF!</v>
      </c>
      <c r="B1376" s="621" t="s">
        <v>811</v>
      </c>
      <c r="C1376" s="327">
        <v>1984</v>
      </c>
      <c r="D1376" s="327"/>
      <c r="E1376" s="330" t="s">
        <v>218</v>
      </c>
      <c r="F1376" s="327">
        <v>2</v>
      </c>
      <c r="G1376" s="327">
        <v>3</v>
      </c>
      <c r="H1376" s="758">
        <v>874.2</v>
      </c>
      <c r="I1376" s="327">
        <v>874.2</v>
      </c>
      <c r="J1376" s="327">
        <v>778.53</v>
      </c>
      <c r="K1376" s="580">
        <v>33</v>
      </c>
      <c r="L1376" s="333">
        <v>2577836</v>
      </c>
      <c r="M1376" s="333">
        <v>0</v>
      </c>
      <c r="N1376" s="333">
        <v>0</v>
      </c>
      <c r="O1376" s="333">
        <v>2577836</v>
      </c>
      <c r="P1376" s="333">
        <v>0</v>
      </c>
      <c r="Q1376" s="371">
        <f>L1376/I1376</f>
        <v>2948.7943262411345</v>
      </c>
      <c r="R1376" s="334">
        <v>7920</v>
      </c>
      <c r="S1376" s="335">
        <v>43830</v>
      </c>
    </row>
    <row r="1377" spans="1:19" s="1" customFormat="1" ht="28.2" customHeight="1">
      <c r="A1377" s="327"/>
      <c r="B1377" s="1490" t="s">
        <v>861</v>
      </c>
      <c r="C1377" s="1490"/>
      <c r="D1377" s="1490"/>
      <c r="E1377" s="1490"/>
      <c r="F1377" s="1490"/>
      <c r="G1377" s="1490"/>
      <c r="H1377" s="758">
        <f>H1378</f>
        <v>3585.3</v>
      </c>
      <c r="I1377" s="758">
        <f t="shared" ref="I1377:P1377" si="390">I1378</f>
        <v>2759</v>
      </c>
      <c r="J1377" s="758">
        <f t="shared" si="390"/>
        <v>1862.5</v>
      </c>
      <c r="K1377" s="758">
        <f t="shared" si="390"/>
        <v>107</v>
      </c>
      <c r="L1377" s="873">
        <f t="shared" si="390"/>
        <v>1908394</v>
      </c>
      <c r="M1377" s="873">
        <f t="shared" si="390"/>
        <v>0</v>
      </c>
      <c r="N1377" s="873">
        <f t="shared" si="390"/>
        <v>0</v>
      </c>
      <c r="O1377" s="873">
        <f t="shared" si="390"/>
        <v>1908394</v>
      </c>
      <c r="P1377" s="873">
        <f t="shared" si="390"/>
        <v>0</v>
      </c>
      <c r="Q1377" s="356" t="s">
        <v>40</v>
      </c>
      <c r="R1377" s="334" t="s">
        <v>40</v>
      </c>
      <c r="S1377" s="335">
        <v>43830</v>
      </c>
    </row>
    <row r="1378" spans="1:19" s="1" customFormat="1" ht="30.6" customHeight="1">
      <c r="A1378" s="327"/>
      <c r="B1378" s="621" t="s">
        <v>862</v>
      </c>
      <c r="C1378" s="327">
        <v>1973</v>
      </c>
      <c r="D1378" s="327"/>
      <c r="E1378" s="330" t="s">
        <v>860</v>
      </c>
      <c r="F1378" s="327">
        <v>5</v>
      </c>
      <c r="G1378" s="327">
        <v>4</v>
      </c>
      <c r="H1378" s="758">
        <v>3585.3</v>
      </c>
      <c r="I1378" s="327">
        <v>2759</v>
      </c>
      <c r="J1378" s="327">
        <v>1862.5</v>
      </c>
      <c r="K1378" s="580">
        <v>107</v>
      </c>
      <c r="L1378" s="333">
        <v>1908394</v>
      </c>
      <c r="M1378" s="333">
        <v>0</v>
      </c>
      <c r="N1378" s="333">
        <v>0</v>
      </c>
      <c r="O1378" s="333">
        <v>1908394</v>
      </c>
      <c r="P1378" s="333">
        <v>0</v>
      </c>
      <c r="Q1378" s="371">
        <f t="shared" ref="Q1378" si="391">L1378/I1378</f>
        <v>691.69771656397245</v>
      </c>
      <c r="R1378" s="334">
        <v>7920</v>
      </c>
      <c r="S1378" s="335">
        <v>43830</v>
      </c>
    </row>
    <row r="1379" spans="1:19" s="1" customFormat="1" ht="15.6">
      <c r="A1379" s="107"/>
      <c r="B1379" s="1411" t="s">
        <v>46</v>
      </c>
      <c r="C1379" s="1411"/>
      <c r="D1379" s="1411"/>
      <c r="E1379" s="1411"/>
      <c r="F1379" s="1411"/>
      <c r="G1379" s="1411"/>
      <c r="H1379" s="128">
        <f>H1380</f>
        <v>466.2</v>
      </c>
      <c r="I1379" s="106">
        <f t="shared" ref="I1379:P1379" si="392">I1380</f>
        <v>417</v>
      </c>
      <c r="J1379" s="106">
        <f t="shared" si="392"/>
        <v>370.8</v>
      </c>
      <c r="K1379" s="119">
        <f t="shared" si="392"/>
        <v>17</v>
      </c>
      <c r="L1379" s="113">
        <f t="shared" si="392"/>
        <v>684446</v>
      </c>
      <c r="M1379" s="113">
        <f t="shared" si="392"/>
        <v>0</v>
      </c>
      <c r="N1379" s="113">
        <f t="shared" si="392"/>
        <v>0</v>
      </c>
      <c r="O1379" s="113">
        <f t="shared" si="392"/>
        <v>684446</v>
      </c>
      <c r="P1379" s="113">
        <f t="shared" si="392"/>
        <v>0</v>
      </c>
      <c r="Q1379" s="106" t="s">
        <v>40</v>
      </c>
      <c r="R1379" s="106" t="s">
        <v>40</v>
      </c>
      <c r="S1379" s="335">
        <v>43830</v>
      </c>
    </row>
    <row r="1380" spans="1:19" s="1" customFormat="1" ht="15.6">
      <c r="A1380" s="107"/>
      <c r="B1380" s="1411" t="s">
        <v>102</v>
      </c>
      <c r="C1380" s="1411"/>
      <c r="D1380" s="1411"/>
      <c r="E1380" s="1411"/>
      <c r="F1380" s="1411"/>
      <c r="G1380" s="1411"/>
      <c r="H1380" s="128">
        <f>H1381+H1382</f>
        <v>466.2</v>
      </c>
      <c r="I1380" s="106">
        <f t="shared" ref="I1380:N1380" si="393">I1381+I1382</f>
        <v>417</v>
      </c>
      <c r="J1380" s="106">
        <f t="shared" si="393"/>
        <v>370.8</v>
      </c>
      <c r="K1380" s="119">
        <f t="shared" si="393"/>
        <v>17</v>
      </c>
      <c r="L1380" s="113">
        <f t="shared" si="393"/>
        <v>684446</v>
      </c>
      <c r="M1380" s="113">
        <f t="shared" si="393"/>
        <v>0</v>
      </c>
      <c r="N1380" s="113">
        <f t="shared" si="393"/>
        <v>0</v>
      </c>
      <c r="O1380" s="113">
        <f>O1381+O1382</f>
        <v>684446</v>
      </c>
      <c r="P1380" s="113">
        <f t="shared" ref="P1380" si="394">P1381+P1382</f>
        <v>0</v>
      </c>
      <c r="Q1380" s="106" t="s">
        <v>40</v>
      </c>
      <c r="R1380" s="106" t="s">
        <v>40</v>
      </c>
      <c r="S1380" s="335">
        <v>43830</v>
      </c>
    </row>
    <row r="1381" spans="1:19" s="1" customFormat="1" ht="15.6">
      <c r="A1381" s="327" t="e">
        <f>A1376+1</f>
        <v>#REF!</v>
      </c>
      <c r="B1381" s="328" t="s">
        <v>409</v>
      </c>
      <c r="C1381" s="329">
        <v>1959</v>
      </c>
      <c r="D1381" s="357"/>
      <c r="E1381" s="330" t="s">
        <v>222</v>
      </c>
      <c r="F1381" s="329">
        <v>2</v>
      </c>
      <c r="G1381" s="329">
        <v>2</v>
      </c>
      <c r="H1381" s="331">
        <v>466.2</v>
      </c>
      <c r="I1381" s="358">
        <v>417</v>
      </c>
      <c r="J1381" s="329">
        <v>370.8</v>
      </c>
      <c r="K1381" s="332">
        <v>17</v>
      </c>
      <c r="L1381" s="333">
        <v>684446</v>
      </c>
      <c r="M1381" s="333">
        <v>0</v>
      </c>
      <c r="N1381" s="333">
        <v>0</v>
      </c>
      <c r="O1381" s="333">
        <v>684446</v>
      </c>
      <c r="P1381" s="333">
        <v>0</v>
      </c>
      <c r="Q1381" s="334">
        <f>L1381/I1381</f>
        <v>1641.3573141486811</v>
      </c>
      <c r="R1381" s="334">
        <v>7920</v>
      </c>
      <c r="S1381" s="335">
        <v>43830</v>
      </c>
    </row>
    <row r="1382" spans="1:19" s="1" customFormat="1" ht="15.6">
      <c r="A1382" s="107"/>
      <c r="B1382" s="301"/>
      <c r="C1382" s="108"/>
      <c r="D1382" s="156"/>
      <c r="E1382" s="109"/>
      <c r="F1382" s="108"/>
      <c r="G1382" s="108"/>
      <c r="H1382" s="111"/>
      <c r="I1382" s="108"/>
      <c r="J1382" s="108"/>
      <c r="K1382" s="112"/>
      <c r="L1382" s="113"/>
      <c r="M1382" s="113"/>
      <c r="N1382" s="113"/>
      <c r="O1382" s="113"/>
      <c r="P1382" s="113"/>
      <c r="Q1382" s="114"/>
      <c r="R1382" s="114"/>
      <c r="S1382" s="335"/>
    </row>
    <row r="1383" spans="1:19" s="1" customFormat="1" ht="15.6">
      <c r="A1383" s="107"/>
      <c r="B1383" s="1411" t="s">
        <v>47</v>
      </c>
      <c r="C1383" s="1411"/>
      <c r="D1383" s="1411"/>
      <c r="E1383" s="1411"/>
      <c r="F1383" s="1411"/>
      <c r="G1383" s="1411"/>
      <c r="H1383" s="128">
        <f>H1384</f>
        <v>930</v>
      </c>
      <c r="I1383" s="106">
        <f t="shared" ref="I1383:P1384" si="395">I1384</f>
        <v>829.5</v>
      </c>
      <c r="J1383" s="106">
        <f t="shared" si="395"/>
        <v>829.5</v>
      </c>
      <c r="K1383" s="119">
        <f t="shared" si="395"/>
        <v>45</v>
      </c>
      <c r="L1383" s="113">
        <f t="shared" si="395"/>
        <v>2602688</v>
      </c>
      <c r="M1383" s="113">
        <f>M1384</f>
        <v>0</v>
      </c>
      <c r="N1383" s="113">
        <f t="shared" si="395"/>
        <v>0</v>
      </c>
      <c r="O1383" s="113">
        <f t="shared" si="395"/>
        <v>2602688</v>
      </c>
      <c r="P1383" s="113">
        <f t="shared" si="395"/>
        <v>0</v>
      </c>
      <c r="Q1383" s="106" t="s">
        <v>40</v>
      </c>
      <c r="R1383" s="114" t="s">
        <v>40</v>
      </c>
      <c r="S1383" s="335">
        <v>43830</v>
      </c>
    </row>
    <row r="1384" spans="1:19" s="1" customFormat="1" ht="22.95" customHeight="1">
      <c r="A1384" s="327"/>
      <c r="B1384" s="1488" t="s">
        <v>103</v>
      </c>
      <c r="C1384" s="1488"/>
      <c r="D1384" s="1488"/>
      <c r="E1384" s="1488"/>
      <c r="F1384" s="1488"/>
      <c r="G1384" s="1488"/>
      <c r="H1384" s="353">
        <f>H1385</f>
        <v>930</v>
      </c>
      <c r="I1384" s="353">
        <f t="shared" si="395"/>
        <v>829.5</v>
      </c>
      <c r="J1384" s="353">
        <f t="shared" si="395"/>
        <v>829.5</v>
      </c>
      <c r="K1384" s="353">
        <f t="shared" si="395"/>
        <v>45</v>
      </c>
      <c r="L1384" s="708">
        <f t="shared" si="395"/>
        <v>2602688</v>
      </c>
      <c r="M1384" s="708">
        <f t="shared" si="395"/>
        <v>0</v>
      </c>
      <c r="N1384" s="708">
        <f t="shared" si="395"/>
        <v>0</v>
      </c>
      <c r="O1384" s="708">
        <f t="shared" si="395"/>
        <v>2602688</v>
      </c>
      <c r="P1384" s="708">
        <f t="shared" si="395"/>
        <v>0</v>
      </c>
      <c r="Q1384" s="356" t="s">
        <v>40</v>
      </c>
      <c r="R1384" s="356" t="s">
        <v>40</v>
      </c>
      <c r="S1384" s="335">
        <v>43830</v>
      </c>
    </row>
    <row r="1385" spans="1:19" s="1" customFormat="1" ht="31.2">
      <c r="A1385" s="327">
        <f>A1382+1</f>
        <v>1</v>
      </c>
      <c r="B1385" s="937" t="s">
        <v>880</v>
      </c>
      <c r="C1385" s="555" t="s">
        <v>881</v>
      </c>
      <c r="D1385" s="555"/>
      <c r="E1385" s="330" t="s">
        <v>218</v>
      </c>
      <c r="F1385" s="329">
        <v>2</v>
      </c>
      <c r="G1385" s="329">
        <v>3</v>
      </c>
      <c r="H1385" s="574">
        <v>930</v>
      </c>
      <c r="I1385" s="398">
        <v>829.5</v>
      </c>
      <c r="J1385" s="398">
        <v>829.5</v>
      </c>
      <c r="K1385" s="332">
        <v>45</v>
      </c>
      <c r="L1385" s="333">
        <v>2602688</v>
      </c>
      <c r="M1385" s="333">
        <v>0</v>
      </c>
      <c r="N1385" s="333">
        <v>0</v>
      </c>
      <c r="O1385" s="708">
        <v>2602688</v>
      </c>
      <c r="P1385" s="333">
        <v>0</v>
      </c>
      <c r="Q1385" s="398">
        <f>L1385/I1385</f>
        <v>3137.658830620856</v>
      </c>
      <c r="R1385" s="334">
        <v>7920</v>
      </c>
      <c r="S1385" s="335">
        <v>43830</v>
      </c>
    </row>
    <row r="1386" spans="1:19" s="1" customFormat="1" ht="15.6">
      <c r="A1386" s="107"/>
      <c r="B1386" s="1411" t="s">
        <v>48</v>
      </c>
      <c r="C1386" s="1411"/>
      <c r="D1386" s="1411"/>
      <c r="E1386" s="1411"/>
      <c r="F1386" s="1411"/>
      <c r="G1386" s="1411"/>
      <c r="H1386" s="128">
        <f t="shared" ref="H1386:P1386" si="396">H1387+H1389</f>
        <v>2141.5</v>
      </c>
      <c r="I1386" s="106">
        <f t="shared" si="396"/>
        <v>1540.6000000000001</v>
      </c>
      <c r="J1386" s="106">
        <f t="shared" si="396"/>
        <v>1540.6000000000001</v>
      </c>
      <c r="K1386" s="119">
        <f t="shared" si="396"/>
        <v>43</v>
      </c>
      <c r="L1386" s="113">
        <f t="shared" si="396"/>
        <v>2656416</v>
      </c>
      <c r="M1386" s="113">
        <f t="shared" si="396"/>
        <v>0</v>
      </c>
      <c r="N1386" s="113">
        <f t="shared" si="396"/>
        <v>414501.02</v>
      </c>
      <c r="O1386" s="113">
        <f t="shared" si="396"/>
        <v>2241914.98</v>
      </c>
      <c r="P1386" s="113">
        <f t="shared" si="396"/>
        <v>0</v>
      </c>
      <c r="Q1386" s="106" t="s">
        <v>40</v>
      </c>
      <c r="R1386" s="114" t="s">
        <v>40</v>
      </c>
      <c r="S1386" s="335">
        <v>43830</v>
      </c>
    </row>
    <row r="1387" spans="1:19" s="1" customFormat="1" ht="15.6">
      <c r="A1387" s="327"/>
      <c r="B1387" s="1488" t="s">
        <v>107</v>
      </c>
      <c r="C1387" s="1488"/>
      <c r="D1387" s="1488"/>
      <c r="E1387" s="1488"/>
      <c r="F1387" s="1488"/>
      <c r="G1387" s="1488"/>
      <c r="H1387" s="353">
        <f>H1388</f>
        <v>1876</v>
      </c>
      <c r="I1387" s="353">
        <f t="shared" ref="I1387:P1387" si="397">I1388</f>
        <v>1297.7</v>
      </c>
      <c r="J1387" s="353">
        <f t="shared" si="397"/>
        <v>1297.7</v>
      </c>
      <c r="K1387" s="353">
        <f t="shared" si="397"/>
        <v>41</v>
      </c>
      <c r="L1387" s="353">
        <f t="shared" si="397"/>
        <v>2102577</v>
      </c>
      <c r="M1387" s="353">
        <f t="shared" si="397"/>
        <v>0</v>
      </c>
      <c r="N1387" s="356">
        <f t="shared" si="397"/>
        <v>0</v>
      </c>
      <c r="O1387" s="353">
        <f t="shared" si="397"/>
        <v>2102577</v>
      </c>
      <c r="P1387" s="680">
        <f t="shared" si="397"/>
        <v>0</v>
      </c>
      <c r="Q1387" s="356" t="s">
        <v>40</v>
      </c>
      <c r="R1387" s="356" t="s">
        <v>40</v>
      </c>
      <c r="S1387" s="335">
        <v>43830</v>
      </c>
    </row>
    <row r="1388" spans="1:19" s="1" customFormat="1" ht="31.2">
      <c r="A1388" s="327" t="e">
        <f>#REF!+1</f>
        <v>#REF!</v>
      </c>
      <c r="B1388" s="576" t="s">
        <v>774</v>
      </c>
      <c r="C1388" s="676">
        <v>1986</v>
      </c>
      <c r="D1388" s="676"/>
      <c r="E1388" s="330" t="s">
        <v>218</v>
      </c>
      <c r="F1388" s="676">
        <v>3</v>
      </c>
      <c r="G1388" s="676">
        <v>2</v>
      </c>
      <c r="H1388" s="677">
        <v>1876</v>
      </c>
      <c r="I1388" s="678">
        <v>1297.7</v>
      </c>
      <c r="J1388" s="678">
        <v>1297.7</v>
      </c>
      <c r="K1388" s="679">
        <v>41</v>
      </c>
      <c r="L1388" s="333">
        <v>2102577</v>
      </c>
      <c r="M1388" s="333">
        <v>0</v>
      </c>
      <c r="N1388" s="333">
        <v>0</v>
      </c>
      <c r="O1388" s="333">
        <f>L1388</f>
        <v>2102577</v>
      </c>
      <c r="P1388" s="333">
        <v>0</v>
      </c>
      <c r="Q1388" s="356">
        <f>L1388/I1388</f>
        <v>1620.2334900208059</v>
      </c>
      <c r="R1388" s="334">
        <v>7920</v>
      </c>
      <c r="S1388" s="335">
        <v>43830</v>
      </c>
    </row>
    <row r="1389" spans="1:19" s="1" customFormat="1" ht="15.75" customHeight="1">
      <c r="A1389" s="107"/>
      <c r="B1389" s="1413" t="s">
        <v>104</v>
      </c>
      <c r="C1389" s="1413"/>
      <c r="D1389" s="1413"/>
      <c r="E1389" s="1413"/>
      <c r="F1389" s="1413"/>
      <c r="G1389" s="1413"/>
      <c r="H1389" s="128">
        <f>H1390</f>
        <v>265.5</v>
      </c>
      <c r="I1389" s="106">
        <f t="shared" ref="I1389:P1389" si="398">I1390</f>
        <v>242.9</v>
      </c>
      <c r="J1389" s="106">
        <f t="shared" si="398"/>
        <v>242.9</v>
      </c>
      <c r="K1389" s="119">
        <f t="shared" si="398"/>
        <v>2</v>
      </c>
      <c r="L1389" s="113">
        <f t="shared" si="398"/>
        <v>553839</v>
      </c>
      <c r="M1389" s="113">
        <f t="shared" si="398"/>
        <v>0</v>
      </c>
      <c r="N1389" s="113">
        <f t="shared" si="398"/>
        <v>414501.02</v>
      </c>
      <c r="O1389" s="113">
        <f t="shared" si="398"/>
        <v>139337.98000000001</v>
      </c>
      <c r="P1389" s="113">
        <f t="shared" si="398"/>
        <v>0</v>
      </c>
      <c r="Q1389" s="106" t="s">
        <v>40</v>
      </c>
      <c r="R1389" s="114" t="s">
        <v>40</v>
      </c>
      <c r="S1389" s="335">
        <v>43830</v>
      </c>
    </row>
    <row r="1390" spans="1:19" s="1" customFormat="1" ht="31.2">
      <c r="A1390" s="107" t="e">
        <f>#REF!+1</f>
        <v>#REF!</v>
      </c>
      <c r="B1390" s="301" t="s">
        <v>458</v>
      </c>
      <c r="C1390" s="110">
        <v>1953</v>
      </c>
      <c r="D1390" s="108"/>
      <c r="E1390" s="109" t="s">
        <v>218</v>
      </c>
      <c r="F1390" s="108">
        <v>2</v>
      </c>
      <c r="G1390" s="108">
        <v>1</v>
      </c>
      <c r="H1390" s="111">
        <v>265.5</v>
      </c>
      <c r="I1390" s="108">
        <v>242.9</v>
      </c>
      <c r="J1390" s="108">
        <v>242.9</v>
      </c>
      <c r="K1390" s="112">
        <v>2</v>
      </c>
      <c r="L1390" s="113">
        <f>N1390+O1390</f>
        <v>553839</v>
      </c>
      <c r="M1390" s="113">
        <v>0</v>
      </c>
      <c r="N1390" s="113">
        <v>414501.02</v>
      </c>
      <c r="O1390" s="113">
        <v>139337.98000000001</v>
      </c>
      <c r="P1390" s="113">
        <v>0</v>
      </c>
      <c r="Q1390" s="114">
        <f>L1390/I1390</f>
        <v>2280.1111568546726</v>
      </c>
      <c r="R1390" s="114">
        <v>6774</v>
      </c>
      <c r="S1390" s="335">
        <v>43830</v>
      </c>
    </row>
    <row r="1391" spans="1:19" s="1" customFormat="1" ht="15.6">
      <c r="A1391" s="107"/>
      <c r="B1391" s="1411" t="s">
        <v>49</v>
      </c>
      <c r="C1391" s="1411"/>
      <c r="D1391" s="1411"/>
      <c r="E1391" s="1411"/>
      <c r="F1391" s="1411"/>
      <c r="G1391" s="1411"/>
      <c r="H1391" s="128">
        <f>H1392+H1395+H1398+H1400</f>
        <v>5557.7</v>
      </c>
      <c r="I1391" s="128">
        <f t="shared" ref="I1391:P1391" si="399">I1392+I1395+I1398+I1400</f>
        <v>5067.3</v>
      </c>
      <c r="J1391" s="128">
        <f t="shared" si="399"/>
        <v>4765</v>
      </c>
      <c r="K1391" s="162">
        <f t="shared" si="399"/>
        <v>274</v>
      </c>
      <c r="L1391" s="113">
        <f t="shared" si="399"/>
        <v>7081131</v>
      </c>
      <c r="M1391" s="113">
        <f t="shared" si="399"/>
        <v>0</v>
      </c>
      <c r="N1391" s="113">
        <f t="shared" si="399"/>
        <v>59804</v>
      </c>
      <c r="O1391" s="113">
        <f t="shared" si="399"/>
        <v>7021327</v>
      </c>
      <c r="P1391" s="113">
        <f t="shared" si="399"/>
        <v>0</v>
      </c>
      <c r="Q1391" s="106" t="s">
        <v>40</v>
      </c>
      <c r="R1391" s="114" t="s">
        <v>40</v>
      </c>
      <c r="S1391" s="335">
        <v>43830</v>
      </c>
    </row>
    <row r="1392" spans="1:19" s="1" customFormat="1" ht="15.6">
      <c r="A1392" s="107"/>
      <c r="B1392" s="1411" t="s">
        <v>105</v>
      </c>
      <c r="C1392" s="1411"/>
      <c r="D1392" s="1411"/>
      <c r="E1392" s="1411"/>
      <c r="F1392" s="1411"/>
      <c r="G1392" s="1411"/>
      <c r="H1392" s="128">
        <f>H1393+H1394</f>
        <v>637.1</v>
      </c>
      <c r="I1392" s="162">
        <f t="shared" ref="I1392:J1392" si="400">I1393+I1394</f>
        <v>415.1</v>
      </c>
      <c r="J1392" s="162">
        <f t="shared" si="400"/>
        <v>415.1</v>
      </c>
      <c r="K1392" s="119">
        <f>K1393+K1394</f>
        <v>24</v>
      </c>
      <c r="L1392" s="113">
        <f t="shared" ref="L1392:P1392" si="401">L1393+L1394</f>
        <v>1551685</v>
      </c>
      <c r="M1392" s="113">
        <f t="shared" si="401"/>
        <v>0</v>
      </c>
      <c r="N1392" s="113">
        <f t="shared" si="401"/>
        <v>0</v>
      </c>
      <c r="O1392" s="113">
        <f t="shared" si="401"/>
        <v>1551685</v>
      </c>
      <c r="P1392" s="113">
        <f t="shared" si="401"/>
        <v>0</v>
      </c>
      <c r="Q1392" s="106" t="s">
        <v>40</v>
      </c>
      <c r="R1392" s="106" t="s">
        <v>40</v>
      </c>
      <c r="S1392" s="335">
        <v>43830</v>
      </c>
    </row>
    <row r="1393" spans="1:34" s="1" customFormat="1" ht="31.2">
      <c r="A1393" s="327" t="e">
        <f>A1390+1</f>
        <v>#REF!</v>
      </c>
      <c r="B1393" s="351" t="s">
        <v>483</v>
      </c>
      <c r="C1393" s="352">
        <v>1965</v>
      </c>
      <c r="D1393" s="352"/>
      <c r="E1393" s="330" t="s">
        <v>218</v>
      </c>
      <c r="F1393" s="352">
        <v>2</v>
      </c>
      <c r="G1393" s="352">
        <v>2</v>
      </c>
      <c r="H1393" s="353">
        <v>637.1</v>
      </c>
      <c r="I1393" s="354">
        <v>415.1</v>
      </c>
      <c r="J1393" s="354">
        <v>415.1</v>
      </c>
      <c r="K1393" s="355">
        <v>24</v>
      </c>
      <c r="L1393" s="333">
        <v>1551685</v>
      </c>
      <c r="M1393" s="333">
        <v>0</v>
      </c>
      <c r="N1393" s="333">
        <v>0</v>
      </c>
      <c r="O1393" s="333">
        <f>L1393</f>
        <v>1551685</v>
      </c>
      <c r="P1393" s="333">
        <v>0</v>
      </c>
      <c r="Q1393" s="356">
        <f>L1393/I1393</f>
        <v>3738.0992531920019</v>
      </c>
      <c r="R1393" s="334">
        <v>7920</v>
      </c>
      <c r="S1393" s="335">
        <v>43830</v>
      </c>
    </row>
    <row r="1394" spans="1:34" s="1" customFormat="1" ht="15.6">
      <c r="A1394" s="107"/>
      <c r="B1394" s="307"/>
      <c r="C1394" s="118"/>
      <c r="D1394" s="118"/>
      <c r="E1394" s="109"/>
      <c r="F1394" s="118"/>
      <c r="G1394" s="118"/>
      <c r="H1394" s="128"/>
      <c r="I1394" s="106"/>
      <c r="J1394" s="118"/>
      <c r="K1394" s="119"/>
      <c r="L1394" s="113"/>
      <c r="M1394" s="113"/>
      <c r="N1394" s="113"/>
      <c r="O1394" s="113"/>
      <c r="P1394" s="113"/>
      <c r="Q1394" s="106"/>
      <c r="R1394" s="114"/>
      <c r="S1394" s="335"/>
    </row>
    <row r="1395" spans="1:34" s="1" customFormat="1" ht="15.75" customHeight="1">
      <c r="A1395" s="107"/>
      <c r="B1395" s="1413" t="s">
        <v>188</v>
      </c>
      <c r="C1395" s="1413"/>
      <c r="D1395" s="1413"/>
      <c r="E1395" s="1413"/>
      <c r="F1395" s="1413"/>
      <c r="G1395" s="1413"/>
      <c r="H1395" s="128">
        <f>H1396+H1397</f>
        <v>1595.1</v>
      </c>
      <c r="I1395" s="128">
        <f t="shared" ref="I1395:J1395" si="402">I1396+I1397</f>
        <v>1431.3</v>
      </c>
      <c r="J1395" s="128">
        <f t="shared" si="402"/>
        <v>1431.3</v>
      </c>
      <c r="K1395" s="162">
        <f>K1396+K1397</f>
        <v>87</v>
      </c>
      <c r="L1395" s="113">
        <f t="shared" ref="L1395:P1395" si="403">L1396+L1397</f>
        <v>1905804</v>
      </c>
      <c r="M1395" s="113">
        <f t="shared" si="403"/>
        <v>0</v>
      </c>
      <c r="N1395" s="113">
        <f t="shared" si="403"/>
        <v>59804</v>
      </c>
      <c r="O1395" s="113">
        <f t="shared" si="403"/>
        <v>1846000</v>
      </c>
      <c r="P1395" s="113">
        <f t="shared" si="403"/>
        <v>0</v>
      </c>
      <c r="Q1395" s="106" t="s">
        <v>40</v>
      </c>
      <c r="R1395" s="114" t="s">
        <v>40</v>
      </c>
      <c r="S1395" s="335">
        <v>43830</v>
      </c>
    </row>
    <row r="1396" spans="1:34" s="1" customFormat="1" ht="15.6">
      <c r="A1396" s="107">
        <f>A1394+1</f>
        <v>1</v>
      </c>
      <c r="B1396" s="300" t="s">
        <v>410</v>
      </c>
      <c r="C1396" s="302">
        <v>1968</v>
      </c>
      <c r="D1396" s="118"/>
      <c r="E1396" s="109" t="s">
        <v>219</v>
      </c>
      <c r="F1396" s="118">
        <v>2</v>
      </c>
      <c r="G1396" s="118">
        <v>3</v>
      </c>
      <c r="H1396" s="128">
        <v>798.1</v>
      </c>
      <c r="I1396" s="106">
        <v>714.4</v>
      </c>
      <c r="J1396" s="118">
        <v>714.4</v>
      </c>
      <c r="K1396" s="119">
        <v>42</v>
      </c>
      <c r="L1396" s="113">
        <v>958459</v>
      </c>
      <c r="M1396" s="113">
        <v>0</v>
      </c>
      <c r="N1396" s="113">
        <v>35459</v>
      </c>
      <c r="O1396" s="113">
        <v>923000</v>
      </c>
      <c r="P1396" s="113">
        <v>0</v>
      </c>
      <c r="Q1396" s="106">
        <f>L1396/I1396</f>
        <v>1341.6279395296754</v>
      </c>
      <c r="R1396" s="114">
        <v>6774</v>
      </c>
      <c r="S1396" s="335">
        <v>43830</v>
      </c>
    </row>
    <row r="1397" spans="1:34" s="1" customFormat="1" ht="15.6">
      <c r="A1397" s="107">
        <f t="shared" si="379"/>
        <v>2</v>
      </c>
      <c r="B1397" s="307" t="s">
        <v>411</v>
      </c>
      <c r="C1397" s="118">
        <v>1970</v>
      </c>
      <c r="D1397" s="118"/>
      <c r="E1397" s="109" t="s">
        <v>219</v>
      </c>
      <c r="F1397" s="118">
        <v>2</v>
      </c>
      <c r="G1397" s="118">
        <v>3</v>
      </c>
      <c r="H1397" s="128">
        <v>797</v>
      </c>
      <c r="I1397" s="106">
        <v>716.9</v>
      </c>
      <c r="J1397" s="118">
        <v>716.9</v>
      </c>
      <c r="K1397" s="119">
        <v>45</v>
      </c>
      <c r="L1397" s="113">
        <v>947345</v>
      </c>
      <c r="M1397" s="113">
        <v>0</v>
      </c>
      <c r="N1397" s="113">
        <v>24345</v>
      </c>
      <c r="O1397" s="113">
        <v>923000</v>
      </c>
      <c r="P1397" s="113">
        <v>0</v>
      </c>
      <c r="Q1397" s="106">
        <f>L1397/I1397</f>
        <v>1321.4465057888131</v>
      </c>
      <c r="R1397" s="114">
        <v>6774</v>
      </c>
      <c r="S1397" s="335">
        <v>43830</v>
      </c>
    </row>
    <row r="1398" spans="1:34" s="1" customFormat="1" ht="15.6">
      <c r="A1398" s="107"/>
      <c r="B1398" s="1411" t="s">
        <v>189</v>
      </c>
      <c r="C1398" s="1411"/>
      <c r="D1398" s="1411"/>
      <c r="E1398" s="1411"/>
      <c r="F1398" s="1411"/>
      <c r="G1398" s="1411"/>
      <c r="H1398" s="128">
        <f>H1399</f>
        <v>506.9</v>
      </c>
      <c r="I1398" s="128">
        <f t="shared" ref="I1398:P1398" si="404">I1399</f>
        <v>402.3</v>
      </c>
      <c r="J1398" s="128">
        <f t="shared" si="404"/>
        <v>402.3</v>
      </c>
      <c r="K1398" s="162">
        <f t="shared" si="404"/>
        <v>7</v>
      </c>
      <c r="L1398" s="113">
        <f t="shared" si="404"/>
        <v>820660</v>
      </c>
      <c r="M1398" s="113">
        <f t="shared" si="404"/>
        <v>0</v>
      </c>
      <c r="N1398" s="113">
        <f t="shared" si="404"/>
        <v>0</v>
      </c>
      <c r="O1398" s="113">
        <f t="shared" si="404"/>
        <v>820660</v>
      </c>
      <c r="P1398" s="113">
        <f t="shared" si="404"/>
        <v>0</v>
      </c>
      <c r="Q1398" s="106" t="s">
        <v>40</v>
      </c>
      <c r="R1398" s="114" t="s">
        <v>40</v>
      </c>
      <c r="S1398" s="335">
        <v>43830</v>
      </c>
    </row>
    <row r="1399" spans="1:34" s="1" customFormat="1" ht="31.2">
      <c r="A1399" s="107">
        <f>A1397+1</f>
        <v>3</v>
      </c>
      <c r="B1399" s="307" t="s">
        <v>412</v>
      </c>
      <c r="C1399" s="118">
        <v>1958</v>
      </c>
      <c r="D1399" s="118"/>
      <c r="E1399" s="109" t="s">
        <v>218</v>
      </c>
      <c r="F1399" s="118">
        <v>2</v>
      </c>
      <c r="G1399" s="118">
        <v>1</v>
      </c>
      <c r="H1399" s="128">
        <v>506.9</v>
      </c>
      <c r="I1399" s="106">
        <v>402.3</v>
      </c>
      <c r="J1399" s="118">
        <v>402.3</v>
      </c>
      <c r="K1399" s="119">
        <v>7</v>
      </c>
      <c r="L1399" s="113">
        <v>820660</v>
      </c>
      <c r="M1399" s="113">
        <v>0</v>
      </c>
      <c r="N1399" s="113">
        <v>0</v>
      </c>
      <c r="O1399" s="113">
        <f>L1399</f>
        <v>820660</v>
      </c>
      <c r="P1399" s="113">
        <v>0</v>
      </c>
      <c r="Q1399" s="106">
        <f>L1399/I1399</f>
        <v>2039.9204573701218</v>
      </c>
      <c r="R1399" s="114">
        <v>6774</v>
      </c>
      <c r="S1399" s="335">
        <v>43830</v>
      </c>
    </row>
    <row r="1400" spans="1:34" s="1" customFormat="1" ht="15.6">
      <c r="A1400" s="107"/>
      <c r="B1400" s="1411" t="s">
        <v>131</v>
      </c>
      <c r="C1400" s="1411"/>
      <c r="D1400" s="1411"/>
      <c r="E1400" s="1411"/>
      <c r="F1400" s="1411"/>
      <c r="G1400" s="1411"/>
      <c r="H1400" s="128">
        <f>H1401</f>
        <v>2818.6</v>
      </c>
      <c r="I1400" s="128">
        <f t="shared" ref="I1400:P1400" si="405">I1401</f>
        <v>2818.6</v>
      </c>
      <c r="J1400" s="128">
        <f t="shared" si="405"/>
        <v>2516.3000000000002</v>
      </c>
      <c r="K1400" s="128">
        <f t="shared" si="405"/>
        <v>156</v>
      </c>
      <c r="L1400" s="565">
        <f t="shared" si="405"/>
        <v>2802982</v>
      </c>
      <c r="M1400" s="565">
        <f t="shared" si="405"/>
        <v>0</v>
      </c>
      <c r="N1400" s="565">
        <f t="shared" si="405"/>
        <v>0</v>
      </c>
      <c r="O1400" s="565">
        <f t="shared" si="405"/>
        <v>2802982</v>
      </c>
      <c r="P1400" s="565">
        <f t="shared" si="405"/>
        <v>0</v>
      </c>
      <c r="Q1400" s="106" t="s">
        <v>40</v>
      </c>
      <c r="R1400" s="114" t="s">
        <v>40</v>
      </c>
      <c r="S1400" s="335">
        <v>43830</v>
      </c>
    </row>
    <row r="1401" spans="1:34" s="61" customFormat="1">
      <c r="A1401" s="107">
        <f>A1399+1</f>
        <v>4</v>
      </c>
      <c r="B1401" s="163" t="s">
        <v>662</v>
      </c>
      <c r="C1401" s="131">
        <v>1991</v>
      </c>
      <c r="D1401" s="131"/>
      <c r="E1401" s="109" t="s">
        <v>219</v>
      </c>
      <c r="F1401" s="131">
        <v>5</v>
      </c>
      <c r="G1401" s="131">
        <v>4</v>
      </c>
      <c r="H1401" s="131">
        <v>2818.6</v>
      </c>
      <c r="I1401" s="131">
        <v>2818.6</v>
      </c>
      <c r="J1401" s="131">
        <v>2516.3000000000002</v>
      </c>
      <c r="K1401" s="131">
        <v>156</v>
      </c>
      <c r="L1401" s="113">
        <v>2802982</v>
      </c>
      <c r="M1401" s="113">
        <v>0</v>
      </c>
      <c r="N1401" s="113">
        <v>0</v>
      </c>
      <c r="O1401" s="113">
        <v>2802982</v>
      </c>
      <c r="P1401" s="113">
        <v>0</v>
      </c>
      <c r="Q1401" s="124">
        <f>L1401/I1401</f>
        <v>994.45895125239485</v>
      </c>
      <c r="R1401" s="114">
        <v>7920</v>
      </c>
      <c r="S1401" s="335">
        <v>43830</v>
      </c>
    </row>
    <row r="1402" spans="1:34" s="61" customFormat="1">
      <c r="A1402" s="107"/>
      <c r="B1402" s="145"/>
      <c r="C1402" s="164"/>
      <c r="D1402" s="131"/>
      <c r="E1402" s="109"/>
      <c r="F1402" s="131"/>
      <c r="G1402" s="131"/>
      <c r="H1402" s="131"/>
      <c r="I1402" s="131"/>
      <c r="J1402" s="131"/>
      <c r="K1402" s="131"/>
      <c r="L1402" s="113"/>
      <c r="M1402" s="113"/>
      <c r="N1402" s="113"/>
      <c r="O1402" s="113"/>
      <c r="P1402" s="113"/>
      <c r="Q1402" s="124"/>
      <c r="R1402" s="114"/>
      <c r="S1402" s="335"/>
    </row>
    <row r="1403" spans="1:34" s="1" customFormat="1" ht="15.6">
      <c r="A1403" s="107"/>
      <c r="B1403" s="1411" t="s">
        <v>50</v>
      </c>
      <c r="C1403" s="1411"/>
      <c r="D1403" s="1411"/>
      <c r="E1403" s="1411"/>
      <c r="F1403" s="1411"/>
      <c r="G1403" s="1411"/>
      <c r="H1403" s="106">
        <f>H1404</f>
        <v>7969.19</v>
      </c>
      <c r="I1403" s="106">
        <f t="shared" ref="I1403:P1403" si="406">I1404</f>
        <v>7333.2000000000007</v>
      </c>
      <c r="J1403" s="106">
        <f t="shared" si="406"/>
        <v>6468</v>
      </c>
      <c r="K1403" s="119">
        <f t="shared" si="406"/>
        <v>301</v>
      </c>
      <c r="L1403" s="113">
        <f t="shared" si="406"/>
        <v>13218958</v>
      </c>
      <c r="M1403" s="113">
        <f t="shared" si="406"/>
        <v>0</v>
      </c>
      <c r="N1403" s="113">
        <f t="shared" si="406"/>
        <v>0</v>
      </c>
      <c r="O1403" s="113">
        <f t="shared" si="406"/>
        <v>13218958</v>
      </c>
      <c r="P1403" s="113">
        <f t="shared" si="406"/>
        <v>0</v>
      </c>
      <c r="Q1403" s="106" t="s">
        <v>40</v>
      </c>
      <c r="R1403" s="114" t="s">
        <v>40</v>
      </c>
      <c r="S1403" s="335">
        <v>43830</v>
      </c>
    </row>
    <row r="1404" spans="1:34" s="18" customFormat="1" ht="29.4" customHeight="1">
      <c r="A1404" s="107"/>
      <c r="B1404" s="1411" t="s">
        <v>106</v>
      </c>
      <c r="C1404" s="1411"/>
      <c r="D1404" s="1411"/>
      <c r="E1404" s="1411"/>
      <c r="F1404" s="1411"/>
      <c r="G1404" s="1411"/>
      <c r="H1404" s="409">
        <f t="shared" ref="H1404:P1404" si="407">SUM(H1405:H1413)</f>
        <v>7969.19</v>
      </c>
      <c r="I1404" s="409">
        <f t="shared" si="407"/>
        <v>7333.2000000000007</v>
      </c>
      <c r="J1404" s="409">
        <f t="shared" si="407"/>
        <v>6468</v>
      </c>
      <c r="K1404" s="657">
        <f t="shared" si="407"/>
        <v>301</v>
      </c>
      <c r="L1404" s="113">
        <f t="shared" si="407"/>
        <v>13218958</v>
      </c>
      <c r="M1404" s="113">
        <f t="shared" si="407"/>
        <v>0</v>
      </c>
      <c r="N1404" s="113">
        <f t="shared" si="407"/>
        <v>0</v>
      </c>
      <c r="O1404" s="113">
        <f t="shared" si="407"/>
        <v>13218958</v>
      </c>
      <c r="P1404" s="113">
        <f t="shared" si="407"/>
        <v>0</v>
      </c>
      <c r="Q1404" s="106" t="s">
        <v>40</v>
      </c>
      <c r="R1404" s="114" t="s">
        <v>40</v>
      </c>
      <c r="S1404" s="335">
        <v>43830</v>
      </c>
    </row>
    <row r="1405" spans="1:34" s="66" customFormat="1" ht="31.2">
      <c r="A1405" s="107">
        <f>A1402+1</f>
        <v>1</v>
      </c>
      <c r="B1405" s="165" t="s">
        <v>852</v>
      </c>
      <c r="C1405" s="166">
        <v>1971</v>
      </c>
      <c r="D1405" s="167"/>
      <c r="E1405" s="109" t="s">
        <v>218</v>
      </c>
      <c r="F1405" s="167">
        <v>2</v>
      </c>
      <c r="G1405" s="793">
        <v>2</v>
      </c>
      <c r="H1405" s="795">
        <v>447.2</v>
      </c>
      <c r="I1405" s="794">
        <v>397.2</v>
      </c>
      <c r="J1405" s="794">
        <v>297.2</v>
      </c>
      <c r="K1405" s="794">
        <v>25</v>
      </c>
      <c r="L1405" s="655">
        <v>1024592</v>
      </c>
      <c r="M1405" s="113">
        <f>SUM(M1406:M1413)</f>
        <v>0</v>
      </c>
      <c r="N1405" s="113">
        <f>SUM(N1406:N1413)</f>
        <v>0</v>
      </c>
      <c r="O1405" s="113">
        <f t="shared" ref="O1405:O1413" si="408">L1405</f>
        <v>1024592</v>
      </c>
      <c r="P1405" s="113">
        <f>SUM(P1406:P1413)</f>
        <v>0</v>
      </c>
      <c r="Q1405" s="168">
        <f t="shared" ref="Q1405:Q1413" si="409">L1405/I1405</f>
        <v>2579.5367573011076</v>
      </c>
      <c r="R1405" s="114">
        <v>7920</v>
      </c>
      <c r="S1405" s="335">
        <v>43830</v>
      </c>
      <c r="T1405" s="50"/>
      <c r="U1405" s="50"/>
      <c r="V1405" s="50"/>
      <c r="W1405" s="50"/>
      <c r="X1405" s="50"/>
      <c r="Y1405" s="50"/>
      <c r="Z1405" s="50"/>
      <c r="AA1405" s="50"/>
      <c r="AB1405" s="50"/>
      <c r="AC1405" s="50"/>
      <c r="AD1405" s="50"/>
      <c r="AE1405" s="50"/>
      <c r="AF1405" s="50"/>
      <c r="AG1405" s="50"/>
      <c r="AH1405" s="50"/>
    </row>
    <row r="1406" spans="1:34" s="50" customFormat="1" ht="31.2">
      <c r="A1406" s="107">
        <f>A1405+1</f>
        <v>2</v>
      </c>
      <c r="B1406" s="165" t="s">
        <v>853</v>
      </c>
      <c r="C1406" s="166">
        <v>1977</v>
      </c>
      <c r="D1406" s="167"/>
      <c r="E1406" s="109" t="s">
        <v>218</v>
      </c>
      <c r="F1406" s="167">
        <v>3</v>
      </c>
      <c r="G1406" s="793">
        <v>2</v>
      </c>
      <c r="H1406" s="795">
        <v>1046.69</v>
      </c>
      <c r="I1406" s="794">
        <v>987.6</v>
      </c>
      <c r="J1406" s="794">
        <v>684.2</v>
      </c>
      <c r="K1406" s="794">
        <v>49</v>
      </c>
      <c r="L1406" s="655">
        <v>1366296</v>
      </c>
      <c r="M1406" s="113">
        <f>SUM(M1407:M1415)</f>
        <v>0</v>
      </c>
      <c r="N1406" s="113">
        <f>SUM(N1407:N1415)</f>
        <v>0</v>
      </c>
      <c r="O1406" s="113">
        <f t="shared" si="408"/>
        <v>1366296</v>
      </c>
      <c r="P1406" s="113">
        <f>SUM(P1407:P1415)</f>
        <v>0</v>
      </c>
      <c r="Q1406" s="168">
        <f t="shared" si="409"/>
        <v>1383.4507897934386</v>
      </c>
      <c r="R1406" s="114">
        <v>7920</v>
      </c>
      <c r="S1406" s="335">
        <v>43830</v>
      </c>
    </row>
    <row r="1407" spans="1:34" s="50" customFormat="1" ht="31.2">
      <c r="A1407" s="107">
        <f t="shared" ref="A1407:A1444" si="410">A1406+1</f>
        <v>3</v>
      </c>
      <c r="B1407" s="165" t="s">
        <v>854</v>
      </c>
      <c r="C1407" s="166">
        <v>1973</v>
      </c>
      <c r="D1407" s="167"/>
      <c r="E1407" s="109" t="s">
        <v>218</v>
      </c>
      <c r="F1407" s="167">
        <v>2</v>
      </c>
      <c r="G1407" s="793">
        <v>2</v>
      </c>
      <c r="H1407" s="795">
        <v>585</v>
      </c>
      <c r="I1407" s="794">
        <v>536.6</v>
      </c>
      <c r="J1407" s="794">
        <v>536.6</v>
      </c>
      <c r="K1407" s="794">
        <v>21</v>
      </c>
      <c r="L1407" s="655">
        <v>1544253</v>
      </c>
      <c r="M1407" s="113">
        <f>SUM(M1408:M1414)</f>
        <v>0</v>
      </c>
      <c r="N1407" s="113">
        <f>SUM(N1408:N1414)</f>
        <v>0</v>
      </c>
      <c r="O1407" s="113">
        <f t="shared" si="408"/>
        <v>1544253</v>
      </c>
      <c r="P1407" s="113">
        <f>SUM(P1408:P1414)</f>
        <v>0</v>
      </c>
      <c r="Q1407" s="168">
        <f t="shared" si="409"/>
        <v>2877.8475587029443</v>
      </c>
      <c r="R1407" s="114">
        <v>7920</v>
      </c>
      <c r="S1407" s="335">
        <v>43830</v>
      </c>
    </row>
    <row r="1408" spans="1:34" s="50" customFormat="1" ht="31.2">
      <c r="A1408" s="107">
        <f t="shared" si="410"/>
        <v>4</v>
      </c>
      <c r="B1408" s="165" t="s">
        <v>855</v>
      </c>
      <c r="C1408" s="166">
        <v>1967</v>
      </c>
      <c r="D1408" s="167"/>
      <c r="E1408" s="109" t="s">
        <v>218</v>
      </c>
      <c r="F1408" s="167">
        <v>2</v>
      </c>
      <c r="G1408" s="793">
        <v>2</v>
      </c>
      <c r="H1408" s="795">
        <v>391.2</v>
      </c>
      <c r="I1408" s="794">
        <v>347.2</v>
      </c>
      <c r="J1408" s="794">
        <v>171</v>
      </c>
      <c r="K1408" s="794">
        <v>26</v>
      </c>
      <c r="L1408" s="655">
        <v>1119066</v>
      </c>
      <c r="M1408" s="113">
        <f>SUM(M1409:M1413)</f>
        <v>0</v>
      </c>
      <c r="N1408" s="113">
        <f>SUM(N1409:N1413)</f>
        <v>0</v>
      </c>
      <c r="O1408" s="113">
        <f t="shared" si="408"/>
        <v>1119066</v>
      </c>
      <c r="P1408" s="113">
        <f>SUM(P1409:P1413)</f>
        <v>0</v>
      </c>
      <c r="Q1408" s="168">
        <f t="shared" si="409"/>
        <v>3223.1163594470049</v>
      </c>
      <c r="R1408" s="114">
        <v>7920</v>
      </c>
      <c r="S1408" s="335">
        <v>43830</v>
      </c>
    </row>
    <row r="1409" spans="1:19" s="50" customFormat="1" ht="31.2">
      <c r="A1409" s="107">
        <f t="shared" si="410"/>
        <v>5</v>
      </c>
      <c r="B1409" s="165" t="s">
        <v>856</v>
      </c>
      <c r="C1409" s="166">
        <v>1968</v>
      </c>
      <c r="D1409" s="167"/>
      <c r="E1409" s="109" t="s">
        <v>218</v>
      </c>
      <c r="F1409" s="167">
        <v>2</v>
      </c>
      <c r="G1409" s="793">
        <v>2</v>
      </c>
      <c r="H1409" s="795">
        <v>799.4</v>
      </c>
      <c r="I1409" s="794">
        <v>739.4</v>
      </c>
      <c r="J1409" s="794">
        <v>739.4</v>
      </c>
      <c r="K1409" s="794">
        <v>12</v>
      </c>
      <c r="L1409" s="655">
        <v>2060671</v>
      </c>
      <c r="M1409" s="113">
        <f>SUM(M1411:M1416)</f>
        <v>0</v>
      </c>
      <c r="N1409" s="113">
        <f>SUM(N1411:N1416)</f>
        <v>0</v>
      </c>
      <c r="O1409" s="113">
        <f t="shared" si="408"/>
        <v>2060671</v>
      </c>
      <c r="P1409" s="113">
        <f>SUM(P1411:P1416)</f>
        <v>0</v>
      </c>
      <c r="Q1409" s="168">
        <f t="shared" si="409"/>
        <v>2786.9502299161481</v>
      </c>
      <c r="R1409" s="114">
        <v>7920</v>
      </c>
      <c r="S1409" s="335">
        <v>43830</v>
      </c>
    </row>
    <row r="1410" spans="1:19" s="50" customFormat="1" ht="33.6" customHeight="1">
      <c r="A1410" s="107">
        <f t="shared" si="410"/>
        <v>6</v>
      </c>
      <c r="B1410" s="165" t="s">
        <v>850</v>
      </c>
      <c r="C1410" s="166">
        <v>1962</v>
      </c>
      <c r="D1410" s="167"/>
      <c r="E1410" s="109" t="s">
        <v>218</v>
      </c>
      <c r="F1410" s="167">
        <v>2</v>
      </c>
      <c r="G1410" s="793">
        <v>2</v>
      </c>
      <c r="H1410" s="795">
        <v>296.2</v>
      </c>
      <c r="I1410" s="794">
        <v>274.8</v>
      </c>
      <c r="J1410" s="794">
        <v>184.1</v>
      </c>
      <c r="K1410" s="794">
        <v>22</v>
      </c>
      <c r="L1410" s="655">
        <v>1226134</v>
      </c>
      <c r="M1410" s="113">
        <f>SUM(M1411:M1417)</f>
        <v>0</v>
      </c>
      <c r="N1410" s="113">
        <f>SUM(N1411:N1417)</f>
        <v>0</v>
      </c>
      <c r="O1410" s="113">
        <f t="shared" si="408"/>
        <v>1226134</v>
      </c>
      <c r="P1410" s="113">
        <f>SUM(P1411:P1417)</f>
        <v>0</v>
      </c>
      <c r="Q1410" s="168">
        <f t="shared" si="409"/>
        <v>4461.9141193595342</v>
      </c>
      <c r="R1410" s="114">
        <v>7920</v>
      </c>
      <c r="S1410" s="335">
        <v>43830</v>
      </c>
    </row>
    <row r="1411" spans="1:19" s="50" customFormat="1" ht="23.4" customHeight="1">
      <c r="A1411" s="107">
        <f>A1410+1</f>
        <v>7</v>
      </c>
      <c r="B1411" s="165" t="s">
        <v>978</v>
      </c>
      <c r="C1411" s="166">
        <v>1973</v>
      </c>
      <c r="D1411" s="167"/>
      <c r="E1411" s="109" t="s">
        <v>661</v>
      </c>
      <c r="F1411" s="167">
        <v>2</v>
      </c>
      <c r="G1411" s="793">
        <v>2</v>
      </c>
      <c r="H1411" s="795">
        <v>578.1</v>
      </c>
      <c r="I1411" s="794">
        <v>532.1</v>
      </c>
      <c r="J1411" s="794">
        <v>431</v>
      </c>
      <c r="K1411" s="794">
        <v>26</v>
      </c>
      <c r="L1411" s="655">
        <v>1002285</v>
      </c>
      <c r="M1411" s="113">
        <v>0</v>
      </c>
      <c r="N1411" s="113">
        <v>0</v>
      </c>
      <c r="O1411" s="113">
        <f t="shared" si="408"/>
        <v>1002285</v>
      </c>
      <c r="P1411" s="113">
        <v>0</v>
      </c>
      <c r="Q1411" s="168">
        <f t="shared" si="409"/>
        <v>1883.6402931779739</v>
      </c>
      <c r="R1411" s="114">
        <v>7920</v>
      </c>
      <c r="S1411" s="335">
        <v>43830</v>
      </c>
    </row>
    <row r="1412" spans="1:19" s="50" customFormat="1" ht="31.2">
      <c r="A1412" s="107">
        <f>A1411+1</f>
        <v>8</v>
      </c>
      <c r="B1412" s="165" t="s">
        <v>979</v>
      </c>
      <c r="C1412" s="166">
        <v>1960</v>
      </c>
      <c r="D1412" s="167"/>
      <c r="E1412" s="109" t="s">
        <v>218</v>
      </c>
      <c r="F1412" s="167">
        <v>1</v>
      </c>
      <c r="G1412" s="793">
        <v>2</v>
      </c>
      <c r="H1412" s="795">
        <v>246.9</v>
      </c>
      <c r="I1412" s="794">
        <v>225.4</v>
      </c>
      <c r="J1412" s="794">
        <v>225.4</v>
      </c>
      <c r="K1412" s="794">
        <v>16</v>
      </c>
      <c r="L1412" s="655">
        <v>1296378</v>
      </c>
      <c r="M1412" s="113">
        <f>SUM(M1413:M1418)</f>
        <v>0</v>
      </c>
      <c r="N1412" s="113">
        <f>SUM(N1413:N1418)</f>
        <v>0</v>
      </c>
      <c r="O1412" s="113">
        <f t="shared" si="408"/>
        <v>1296378</v>
      </c>
      <c r="P1412" s="113">
        <f>SUM(P1413:P1418)</f>
        <v>0</v>
      </c>
      <c r="Q1412" s="168">
        <f t="shared" si="409"/>
        <v>5751.4551907719606</v>
      </c>
      <c r="R1412" s="114">
        <v>7920</v>
      </c>
      <c r="S1412" s="335">
        <v>43830</v>
      </c>
    </row>
    <row r="1413" spans="1:19" s="50" customFormat="1" ht="31.2">
      <c r="A1413" s="107">
        <v>9</v>
      </c>
      <c r="B1413" s="165" t="s">
        <v>857</v>
      </c>
      <c r="C1413" s="166">
        <v>1980</v>
      </c>
      <c r="D1413" s="167"/>
      <c r="E1413" s="109" t="s">
        <v>218</v>
      </c>
      <c r="F1413" s="167">
        <v>5</v>
      </c>
      <c r="G1413" s="793">
        <v>4</v>
      </c>
      <c r="H1413" s="795">
        <v>3578.5</v>
      </c>
      <c r="I1413" s="794">
        <v>3292.9</v>
      </c>
      <c r="J1413" s="794">
        <v>3199.1</v>
      </c>
      <c r="K1413" s="794">
        <v>104</v>
      </c>
      <c r="L1413" s="655">
        <v>2579283</v>
      </c>
      <c r="M1413" s="113">
        <f>SUM(M1414:M1418)</f>
        <v>0</v>
      </c>
      <c r="N1413" s="113">
        <f>SUM(N1414:N1418)</f>
        <v>0</v>
      </c>
      <c r="O1413" s="113">
        <f t="shared" si="408"/>
        <v>2579283</v>
      </c>
      <c r="P1413" s="113">
        <f>SUM(P1414:P1418)</f>
        <v>0</v>
      </c>
      <c r="Q1413" s="168">
        <f t="shared" si="409"/>
        <v>783.28616113456224</v>
      </c>
      <c r="R1413" s="114">
        <v>7920</v>
      </c>
      <c r="S1413" s="335">
        <v>43830</v>
      </c>
    </row>
    <row r="1414" spans="1:19" s="1" customFormat="1" ht="15.6">
      <c r="A1414" s="107"/>
      <c r="B1414" s="1411" t="s">
        <v>51</v>
      </c>
      <c r="C1414" s="1411"/>
      <c r="D1414" s="1411"/>
      <c r="E1414" s="1411"/>
      <c r="F1414" s="1411"/>
      <c r="G1414" s="1411"/>
      <c r="H1414" s="765">
        <f>H1415</f>
        <v>8727.8000000000011</v>
      </c>
      <c r="I1414" s="791">
        <f t="shared" ref="I1414:P1414" si="411">I1415</f>
        <v>8727.8000000000011</v>
      </c>
      <c r="J1414" s="791">
        <f t="shared" si="411"/>
        <v>7641.2</v>
      </c>
      <c r="K1414" s="777">
        <f t="shared" si="411"/>
        <v>328</v>
      </c>
      <c r="L1414" s="113">
        <f t="shared" si="411"/>
        <v>10822736</v>
      </c>
      <c r="M1414" s="113">
        <f t="shared" si="411"/>
        <v>0</v>
      </c>
      <c r="N1414" s="113">
        <f t="shared" si="411"/>
        <v>0</v>
      </c>
      <c r="O1414" s="113">
        <f t="shared" si="411"/>
        <v>10822736</v>
      </c>
      <c r="P1414" s="113">
        <f t="shared" si="411"/>
        <v>0</v>
      </c>
      <c r="Q1414" s="106" t="s">
        <v>40</v>
      </c>
      <c r="R1414" s="106" t="s">
        <v>40</v>
      </c>
      <c r="S1414" s="335">
        <v>43830</v>
      </c>
    </row>
    <row r="1415" spans="1:19" s="1" customFormat="1" ht="21.6" customHeight="1">
      <c r="A1415" s="107"/>
      <c r="B1415" s="1411" t="s">
        <v>108</v>
      </c>
      <c r="C1415" s="1411"/>
      <c r="D1415" s="1411"/>
      <c r="E1415" s="1411"/>
      <c r="F1415" s="1454"/>
      <c r="G1415" s="1454"/>
      <c r="H1415" s="613">
        <f t="shared" ref="H1415:P1415" si="412">SUM(H1416:H1422)</f>
        <v>8727.8000000000011</v>
      </c>
      <c r="I1415" s="952">
        <f t="shared" si="412"/>
        <v>8727.8000000000011</v>
      </c>
      <c r="J1415" s="952">
        <f t="shared" si="412"/>
        <v>7641.2</v>
      </c>
      <c r="K1415" s="657">
        <f t="shared" si="412"/>
        <v>328</v>
      </c>
      <c r="L1415" s="113">
        <f t="shared" si="412"/>
        <v>10822736</v>
      </c>
      <c r="M1415" s="113">
        <f t="shared" si="412"/>
        <v>0</v>
      </c>
      <c r="N1415" s="113">
        <f t="shared" si="412"/>
        <v>0</v>
      </c>
      <c r="O1415" s="113">
        <f t="shared" si="412"/>
        <v>10822736</v>
      </c>
      <c r="P1415" s="113">
        <f t="shared" si="412"/>
        <v>0</v>
      </c>
      <c r="Q1415" s="106" t="s">
        <v>40</v>
      </c>
      <c r="R1415" s="106" t="s">
        <v>40</v>
      </c>
      <c r="S1415" s="335">
        <v>43830</v>
      </c>
    </row>
    <row r="1416" spans="1:19" s="51" customFormat="1" ht="31.2">
      <c r="A1416" s="107">
        <f>A1413+1</f>
        <v>10</v>
      </c>
      <c r="B1416" s="945" t="s">
        <v>1014</v>
      </c>
      <c r="C1416" s="118">
        <v>1969</v>
      </c>
      <c r="D1416" s="118"/>
      <c r="E1416" s="611" t="s">
        <v>218</v>
      </c>
      <c r="F1416" s="958">
        <v>2</v>
      </c>
      <c r="G1416" s="958">
        <v>2</v>
      </c>
      <c r="H1416" s="959">
        <v>502.9</v>
      </c>
      <c r="I1416" s="960">
        <v>502.9</v>
      </c>
      <c r="J1416" s="959">
        <v>344.2</v>
      </c>
      <c r="K1416" s="958">
        <v>23</v>
      </c>
      <c r="L1416" s="655">
        <f>O1416</f>
        <v>1488075</v>
      </c>
      <c r="M1416" s="113">
        <v>0</v>
      </c>
      <c r="N1416" s="113">
        <v>0</v>
      </c>
      <c r="O1416" s="113">
        <v>1488075</v>
      </c>
      <c r="P1416" s="113">
        <v>0</v>
      </c>
      <c r="Q1416" s="170">
        <f t="shared" ref="Q1416:Q1425" si="413">L1416/I1416</f>
        <v>2958.9878703519589</v>
      </c>
      <c r="R1416" s="114">
        <v>7920</v>
      </c>
      <c r="S1416" s="335">
        <v>43830</v>
      </c>
    </row>
    <row r="1417" spans="1:19" s="51" customFormat="1" ht="31.2">
      <c r="A1417" s="107">
        <f t="shared" si="410"/>
        <v>11</v>
      </c>
      <c r="B1417" s="945" t="s">
        <v>486</v>
      </c>
      <c r="C1417" s="118">
        <v>1969</v>
      </c>
      <c r="D1417" s="118"/>
      <c r="E1417" s="611" t="s">
        <v>218</v>
      </c>
      <c r="F1417" s="958">
        <v>2</v>
      </c>
      <c r="G1417" s="958">
        <v>2</v>
      </c>
      <c r="H1417" s="959">
        <v>502</v>
      </c>
      <c r="I1417" s="960">
        <v>502</v>
      </c>
      <c r="J1417" s="959">
        <v>340.9</v>
      </c>
      <c r="K1417" s="958">
        <v>15</v>
      </c>
      <c r="L1417" s="655">
        <f t="shared" ref="L1417:L1422" si="414">O1417</f>
        <v>1488068</v>
      </c>
      <c r="M1417" s="113">
        <v>0</v>
      </c>
      <c r="N1417" s="113">
        <v>0</v>
      </c>
      <c r="O1417" s="113">
        <v>1488068</v>
      </c>
      <c r="P1417" s="113">
        <v>0</v>
      </c>
      <c r="Q1417" s="170">
        <f t="shared" si="413"/>
        <v>2964.2788844621514</v>
      </c>
      <c r="R1417" s="114">
        <v>7920</v>
      </c>
      <c r="S1417" s="335">
        <v>43830</v>
      </c>
    </row>
    <row r="1418" spans="1:19" s="51" customFormat="1" ht="31.2">
      <c r="A1418" s="107">
        <f t="shared" si="410"/>
        <v>12</v>
      </c>
      <c r="B1418" s="945" t="s">
        <v>1015</v>
      </c>
      <c r="C1418" s="118">
        <v>1964</v>
      </c>
      <c r="D1418" s="118"/>
      <c r="E1418" s="611" t="s">
        <v>218</v>
      </c>
      <c r="F1418" s="958">
        <v>2</v>
      </c>
      <c r="G1418" s="958">
        <v>1</v>
      </c>
      <c r="H1418" s="959">
        <v>303.89999999999998</v>
      </c>
      <c r="I1418" s="960">
        <v>303.89999999999998</v>
      </c>
      <c r="J1418" s="959">
        <v>209.5</v>
      </c>
      <c r="K1418" s="958">
        <v>9</v>
      </c>
      <c r="L1418" s="655">
        <f t="shared" si="414"/>
        <v>931593</v>
      </c>
      <c r="M1418" s="113">
        <v>0</v>
      </c>
      <c r="N1418" s="113">
        <v>0</v>
      </c>
      <c r="O1418" s="113">
        <v>931593</v>
      </c>
      <c r="P1418" s="113">
        <v>0</v>
      </c>
      <c r="Q1418" s="170">
        <f t="shared" si="413"/>
        <v>3065.4590325765057</v>
      </c>
      <c r="R1418" s="114">
        <v>7920</v>
      </c>
      <c r="S1418" s="335">
        <v>43830</v>
      </c>
    </row>
    <row r="1419" spans="1:19" s="1" customFormat="1" ht="31.2">
      <c r="A1419" s="107">
        <f t="shared" si="410"/>
        <v>13</v>
      </c>
      <c r="B1419" s="171" t="s">
        <v>1016</v>
      </c>
      <c r="C1419" s="172" t="s">
        <v>190</v>
      </c>
      <c r="D1419" s="171"/>
      <c r="E1419" s="611" t="s">
        <v>218</v>
      </c>
      <c r="F1419" s="958">
        <v>1</v>
      </c>
      <c r="G1419" s="958">
        <v>2</v>
      </c>
      <c r="H1419" s="959">
        <v>113.3</v>
      </c>
      <c r="I1419" s="960">
        <v>113.3</v>
      </c>
      <c r="J1419" s="959">
        <v>89.2</v>
      </c>
      <c r="K1419" s="958">
        <v>6</v>
      </c>
      <c r="L1419" s="655">
        <f t="shared" si="414"/>
        <v>741660</v>
      </c>
      <c r="M1419" s="113">
        <v>0</v>
      </c>
      <c r="N1419" s="113">
        <v>0</v>
      </c>
      <c r="O1419" s="113">
        <v>741660</v>
      </c>
      <c r="P1419" s="113">
        <v>0</v>
      </c>
      <c r="Q1419" s="170">
        <f t="shared" si="413"/>
        <v>6545.9841129744045</v>
      </c>
      <c r="R1419" s="114">
        <v>7920</v>
      </c>
      <c r="S1419" s="335">
        <v>43830</v>
      </c>
    </row>
    <row r="1420" spans="1:19" s="1" customFormat="1" ht="31.2">
      <c r="A1420" s="107">
        <f t="shared" si="410"/>
        <v>14</v>
      </c>
      <c r="B1420" s="945" t="s">
        <v>1017</v>
      </c>
      <c r="C1420" s="118">
        <v>1972</v>
      </c>
      <c r="D1420" s="118"/>
      <c r="E1420" s="611" t="s">
        <v>218</v>
      </c>
      <c r="F1420" s="958">
        <v>3</v>
      </c>
      <c r="G1420" s="958">
        <v>2</v>
      </c>
      <c r="H1420" s="959">
        <v>979.7</v>
      </c>
      <c r="I1420" s="960">
        <v>979.7</v>
      </c>
      <c r="J1420" s="959">
        <v>648</v>
      </c>
      <c r="K1420" s="958">
        <v>42</v>
      </c>
      <c r="L1420" s="655">
        <f t="shared" si="414"/>
        <v>1854480</v>
      </c>
      <c r="M1420" s="113">
        <v>0</v>
      </c>
      <c r="N1420" s="113">
        <v>0</v>
      </c>
      <c r="O1420" s="113">
        <v>1854480</v>
      </c>
      <c r="P1420" s="113">
        <v>0</v>
      </c>
      <c r="Q1420" s="170">
        <f t="shared" si="413"/>
        <v>1892.9059916300907</v>
      </c>
      <c r="R1420" s="114">
        <v>7920</v>
      </c>
      <c r="S1420" s="335">
        <v>43830</v>
      </c>
    </row>
    <row r="1421" spans="1:19" s="23" customFormat="1" ht="31.2">
      <c r="A1421" s="107">
        <f t="shared" si="410"/>
        <v>15</v>
      </c>
      <c r="B1421" s="567" t="s">
        <v>1018</v>
      </c>
      <c r="C1421" s="118">
        <v>1972</v>
      </c>
      <c r="D1421" s="118"/>
      <c r="E1421" s="611" t="s">
        <v>218</v>
      </c>
      <c r="F1421" s="958">
        <v>5</v>
      </c>
      <c r="G1421" s="958">
        <v>4</v>
      </c>
      <c r="H1421" s="959">
        <v>3178.4</v>
      </c>
      <c r="I1421" s="960">
        <v>3178.4</v>
      </c>
      <c r="J1421" s="959">
        <v>3099.9</v>
      </c>
      <c r="K1421" s="958">
        <v>121</v>
      </c>
      <c r="L1421" s="655">
        <f t="shared" si="414"/>
        <v>2161845</v>
      </c>
      <c r="M1421" s="113">
        <v>0</v>
      </c>
      <c r="N1421" s="113">
        <v>0</v>
      </c>
      <c r="O1421" s="113">
        <v>2161845</v>
      </c>
      <c r="P1421" s="113">
        <v>0</v>
      </c>
      <c r="Q1421" s="170">
        <f t="shared" si="413"/>
        <v>680.16769443745284</v>
      </c>
      <c r="R1421" s="114">
        <v>7920</v>
      </c>
      <c r="S1421" s="335">
        <v>43830</v>
      </c>
    </row>
    <row r="1422" spans="1:19" s="1" customFormat="1" ht="31.2">
      <c r="A1422" s="107">
        <f t="shared" si="410"/>
        <v>16</v>
      </c>
      <c r="B1422" s="945" t="s">
        <v>1019</v>
      </c>
      <c r="C1422" s="118">
        <v>1977</v>
      </c>
      <c r="D1422" s="118"/>
      <c r="E1422" s="611" t="s">
        <v>218</v>
      </c>
      <c r="F1422" s="958">
        <v>5</v>
      </c>
      <c r="G1422" s="958">
        <v>4</v>
      </c>
      <c r="H1422" s="959">
        <v>3147.6</v>
      </c>
      <c r="I1422" s="960">
        <v>3147.6</v>
      </c>
      <c r="J1422" s="959">
        <v>2909.5</v>
      </c>
      <c r="K1422" s="958">
        <v>112</v>
      </c>
      <c r="L1422" s="655">
        <f t="shared" si="414"/>
        <v>2157015</v>
      </c>
      <c r="M1422" s="113">
        <v>0</v>
      </c>
      <c r="N1422" s="113">
        <v>0</v>
      </c>
      <c r="O1422" s="113">
        <v>2157015</v>
      </c>
      <c r="P1422" s="113">
        <v>0</v>
      </c>
      <c r="Q1422" s="170">
        <f t="shared" si="413"/>
        <v>685.28879146016016</v>
      </c>
      <c r="R1422" s="114">
        <v>7920</v>
      </c>
      <c r="S1422" s="335">
        <v>43830</v>
      </c>
    </row>
    <row r="1423" spans="1:19" s="1" customFormat="1" ht="21.6" customHeight="1">
      <c r="A1423" s="327"/>
      <c r="B1423" s="1488" t="s">
        <v>882</v>
      </c>
      <c r="C1423" s="1488"/>
      <c r="D1423" s="1488"/>
      <c r="E1423" s="1488"/>
      <c r="F1423" s="1491"/>
      <c r="G1423" s="1491"/>
      <c r="H1423" s="976">
        <f>H1424+H1425</f>
        <v>1097.9000000000001</v>
      </c>
      <c r="I1423" s="976">
        <f t="shared" ref="I1423:P1423" si="415">I1424+I1425</f>
        <v>1097.9000000000001</v>
      </c>
      <c r="J1423" s="976">
        <f t="shared" si="415"/>
        <v>848</v>
      </c>
      <c r="K1423" s="977">
        <f t="shared" si="415"/>
        <v>43</v>
      </c>
      <c r="L1423" s="978">
        <f t="shared" si="415"/>
        <v>1917878</v>
      </c>
      <c r="M1423" s="978">
        <f t="shared" si="415"/>
        <v>0</v>
      </c>
      <c r="N1423" s="978">
        <f t="shared" si="415"/>
        <v>0</v>
      </c>
      <c r="O1423" s="978">
        <f t="shared" si="415"/>
        <v>1917878</v>
      </c>
      <c r="P1423" s="978">
        <f t="shared" si="415"/>
        <v>0</v>
      </c>
      <c r="Q1423" s="356" t="s">
        <v>40</v>
      </c>
      <c r="R1423" s="356" t="s">
        <v>40</v>
      </c>
      <c r="S1423" s="335">
        <v>43830</v>
      </c>
    </row>
    <row r="1424" spans="1:19" s="1" customFormat="1" ht="37.200000000000003" customHeight="1">
      <c r="A1424" s="327"/>
      <c r="B1424" s="979" t="s">
        <v>886</v>
      </c>
      <c r="C1424" s="980">
        <v>1968</v>
      </c>
      <c r="D1424" s="979"/>
      <c r="E1424" s="330" t="s">
        <v>218</v>
      </c>
      <c r="F1424" s="980">
        <v>2</v>
      </c>
      <c r="G1424" s="980">
        <v>2</v>
      </c>
      <c r="H1424" s="981">
        <v>581.4</v>
      </c>
      <c r="I1424" s="981">
        <v>581.4</v>
      </c>
      <c r="J1424" s="980">
        <v>532</v>
      </c>
      <c r="K1424" s="982">
        <v>21</v>
      </c>
      <c r="L1424" s="333">
        <v>1625233</v>
      </c>
      <c r="M1424" s="333">
        <v>0</v>
      </c>
      <c r="N1424" s="333">
        <v>0</v>
      </c>
      <c r="O1424" s="333">
        <v>1625233</v>
      </c>
      <c r="P1424" s="333">
        <v>0</v>
      </c>
      <c r="Q1424" s="983">
        <f t="shared" si="413"/>
        <v>2795.3783969728242</v>
      </c>
      <c r="R1424" s="334">
        <v>7920</v>
      </c>
      <c r="S1424" s="335">
        <v>43830</v>
      </c>
    </row>
    <row r="1425" spans="1:34" s="1" customFormat="1" ht="24.6" customHeight="1">
      <c r="A1425" s="327"/>
      <c r="B1425" s="979" t="s">
        <v>884</v>
      </c>
      <c r="C1425" s="980">
        <v>1948</v>
      </c>
      <c r="D1425" s="979"/>
      <c r="E1425" s="330" t="s">
        <v>221</v>
      </c>
      <c r="F1425" s="980">
        <v>2</v>
      </c>
      <c r="G1425" s="980">
        <v>2</v>
      </c>
      <c r="H1425" s="981">
        <v>516.5</v>
      </c>
      <c r="I1425" s="981">
        <v>516.5</v>
      </c>
      <c r="J1425" s="980">
        <v>316</v>
      </c>
      <c r="K1425" s="982">
        <v>22</v>
      </c>
      <c r="L1425" s="333">
        <v>292645</v>
      </c>
      <c r="M1425" s="333">
        <v>0</v>
      </c>
      <c r="N1425" s="333">
        <v>0</v>
      </c>
      <c r="O1425" s="333">
        <v>292645</v>
      </c>
      <c r="P1425" s="333">
        <v>0</v>
      </c>
      <c r="Q1425" s="983">
        <f t="shared" si="413"/>
        <v>566.59244917715387</v>
      </c>
      <c r="R1425" s="334">
        <v>7920</v>
      </c>
      <c r="S1425" s="335">
        <v>43830</v>
      </c>
    </row>
    <row r="1426" spans="1:34" s="1" customFormat="1" ht="15.6">
      <c r="A1426" s="107"/>
      <c r="B1426" s="1411" t="s">
        <v>52</v>
      </c>
      <c r="C1426" s="1411"/>
      <c r="D1426" s="1411"/>
      <c r="E1426" s="1411"/>
      <c r="F1426" s="1411"/>
      <c r="G1426" s="1411"/>
      <c r="H1426" s="128">
        <f t="shared" ref="H1426:P1426" si="416">H1430+H1427+H1432</f>
        <v>2403.5</v>
      </c>
      <c r="I1426" s="128">
        <f t="shared" si="416"/>
        <v>2340.1</v>
      </c>
      <c r="J1426" s="128">
        <f t="shared" si="416"/>
        <v>1698.8</v>
      </c>
      <c r="K1426" s="162">
        <f t="shared" si="416"/>
        <v>83</v>
      </c>
      <c r="L1426" s="113">
        <f t="shared" si="416"/>
        <v>3677572</v>
      </c>
      <c r="M1426" s="113">
        <f t="shared" si="416"/>
        <v>0</v>
      </c>
      <c r="N1426" s="113">
        <f t="shared" si="416"/>
        <v>92056</v>
      </c>
      <c r="O1426" s="113">
        <f t="shared" si="416"/>
        <v>3585516</v>
      </c>
      <c r="P1426" s="113">
        <f t="shared" si="416"/>
        <v>0</v>
      </c>
      <c r="Q1426" s="106" t="s">
        <v>40</v>
      </c>
      <c r="R1426" s="106" t="s">
        <v>40</v>
      </c>
      <c r="S1426" s="335">
        <v>43830</v>
      </c>
    </row>
    <row r="1427" spans="1:34" s="1" customFormat="1" ht="15.6">
      <c r="A1427" s="327"/>
      <c r="B1427" s="1488" t="s">
        <v>130</v>
      </c>
      <c r="C1427" s="1488"/>
      <c r="D1427" s="1488"/>
      <c r="E1427" s="1488"/>
      <c r="F1427" s="1488"/>
      <c r="G1427" s="1488"/>
      <c r="H1427" s="353">
        <f>H1428</f>
        <v>747.7</v>
      </c>
      <c r="I1427" s="353">
        <f t="shared" ref="I1427:P1427" si="417">I1428</f>
        <v>747.7</v>
      </c>
      <c r="J1427" s="353">
        <f t="shared" si="417"/>
        <v>505</v>
      </c>
      <c r="K1427" s="353">
        <f t="shared" si="417"/>
        <v>18</v>
      </c>
      <c r="L1427" s="708">
        <f t="shared" si="417"/>
        <v>2385226</v>
      </c>
      <c r="M1427" s="708">
        <f t="shared" si="417"/>
        <v>0</v>
      </c>
      <c r="N1427" s="708">
        <f t="shared" si="417"/>
        <v>0</v>
      </c>
      <c r="O1427" s="708">
        <f t="shared" si="417"/>
        <v>2385226</v>
      </c>
      <c r="P1427" s="708">
        <f t="shared" si="417"/>
        <v>0</v>
      </c>
      <c r="Q1427" s="356" t="s">
        <v>40</v>
      </c>
      <c r="R1427" s="356" t="s">
        <v>40</v>
      </c>
      <c r="S1427" s="335">
        <v>43830</v>
      </c>
    </row>
    <row r="1428" spans="1:34" s="41" customFormat="1" ht="31.2">
      <c r="A1428" s="327" t="e">
        <f>#REF!+1</f>
        <v>#REF!</v>
      </c>
      <c r="B1428" s="868" t="s">
        <v>674</v>
      </c>
      <c r="C1428" s="367">
        <v>1957</v>
      </c>
      <c r="D1428" s="367"/>
      <c r="E1428" s="330" t="s">
        <v>218</v>
      </c>
      <c r="F1428" s="367">
        <v>2</v>
      </c>
      <c r="G1428" s="367">
        <v>2</v>
      </c>
      <c r="H1428" s="367">
        <v>747.7</v>
      </c>
      <c r="I1428" s="367">
        <v>747.7</v>
      </c>
      <c r="J1428" s="367">
        <v>505</v>
      </c>
      <c r="K1428" s="367">
        <v>18</v>
      </c>
      <c r="L1428" s="333">
        <v>2385226</v>
      </c>
      <c r="M1428" s="333">
        <v>0</v>
      </c>
      <c r="N1428" s="333">
        <v>0</v>
      </c>
      <c r="O1428" s="333">
        <f>L1428</f>
        <v>2385226</v>
      </c>
      <c r="P1428" s="333">
        <v>0</v>
      </c>
      <c r="Q1428" s="334">
        <f>L1428/I1428</f>
        <v>3190.0842583924032</v>
      </c>
      <c r="R1428" s="620">
        <v>7920</v>
      </c>
      <c r="S1428" s="335">
        <v>43830</v>
      </c>
    </row>
    <row r="1429" spans="1:34" s="41" customFormat="1" ht="15.6">
      <c r="A1429" s="107"/>
      <c r="B1429" s="145"/>
      <c r="C1429" s="132"/>
      <c r="D1429" s="132"/>
      <c r="E1429" s="109"/>
      <c r="F1429" s="132"/>
      <c r="G1429" s="132"/>
      <c r="H1429" s="174"/>
      <c r="I1429" s="174"/>
      <c r="J1429" s="107"/>
      <c r="K1429" s="107"/>
      <c r="L1429" s="113"/>
      <c r="M1429" s="113"/>
      <c r="N1429" s="113"/>
      <c r="O1429" s="113"/>
      <c r="P1429" s="113"/>
      <c r="Q1429" s="114"/>
      <c r="R1429" s="115"/>
      <c r="S1429" s="335"/>
    </row>
    <row r="1430" spans="1:34" s="1" customFormat="1" ht="15.75" customHeight="1">
      <c r="A1430" s="107"/>
      <c r="B1430" s="1413" t="s">
        <v>109</v>
      </c>
      <c r="C1430" s="1413"/>
      <c r="D1430" s="1413"/>
      <c r="E1430" s="1413"/>
      <c r="F1430" s="1413"/>
      <c r="G1430" s="1413"/>
      <c r="H1430" s="128">
        <f>H1431</f>
        <v>799.3</v>
      </c>
      <c r="I1430" s="106">
        <f t="shared" ref="I1430:P1430" si="418">I1431</f>
        <v>735.9</v>
      </c>
      <c r="J1430" s="106">
        <f t="shared" si="418"/>
        <v>693.8</v>
      </c>
      <c r="K1430" s="119">
        <f t="shared" si="418"/>
        <v>32</v>
      </c>
      <c r="L1430" s="113">
        <v>201010</v>
      </c>
      <c r="M1430" s="113">
        <f t="shared" si="418"/>
        <v>0</v>
      </c>
      <c r="N1430" s="113">
        <f t="shared" si="418"/>
        <v>92056</v>
      </c>
      <c r="O1430" s="113">
        <f t="shared" si="418"/>
        <v>108954</v>
      </c>
      <c r="P1430" s="113">
        <f t="shared" si="418"/>
        <v>0</v>
      </c>
      <c r="Q1430" s="106" t="s">
        <v>40</v>
      </c>
      <c r="R1430" s="106" t="s">
        <v>40</v>
      </c>
      <c r="S1430" s="335">
        <v>43830</v>
      </c>
    </row>
    <row r="1431" spans="1:34" s="1" customFormat="1" ht="15.6">
      <c r="A1431" s="107">
        <f>A1429+1</f>
        <v>1</v>
      </c>
      <c r="B1431" s="303" t="s">
        <v>414</v>
      </c>
      <c r="C1431" s="302">
        <v>1977</v>
      </c>
      <c r="D1431" s="118"/>
      <c r="E1431" s="109" t="s">
        <v>219</v>
      </c>
      <c r="F1431" s="118">
        <v>2</v>
      </c>
      <c r="G1431" s="118">
        <v>2</v>
      </c>
      <c r="H1431" s="128">
        <v>799.3</v>
      </c>
      <c r="I1431" s="106">
        <v>735.9</v>
      </c>
      <c r="J1431" s="106">
        <v>693.8</v>
      </c>
      <c r="K1431" s="119">
        <v>32</v>
      </c>
      <c r="L1431" s="113">
        <v>201010</v>
      </c>
      <c r="M1431" s="113">
        <v>0</v>
      </c>
      <c r="N1431" s="113">
        <v>92056</v>
      </c>
      <c r="O1431" s="113">
        <v>108954</v>
      </c>
      <c r="P1431" s="113">
        <v>0</v>
      </c>
      <c r="Q1431" s="106">
        <f>L1431/I1431</f>
        <v>273.14852561489334</v>
      </c>
      <c r="R1431" s="114">
        <v>6774</v>
      </c>
      <c r="S1431" s="335">
        <v>43830</v>
      </c>
    </row>
    <row r="1432" spans="1:34" s="23" customFormat="1" ht="15.75" customHeight="1">
      <c r="A1432" s="107"/>
      <c r="B1432" s="1447" t="s">
        <v>198</v>
      </c>
      <c r="C1432" s="1447"/>
      <c r="D1432" s="1447"/>
      <c r="E1432" s="1447"/>
      <c r="F1432" s="1447"/>
      <c r="G1432" s="1447"/>
      <c r="H1432" s="128">
        <f>H1433</f>
        <v>856.5</v>
      </c>
      <c r="I1432" s="128">
        <f t="shared" ref="I1432:P1432" si="419">I1433</f>
        <v>856.5</v>
      </c>
      <c r="J1432" s="128">
        <f t="shared" si="419"/>
        <v>500</v>
      </c>
      <c r="K1432" s="175">
        <f t="shared" si="419"/>
        <v>33</v>
      </c>
      <c r="L1432" s="113">
        <f t="shared" si="419"/>
        <v>1091336</v>
      </c>
      <c r="M1432" s="113">
        <f t="shared" si="419"/>
        <v>0</v>
      </c>
      <c r="N1432" s="113">
        <f t="shared" si="419"/>
        <v>0</v>
      </c>
      <c r="O1432" s="113">
        <f t="shared" si="419"/>
        <v>1091336</v>
      </c>
      <c r="P1432" s="113">
        <f t="shared" si="419"/>
        <v>0</v>
      </c>
      <c r="Q1432" s="106" t="s">
        <v>40</v>
      </c>
      <c r="R1432" s="114" t="s">
        <v>40</v>
      </c>
      <c r="S1432" s="335">
        <v>43830</v>
      </c>
    </row>
    <row r="1433" spans="1:34" s="23" customFormat="1" ht="31.2">
      <c r="A1433" s="107">
        <f>A1431+1</f>
        <v>2</v>
      </c>
      <c r="B1433" s="300" t="s">
        <v>415</v>
      </c>
      <c r="C1433" s="302">
        <v>1982</v>
      </c>
      <c r="D1433" s="118"/>
      <c r="E1433" s="109" t="s">
        <v>218</v>
      </c>
      <c r="F1433" s="118">
        <v>2</v>
      </c>
      <c r="G1433" s="118">
        <v>3</v>
      </c>
      <c r="H1433" s="128">
        <v>856.5</v>
      </c>
      <c r="I1433" s="106">
        <v>856.5</v>
      </c>
      <c r="J1433" s="106">
        <v>500</v>
      </c>
      <c r="K1433" s="119">
        <v>33</v>
      </c>
      <c r="L1433" s="113">
        <v>1091336</v>
      </c>
      <c r="M1433" s="113">
        <v>0</v>
      </c>
      <c r="N1433" s="113">
        <v>0</v>
      </c>
      <c r="O1433" s="113">
        <f>L1433</f>
        <v>1091336</v>
      </c>
      <c r="P1433" s="113">
        <v>0</v>
      </c>
      <c r="Q1433" s="106">
        <f>L1433/I1433</f>
        <v>1274.1809690601285</v>
      </c>
      <c r="R1433" s="114">
        <v>6774</v>
      </c>
      <c r="S1433" s="335">
        <v>43830</v>
      </c>
    </row>
    <row r="1434" spans="1:34" s="1" customFormat="1" ht="15.6">
      <c r="A1434" s="107"/>
      <c r="B1434" s="1411" t="s">
        <v>53</v>
      </c>
      <c r="C1434" s="1411"/>
      <c r="D1434" s="1411"/>
      <c r="E1434" s="1411"/>
      <c r="F1434" s="1411"/>
      <c r="G1434" s="1411"/>
      <c r="H1434" s="106">
        <f>H1435+H1447+H1449+H1451+H1458+H1459+H1461</f>
        <v>73224.099999999977</v>
      </c>
      <c r="I1434" s="106">
        <f>I1435+I1447+I1449+I1451+I1458+I1459+I1461</f>
        <v>52965.799999999996</v>
      </c>
      <c r="J1434" s="106">
        <f>J1435+J1447+J1449+J1451+J1458+J1459+J1461</f>
        <v>51251.19999999999</v>
      </c>
      <c r="K1434" s="119">
        <f>K1435+K1447+K1449+K1451+K1458+K1459+K1461</f>
        <v>2435</v>
      </c>
      <c r="L1434" s="113">
        <f>L1449+L1451+L1458+L1459+L1461+L1435+L1447</f>
        <v>45386895.920000002</v>
      </c>
      <c r="M1434" s="113">
        <f>M1449+M1451+M1458+M1459+M1461+M1435+M1447</f>
        <v>0</v>
      </c>
      <c r="N1434" s="113">
        <f>N1449+N1451+N1458+N1459+N1461+N1435+N1447</f>
        <v>146321.84</v>
      </c>
      <c r="O1434" s="113">
        <f>O1449+O1451+O1458+O1459+O1461+O1435+O1447</f>
        <v>45240534.079999998</v>
      </c>
      <c r="P1434" s="113">
        <f>P1449+P1451+P1458+P1459+P1461+P1435+P1447</f>
        <v>0</v>
      </c>
      <c r="Q1434" s="106" t="s">
        <v>40</v>
      </c>
      <c r="R1434" s="106" t="s">
        <v>40</v>
      </c>
      <c r="S1434" s="335">
        <v>43830</v>
      </c>
    </row>
    <row r="1435" spans="1:34" s="1" customFormat="1" ht="21.6" customHeight="1">
      <c r="A1435" s="107"/>
      <c r="B1435" s="1411" t="s">
        <v>88</v>
      </c>
      <c r="C1435" s="1411"/>
      <c r="D1435" s="1411"/>
      <c r="E1435" s="1411"/>
      <c r="F1435" s="1454"/>
      <c r="G1435" s="1454"/>
      <c r="H1435" s="613">
        <f>SUM(H1436:H1446)</f>
        <v>56547.399999999987</v>
      </c>
      <c r="I1435" s="613">
        <f t="shared" ref="I1435:P1435" si="420">SUM(I1436:I1446)</f>
        <v>38077.199999999997</v>
      </c>
      <c r="J1435" s="613">
        <f t="shared" si="420"/>
        <v>37432.799999999996</v>
      </c>
      <c r="K1435" s="613">
        <f t="shared" si="420"/>
        <v>1705</v>
      </c>
      <c r="L1435" s="415">
        <f t="shared" si="420"/>
        <v>29036828</v>
      </c>
      <c r="M1435" s="415">
        <f t="shared" si="420"/>
        <v>0</v>
      </c>
      <c r="N1435" s="415">
        <f t="shared" si="420"/>
        <v>0</v>
      </c>
      <c r="O1435" s="415">
        <f t="shared" si="420"/>
        <v>29036828</v>
      </c>
      <c r="P1435" s="415">
        <f t="shared" si="420"/>
        <v>0</v>
      </c>
      <c r="Q1435" s="106" t="s">
        <v>40</v>
      </c>
      <c r="R1435" s="106" t="s">
        <v>40</v>
      </c>
      <c r="S1435" s="335">
        <v>43830</v>
      </c>
    </row>
    <row r="1436" spans="1:34" s="21" customFormat="1" ht="31.2">
      <c r="A1436" s="327">
        <v>1</v>
      </c>
      <c r="B1436" s="844" t="s">
        <v>756</v>
      </c>
      <c r="C1436" s="397">
        <v>1970</v>
      </c>
      <c r="D1436" s="397"/>
      <c r="E1436" s="744" t="s">
        <v>218</v>
      </c>
      <c r="F1436" s="370">
        <v>5</v>
      </c>
      <c r="G1436" s="370">
        <v>3</v>
      </c>
      <c r="H1436" s="371">
        <v>4419.3999999999996</v>
      </c>
      <c r="I1436" s="371">
        <v>2368.3000000000002</v>
      </c>
      <c r="J1436" s="371">
        <v>2251.8000000000002</v>
      </c>
      <c r="K1436" s="370">
        <v>287</v>
      </c>
      <c r="L1436" s="858">
        <v>3116315</v>
      </c>
      <c r="M1436" s="859">
        <v>0</v>
      </c>
      <c r="N1436" s="333">
        <v>0</v>
      </c>
      <c r="O1436" s="333">
        <f t="shared" ref="O1436:O1446" si="421">L1436</f>
        <v>3116315</v>
      </c>
      <c r="P1436" s="333">
        <v>0</v>
      </c>
      <c r="Q1436" s="334">
        <f t="shared" ref="Q1436:Q1446" si="422">L1436/I1436</f>
        <v>1315.8446987290461</v>
      </c>
      <c r="R1436" s="334">
        <v>7920</v>
      </c>
      <c r="S1436" s="335">
        <v>43830</v>
      </c>
    </row>
    <row r="1437" spans="1:34" s="21" customFormat="1" ht="24.6" customHeight="1">
      <c r="A1437" s="327">
        <f t="shared" si="410"/>
        <v>2</v>
      </c>
      <c r="B1437" s="844" t="s">
        <v>754</v>
      </c>
      <c r="C1437" s="397">
        <v>1974</v>
      </c>
      <c r="D1437" s="397"/>
      <c r="E1437" s="744" t="s">
        <v>219</v>
      </c>
      <c r="F1437" s="580">
        <v>5</v>
      </c>
      <c r="G1437" s="580">
        <v>8</v>
      </c>
      <c r="H1437" s="620">
        <v>4260.8999999999996</v>
      </c>
      <c r="I1437" s="620">
        <v>3791.7</v>
      </c>
      <c r="J1437" s="620">
        <v>3791.7</v>
      </c>
      <c r="K1437" s="370">
        <v>165</v>
      </c>
      <c r="L1437" s="858">
        <v>2952420</v>
      </c>
      <c r="M1437" s="859">
        <v>0</v>
      </c>
      <c r="N1437" s="333">
        <v>0</v>
      </c>
      <c r="O1437" s="333">
        <f t="shared" si="421"/>
        <v>2952420</v>
      </c>
      <c r="P1437" s="333">
        <v>0</v>
      </c>
      <c r="Q1437" s="334">
        <f t="shared" si="422"/>
        <v>778.65337447582885</v>
      </c>
      <c r="R1437" s="334">
        <v>7920</v>
      </c>
      <c r="S1437" s="335">
        <v>43830</v>
      </c>
    </row>
    <row r="1438" spans="1:34" s="21" customFormat="1" ht="24" customHeight="1">
      <c r="A1438" s="327">
        <f t="shared" si="410"/>
        <v>3</v>
      </c>
      <c r="B1438" s="844" t="s">
        <v>755</v>
      </c>
      <c r="C1438" s="397">
        <v>1974</v>
      </c>
      <c r="D1438" s="397"/>
      <c r="E1438" s="744" t="s">
        <v>219</v>
      </c>
      <c r="F1438" s="580">
        <v>5</v>
      </c>
      <c r="G1438" s="580">
        <v>8</v>
      </c>
      <c r="H1438" s="620">
        <v>4253.7</v>
      </c>
      <c r="I1438" s="620">
        <v>3784.3</v>
      </c>
      <c r="J1438" s="620">
        <v>3784.3</v>
      </c>
      <c r="K1438" s="370">
        <v>165</v>
      </c>
      <c r="L1438" s="858">
        <v>2857647</v>
      </c>
      <c r="M1438" s="859">
        <v>0</v>
      </c>
      <c r="N1438" s="333">
        <v>0</v>
      </c>
      <c r="O1438" s="333">
        <f t="shared" si="421"/>
        <v>2857647</v>
      </c>
      <c r="P1438" s="333">
        <v>0</v>
      </c>
      <c r="Q1438" s="334">
        <f t="shared" si="422"/>
        <v>755.13225695637232</v>
      </c>
      <c r="R1438" s="334">
        <v>7920</v>
      </c>
      <c r="S1438" s="335">
        <v>43830</v>
      </c>
    </row>
    <row r="1439" spans="1:34" s="21" customFormat="1" ht="31.2">
      <c r="A1439" s="327">
        <f t="shared" si="410"/>
        <v>4</v>
      </c>
      <c r="B1439" s="844" t="s">
        <v>759</v>
      </c>
      <c r="C1439" s="397">
        <v>1975</v>
      </c>
      <c r="D1439" s="397"/>
      <c r="E1439" s="744" t="s">
        <v>218</v>
      </c>
      <c r="F1439" s="580">
        <v>12</v>
      </c>
      <c r="G1439" s="580">
        <v>1</v>
      </c>
      <c r="H1439" s="620">
        <v>5393.6</v>
      </c>
      <c r="I1439" s="620">
        <v>3815.1</v>
      </c>
      <c r="J1439" s="620">
        <f>I1439-73.9</f>
        <v>3741.2</v>
      </c>
      <c r="K1439" s="370">
        <v>116</v>
      </c>
      <c r="L1439" s="371">
        <v>1532580</v>
      </c>
      <c r="M1439" s="859">
        <v>0</v>
      </c>
      <c r="N1439" s="333">
        <v>0</v>
      </c>
      <c r="O1439" s="333">
        <f t="shared" si="421"/>
        <v>1532580</v>
      </c>
      <c r="P1439" s="333">
        <v>0</v>
      </c>
      <c r="Q1439" s="334">
        <f t="shared" si="422"/>
        <v>401.71424078005822</v>
      </c>
      <c r="R1439" s="334">
        <v>7920</v>
      </c>
      <c r="S1439" s="335">
        <v>43830</v>
      </c>
    </row>
    <row r="1440" spans="1:34" s="21" customFormat="1" ht="15.6">
      <c r="A1440" s="327">
        <f t="shared" si="410"/>
        <v>5</v>
      </c>
      <c r="B1440" s="844" t="s">
        <v>760</v>
      </c>
      <c r="C1440" s="397">
        <v>1964</v>
      </c>
      <c r="D1440" s="397"/>
      <c r="E1440" s="744" t="s">
        <v>220</v>
      </c>
      <c r="F1440" s="580">
        <v>5</v>
      </c>
      <c r="G1440" s="580">
        <v>4</v>
      </c>
      <c r="H1440" s="620">
        <v>5456.4</v>
      </c>
      <c r="I1440" s="620">
        <v>3525.7</v>
      </c>
      <c r="J1440" s="620">
        <f>I1440-160.1</f>
        <v>3365.6</v>
      </c>
      <c r="K1440" s="370">
        <v>152</v>
      </c>
      <c r="L1440" s="858">
        <v>2654053</v>
      </c>
      <c r="M1440" s="859">
        <v>0</v>
      </c>
      <c r="N1440" s="333">
        <v>0</v>
      </c>
      <c r="O1440" s="333">
        <f t="shared" si="421"/>
        <v>2654053</v>
      </c>
      <c r="P1440" s="333">
        <v>0</v>
      </c>
      <c r="Q1440" s="334">
        <f t="shared" si="422"/>
        <v>752.77334997305502</v>
      </c>
      <c r="R1440" s="334">
        <v>7920</v>
      </c>
      <c r="S1440" s="335">
        <v>43830</v>
      </c>
      <c r="T1440" s="52"/>
      <c r="U1440" s="52"/>
      <c r="V1440" s="52"/>
      <c r="W1440" s="52"/>
      <c r="X1440" s="52"/>
      <c r="Y1440" s="52"/>
      <c r="Z1440" s="52"/>
      <c r="AA1440" s="52"/>
      <c r="AB1440" s="52"/>
      <c r="AC1440" s="52"/>
      <c r="AD1440" s="52"/>
      <c r="AE1440" s="52"/>
      <c r="AF1440" s="52"/>
      <c r="AG1440" s="52"/>
      <c r="AH1440" s="52"/>
    </row>
    <row r="1441" spans="1:34" s="52" customFormat="1" ht="15.6">
      <c r="A1441" s="327">
        <f t="shared" si="410"/>
        <v>6</v>
      </c>
      <c r="B1441" s="844" t="s">
        <v>761</v>
      </c>
      <c r="C1441" s="397">
        <v>1968</v>
      </c>
      <c r="D1441" s="397"/>
      <c r="E1441" s="744" t="s">
        <v>219</v>
      </c>
      <c r="F1441" s="580">
        <v>5</v>
      </c>
      <c r="G1441" s="580">
        <v>4</v>
      </c>
      <c r="H1441" s="620">
        <v>5361.8</v>
      </c>
      <c r="I1441" s="620">
        <v>3503.3</v>
      </c>
      <c r="J1441" s="620">
        <f>I1441-41</f>
        <v>3462.3</v>
      </c>
      <c r="K1441" s="370">
        <v>123</v>
      </c>
      <c r="L1441" s="858">
        <v>2653957</v>
      </c>
      <c r="M1441" s="859">
        <v>0</v>
      </c>
      <c r="N1441" s="333">
        <v>0</v>
      </c>
      <c r="O1441" s="333">
        <f t="shared" si="421"/>
        <v>2653957</v>
      </c>
      <c r="P1441" s="333">
        <v>0</v>
      </c>
      <c r="Q1441" s="334">
        <f t="shared" si="422"/>
        <v>757.5591585076927</v>
      </c>
      <c r="R1441" s="334">
        <v>7920</v>
      </c>
      <c r="S1441" s="335">
        <v>43830</v>
      </c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/>
    </row>
    <row r="1442" spans="1:34" s="21" customFormat="1" ht="15.6">
      <c r="A1442" s="327">
        <f t="shared" si="410"/>
        <v>7</v>
      </c>
      <c r="B1442" s="844" t="s">
        <v>762</v>
      </c>
      <c r="C1442" s="397">
        <v>1966</v>
      </c>
      <c r="D1442" s="397"/>
      <c r="E1442" s="744" t="s">
        <v>219</v>
      </c>
      <c r="F1442" s="580">
        <v>5</v>
      </c>
      <c r="G1442" s="580">
        <v>4</v>
      </c>
      <c r="H1442" s="620">
        <v>5498.4</v>
      </c>
      <c r="I1442" s="620">
        <v>3455.3</v>
      </c>
      <c r="J1442" s="620">
        <f>I1442-91.5</f>
        <v>3363.8</v>
      </c>
      <c r="K1442" s="370">
        <v>127</v>
      </c>
      <c r="L1442" s="858">
        <v>2653904</v>
      </c>
      <c r="M1442" s="859">
        <v>0</v>
      </c>
      <c r="N1442" s="333">
        <v>0</v>
      </c>
      <c r="O1442" s="333">
        <f t="shared" si="421"/>
        <v>2653904</v>
      </c>
      <c r="P1442" s="333">
        <v>0</v>
      </c>
      <c r="Q1442" s="334">
        <f t="shared" si="422"/>
        <v>768.06760628599534</v>
      </c>
      <c r="R1442" s="334">
        <v>7920</v>
      </c>
      <c r="S1442" s="335">
        <v>43830</v>
      </c>
    </row>
    <row r="1443" spans="1:34" s="52" customFormat="1" ht="15.6">
      <c r="A1443" s="327">
        <f t="shared" si="410"/>
        <v>8</v>
      </c>
      <c r="B1443" s="844" t="s">
        <v>763</v>
      </c>
      <c r="C1443" s="397">
        <v>1970</v>
      </c>
      <c r="D1443" s="397"/>
      <c r="E1443" s="744" t="s">
        <v>219</v>
      </c>
      <c r="F1443" s="580">
        <v>5</v>
      </c>
      <c r="G1443" s="580">
        <v>4</v>
      </c>
      <c r="H1443" s="620">
        <v>5402.7</v>
      </c>
      <c r="I1443" s="620">
        <v>3457.6</v>
      </c>
      <c r="J1443" s="620">
        <f>I1443-77.1</f>
        <v>3380.5</v>
      </c>
      <c r="K1443" s="370">
        <v>159</v>
      </c>
      <c r="L1443" s="858">
        <v>2653979</v>
      </c>
      <c r="M1443" s="859">
        <v>0</v>
      </c>
      <c r="N1443" s="333">
        <v>0</v>
      </c>
      <c r="O1443" s="333">
        <f t="shared" si="421"/>
        <v>2653979</v>
      </c>
      <c r="P1443" s="333">
        <v>0</v>
      </c>
      <c r="Q1443" s="334">
        <f t="shared" si="422"/>
        <v>767.57837806571035</v>
      </c>
      <c r="R1443" s="334">
        <v>7920</v>
      </c>
      <c r="S1443" s="335">
        <v>43830</v>
      </c>
    </row>
    <row r="1444" spans="1:34" s="21" customFormat="1" ht="15.6">
      <c r="A1444" s="327">
        <f t="shared" si="410"/>
        <v>9</v>
      </c>
      <c r="B1444" s="844" t="s">
        <v>764</v>
      </c>
      <c r="C1444" s="397">
        <v>1966</v>
      </c>
      <c r="D1444" s="397"/>
      <c r="E1444" s="744" t="s">
        <v>220</v>
      </c>
      <c r="F1444" s="580">
        <v>5</v>
      </c>
      <c r="G1444" s="580">
        <v>4</v>
      </c>
      <c r="H1444" s="620">
        <v>5532.6</v>
      </c>
      <c r="I1444" s="620">
        <v>3527</v>
      </c>
      <c r="J1444" s="620">
        <f>I1444-43</f>
        <v>3484</v>
      </c>
      <c r="K1444" s="370">
        <v>144</v>
      </c>
      <c r="L1444" s="858">
        <v>2654063</v>
      </c>
      <c r="M1444" s="859">
        <v>0</v>
      </c>
      <c r="N1444" s="333">
        <v>0</v>
      </c>
      <c r="O1444" s="333">
        <f t="shared" si="421"/>
        <v>2654063</v>
      </c>
      <c r="P1444" s="333">
        <v>0</v>
      </c>
      <c r="Q1444" s="334">
        <f t="shared" si="422"/>
        <v>752.49872412815421</v>
      </c>
      <c r="R1444" s="334">
        <v>7920</v>
      </c>
      <c r="S1444" s="335">
        <v>43830</v>
      </c>
    </row>
    <row r="1445" spans="1:34" s="21" customFormat="1" ht="21.6" customHeight="1">
      <c r="A1445" s="327">
        <v>10</v>
      </c>
      <c r="B1445" s="844" t="s">
        <v>765</v>
      </c>
      <c r="C1445" s="397">
        <v>1965</v>
      </c>
      <c r="D1445" s="397"/>
      <c r="E1445" s="744" t="s">
        <v>219</v>
      </c>
      <c r="F1445" s="580">
        <v>5</v>
      </c>
      <c r="G1445" s="580">
        <v>4</v>
      </c>
      <c r="H1445" s="620">
        <v>5561.7</v>
      </c>
      <c r="I1445" s="620">
        <v>3463.1</v>
      </c>
      <c r="J1445" s="620">
        <f>I1445</f>
        <v>3463.1</v>
      </c>
      <c r="K1445" s="370">
        <v>144</v>
      </c>
      <c r="L1445" s="858">
        <v>2653996</v>
      </c>
      <c r="M1445" s="859">
        <v>0</v>
      </c>
      <c r="N1445" s="333">
        <v>0</v>
      </c>
      <c r="O1445" s="333">
        <f t="shared" si="421"/>
        <v>2653996</v>
      </c>
      <c r="P1445" s="333">
        <v>0</v>
      </c>
      <c r="Q1445" s="334">
        <f t="shared" si="422"/>
        <v>766.36424013167391</v>
      </c>
      <c r="R1445" s="334">
        <v>7920</v>
      </c>
      <c r="S1445" s="335">
        <v>43830</v>
      </c>
    </row>
    <row r="1446" spans="1:34" s="21" customFormat="1" ht="20.399999999999999" customHeight="1">
      <c r="A1446" s="327">
        <v>11</v>
      </c>
      <c r="B1446" s="844" t="s">
        <v>766</v>
      </c>
      <c r="C1446" s="397">
        <v>1966</v>
      </c>
      <c r="D1446" s="397"/>
      <c r="E1446" s="744" t="s">
        <v>219</v>
      </c>
      <c r="F1446" s="580">
        <v>5</v>
      </c>
      <c r="G1446" s="580">
        <v>4</v>
      </c>
      <c r="H1446" s="620">
        <v>5406.2</v>
      </c>
      <c r="I1446" s="620">
        <v>3385.8</v>
      </c>
      <c r="J1446" s="620">
        <f>I1446-41.3</f>
        <v>3344.5</v>
      </c>
      <c r="K1446" s="370">
        <v>123</v>
      </c>
      <c r="L1446" s="858">
        <v>2653914</v>
      </c>
      <c r="M1446" s="859">
        <v>0</v>
      </c>
      <c r="N1446" s="333">
        <v>0</v>
      </c>
      <c r="O1446" s="333">
        <f t="shared" si="421"/>
        <v>2653914</v>
      </c>
      <c r="P1446" s="333">
        <v>0</v>
      </c>
      <c r="Q1446" s="334">
        <f t="shared" si="422"/>
        <v>783.83661173134851</v>
      </c>
      <c r="R1446" s="334">
        <v>7920</v>
      </c>
      <c r="S1446" s="335">
        <v>43830</v>
      </c>
    </row>
    <row r="1447" spans="1:34" s="21" customFormat="1" ht="15.75" customHeight="1">
      <c r="A1447" s="107"/>
      <c r="B1447" s="1423" t="s">
        <v>132</v>
      </c>
      <c r="C1447" s="1423"/>
      <c r="D1447" s="1423"/>
      <c r="E1447" s="1423"/>
      <c r="F1447" s="1423"/>
      <c r="G1447" s="1423"/>
      <c r="H1447" s="117">
        <f>H1448</f>
        <v>834</v>
      </c>
      <c r="I1447" s="117">
        <f t="shared" ref="I1447:P1447" si="423">I1448</f>
        <v>756.7</v>
      </c>
      <c r="J1447" s="117">
        <f t="shared" si="423"/>
        <v>756.7</v>
      </c>
      <c r="K1447" s="155">
        <f t="shared" si="423"/>
        <v>47</v>
      </c>
      <c r="L1447" s="113">
        <f t="shared" si="423"/>
        <v>1854126</v>
      </c>
      <c r="M1447" s="113">
        <f t="shared" si="423"/>
        <v>0</v>
      </c>
      <c r="N1447" s="113">
        <f t="shared" si="423"/>
        <v>0</v>
      </c>
      <c r="O1447" s="113">
        <f t="shared" si="423"/>
        <v>1854126</v>
      </c>
      <c r="P1447" s="113">
        <f t="shared" si="423"/>
        <v>0</v>
      </c>
      <c r="Q1447" s="114" t="s">
        <v>40</v>
      </c>
      <c r="R1447" s="114" t="s">
        <v>40</v>
      </c>
      <c r="S1447" s="335">
        <v>43830</v>
      </c>
    </row>
    <row r="1448" spans="1:34" s="21" customFormat="1" ht="31.2">
      <c r="A1448" s="327" t="e">
        <f>#REF!+1</f>
        <v>#REF!</v>
      </c>
      <c r="B1448" s="844" t="s">
        <v>702</v>
      </c>
      <c r="C1448" s="397">
        <v>1968</v>
      </c>
      <c r="D1448" s="397"/>
      <c r="E1448" s="330" t="s">
        <v>218</v>
      </c>
      <c r="F1448" s="397">
        <v>2</v>
      </c>
      <c r="G1448" s="397">
        <v>3</v>
      </c>
      <c r="H1448" s="574">
        <v>834</v>
      </c>
      <c r="I1448" s="574">
        <v>756.7</v>
      </c>
      <c r="J1448" s="574">
        <v>756.7</v>
      </c>
      <c r="K1448" s="597">
        <v>47</v>
      </c>
      <c r="L1448" s="333">
        <v>1854126</v>
      </c>
      <c r="M1448" s="333">
        <v>0</v>
      </c>
      <c r="N1448" s="333">
        <v>0</v>
      </c>
      <c r="O1448" s="333">
        <f>L1448</f>
        <v>1854126</v>
      </c>
      <c r="P1448" s="333">
        <v>0</v>
      </c>
      <c r="Q1448" s="334">
        <f>L1448/I1448</f>
        <v>2450.2788423417469</v>
      </c>
      <c r="R1448" s="334">
        <v>7920</v>
      </c>
      <c r="S1448" s="335">
        <v>43830</v>
      </c>
    </row>
    <row r="1449" spans="1:34" s="1" customFormat="1" ht="15.75" customHeight="1">
      <c r="A1449" s="107"/>
      <c r="B1449" s="1413" t="s">
        <v>110</v>
      </c>
      <c r="C1449" s="1413"/>
      <c r="D1449" s="1413"/>
      <c r="E1449" s="1413"/>
      <c r="F1449" s="1413"/>
      <c r="G1449" s="1413"/>
      <c r="H1449" s="128">
        <f t="shared" ref="H1449:O1449" si="424">SUM(H1450:H1450)</f>
        <v>1394.2</v>
      </c>
      <c r="I1449" s="106">
        <f t="shared" si="424"/>
        <v>990.2</v>
      </c>
      <c r="J1449" s="106">
        <f t="shared" si="424"/>
        <v>764.2</v>
      </c>
      <c r="K1449" s="119">
        <f t="shared" si="424"/>
        <v>60</v>
      </c>
      <c r="L1449" s="113">
        <f t="shared" si="424"/>
        <v>2569441</v>
      </c>
      <c r="M1449" s="113">
        <f t="shared" si="424"/>
        <v>0</v>
      </c>
      <c r="N1449" s="113">
        <f t="shared" si="424"/>
        <v>0</v>
      </c>
      <c r="O1449" s="113">
        <f t="shared" si="424"/>
        <v>2569441</v>
      </c>
      <c r="P1449" s="113">
        <v>0</v>
      </c>
      <c r="Q1449" s="106" t="s">
        <v>40</v>
      </c>
      <c r="R1449" s="106" t="s">
        <v>40</v>
      </c>
      <c r="S1449" s="335">
        <v>43830</v>
      </c>
    </row>
    <row r="1450" spans="1:34" s="1" customFormat="1" ht="15.6">
      <c r="A1450" s="327" t="e">
        <f>A1448+1</f>
        <v>#REF!</v>
      </c>
      <c r="B1450" s="328" t="s">
        <v>477</v>
      </c>
      <c r="C1450" s="327">
        <v>1965</v>
      </c>
      <c r="D1450" s="329"/>
      <c r="E1450" s="330" t="s">
        <v>473</v>
      </c>
      <c r="F1450" s="329">
        <v>3</v>
      </c>
      <c r="G1450" s="329">
        <v>3</v>
      </c>
      <c r="H1450" s="331">
        <v>1394.2</v>
      </c>
      <c r="I1450" s="329">
        <v>990.2</v>
      </c>
      <c r="J1450" s="329">
        <v>764.2</v>
      </c>
      <c r="K1450" s="332">
        <v>60</v>
      </c>
      <c r="L1450" s="333">
        <v>2569441</v>
      </c>
      <c r="M1450" s="333">
        <v>0</v>
      </c>
      <c r="N1450" s="333">
        <v>0</v>
      </c>
      <c r="O1450" s="333">
        <v>2569441</v>
      </c>
      <c r="P1450" s="333">
        <v>0</v>
      </c>
      <c r="Q1450" s="334">
        <f>L1450/I1450</f>
        <v>2594.8707331852152</v>
      </c>
      <c r="R1450" s="334">
        <v>7920</v>
      </c>
      <c r="S1450" s="335">
        <v>43830</v>
      </c>
    </row>
    <row r="1451" spans="1:34" s="1" customFormat="1" ht="15.75" customHeight="1">
      <c r="A1451" s="327"/>
      <c r="B1451" s="1483" t="s">
        <v>128</v>
      </c>
      <c r="C1451" s="1483"/>
      <c r="D1451" s="1483"/>
      <c r="E1451" s="1483"/>
      <c r="F1451" s="1484"/>
      <c r="G1451" s="1484"/>
      <c r="H1451" s="811">
        <f>H1452+H1453+H1454</f>
        <v>12875.8</v>
      </c>
      <c r="I1451" s="811">
        <f t="shared" ref="I1451:P1451" si="425">I1452+I1453+I1454</f>
        <v>11648.4</v>
      </c>
      <c r="J1451" s="811">
        <f t="shared" si="425"/>
        <v>11035.6</v>
      </c>
      <c r="K1451" s="811">
        <f t="shared" si="425"/>
        <v>521</v>
      </c>
      <c r="L1451" s="812">
        <f t="shared" si="425"/>
        <v>9681670</v>
      </c>
      <c r="M1451" s="812">
        <f t="shared" si="425"/>
        <v>0</v>
      </c>
      <c r="N1451" s="812">
        <f t="shared" si="425"/>
        <v>0</v>
      </c>
      <c r="O1451" s="812">
        <f t="shared" si="425"/>
        <v>9681670</v>
      </c>
      <c r="P1451" s="812">
        <f t="shared" si="425"/>
        <v>0</v>
      </c>
      <c r="Q1451" s="811" t="s">
        <v>40</v>
      </c>
      <c r="R1451" s="334" t="s">
        <v>40</v>
      </c>
      <c r="S1451" s="335">
        <v>43830</v>
      </c>
    </row>
    <row r="1452" spans="1:34" s="59" customFormat="1" ht="38.4" customHeight="1">
      <c r="A1452" s="327"/>
      <c r="B1452" s="338" t="s">
        <v>729</v>
      </c>
      <c r="C1452" s="327">
        <v>1970</v>
      </c>
      <c r="D1452" s="329"/>
      <c r="E1452" s="744" t="s">
        <v>218</v>
      </c>
      <c r="F1452" s="813">
        <v>5</v>
      </c>
      <c r="G1452" s="813">
        <v>4</v>
      </c>
      <c r="H1452" s="814">
        <v>3164</v>
      </c>
      <c r="I1452" s="815">
        <v>2892</v>
      </c>
      <c r="J1452" s="814">
        <v>2892</v>
      </c>
      <c r="K1452" s="813">
        <v>107</v>
      </c>
      <c r="L1452" s="816">
        <v>2026223</v>
      </c>
      <c r="M1452" s="816">
        <v>0</v>
      </c>
      <c r="N1452" s="816">
        <v>0</v>
      </c>
      <c r="O1452" s="816">
        <f>L1452</f>
        <v>2026223</v>
      </c>
      <c r="P1452" s="816">
        <v>0</v>
      </c>
      <c r="Q1452" s="817">
        <f t="shared" ref="Q1452:Q1454" si="426">L1452/I1452</f>
        <v>700.63035961272476</v>
      </c>
      <c r="R1452" s="818">
        <v>7920</v>
      </c>
      <c r="S1452" s="335">
        <v>43830</v>
      </c>
    </row>
    <row r="1453" spans="1:34" s="59" customFormat="1" ht="31.2">
      <c r="A1453" s="327"/>
      <c r="B1453" s="338" t="s">
        <v>730</v>
      </c>
      <c r="C1453" s="327">
        <v>1982</v>
      </c>
      <c r="D1453" s="329"/>
      <c r="E1453" s="744" t="s">
        <v>218</v>
      </c>
      <c r="F1453" s="813">
        <v>5</v>
      </c>
      <c r="G1453" s="813">
        <v>7</v>
      </c>
      <c r="H1453" s="814">
        <v>5381</v>
      </c>
      <c r="I1453" s="815">
        <v>4862.3999999999996</v>
      </c>
      <c r="J1453" s="814">
        <v>4530.6000000000004</v>
      </c>
      <c r="K1453" s="813">
        <v>245</v>
      </c>
      <c r="L1453" s="816">
        <v>4351244</v>
      </c>
      <c r="M1453" s="816">
        <v>0</v>
      </c>
      <c r="N1453" s="816">
        <v>0</v>
      </c>
      <c r="O1453" s="816">
        <f t="shared" ref="O1453:O1454" si="427">L1453</f>
        <v>4351244</v>
      </c>
      <c r="P1453" s="816">
        <v>0</v>
      </c>
      <c r="Q1453" s="817">
        <f t="shared" si="426"/>
        <v>894.87578150707475</v>
      </c>
      <c r="R1453" s="818">
        <v>7920</v>
      </c>
      <c r="S1453" s="335">
        <v>43830</v>
      </c>
    </row>
    <row r="1454" spans="1:34" s="59" customFormat="1" ht="31.2">
      <c r="A1454" s="327"/>
      <c r="B1454" s="338" t="s">
        <v>731</v>
      </c>
      <c r="C1454" s="327">
        <v>1982</v>
      </c>
      <c r="D1454" s="329"/>
      <c r="E1454" s="744" t="s">
        <v>218</v>
      </c>
      <c r="F1454" s="813">
        <v>5</v>
      </c>
      <c r="G1454" s="813">
        <v>6</v>
      </c>
      <c r="H1454" s="814">
        <v>4330.8</v>
      </c>
      <c r="I1454" s="815">
        <v>3894</v>
      </c>
      <c r="J1454" s="814">
        <v>3613</v>
      </c>
      <c r="K1454" s="813">
        <v>169</v>
      </c>
      <c r="L1454" s="816">
        <v>3304203</v>
      </c>
      <c r="M1454" s="816">
        <v>0</v>
      </c>
      <c r="N1454" s="816">
        <v>0</v>
      </c>
      <c r="O1454" s="816">
        <f t="shared" si="427"/>
        <v>3304203</v>
      </c>
      <c r="P1454" s="816">
        <v>0</v>
      </c>
      <c r="Q1454" s="817">
        <f t="shared" si="426"/>
        <v>848.53697996918334</v>
      </c>
      <c r="R1454" s="818">
        <v>7920</v>
      </c>
      <c r="S1454" s="335">
        <v>43830</v>
      </c>
    </row>
    <row r="1455" spans="1:34" s="59" customFormat="1" ht="15.6">
      <c r="A1455" s="327"/>
      <c r="B1455" s="338"/>
      <c r="C1455" s="327"/>
      <c r="D1455" s="329"/>
      <c r="E1455" s="330"/>
      <c r="F1455" s="636"/>
      <c r="G1455" s="636"/>
      <c r="H1455" s="636"/>
      <c r="I1455" s="637"/>
      <c r="J1455" s="636"/>
      <c r="K1455" s="636"/>
      <c r="L1455" s="625"/>
      <c r="M1455" s="625"/>
      <c r="N1455" s="625"/>
      <c r="O1455" s="625"/>
      <c r="P1455" s="625"/>
      <c r="Q1455" s="626"/>
      <c r="R1455" s="334"/>
      <c r="S1455" s="335"/>
    </row>
    <row r="1456" spans="1:34" s="59" customFormat="1" ht="15.6">
      <c r="A1456" s="327"/>
      <c r="B1456" s="338"/>
      <c r="C1456" s="327"/>
      <c r="D1456" s="329"/>
      <c r="E1456" s="330"/>
      <c r="F1456" s="329"/>
      <c r="G1456" s="329"/>
      <c r="H1456" s="329"/>
      <c r="I1456" s="352"/>
      <c r="J1456" s="329"/>
      <c r="K1456" s="329"/>
      <c r="L1456" s="333"/>
      <c r="M1456" s="333"/>
      <c r="N1456" s="333"/>
      <c r="O1456" s="333"/>
      <c r="P1456" s="333"/>
      <c r="Q1456" s="334"/>
      <c r="R1456" s="334"/>
      <c r="S1456" s="335"/>
    </row>
    <row r="1457" spans="1:19" s="59" customFormat="1" ht="15.6">
      <c r="A1457" s="327"/>
      <c r="B1457" s="338"/>
      <c r="C1457" s="327"/>
      <c r="D1457" s="329"/>
      <c r="E1457" s="330"/>
      <c r="F1457" s="329"/>
      <c r="G1457" s="329"/>
      <c r="H1457" s="329"/>
      <c r="I1457" s="352"/>
      <c r="J1457" s="329"/>
      <c r="K1457" s="329"/>
      <c r="L1457" s="333"/>
      <c r="M1457" s="333"/>
      <c r="N1457" s="333"/>
      <c r="O1457" s="333"/>
      <c r="P1457" s="333"/>
      <c r="Q1457" s="334"/>
      <c r="R1457" s="334"/>
      <c r="S1457" s="335"/>
    </row>
    <row r="1458" spans="1:19" s="1" customFormat="1" ht="29.4" customHeight="1">
      <c r="A1458" s="107"/>
      <c r="B1458" s="1411" t="s">
        <v>994</v>
      </c>
      <c r="C1458" s="1411"/>
      <c r="D1458" s="1411"/>
      <c r="E1458" s="1411"/>
      <c r="F1458" s="1411"/>
      <c r="G1458" s="1411"/>
      <c r="H1458" s="128">
        <v>0</v>
      </c>
      <c r="I1458" s="106">
        <v>0</v>
      </c>
      <c r="J1458" s="106">
        <v>0</v>
      </c>
      <c r="K1458" s="119">
        <v>0</v>
      </c>
      <c r="L1458" s="113">
        <v>0</v>
      </c>
      <c r="M1458" s="113">
        <v>0</v>
      </c>
      <c r="N1458" s="113">
        <v>0</v>
      </c>
      <c r="O1458" s="113">
        <v>0</v>
      </c>
      <c r="P1458" s="113">
        <v>0</v>
      </c>
      <c r="Q1458" s="106" t="s">
        <v>40</v>
      </c>
      <c r="R1458" s="114" t="s">
        <v>40</v>
      </c>
      <c r="S1458" s="335">
        <v>43830</v>
      </c>
    </row>
    <row r="1459" spans="1:19" s="1" customFormat="1" ht="15.75" customHeight="1">
      <c r="A1459" s="107"/>
      <c r="B1459" s="1413" t="s">
        <v>111</v>
      </c>
      <c r="C1459" s="1413"/>
      <c r="D1459" s="1413"/>
      <c r="E1459" s="1413"/>
      <c r="F1459" s="1413"/>
      <c r="G1459" s="1413"/>
      <c r="H1459" s="128">
        <f>H1460</f>
        <v>533.5</v>
      </c>
      <c r="I1459" s="128">
        <f t="shared" ref="I1459:J1459" si="428">I1460</f>
        <v>525.5</v>
      </c>
      <c r="J1459" s="128">
        <f t="shared" si="428"/>
        <v>294.10000000000002</v>
      </c>
      <c r="K1459" s="119">
        <f>K1460</f>
        <v>54</v>
      </c>
      <c r="L1459" s="113">
        <f>L1460</f>
        <v>657835.92000000004</v>
      </c>
      <c r="M1459" s="113">
        <f t="shared" ref="M1459:P1459" si="429">M1460</f>
        <v>0</v>
      </c>
      <c r="N1459" s="113">
        <f t="shared" si="429"/>
        <v>146321.84</v>
      </c>
      <c r="O1459" s="113">
        <f t="shared" si="429"/>
        <v>511514.08</v>
      </c>
      <c r="P1459" s="113">
        <f t="shared" si="429"/>
        <v>0</v>
      </c>
      <c r="Q1459" s="106" t="s">
        <v>40</v>
      </c>
      <c r="R1459" s="106" t="s">
        <v>40</v>
      </c>
      <c r="S1459" s="335">
        <v>43830</v>
      </c>
    </row>
    <row r="1460" spans="1:19" s="1" customFormat="1" ht="31.2">
      <c r="A1460" s="107" t="e">
        <f>#REF!+1</f>
        <v>#REF!</v>
      </c>
      <c r="B1460" s="303" t="s">
        <v>420</v>
      </c>
      <c r="C1460" s="302">
        <v>1967</v>
      </c>
      <c r="D1460" s="304"/>
      <c r="E1460" s="109" t="s">
        <v>218</v>
      </c>
      <c r="F1460" s="118">
        <v>2</v>
      </c>
      <c r="G1460" s="118">
        <v>2</v>
      </c>
      <c r="H1460" s="128">
        <v>533.5</v>
      </c>
      <c r="I1460" s="106">
        <v>525.5</v>
      </c>
      <c r="J1460" s="106">
        <v>294.10000000000002</v>
      </c>
      <c r="K1460" s="119">
        <v>54</v>
      </c>
      <c r="L1460" s="113">
        <v>657835.92000000004</v>
      </c>
      <c r="M1460" s="113">
        <v>0</v>
      </c>
      <c r="N1460" s="113">
        <v>146321.84</v>
      </c>
      <c r="O1460" s="113">
        <v>511514.08</v>
      </c>
      <c r="P1460" s="113">
        <v>0</v>
      </c>
      <c r="Q1460" s="106">
        <f>L1459/I1460</f>
        <v>1251.828582302569</v>
      </c>
      <c r="R1460" s="114">
        <v>6774</v>
      </c>
      <c r="S1460" s="335">
        <v>43830</v>
      </c>
    </row>
    <row r="1461" spans="1:19" s="1" customFormat="1" ht="15.6">
      <c r="A1461" s="327"/>
      <c r="B1461" s="1488" t="s">
        <v>129</v>
      </c>
      <c r="C1461" s="1488"/>
      <c r="D1461" s="1488"/>
      <c r="E1461" s="1488"/>
      <c r="F1461" s="1488"/>
      <c r="G1461" s="1488"/>
      <c r="H1461" s="353">
        <f>H1462</f>
        <v>1039.2</v>
      </c>
      <c r="I1461" s="353">
        <f t="shared" ref="I1461:P1461" si="430">I1462</f>
        <v>967.8</v>
      </c>
      <c r="J1461" s="353">
        <f t="shared" si="430"/>
        <v>967.8</v>
      </c>
      <c r="K1461" s="353">
        <f t="shared" si="430"/>
        <v>48</v>
      </c>
      <c r="L1461" s="708">
        <f t="shared" si="430"/>
        <v>1586995</v>
      </c>
      <c r="M1461" s="708">
        <f t="shared" si="430"/>
        <v>0</v>
      </c>
      <c r="N1461" s="708">
        <f t="shared" si="430"/>
        <v>0</v>
      </c>
      <c r="O1461" s="708">
        <f t="shared" si="430"/>
        <v>1586955</v>
      </c>
      <c r="P1461" s="708">
        <f t="shared" si="430"/>
        <v>0</v>
      </c>
      <c r="Q1461" s="356" t="s">
        <v>40</v>
      </c>
      <c r="R1461" s="334" t="s">
        <v>40</v>
      </c>
      <c r="S1461" s="335">
        <v>43830</v>
      </c>
    </row>
    <row r="1462" spans="1:19" s="59" customFormat="1" ht="31.2">
      <c r="A1462" s="327" t="e">
        <f>A1460+1</f>
        <v>#REF!</v>
      </c>
      <c r="B1462" s="338" t="s">
        <v>683</v>
      </c>
      <c r="C1462" s="329"/>
      <c r="D1462" s="329"/>
      <c r="E1462" s="330" t="s">
        <v>218</v>
      </c>
      <c r="F1462" s="329">
        <v>3</v>
      </c>
      <c r="G1462" s="329">
        <v>2</v>
      </c>
      <c r="H1462" s="327">
        <v>1039.2</v>
      </c>
      <c r="I1462" s="329">
        <v>967.8</v>
      </c>
      <c r="J1462" s="329">
        <v>967.8</v>
      </c>
      <c r="K1462" s="329">
        <v>48</v>
      </c>
      <c r="L1462" s="333">
        <v>1586995</v>
      </c>
      <c r="M1462" s="333">
        <v>0</v>
      </c>
      <c r="N1462" s="333">
        <v>0</v>
      </c>
      <c r="O1462" s="333">
        <v>1586955</v>
      </c>
      <c r="P1462" s="333">
        <v>0</v>
      </c>
      <c r="Q1462" s="334">
        <f>L1462/I1462</f>
        <v>1639.7964455466006</v>
      </c>
      <c r="R1462" s="334">
        <v>7920</v>
      </c>
      <c r="S1462" s="335">
        <v>43830</v>
      </c>
    </row>
    <row r="1463" spans="1:19" s="59" customFormat="1" ht="15.6">
      <c r="A1463" s="327"/>
      <c r="B1463" s="338"/>
      <c r="C1463" s="329"/>
      <c r="D1463" s="329"/>
      <c r="E1463" s="330"/>
      <c r="F1463" s="329"/>
      <c r="G1463" s="329"/>
      <c r="H1463" s="329"/>
      <c r="I1463" s="329"/>
      <c r="J1463" s="329"/>
      <c r="K1463" s="329"/>
      <c r="L1463" s="333"/>
      <c r="M1463" s="333"/>
      <c r="N1463" s="333"/>
      <c r="O1463" s="333"/>
      <c r="P1463" s="333"/>
      <c r="Q1463" s="334"/>
      <c r="R1463" s="334"/>
      <c r="S1463" s="335"/>
    </row>
    <row r="1464" spans="1:19" s="59" customFormat="1" ht="15.6">
      <c r="A1464" s="327"/>
      <c r="B1464" s="338"/>
      <c r="C1464" s="329"/>
      <c r="D1464" s="329"/>
      <c r="E1464" s="330"/>
      <c r="F1464" s="329"/>
      <c r="G1464" s="329"/>
      <c r="H1464" s="329"/>
      <c r="I1464" s="329"/>
      <c r="J1464" s="329"/>
      <c r="K1464" s="329"/>
      <c r="L1464" s="333"/>
      <c r="M1464" s="333"/>
      <c r="N1464" s="333"/>
      <c r="O1464" s="333"/>
      <c r="P1464" s="333"/>
      <c r="Q1464" s="334"/>
      <c r="R1464" s="334"/>
      <c r="S1464" s="335"/>
    </row>
    <row r="1465" spans="1:19" s="59" customFormat="1" ht="15.6">
      <c r="A1465" s="327"/>
      <c r="B1465" s="338"/>
      <c r="C1465" s="329"/>
      <c r="D1465" s="329"/>
      <c r="E1465" s="330"/>
      <c r="F1465" s="329"/>
      <c r="G1465" s="329"/>
      <c r="H1465" s="329"/>
      <c r="I1465" s="329"/>
      <c r="J1465" s="329"/>
      <c r="K1465" s="329"/>
      <c r="L1465" s="333"/>
      <c r="M1465" s="333"/>
      <c r="N1465" s="333"/>
      <c r="O1465" s="333"/>
      <c r="P1465" s="333"/>
      <c r="Q1465" s="334"/>
      <c r="R1465" s="334"/>
      <c r="S1465" s="335"/>
    </row>
    <row r="1466" spans="1:19" s="1" customFormat="1" ht="15.6">
      <c r="A1466" s="107"/>
      <c r="B1466" s="1411" t="s">
        <v>54</v>
      </c>
      <c r="C1466" s="1411"/>
      <c r="D1466" s="1411"/>
      <c r="E1466" s="1411"/>
      <c r="F1466" s="1411"/>
      <c r="G1466" s="1411"/>
      <c r="H1466" s="128">
        <f>H1467</f>
        <v>1983</v>
      </c>
      <c r="I1466" s="106">
        <f t="shared" ref="I1466:P1466" si="431">I1467</f>
        <v>1780.1</v>
      </c>
      <c r="J1466" s="106">
        <f t="shared" si="431"/>
        <v>1780.1</v>
      </c>
      <c r="K1466" s="119">
        <f t="shared" si="431"/>
        <v>80</v>
      </c>
      <c r="L1466" s="113">
        <f t="shared" si="431"/>
        <v>2222747</v>
      </c>
      <c r="M1466" s="113">
        <f t="shared" si="431"/>
        <v>0</v>
      </c>
      <c r="N1466" s="113">
        <f t="shared" si="431"/>
        <v>0</v>
      </c>
      <c r="O1466" s="113">
        <f t="shared" si="431"/>
        <v>2222747</v>
      </c>
      <c r="P1466" s="113">
        <f t="shared" si="431"/>
        <v>0</v>
      </c>
      <c r="Q1466" s="106" t="s">
        <v>40</v>
      </c>
      <c r="R1466" s="106" t="s">
        <v>40</v>
      </c>
      <c r="S1466" s="335">
        <v>43830</v>
      </c>
    </row>
    <row r="1467" spans="1:19" s="1" customFormat="1" ht="15.75" customHeight="1">
      <c r="A1467" s="107"/>
      <c r="B1467" s="1413" t="s">
        <v>112</v>
      </c>
      <c r="C1467" s="1413"/>
      <c r="D1467" s="1413"/>
      <c r="E1467" s="1413"/>
      <c r="F1467" s="1413"/>
      <c r="G1467" s="1413"/>
      <c r="H1467" s="128">
        <f>SUM(H1468:H1470)</f>
        <v>1983</v>
      </c>
      <c r="I1467" s="106">
        <f t="shared" ref="I1467:P1467" si="432">SUM(I1468:I1470)</f>
        <v>1780.1</v>
      </c>
      <c r="J1467" s="106">
        <f t="shared" si="432"/>
        <v>1780.1</v>
      </c>
      <c r="K1467" s="119">
        <f t="shared" si="432"/>
        <v>80</v>
      </c>
      <c r="L1467" s="113">
        <f t="shared" si="432"/>
        <v>2222747</v>
      </c>
      <c r="M1467" s="113">
        <f t="shared" si="432"/>
        <v>0</v>
      </c>
      <c r="N1467" s="113">
        <f t="shared" si="432"/>
        <v>0</v>
      </c>
      <c r="O1467" s="113">
        <f t="shared" si="432"/>
        <v>2222747</v>
      </c>
      <c r="P1467" s="113">
        <f t="shared" si="432"/>
        <v>0</v>
      </c>
      <c r="Q1467" s="106" t="s">
        <v>40</v>
      </c>
      <c r="R1467" s="106" t="s">
        <v>40</v>
      </c>
      <c r="S1467" s="335">
        <v>43830</v>
      </c>
    </row>
    <row r="1468" spans="1:19" s="35" customFormat="1" ht="31.2">
      <c r="A1468" s="107">
        <f>A1465+1</f>
        <v>1</v>
      </c>
      <c r="B1468" s="301" t="s">
        <v>422</v>
      </c>
      <c r="C1468" s="107">
        <v>1972</v>
      </c>
      <c r="D1468" s="173"/>
      <c r="E1468" s="109" t="s">
        <v>218</v>
      </c>
      <c r="F1468" s="108">
        <v>2</v>
      </c>
      <c r="G1468" s="108">
        <v>2</v>
      </c>
      <c r="H1468" s="111">
        <v>778.9</v>
      </c>
      <c r="I1468" s="126">
        <v>719.8</v>
      </c>
      <c r="J1468" s="126">
        <v>719.8</v>
      </c>
      <c r="K1468" s="112">
        <v>27</v>
      </c>
      <c r="L1468" s="113">
        <v>1003542</v>
      </c>
      <c r="M1468" s="113">
        <v>0</v>
      </c>
      <c r="N1468" s="113">
        <v>0</v>
      </c>
      <c r="O1468" s="113">
        <f>L1468</f>
        <v>1003542</v>
      </c>
      <c r="P1468" s="113">
        <v>0</v>
      </c>
      <c r="Q1468" s="114">
        <f>L1468/I1468</f>
        <v>1394.1956098916366</v>
      </c>
      <c r="R1468" s="114">
        <v>6774</v>
      </c>
      <c r="S1468" s="335">
        <v>43830</v>
      </c>
    </row>
    <row r="1469" spans="1:19" s="35" customFormat="1" ht="31.2">
      <c r="A1469" s="107">
        <f t="shared" ref="A1469:A1506" si="433">A1468+1</f>
        <v>2</v>
      </c>
      <c r="B1469" s="301" t="s">
        <v>421</v>
      </c>
      <c r="C1469" s="177">
        <v>1980</v>
      </c>
      <c r="D1469" s="178"/>
      <c r="E1469" s="109" t="s">
        <v>218</v>
      </c>
      <c r="F1469" s="108">
        <v>3</v>
      </c>
      <c r="G1469" s="108">
        <v>2</v>
      </c>
      <c r="H1469" s="111">
        <v>928.6</v>
      </c>
      <c r="I1469" s="126">
        <v>843.2</v>
      </c>
      <c r="J1469" s="126">
        <v>843.2</v>
      </c>
      <c r="K1469" s="112">
        <v>39</v>
      </c>
      <c r="L1469" s="113">
        <v>740146</v>
      </c>
      <c r="M1469" s="113">
        <v>0</v>
      </c>
      <c r="N1469" s="113">
        <v>0</v>
      </c>
      <c r="O1469" s="113">
        <f>L1469</f>
        <v>740146</v>
      </c>
      <c r="P1469" s="113">
        <v>0</v>
      </c>
      <c r="Q1469" s="114">
        <f>L1469/I1469</f>
        <v>877.7822580645161</v>
      </c>
      <c r="R1469" s="114">
        <v>6774</v>
      </c>
      <c r="S1469" s="335">
        <v>43830</v>
      </c>
    </row>
    <row r="1470" spans="1:19" s="35" customFormat="1" ht="15.6">
      <c r="A1470" s="107">
        <f t="shared" si="433"/>
        <v>3</v>
      </c>
      <c r="B1470" s="301" t="s">
        <v>423</v>
      </c>
      <c r="C1470" s="108">
        <v>1965</v>
      </c>
      <c r="D1470" s="173"/>
      <c r="E1470" s="109" t="s">
        <v>221</v>
      </c>
      <c r="F1470" s="108">
        <v>2</v>
      </c>
      <c r="G1470" s="108">
        <v>2</v>
      </c>
      <c r="H1470" s="111">
        <v>275.5</v>
      </c>
      <c r="I1470" s="126">
        <v>217.1</v>
      </c>
      <c r="J1470" s="126">
        <v>217.1</v>
      </c>
      <c r="K1470" s="112">
        <v>14</v>
      </c>
      <c r="L1470" s="113">
        <v>479059</v>
      </c>
      <c r="M1470" s="113">
        <v>0</v>
      </c>
      <c r="N1470" s="113">
        <v>0</v>
      </c>
      <c r="O1470" s="113">
        <f>L1470</f>
        <v>479059</v>
      </c>
      <c r="P1470" s="113">
        <v>0</v>
      </c>
      <c r="Q1470" s="114">
        <f>L1470/I1470</f>
        <v>2206.6282818977429</v>
      </c>
      <c r="R1470" s="114">
        <v>6774</v>
      </c>
      <c r="S1470" s="335">
        <v>43830</v>
      </c>
    </row>
    <row r="1471" spans="1:19" s="1" customFormat="1" ht="15.6">
      <c r="A1471" s="107"/>
      <c r="B1471" s="1411" t="s">
        <v>55</v>
      </c>
      <c r="C1471" s="1411"/>
      <c r="D1471" s="1411"/>
      <c r="E1471" s="1411"/>
      <c r="F1471" s="1411"/>
      <c r="G1471" s="1411"/>
      <c r="H1471" s="128">
        <f>H1472</f>
        <v>988.7</v>
      </c>
      <c r="I1471" s="106">
        <f t="shared" ref="I1471:R1472" si="434">I1472</f>
        <v>893.7</v>
      </c>
      <c r="J1471" s="106">
        <f t="shared" si="434"/>
        <v>636.9</v>
      </c>
      <c r="K1471" s="119">
        <f t="shared" si="434"/>
        <v>17</v>
      </c>
      <c r="L1471" s="113">
        <f t="shared" si="434"/>
        <v>2451868</v>
      </c>
      <c r="M1471" s="113">
        <f t="shared" si="434"/>
        <v>0</v>
      </c>
      <c r="N1471" s="113">
        <f t="shared" si="434"/>
        <v>0</v>
      </c>
      <c r="O1471" s="113">
        <f t="shared" si="434"/>
        <v>2451868</v>
      </c>
      <c r="P1471" s="113">
        <f t="shared" si="434"/>
        <v>0</v>
      </c>
      <c r="Q1471" s="106" t="str">
        <f t="shared" si="434"/>
        <v>Х</v>
      </c>
      <c r="R1471" s="106" t="str">
        <f t="shared" si="434"/>
        <v>Х</v>
      </c>
      <c r="S1471" s="335">
        <v>43830</v>
      </c>
    </row>
    <row r="1472" spans="1:19" s="1" customFormat="1" ht="15.6">
      <c r="A1472" s="107"/>
      <c r="B1472" s="1411" t="s">
        <v>122</v>
      </c>
      <c r="C1472" s="1411"/>
      <c r="D1472" s="1411"/>
      <c r="E1472" s="1411"/>
      <c r="F1472" s="1411"/>
      <c r="G1472" s="1411"/>
      <c r="H1472" s="128">
        <f>H1473</f>
        <v>988.7</v>
      </c>
      <c r="I1472" s="128">
        <f t="shared" si="434"/>
        <v>893.7</v>
      </c>
      <c r="J1472" s="128">
        <f t="shared" si="434"/>
        <v>636.9</v>
      </c>
      <c r="K1472" s="128">
        <f t="shared" si="434"/>
        <v>17</v>
      </c>
      <c r="L1472" s="366">
        <f t="shared" si="434"/>
        <v>2451868</v>
      </c>
      <c r="M1472" s="366">
        <f t="shared" si="434"/>
        <v>0</v>
      </c>
      <c r="N1472" s="366">
        <f t="shared" si="434"/>
        <v>0</v>
      </c>
      <c r="O1472" s="366">
        <f t="shared" si="434"/>
        <v>2451868</v>
      </c>
      <c r="P1472" s="366">
        <f t="shared" si="434"/>
        <v>0</v>
      </c>
      <c r="Q1472" s="106" t="s">
        <v>40</v>
      </c>
      <c r="R1472" s="114" t="s">
        <v>40</v>
      </c>
      <c r="S1472" s="335">
        <v>43830</v>
      </c>
    </row>
    <row r="1473" spans="1:19" s="1" customFormat="1" ht="31.2">
      <c r="A1473" s="327"/>
      <c r="B1473" s="338" t="s">
        <v>390</v>
      </c>
      <c r="C1473" s="555" t="s">
        <v>604</v>
      </c>
      <c r="D1473" s="329"/>
      <c r="E1473" s="330" t="s">
        <v>218</v>
      </c>
      <c r="F1473" s="329">
        <v>2</v>
      </c>
      <c r="G1473" s="329">
        <v>3</v>
      </c>
      <c r="H1473" s="331">
        <v>988.7</v>
      </c>
      <c r="I1473" s="334">
        <v>893.7</v>
      </c>
      <c r="J1473" s="334">
        <v>636.9</v>
      </c>
      <c r="K1473" s="332">
        <v>17</v>
      </c>
      <c r="L1473" s="333">
        <v>2451868</v>
      </c>
      <c r="M1473" s="333">
        <v>0</v>
      </c>
      <c r="N1473" s="333">
        <v>0</v>
      </c>
      <c r="O1473" s="333">
        <v>2451868</v>
      </c>
      <c r="P1473" s="333">
        <v>0</v>
      </c>
      <c r="Q1473" s="334">
        <f>L1473/I1473</f>
        <v>2743.5022938346201</v>
      </c>
      <c r="R1473" s="334">
        <v>7920</v>
      </c>
      <c r="S1473" s="335">
        <v>43830</v>
      </c>
    </row>
    <row r="1474" spans="1:19" s="1" customFormat="1" ht="15.6">
      <c r="A1474" s="327"/>
      <c r="B1474" s="338"/>
      <c r="C1474" s="555"/>
      <c r="D1474" s="329"/>
      <c r="E1474" s="330"/>
      <c r="F1474" s="329"/>
      <c r="G1474" s="329"/>
      <c r="H1474" s="331"/>
      <c r="I1474" s="334"/>
      <c r="J1474" s="334"/>
      <c r="K1474" s="332"/>
      <c r="L1474" s="333"/>
      <c r="M1474" s="333"/>
      <c r="N1474" s="333"/>
      <c r="O1474" s="333"/>
      <c r="P1474" s="333"/>
      <c r="Q1474" s="334"/>
      <c r="R1474" s="334"/>
      <c r="S1474" s="335"/>
    </row>
    <row r="1475" spans="1:19" s="1" customFormat="1" ht="15.6">
      <c r="A1475" s="327"/>
      <c r="B1475" s="338"/>
      <c r="C1475" s="555"/>
      <c r="D1475" s="329"/>
      <c r="E1475" s="330"/>
      <c r="F1475" s="329"/>
      <c r="G1475" s="329"/>
      <c r="H1475" s="331"/>
      <c r="I1475" s="334"/>
      <c r="J1475" s="334"/>
      <c r="K1475" s="332"/>
      <c r="L1475" s="333"/>
      <c r="M1475" s="333"/>
      <c r="N1475" s="333"/>
      <c r="O1475" s="333"/>
      <c r="P1475" s="333"/>
      <c r="Q1475" s="334"/>
      <c r="R1475" s="334"/>
      <c r="S1475" s="335"/>
    </row>
    <row r="1476" spans="1:19" s="1" customFormat="1" ht="15.6">
      <c r="A1476" s="107"/>
      <c r="B1476" s="1411" t="s">
        <v>56</v>
      </c>
      <c r="C1476" s="1411"/>
      <c r="D1476" s="1411"/>
      <c r="E1476" s="1411"/>
      <c r="F1476" s="1411"/>
      <c r="G1476" s="1411"/>
      <c r="H1476" s="128">
        <f t="shared" ref="H1476:P1476" si="435">H1483+H1477+H1485</f>
        <v>8840.7000000000007</v>
      </c>
      <c r="I1476" s="106">
        <f t="shared" si="435"/>
        <v>6723.3</v>
      </c>
      <c r="J1476" s="106">
        <f t="shared" si="435"/>
        <v>6115.2</v>
      </c>
      <c r="K1476" s="119">
        <f t="shared" si="435"/>
        <v>304</v>
      </c>
      <c r="L1476" s="113">
        <f t="shared" si="435"/>
        <v>11882203</v>
      </c>
      <c r="M1476" s="113">
        <f t="shared" si="435"/>
        <v>0</v>
      </c>
      <c r="N1476" s="113">
        <f t="shared" si="435"/>
        <v>0</v>
      </c>
      <c r="O1476" s="113">
        <f t="shared" si="435"/>
        <v>11882203</v>
      </c>
      <c r="P1476" s="113">
        <f t="shared" si="435"/>
        <v>0</v>
      </c>
      <c r="Q1476" s="106" t="str">
        <f t="shared" ref="Q1476:R1476" si="436">Q1477</f>
        <v>Х</v>
      </c>
      <c r="R1476" s="106" t="str">
        <f t="shared" si="436"/>
        <v>Х</v>
      </c>
      <c r="S1476" s="335">
        <v>43830</v>
      </c>
    </row>
    <row r="1477" spans="1:19" s="18" customFormat="1" ht="26.4" customHeight="1">
      <c r="A1477" s="327"/>
      <c r="B1477" s="1490" t="s">
        <v>424</v>
      </c>
      <c r="C1477" s="1490"/>
      <c r="D1477" s="1490"/>
      <c r="E1477" s="1490"/>
      <c r="F1477" s="1492"/>
      <c r="G1477" s="1492"/>
      <c r="H1477" s="740">
        <f>SUM(H1478:H1482)</f>
        <v>4232.5</v>
      </c>
      <c r="I1477" s="740">
        <f t="shared" ref="I1477:P1477" si="437">SUM(I1478:I1482)</f>
        <v>3017.6</v>
      </c>
      <c r="J1477" s="740">
        <f t="shared" si="437"/>
        <v>2627.5</v>
      </c>
      <c r="K1477" s="740">
        <f t="shared" si="437"/>
        <v>175</v>
      </c>
      <c r="L1477" s="741">
        <f t="shared" si="437"/>
        <v>9225003</v>
      </c>
      <c r="M1477" s="741">
        <f t="shared" si="437"/>
        <v>0</v>
      </c>
      <c r="N1477" s="741">
        <f t="shared" si="437"/>
        <v>0</v>
      </c>
      <c r="O1477" s="741">
        <f t="shared" si="437"/>
        <v>9225003</v>
      </c>
      <c r="P1477" s="741">
        <f t="shared" si="437"/>
        <v>0</v>
      </c>
      <c r="Q1477" s="742" t="s">
        <v>40</v>
      </c>
      <c r="R1477" s="743" t="s">
        <v>40</v>
      </c>
      <c r="S1477" s="335">
        <v>43830</v>
      </c>
    </row>
    <row r="1478" spans="1:19" s="62" customFormat="1" ht="31.2">
      <c r="A1478" s="327">
        <f>A1475+1</f>
        <v>1</v>
      </c>
      <c r="B1478" s="621" t="s">
        <v>715</v>
      </c>
      <c r="C1478" s="327">
        <v>1976</v>
      </c>
      <c r="D1478" s="327"/>
      <c r="E1478" s="744" t="s">
        <v>218</v>
      </c>
      <c r="F1478" s="329">
        <v>2</v>
      </c>
      <c r="G1478" s="329">
        <v>2</v>
      </c>
      <c r="H1478" s="358">
        <v>1011.9</v>
      </c>
      <c r="I1478" s="358">
        <v>686.6</v>
      </c>
      <c r="J1478" s="358">
        <v>603</v>
      </c>
      <c r="K1478" s="329">
        <v>62</v>
      </c>
      <c r="L1478" s="745">
        <v>3119960</v>
      </c>
      <c r="M1478" s="745">
        <v>0</v>
      </c>
      <c r="N1478" s="745">
        <v>0</v>
      </c>
      <c r="O1478" s="745">
        <v>3119960</v>
      </c>
      <c r="P1478" s="745">
        <v>0</v>
      </c>
      <c r="Q1478" s="745">
        <f>L1478/I1478</f>
        <v>4544.0722400233035</v>
      </c>
      <c r="R1478" s="745">
        <v>7920</v>
      </c>
      <c r="S1478" s="624">
        <v>43830</v>
      </c>
    </row>
    <row r="1479" spans="1:19" s="62" customFormat="1" ht="31.2">
      <c r="A1479" s="327">
        <f t="shared" si="433"/>
        <v>2</v>
      </c>
      <c r="B1479" s="746" t="s">
        <v>716</v>
      </c>
      <c r="C1479" s="327">
        <v>1957</v>
      </c>
      <c r="D1479" s="327"/>
      <c r="E1479" s="744" t="s">
        <v>218</v>
      </c>
      <c r="F1479" s="329">
        <v>2</v>
      </c>
      <c r="G1479" s="329">
        <v>2</v>
      </c>
      <c r="H1479" s="358">
        <v>978.8</v>
      </c>
      <c r="I1479" s="358">
        <v>798</v>
      </c>
      <c r="J1479" s="358">
        <v>701.9</v>
      </c>
      <c r="K1479" s="329">
        <v>26</v>
      </c>
      <c r="L1479" s="745">
        <v>2408975</v>
      </c>
      <c r="M1479" s="745">
        <v>0</v>
      </c>
      <c r="N1479" s="745">
        <v>0</v>
      </c>
      <c r="O1479" s="745">
        <v>2408975</v>
      </c>
      <c r="P1479" s="745">
        <v>0</v>
      </c>
      <c r="Q1479" s="745">
        <f>L1479/I1479</f>
        <v>3018.7656641604012</v>
      </c>
      <c r="R1479" s="745">
        <v>7920</v>
      </c>
      <c r="S1479" s="624">
        <v>43830</v>
      </c>
    </row>
    <row r="1480" spans="1:19" s="62" customFormat="1" ht="31.2">
      <c r="A1480" s="327">
        <f t="shared" si="433"/>
        <v>3</v>
      </c>
      <c r="B1480" s="621" t="s">
        <v>717</v>
      </c>
      <c r="C1480" s="327">
        <v>1853</v>
      </c>
      <c r="D1480" s="327"/>
      <c r="E1480" s="744" t="s">
        <v>218</v>
      </c>
      <c r="F1480" s="329">
        <v>2</v>
      </c>
      <c r="G1480" s="329">
        <v>1</v>
      </c>
      <c r="H1480" s="358">
        <v>374.3</v>
      </c>
      <c r="I1480" s="358">
        <v>257.89999999999998</v>
      </c>
      <c r="J1480" s="358">
        <v>176</v>
      </c>
      <c r="K1480" s="329">
        <v>14</v>
      </c>
      <c r="L1480" s="745">
        <v>678910</v>
      </c>
      <c r="M1480" s="745">
        <v>0</v>
      </c>
      <c r="N1480" s="745">
        <v>0</v>
      </c>
      <c r="O1480" s="745">
        <v>678910</v>
      </c>
      <c r="P1480" s="745">
        <v>0</v>
      </c>
      <c r="Q1480" s="745">
        <f>L1480/I1480</f>
        <v>2632.4544397053123</v>
      </c>
      <c r="R1480" s="745">
        <v>7920</v>
      </c>
      <c r="S1480" s="624">
        <v>43830</v>
      </c>
    </row>
    <row r="1481" spans="1:19" s="62" customFormat="1" ht="31.2">
      <c r="A1481" s="327">
        <f t="shared" si="433"/>
        <v>4</v>
      </c>
      <c r="B1481" s="619" t="s">
        <v>718</v>
      </c>
      <c r="C1481" s="327">
        <v>1970</v>
      </c>
      <c r="D1481" s="327"/>
      <c r="E1481" s="744" t="s">
        <v>218</v>
      </c>
      <c r="F1481" s="329">
        <v>2</v>
      </c>
      <c r="G1481" s="329">
        <v>2</v>
      </c>
      <c r="H1481" s="358">
        <v>541.9</v>
      </c>
      <c r="I1481" s="358">
        <v>493.7</v>
      </c>
      <c r="J1481" s="358">
        <v>452.5</v>
      </c>
      <c r="K1481" s="329">
        <v>19</v>
      </c>
      <c r="L1481" s="745">
        <v>1603279</v>
      </c>
      <c r="M1481" s="745">
        <v>0</v>
      </c>
      <c r="N1481" s="745">
        <v>0</v>
      </c>
      <c r="O1481" s="745">
        <v>1603279</v>
      </c>
      <c r="P1481" s="745">
        <v>0</v>
      </c>
      <c r="Q1481" s="745">
        <f>L1481/I1481</f>
        <v>3247.4762001215313</v>
      </c>
      <c r="R1481" s="745">
        <v>7920</v>
      </c>
      <c r="S1481" s="624">
        <v>43830</v>
      </c>
    </row>
    <row r="1482" spans="1:19" s="62" customFormat="1" ht="31.2">
      <c r="A1482" s="327">
        <f t="shared" si="433"/>
        <v>5</v>
      </c>
      <c r="B1482" s="621" t="s">
        <v>719</v>
      </c>
      <c r="C1482" s="327">
        <v>1983</v>
      </c>
      <c r="D1482" s="327"/>
      <c r="E1482" s="744" t="s">
        <v>218</v>
      </c>
      <c r="F1482" s="329">
        <v>2</v>
      </c>
      <c r="G1482" s="329">
        <v>2</v>
      </c>
      <c r="H1482" s="358">
        <v>1325.6</v>
      </c>
      <c r="I1482" s="358">
        <v>781.4</v>
      </c>
      <c r="J1482" s="358">
        <v>694.1</v>
      </c>
      <c r="K1482" s="329">
        <v>54</v>
      </c>
      <c r="L1482" s="745">
        <v>1413879</v>
      </c>
      <c r="M1482" s="745">
        <v>0</v>
      </c>
      <c r="N1482" s="745">
        <v>0</v>
      </c>
      <c r="O1482" s="745">
        <v>1413879</v>
      </c>
      <c r="P1482" s="745">
        <v>0</v>
      </c>
      <c r="Q1482" s="745">
        <f>L1482/I1482</f>
        <v>1809.4177117993345</v>
      </c>
      <c r="R1482" s="745">
        <v>7920</v>
      </c>
      <c r="S1482" s="624">
        <v>43830</v>
      </c>
    </row>
    <row r="1483" spans="1:19" s="1" customFormat="1" ht="23.4" customHeight="1">
      <c r="A1483" s="107"/>
      <c r="B1483" s="1413" t="s">
        <v>121</v>
      </c>
      <c r="C1483" s="1413"/>
      <c r="D1483" s="1413"/>
      <c r="E1483" s="1413"/>
      <c r="F1483" s="1413"/>
      <c r="G1483" s="1413"/>
      <c r="H1483" s="128">
        <f>H1484</f>
        <v>3954</v>
      </c>
      <c r="I1483" s="106">
        <f t="shared" ref="I1483:P1483" si="438">I1484</f>
        <v>3051.5</v>
      </c>
      <c r="J1483" s="106">
        <f t="shared" si="438"/>
        <v>2833.5</v>
      </c>
      <c r="K1483" s="119">
        <f t="shared" si="438"/>
        <v>93</v>
      </c>
      <c r="L1483" s="113">
        <f t="shared" si="438"/>
        <v>2068781</v>
      </c>
      <c r="M1483" s="113">
        <f t="shared" si="438"/>
        <v>0</v>
      </c>
      <c r="N1483" s="113">
        <f t="shared" si="438"/>
        <v>0</v>
      </c>
      <c r="O1483" s="113">
        <f t="shared" si="438"/>
        <v>2068781</v>
      </c>
      <c r="P1483" s="113">
        <f t="shared" si="438"/>
        <v>0</v>
      </c>
      <c r="Q1483" s="106" t="s">
        <v>40</v>
      </c>
      <c r="R1483" s="106" t="s">
        <v>40</v>
      </c>
      <c r="S1483" s="335">
        <v>43830</v>
      </c>
    </row>
    <row r="1484" spans="1:19" s="1" customFormat="1" ht="29.4" customHeight="1">
      <c r="A1484" s="107" t="e">
        <f>#REF!+1</f>
        <v>#REF!</v>
      </c>
      <c r="B1484" s="934" t="s">
        <v>993</v>
      </c>
      <c r="C1484" s="302">
        <v>1982</v>
      </c>
      <c r="D1484" s="118"/>
      <c r="E1484" s="109" t="s">
        <v>219</v>
      </c>
      <c r="F1484" s="118">
        <v>5</v>
      </c>
      <c r="G1484" s="118">
        <v>4</v>
      </c>
      <c r="H1484" s="128">
        <v>3954</v>
      </c>
      <c r="I1484" s="106">
        <v>3051.5</v>
      </c>
      <c r="J1484" s="106">
        <v>2833.5</v>
      </c>
      <c r="K1484" s="119">
        <v>93</v>
      </c>
      <c r="L1484" s="113">
        <v>2068781</v>
      </c>
      <c r="M1484" s="113">
        <v>0</v>
      </c>
      <c r="N1484" s="113">
        <v>0</v>
      </c>
      <c r="O1484" s="113">
        <f>L1484</f>
        <v>2068781</v>
      </c>
      <c r="P1484" s="113">
        <v>0</v>
      </c>
      <c r="Q1484" s="106">
        <f>L1484/I1484</f>
        <v>677.95543175487467</v>
      </c>
      <c r="R1484" s="114">
        <v>7920</v>
      </c>
      <c r="S1484" s="335">
        <v>43830</v>
      </c>
    </row>
    <row r="1485" spans="1:19" s="1" customFormat="1" ht="15.75" customHeight="1">
      <c r="A1485" s="107"/>
      <c r="B1485" s="1413" t="s">
        <v>807</v>
      </c>
      <c r="C1485" s="1413"/>
      <c r="D1485" s="1413"/>
      <c r="E1485" s="1413"/>
      <c r="F1485" s="1413"/>
      <c r="G1485" s="1413"/>
      <c r="H1485" s="128">
        <f>H1486</f>
        <v>654.20000000000005</v>
      </c>
      <c r="I1485" s="106">
        <f t="shared" ref="I1485:P1485" si="439">I1486</f>
        <v>654.20000000000005</v>
      </c>
      <c r="J1485" s="106">
        <f t="shared" si="439"/>
        <v>654.20000000000005</v>
      </c>
      <c r="K1485" s="119">
        <f t="shared" si="439"/>
        <v>36</v>
      </c>
      <c r="L1485" s="113">
        <f t="shared" si="439"/>
        <v>588419</v>
      </c>
      <c r="M1485" s="113">
        <f t="shared" si="439"/>
        <v>0</v>
      </c>
      <c r="N1485" s="113">
        <f t="shared" si="439"/>
        <v>0</v>
      </c>
      <c r="O1485" s="113">
        <f t="shared" si="439"/>
        <v>588419</v>
      </c>
      <c r="P1485" s="113">
        <f t="shared" si="439"/>
        <v>0</v>
      </c>
      <c r="Q1485" s="106" t="s">
        <v>40</v>
      </c>
      <c r="R1485" s="106" t="s">
        <v>40</v>
      </c>
      <c r="S1485" s="335">
        <v>43830</v>
      </c>
    </row>
    <row r="1486" spans="1:19" s="1" customFormat="1" ht="31.2">
      <c r="A1486" s="107" t="e">
        <f>A1484+1</f>
        <v>#REF!</v>
      </c>
      <c r="B1486" s="751" t="s">
        <v>809</v>
      </c>
      <c r="C1486" s="302">
        <v>1962</v>
      </c>
      <c r="D1486" s="118"/>
      <c r="E1486" s="109" t="s">
        <v>218</v>
      </c>
      <c r="F1486" s="118">
        <v>2</v>
      </c>
      <c r="G1486" s="118">
        <v>2</v>
      </c>
      <c r="H1486" s="128">
        <v>654.20000000000005</v>
      </c>
      <c r="I1486" s="106">
        <v>654.20000000000005</v>
      </c>
      <c r="J1486" s="106">
        <v>654.20000000000005</v>
      </c>
      <c r="K1486" s="119">
        <v>36</v>
      </c>
      <c r="L1486" s="113">
        <v>588419</v>
      </c>
      <c r="M1486" s="113">
        <v>0</v>
      </c>
      <c r="N1486" s="113">
        <v>0</v>
      </c>
      <c r="O1486" s="113">
        <f>L1486</f>
        <v>588419</v>
      </c>
      <c r="P1486" s="113">
        <v>0</v>
      </c>
      <c r="Q1486" s="106">
        <f>L1486/I1486</f>
        <v>899.4481809844084</v>
      </c>
      <c r="R1486" s="114">
        <v>7920</v>
      </c>
      <c r="S1486" s="335">
        <v>43830</v>
      </c>
    </row>
    <row r="1487" spans="1:19" s="1" customFormat="1" ht="15.6">
      <c r="A1487" s="107"/>
      <c r="B1487" s="1411" t="s">
        <v>57</v>
      </c>
      <c r="C1487" s="1411"/>
      <c r="D1487" s="1411"/>
      <c r="E1487" s="1411"/>
      <c r="F1487" s="1411"/>
      <c r="G1487" s="1411"/>
      <c r="H1487" s="128">
        <f>H1488</f>
        <v>821.12</v>
      </c>
      <c r="I1487" s="128">
        <f t="shared" ref="I1487:P1488" si="440">I1488</f>
        <v>756</v>
      </c>
      <c r="J1487" s="128">
        <f t="shared" si="440"/>
        <v>756</v>
      </c>
      <c r="K1487" s="119">
        <f t="shared" si="440"/>
        <v>21</v>
      </c>
      <c r="L1487" s="113">
        <f t="shared" si="440"/>
        <v>1788296</v>
      </c>
      <c r="M1487" s="113">
        <f t="shared" si="440"/>
        <v>0</v>
      </c>
      <c r="N1487" s="113">
        <f t="shared" si="440"/>
        <v>0</v>
      </c>
      <c r="O1487" s="113">
        <f t="shared" si="440"/>
        <v>1788296</v>
      </c>
      <c r="P1487" s="113">
        <f t="shared" si="440"/>
        <v>0</v>
      </c>
      <c r="Q1487" s="106" t="s">
        <v>40</v>
      </c>
      <c r="R1487" s="114" t="s">
        <v>40</v>
      </c>
      <c r="S1487" s="335">
        <v>43830</v>
      </c>
    </row>
    <row r="1488" spans="1:19" s="1" customFormat="1" ht="15.6" customHeight="1">
      <c r="A1488" s="107"/>
      <c r="B1488" s="1413" t="s">
        <v>119</v>
      </c>
      <c r="C1488" s="1413"/>
      <c r="D1488" s="1413"/>
      <c r="E1488" s="1413"/>
      <c r="F1488" s="1413"/>
      <c r="G1488" s="1413"/>
      <c r="H1488" s="128">
        <f>H1489</f>
        <v>821.12</v>
      </c>
      <c r="I1488" s="128">
        <f t="shared" si="440"/>
        <v>756</v>
      </c>
      <c r="J1488" s="128">
        <f t="shared" si="440"/>
        <v>756</v>
      </c>
      <c r="K1488" s="128">
        <f t="shared" si="440"/>
        <v>21</v>
      </c>
      <c r="L1488" s="565">
        <f t="shared" si="440"/>
        <v>1788296</v>
      </c>
      <c r="M1488" s="565">
        <f t="shared" si="440"/>
        <v>0</v>
      </c>
      <c r="N1488" s="565">
        <f t="shared" si="440"/>
        <v>0</v>
      </c>
      <c r="O1488" s="565">
        <f t="shared" si="440"/>
        <v>1788296</v>
      </c>
      <c r="P1488" s="565">
        <f t="shared" si="440"/>
        <v>0</v>
      </c>
      <c r="Q1488" s="106" t="s">
        <v>40</v>
      </c>
      <c r="R1488" s="106" t="s">
        <v>40</v>
      </c>
      <c r="S1488" s="335">
        <v>43830</v>
      </c>
    </row>
    <row r="1489" spans="1:19" s="23" customFormat="1" ht="31.2">
      <c r="A1489" s="107">
        <v>1</v>
      </c>
      <c r="B1489" s="908" t="s">
        <v>984</v>
      </c>
      <c r="C1489" s="302">
        <v>1920</v>
      </c>
      <c r="D1489" s="118"/>
      <c r="E1489" s="109" t="s">
        <v>218</v>
      </c>
      <c r="F1489" s="118">
        <v>2</v>
      </c>
      <c r="G1489" s="118">
        <v>2</v>
      </c>
      <c r="H1489" s="128">
        <v>821.12</v>
      </c>
      <c r="I1489" s="128">
        <v>756</v>
      </c>
      <c r="J1489" s="128">
        <v>756</v>
      </c>
      <c r="K1489" s="119">
        <v>21</v>
      </c>
      <c r="L1489" s="113">
        <v>1788296</v>
      </c>
      <c r="M1489" s="113">
        <v>0</v>
      </c>
      <c r="N1489" s="113">
        <v>0</v>
      </c>
      <c r="O1489" s="113">
        <f>L1489</f>
        <v>1788296</v>
      </c>
      <c r="P1489" s="113">
        <v>0</v>
      </c>
      <c r="Q1489" s="106">
        <f>L1489/I1489</f>
        <v>2365.4708994708994</v>
      </c>
      <c r="R1489" s="114">
        <v>7920</v>
      </c>
      <c r="S1489" s="335">
        <v>43830</v>
      </c>
    </row>
    <row r="1490" spans="1:19" s="1" customFormat="1" ht="15.6">
      <c r="A1490" s="107"/>
      <c r="B1490" s="1411" t="s">
        <v>58</v>
      </c>
      <c r="C1490" s="1411"/>
      <c r="D1490" s="1411"/>
      <c r="E1490" s="1411"/>
      <c r="F1490" s="1411"/>
      <c r="G1490" s="1411"/>
      <c r="H1490" s="128">
        <f>H1491</f>
        <v>15250.300000000001</v>
      </c>
      <c r="I1490" s="128">
        <f t="shared" ref="I1490:P1490" si="441">I1491</f>
        <v>13418.4</v>
      </c>
      <c r="J1490" s="128">
        <f t="shared" si="441"/>
        <v>12151.1</v>
      </c>
      <c r="K1490" s="119">
        <f t="shared" si="441"/>
        <v>490</v>
      </c>
      <c r="L1490" s="113">
        <f t="shared" si="441"/>
        <v>12013200</v>
      </c>
      <c r="M1490" s="113">
        <f t="shared" si="441"/>
        <v>0</v>
      </c>
      <c r="N1490" s="113">
        <f t="shared" si="441"/>
        <v>0</v>
      </c>
      <c r="O1490" s="113">
        <f t="shared" si="441"/>
        <v>12013200</v>
      </c>
      <c r="P1490" s="113">
        <f t="shared" si="441"/>
        <v>0</v>
      </c>
      <c r="Q1490" s="106" t="s">
        <v>40</v>
      </c>
      <c r="R1490" s="106" t="s">
        <v>40</v>
      </c>
      <c r="S1490" s="335">
        <v>43830</v>
      </c>
    </row>
    <row r="1491" spans="1:19" s="1" customFormat="1" ht="15.75" customHeight="1">
      <c r="A1491" s="107"/>
      <c r="B1491" s="1413" t="s">
        <v>87</v>
      </c>
      <c r="C1491" s="1413"/>
      <c r="D1491" s="1413"/>
      <c r="E1491" s="1413"/>
      <c r="F1491" s="1413"/>
      <c r="G1491" s="1413"/>
      <c r="H1491" s="128">
        <f>SUM(H1492:H1500)</f>
        <v>15250.300000000001</v>
      </c>
      <c r="I1491" s="106">
        <f t="shared" ref="I1491:N1491" si="442">SUM(I1492:I1500)</f>
        <v>13418.4</v>
      </c>
      <c r="J1491" s="106">
        <f t="shared" si="442"/>
        <v>12151.1</v>
      </c>
      <c r="K1491" s="119">
        <f t="shared" si="442"/>
        <v>490</v>
      </c>
      <c r="L1491" s="113">
        <f t="shared" si="442"/>
        <v>12013200</v>
      </c>
      <c r="M1491" s="113">
        <f t="shared" si="442"/>
        <v>0</v>
      </c>
      <c r="N1491" s="113">
        <f t="shared" si="442"/>
        <v>0</v>
      </c>
      <c r="O1491" s="113">
        <f>SUM(O1492:O1500)</f>
        <v>12013200</v>
      </c>
      <c r="P1491" s="113">
        <v>0</v>
      </c>
      <c r="Q1491" s="106" t="s">
        <v>40</v>
      </c>
      <c r="R1491" s="106" t="s">
        <v>40</v>
      </c>
      <c r="S1491" s="335">
        <v>43830</v>
      </c>
    </row>
    <row r="1492" spans="1:19" s="30" customFormat="1" ht="31.2">
      <c r="A1492" s="107">
        <f>A1489+1</f>
        <v>2</v>
      </c>
      <c r="B1492" s="300" t="s">
        <v>425</v>
      </c>
      <c r="C1492" s="179">
        <v>1962</v>
      </c>
      <c r="D1492" s="99"/>
      <c r="E1492" s="109" t="s">
        <v>218</v>
      </c>
      <c r="F1492" s="99">
        <v>5</v>
      </c>
      <c r="G1492" s="99">
        <v>4</v>
      </c>
      <c r="H1492" s="180">
        <v>3382</v>
      </c>
      <c r="I1492" s="115">
        <v>3164.5</v>
      </c>
      <c r="J1492" s="115">
        <v>2546.4</v>
      </c>
      <c r="K1492" s="154">
        <v>88</v>
      </c>
      <c r="L1492" s="113">
        <f t="shared" ref="L1492:L1500" si="443">O1492</f>
        <v>2239107</v>
      </c>
      <c r="M1492" s="113">
        <v>0</v>
      </c>
      <c r="N1492" s="113">
        <v>0</v>
      </c>
      <c r="O1492" s="113">
        <v>2239107</v>
      </c>
      <c r="P1492" s="113">
        <v>0</v>
      </c>
      <c r="Q1492" s="100">
        <f t="shared" ref="Q1492:Q1500" si="444">L1492/I1492</f>
        <v>707.57054826986882</v>
      </c>
      <c r="R1492" s="114">
        <v>6774</v>
      </c>
      <c r="S1492" s="335">
        <v>43830</v>
      </c>
    </row>
    <row r="1493" spans="1:19" s="30" customFormat="1" ht="15.6">
      <c r="A1493" s="107">
        <f t="shared" si="433"/>
        <v>3</v>
      </c>
      <c r="B1493" s="300" t="s">
        <v>79</v>
      </c>
      <c r="C1493" s="99">
        <v>1949</v>
      </c>
      <c r="D1493" s="99"/>
      <c r="E1493" s="109" t="s">
        <v>222</v>
      </c>
      <c r="F1493" s="99">
        <v>2</v>
      </c>
      <c r="G1493" s="99">
        <v>2</v>
      </c>
      <c r="H1493" s="180">
        <v>448.3</v>
      </c>
      <c r="I1493" s="100">
        <v>402.5</v>
      </c>
      <c r="J1493" s="100">
        <v>346.7</v>
      </c>
      <c r="K1493" s="101">
        <v>16</v>
      </c>
      <c r="L1493" s="113">
        <f t="shared" si="443"/>
        <v>706234</v>
      </c>
      <c r="M1493" s="113">
        <v>0</v>
      </c>
      <c r="N1493" s="113">
        <v>0</v>
      </c>
      <c r="O1493" s="113">
        <v>706234</v>
      </c>
      <c r="P1493" s="113">
        <v>0</v>
      </c>
      <c r="Q1493" s="100">
        <f t="shared" si="444"/>
        <v>1754.6186335403727</v>
      </c>
      <c r="R1493" s="114">
        <v>6774</v>
      </c>
      <c r="S1493" s="335">
        <v>43830</v>
      </c>
    </row>
    <row r="1494" spans="1:19" s="30" customFormat="1" ht="15.6">
      <c r="A1494" s="107">
        <f t="shared" si="433"/>
        <v>4</v>
      </c>
      <c r="B1494" s="300" t="s">
        <v>78</v>
      </c>
      <c r="C1494" s="99">
        <v>1949</v>
      </c>
      <c r="D1494" s="99"/>
      <c r="E1494" s="109" t="s">
        <v>221</v>
      </c>
      <c r="F1494" s="99">
        <v>2</v>
      </c>
      <c r="G1494" s="99">
        <v>2</v>
      </c>
      <c r="H1494" s="180">
        <v>438.3</v>
      </c>
      <c r="I1494" s="100">
        <v>393.5</v>
      </c>
      <c r="J1494" s="100">
        <f>I1494-49.9</f>
        <v>343.6</v>
      </c>
      <c r="K1494" s="101">
        <v>16</v>
      </c>
      <c r="L1494" s="113">
        <f t="shared" si="443"/>
        <v>651603</v>
      </c>
      <c r="M1494" s="113">
        <v>0</v>
      </c>
      <c r="N1494" s="113">
        <v>0</v>
      </c>
      <c r="O1494" s="113">
        <v>651603</v>
      </c>
      <c r="P1494" s="113">
        <v>0</v>
      </c>
      <c r="Q1494" s="100">
        <f t="shared" si="444"/>
        <v>1655.9161372299873</v>
      </c>
      <c r="R1494" s="114">
        <v>6774</v>
      </c>
      <c r="S1494" s="335">
        <v>43830</v>
      </c>
    </row>
    <row r="1495" spans="1:19" s="30" customFormat="1" ht="31.2">
      <c r="A1495" s="107">
        <f t="shared" si="433"/>
        <v>5</v>
      </c>
      <c r="B1495" s="300" t="s">
        <v>426</v>
      </c>
      <c r="C1495" s="179">
        <v>1990</v>
      </c>
      <c r="D1495" s="99"/>
      <c r="E1495" s="109" t="s">
        <v>218</v>
      </c>
      <c r="F1495" s="99">
        <v>3</v>
      </c>
      <c r="G1495" s="99">
        <v>1</v>
      </c>
      <c r="H1495" s="180">
        <v>700.1</v>
      </c>
      <c r="I1495" s="115">
        <v>650.70000000000005</v>
      </c>
      <c r="J1495" s="115">
        <v>650.70000000000005</v>
      </c>
      <c r="K1495" s="154">
        <v>18</v>
      </c>
      <c r="L1495" s="113">
        <f t="shared" si="443"/>
        <v>698701</v>
      </c>
      <c r="M1495" s="113">
        <v>0</v>
      </c>
      <c r="N1495" s="113">
        <v>0</v>
      </c>
      <c r="O1495" s="113">
        <v>698701</v>
      </c>
      <c r="P1495" s="113">
        <v>0</v>
      </c>
      <c r="Q1495" s="100">
        <f t="shared" si="444"/>
        <v>1073.7682495773781</v>
      </c>
      <c r="R1495" s="114">
        <v>6774</v>
      </c>
      <c r="S1495" s="335">
        <v>43830</v>
      </c>
    </row>
    <row r="1496" spans="1:19" s="30" customFormat="1" ht="31.2">
      <c r="A1496" s="107">
        <f t="shared" si="433"/>
        <v>6</v>
      </c>
      <c r="B1496" s="300" t="s">
        <v>80</v>
      </c>
      <c r="C1496" s="179">
        <v>1982</v>
      </c>
      <c r="D1496" s="99"/>
      <c r="E1496" s="109" t="s">
        <v>218</v>
      </c>
      <c r="F1496" s="99">
        <v>5</v>
      </c>
      <c r="G1496" s="99">
        <v>4</v>
      </c>
      <c r="H1496" s="181">
        <v>3159.2</v>
      </c>
      <c r="I1496" s="115">
        <v>2600.8000000000002</v>
      </c>
      <c r="J1496" s="115">
        <v>2455.5</v>
      </c>
      <c r="K1496" s="154">
        <v>106</v>
      </c>
      <c r="L1496" s="113">
        <f t="shared" si="443"/>
        <v>1512903</v>
      </c>
      <c r="M1496" s="113">
        <v>0</v>
      </c>
      <c r="N1496" s="113">
        <v>0</v>
      </c>
      <c r="O1496" s="113">
        <v>1512903</v>
      </c>
      <c r="P1496" s="113">
        <v>0</v>
      </c>
      <c r="Q1496" s="100">
        <f t="shared" si="444"/>
        <v>581.70678252845278</v>
      </c>
      <c r="R1496" s="114">
        <v>6774</v>
      </c>
      <c r="S1496" s="335">
        <v>43830</v>
      </c>
    </row>
    <row r="1497" spans="1:19" s="30" customFormat="1" ht="15.6">
      <c r="A1497" s="107">
        <f t="shared" si="433"/>
        <v>7</v>
      </c>
      <c r="B1497" s="300" t="s">
        <v>84</v>
      </c>
      <c r="C1497" s="179">
        <v>1953</v>
      </c>
      <c r="D1497" s="99"/>
      <c r="E1497" s="109" t="s">
        <v>220</v>
      </c>
      <c r="F1497" s="99">
        <v>2</v>
      </c>
      <c r="G1497" s="99">
        <v>2</v>
      </c>
      <c r="H1497" s="181">
        <v>664.5</v>
      </c>
      <c r="I1497" s="115">
        <v>609.4</v>
      </c>
      <c r="J1497" s="115">
        <f>450.2-48.3</f>
        <v>401.9</v>
      </c>
      <c r="K1497" s="154">
        <v>15</v>
      </c>
      <c r="L1497" s="113">
        <f t="shared" si="443"/>
        <v>1668544</v>
      </c>
      <c r="M1497" s="113">
        <v>0</v>
      </c>
      <c r="N1497" s="113">
        <v>0</v>
      </c>
      <c r="O1497" s="113">
        <v>1668544</v>
      </c>
      <c r="P1497" s="113">
        <v>0</v>
      </c>
      <c r="Q1497" s="100">
        <f t="shared" si="444"/>
        <v>2738.0111585165737</v>
      </c>
      <c r="R1497" s="114">
        <v>6774</v>
      </c>
      <c r="S1497" s="335">
        <v>43830</v>
      </c>
    </row>
    <row r="1498" spans="1:19" s="30" customFormat="1" ht="31.2">
      <c r="A1498" s="107">
        <f t="shared" si="433"/>
        <v>8</v>
      </c>
      <c r="B1498" s="300" t="s">
        <v>81</v>
      </c>
      <c r="C1498" s="179">
        <v>1988</v>
      </c>
      <c r="D1498" s="99"/>
      <c r="E1498" s="109" t="s">
        <v>218</v>
      </c>
      <c r="F1498" s="99">
        <v>5</v>
      </c>
      <c r="G1498" s="99">
        <v>6</v>
      </c>
      <c r="H1498" s="181">
        <v>4806.3999999999996</v>
      </c>
      <c r="I1498" s="115">
        <v>4087.2</v>
      </c>
      <c r="J1498" s="115">
        <v>4087.2</v>
      </c>
      <c r="K1498" s="154">
        <v>172</v>
      </c>
      <c r="L1498" s="113">
        <f t="shared" si="443"/>
        <v>2294873</v>
      </c>
      <c r="M1498" s="113">
        <v>0</v>
      </c>
      <c r="N1498" s="113">
        <v>0</v>
      </c>
      <c r="O1498" s="113">
        <v>2294873</v>
      </c>
      <c r="P1498" s="113">
        <v>0</v>
      </c>
      <c r="Q1498" s="100">
        <f t="shared" si="444"/>
        <v>561.47802896848702</v>
      </c>
      <c r="R1498" s="114">
        <v>6774</v>
      </c>
      <c r="S1498" s="335">
        <v>43830</v>
      </c>
    </row>
    <row r="1499" spans="1:19" s="30" customFormat="1" ht="15.6">
      <c r="A1499" s="107">
        <f t="shared" si="433"/>
        <v>9</v>
      </c>
      <c r="B1499" s="300" t="s">
        <v>82</v>
      </c>
      <c r="C1499" s="179">
        <v>1948</v>
      </c>
      <c r="D1499" s="99"/>
      <c r="E1499" s="109" t="s">
        <v>221</v>
      </c>
      <c r="F1499" s="99">
        <v>2</v>
      </c>
      <c r="G1499" s="99">
        <v>1</v>
      </c>
      <c r="H1499" s="181">
        <v>559.9</v>
      </c>
      <c r="I1499" s="115">
        <v>503.7</v>
      </c>
      <c r="J1499" s="115">
        <f>I1499-190.7</f>
        <v>313</v>
      </c>
      <c r="K1499" s="154">
        <v>26</v>
      </c>
      <c r="L1499" s="113">
        <f t="shared" si="443"/>
        <v>879987</v>
      </c>
      <c r="M1499" s="113">
        <v>0</v>
      </c>
      <c r="N1499" s="113">
        <v>0</v>
      </c>
      <c r="O1499" s="113">
        <v>879987</v>
      </c>
      <c r="P1499" s="113">
        <v>0</v>
      </c>
      <c r="Q1499" s="100">
        <f t="shared" si="444"/>
        <v>1747.0458606313282</v>
      </c>
      <c r="R1499" s="114">
        <v>6774</v>
      </c>
      <c r="S1499" s="335">
        <v>43830</v>
      </c>
    </row>
    <row r="1500" spans="1:19" s="30" customFormat="1" ht="31.2">
      <c r="A1500" s="107">
        <f t="shared" si="433"/>
        <v>10</v>
      </c>
      <c r="B1500" s="300" t="s">
        <v>83</v>
      </c>
      <c r="C1500" s="179">
        <v>1958</v>
      </c>
      <c r="D1500" s="99"/>
      <c r="E1500" s="109" t="s">
        <v>218</v>
      </c>
      <c r="F1500" s="99">
        <v>2</v>
      </c>
      <c r="G1500" s="99">
        <v>3</v>
      </c>
      <c r="H1500" s="181">
        <v>1091.5999999999999</v>
      </c>
      <c r="I1500" s="115">
        <v>1006.1</v>
      </c>
      <c r="J1500" s="115">
        <v>1006.1</v>
      </c>
      <c r="K1500" s="154">
        <v>33</v>
      </c>
      <c r="L1500" s="113">
        <f t="shared" si="443"/>
        <v>1361248</v>
      </c>
      <c r="M1500" s="113">
        <v>0</v>
      </c>
      <c r="N1500" s="113">
        <v>0</v>
      </c>
      <c r="O1500" s="113">
        <v>1361248</v>
      </c>
      <c r="P1500" s="113">
        <v>0</v>
      </c>
      <c r="Q1500" s="100">
        <f t="shared" si="444"/>
        <v>1352.9947321339828</v>
      </c>
      <c r="R1500" s="114">
        <v>6774</v>
      </c>
      <c r="S1500" s="335">
        <v>43830</v>
      </c>
    </row>
    <row r="1501" spans="1:19" s="1" customFormat="1" ht="15.6">
      <c r="A1501" s="107"/>
      <c r="B1501" s="1411" t="s">
        <v>60</v>
      </c>
      <c r="C1501" s="1411"/>
      <c r="D1501" s="1411"/>
      <c r="E1501" s="1411"/>
      <c r="F1501" s="1411"/>
      <c r="G1501" s="1411"/>
      <c r="H1501" s="128">
        <f>H1502</f>
        <v>10619.599999999999</v>
      </c>
      <c r="I1501" s="106">
        <f t="shared" ref="I1501:P1501" si="445">I1502</f>
        <v>8195.6999999999989</v>
      </c>
      <c r="J1501" s="106">
        <f t="shared" si="445"/>
        <v>6450.3</v>
      </c>
      <c r="K1501" s="119">
        <f t="shared" si="445"/>
        <v>429</v>
      </c>
      <c r="L1501" s="113">
        <f t="shared" si="445"/>
        <v>9462538</v>
      </c>
      <c r="M1501" s="113">
        <f t="shared" si="445"/>
        <v>0</v>
      </c>
      <c r="N1501" s="113">
        <f t="shared" si="445"/>
        <v>0</v>
      </c>
      <c r="O1501" s="113">
        <f t="shared" si="445"/>
        <v>9462538</v>
      </c>
      <c r="P1501" s="113">
        <f t="shared" si="445"/>
        <v>0</v>
      </c>
      <c r="Q1501" s="106" t="s">
        <v>40</v>
      </c>
      <c r="R1501" s="106" t="s">
        <v>40</v>
      </c>
      <c r="S1501" s="335">
        <v>43830</v>
      </c>
    </row>
    <row r="1502" spans="1:19" s="1" customFormat="1" ht="15.6">
      <c r="A1502" s="107"/>
      <c r="B1502" s="1411" t="s">
        <v>113</v>
      </c>
      <c r="C1502" s="1411"/>
      <c r="D1502" s="1411"/>
      <c r="E1502" s="1411"/>
      <c r="F1502" s="1411"/>
      <c r="G1502" s="1411"/>
      <c r="H1502" s="128">
        <f>SUM(H1503:H1506)</f>
        <v>10619.599999999999</v>
      </c>
      <c r="I1502" s="106">
        <f t="shared" ref="I1502:P1502" si="446">SUM(I1503:I1506)</f>
        <v>8195.6999999999989</v>
      </c>
      <c r="J1502" s="106">
        <f t="shared" si="446"/>
        <v>6450.3</v>
      </c>
      <c r="K1502" s="119">
        <f t="shared" si="446"/>
        <v>429</v>
      </c>
      <c r="L1502" s="113">
        <f t="shared" si="446"/>
        <v>9462538</v>
      </c>
      <c r="M1502" s="113">
        <f t="shared" si="446"/>
        <v>0</v>
      </c>
      <c r="N1502" s="113">
        <f t="shared" si="446"/>
        <v>0</v>
      </c>
      <c r="O1502" s="113">
        <f t="shared" si="446"/>
        <v>9462538</v>
      </c>
      <c r="P1502" s="113">
        <f t="shared" si="446"/>
        <v>0</v>
      </c>
      <c r="Q1502" s="106" t="s">
        <v>40</v>
      </c>
      <c r="R1502" s="106" t="s">
        <v>40</v>
      </c>
      <c r="S1502" s="335">
        <v>43830</v>
      </c>
    </row>
    <row r="1503" spans="1:19" s="53" customFormat="1" ht="15.6">
      <c r="A1503" s="107">
        <f>A1500+1</f>
        <v>11</v>
      </c>
      <c r="B1503" s="301" t="s">
        <v>76</v>
      </c>
      <c r="C1503" s="108">
        <v>1979</v>
      </c>
      <c r="D1503" s="108"/>
      <c r="E1503" s="109" t="s">
        <v>219</v>
      </c>
      <c r="F1503" s="108">
        <v>5</v>
      </c>
      <c r="G1503" s="108">
        <v>4</v>
      </c>
      <c r="H1503" s="111">
        <v>3482.7</v>
      </c>
      <c r="I1503" s="108">
        <v>3216.7</v>
      </c>
      <c r="J1503" s="108">
        <v>2864.9</v>
      </c>
      <c r="K1503" s="112">
        <v>131</v>
      </c>
      <c r="L1503" s="113">
        <v>3626543</v>
      </c>
      <c r="M1503" s="113">
        <v>0</v>
      </c>
      <c r="N1503" s="113">
        <v>0</v>
      </c>
      <c r="O1503" s="113">
        <f>L1503</f>
        <v>3626543</v>
      </c>
      <c r="P1503" s="113">
        <v>0</v>
      </c>
      <c r="Q1503" s="114">
        <f>L1503/I1503</f>
        <v>1127.4110112848573</v>
      </c>
      <c r="R1503" s="114">
        <v>6774</v>
      </c>
      <c r="S1503" s="335">
        <v>43830</v>
      </c>
    </row>
    <row r="1504" spans="1:19" s="53" customFormat="1" ht="31.2">
      <c r="A1504" s="107">
        <f t="shared" si="433"/>
        <v>12</v>
      </c>
      <c r="B1504" s="301" t="s">
        <v>75</v>
      </c>
      <c r="C1504" s="108">
        <v>1978</v>
      </c>
      <c r="D1504" s="108"/>
      <c r="E1504" s="109" t="s">
        <v>218</v>
      </c>
      <c r="F1504" s="108">
        <v>5</v>
      </c>
      <c r="G1504" s="108">
        <v>1</v>
      </c>
      <c r="H1504" s="111">
        <v>4056.6</v>
      </c>
      <c r="I1504" s="108">
        <v>2191.6</v>
      </c>
      <c r="J1504" s="108">
        <v>937</v>
      </c>
      <c r="K1504" s="112">
        <v>196</v>
      </c>
      <c r="L1504" s="113">
        <v>2160246</v>
      </c>
      <c r="M1504" s="113">
        <v>0</v>
      </c>
      <c r="N1504" s="113">
        <v>0</v>
      </c>
      <c r="O1504" s="113">
        <f>L1504</f>
        <v>2160246</v>
      </c>
      <c r="P1504" s="113">
        <v>0</v>
      </c>
      <c r="Q1504" s="114">
        <f>L1504/I1504</f>
        <v>985.69355721847057</v>
      </c>
      <c r="R1504" s="114">
        <v>6774</v>
      </c>
      <c r="S1504" s="335">
        <v>43830</v>
      </c>
    </row>
    <row r="1505" spans="1:19" s="53" customFormat="1" ht="31.2">
      <c r="A1505" s="107">
        <f t="shared" si="433"/>
        <v>13</v>
      </c>
      <c r="B1505" s="301" t="s">
        <v>77</v>
      </c>
      <c r="C1505" s="108">
        <v>1925</v>
      </c>
      <c r="D1505" s="108"/>
      <c r="E1505" s="109" t="s">
        <v>218</v>
      </c>
      <c r="F1505" s="108">
        <v>2</v>
      </c>
      <c r="G1505" s="108">
        <v>2</v>
      </c>
      <c r="H1505" s="111">
        <v>597.1</v>
      </c>
      <c r="I1505" s="108">
        <v>487.9</v>
      </c>
      <c r="J1505" s="108">
        <v>455.6</v>
      </c>
      <c r="K1505" s="112">
        <v>16</v>
      </c>
      <c r="L1505" s="113">
        <v>1013564</v>
      </c>
      <c r="M1505" s="113">
        <v>0</v>
      </c>
      <c r="N1505" s="113">
        <v>0</v>
      </c>
      <c r="O1505" s="113">
        <f>L1505</f>
        <v>1013564</v>
      </c>
      <c r="P1505" s="113">
        <v>0</v>
      </c>
      <c r="Q1505" s="114">
        <f>L1505/I1505</f>
        <v>2077.401106784177</v>
      </c>
      <c r="R1505" s="114">
        <v>6774</v>
      </c>
      <c r="S1505" s="335">
        <v>43830</v>
      </c>
    </row>
    <row r="1506" spans="1:19" s="53" customFormat="1" ht="15.6">
      <c r="A1506" s="107">
        <f t="shared" si="433"/>
        <v>14</v>
      </c>
      <c r="B1506" s="301" t="s">
        <v>427</v>
      </c>
      <c r="C1506" s="108">
        <v>1982</v>
      </c>
      <c r="D1506" s="108"/>
      <c r="E1506" s="109" t="s">
        <v>219</v>
      </c>
      <c r="F1506" s="108">
        <v>5</v>
      </c>
      <c r="G1506" s="108">
        <v>3</v>
      </c>
      <c r="H1506" s="111">
        <v>2483.1999999999998</v>
      </c>
      <c r="I1506" s="108">
        <v>2299.5</v>
      </c>
      <c r="J1506" s="108">
        <v>2192.8000000000002</v>
      </c>
      <c r="K1506" s="112">
        <v>86</v>
      </c>
      <c r="L1506" s="113">
        <v>2662185</v>
      </c>
      <c r="M1506" s="113">
        <v>0</v>
      </c>
      <c r="N1506" s="113">
        <v>0</v>
      </c>
      <c r="O1506" s="113">
        <f>L1506</f>
        <v>2662185</v>
      </c>
      <c r="P1506" s="113">
        <v>0</v>
      </c>
      <c r="Q1506" s="114">
        <f>L1506/I1506</f>
        <v>1157.723418134377</v>
      </c>
      <c r="R1506" s="114">
        <v>6774</v>
      </c>
      <c r="S1506" s="335">
        <v>43830</v>
      </c>
    </row>
    <row r="1507" spans="1:19" s="53" customFormat="1" ht="15.75" customHeight="1">
      <c r="A1507" s="107"/>
      <c r="B1507" s="1424" t="s">
        <v>208</v>
      </c>
      <c r="C1507" s="1424"/>
      <c r="D1507" s="1424"/>
      <c r="E1507" s="1424"/>
      <c r="F1507" s="1424"/>
      <c r="G1507" s="1424"/>
      <c r="H1507" s="114">
        <f t="shared" ref="H1507:O1508" si="447">H1508</f>
        <v>340.3</v>
      </c>
      <c r="I1507" s="114">
        <f t="shared" si="447"/>
        <v>310</v>
      </c>
      <c r="J1507" s="114">
        <f t="shared" si="447"/>
        <v>310</v>
      </c>
      <c r="K1507" s="112">
        <f t="shared" si="447"/>
        <v>14</v>
      </c>
      <c r="L1507" s="113">
        <f t="shared" si="447"/>
        <v>512860</v>
      </c>
      <c r="M1507" s="113">
        <f t="shared" si="447"/>
        <v>0</v>
      </c>
      <c r="N1507" s="113">
        <f t="shared" si="447"/>
        <v>0</v>
      </c>
      <c r="O1507" s="113">
        <f t="shared" si="447"/>
        <v>512860</v>
      </c>
      <c r="P1507" s="113">
        <f>P1508</f>
        <v>0</v>
      </c>
      <c r="Q1507" s="106" t="s">
        <v>40</v>
      </c>
      <c r="R1507" s="114" t="s">
        <v>40</v>
      </c>
      <c r="S1507" s="335">
        <v>43830</v>
      </c>
    </row>
    <row r="1508" spans="1:19" s="53" customFormat="1" ht="15.6">
      <c r="A1508" s="107"/>
      <c r="B1508" s="1411" t="s">
        <v>209</v>
      </c>
      <c r="C1508" s="1411"/>
      <c r="D1508" s="1411"/>
      <c r="E1508" s="1411"/>
      <c r="F1508" s="1411"/>
      <c r="G1508" s="1411"/>
      <c r="H1508" s="114">
        <f t="shared" si="447"/>
        <v>340.3</v>
      </c>
      <c r="I1508" s="114">
        <f t="shared" si="447"/>
        <v>310</v>
      </c>
      <c r="J1508" s="114">
        <f t="shared" si="447"/>
        <v>310</v>
      </c>
      <c r="K1508" s="112">
        <f t="shared" si="447"/>
        <v>14</v>
      </c>
      <c r="L1508" s="113">
        <f t="shared" si="447"/>
        <v>512860</v>
      </c>
      <c r="M1508" s="113">
        <f t="shared" si="447"/>
        <v>0</v>
      </c>
      <c r="N1508" s="113">
        <f t="shared" si="447"/>
        <v>0</v>
      </c>
      <c r="O1508" s="113">
        <f t="shared" si="447"/>
        <v>512860</v>
      </c>
      <c r="P1508" s="113">
        <f>P1509</f>
        <v>0</v>
      </c>
      <c r="Q1508" s="106" t="s">
        <v>40</v>
      </c>
      <c r="R1508" s="106" t="s">
        <v>40</v>
      </c>
      <c r="S1508" s="335">
        <v>43830</v>
      </c>
    </row>
    <row r="1509" spans="1:19" s="53" customFormat="1" ht="31.2">
      <c r="A1509" s="327">
        <f>A1506+1</f>
        <v>15</v>
      </c>
      <c r="B1509" s="338" t="s">
        <v>480</v>
      </c>
      <c r="C1509" s="329">
        <v>1959</v>
      </c>
      <c r="D1509" s="329"/>
      <c r="E1509" s="330" t="s">
        <v>218</v>
      </c>
      <c r="F1509" s="329">
        <v>2</v>
      </c>
      <c r="G1509" s="329">
        <v>1</v>
      </c>
      <c r="H1509" s="331">
        <v>340.3</v>
      </c>
      <c r="I1509" s="329">
        <v>310</v>
      </c>
      <c r="J1509" s="329">
        <v>310</v>
      </c>
      <c r="K1509" s="332">
        <v>14</v>
      </c>
      <c r="L1509" s="333">
        <v>512860</v>
      </c>
      <c r="M1509" s="333">
        <v>0</v>
      </c>
      <c r="N1509" s="333">
        <v>0</v>
      </c>
      <c r="O1509" s="333">
        <v>512860</v>
      </c>
      <c r="P1509" s="333">
        <v>0</v>
      </c>
      <c r="Q1509" s="334">
        <f>L1509/I1509</f>
        <v>1654.3870967741937</v>
      </c>
      <c r="R1509" s="334">
        <v>7920</v>
      </c>
      <c r="S1509" s="335">
        <v>43830</v>
      </c>
    </row>
    <row r="1510" spans="1:19" s="1" customFormat="1" ht="15.6">
      <c r="A1510" s="107"/>
      <c r="B1510" s="1411" t="s">
        <v>61</v>
      </c>
      <c r="C1510" s="1411"/>
      <c r="D1510" s="1411"/>
      <c r="E1510" s="1411"/>
      <c r="F1510" s="1411"/>
      <c r="G1510" s="1411"/>
      <c r="H1510" s="128">
        <f>H1511</f>
        <v>2833.2999999999997</v>
      </c>
      <c r="I1510" s="106">
        <f t="shared" ref="I1510:P1510" si="448">I1511</f>
        <v>2631.4</v>
      </c>
      <c r="J1510" s="106">
        <f t="shared" si="448"/>
        <v>2598.2999999999997</v>
      </c>
      <c r="K1510" s="119">
        <f t="shared" si="448"/>
        <v>119</v>
      </c>
      <c r="L1510" s="113">
        <f t="shared" si="448"/>
        <v>4336309</v>
      </c>
      <c r="M1510" s="113">
        <f t="shared" si="448"/>
        <v>0</v>
      </c>
      <c r="N1510" s="113">
        <f t="shared" si="448"/>
        <v>0</v>
      </c>
      <c r="O1510" s="317">
        <f t="shared" si="448"/>
        <v>4336309</v>
      </c>
      <c r="P1510" s="317">
        <f t="shared" si="448"/>
        <v>0</v>
      </c>
      <c r="Q1510" s="114" t="s">
        <v>40</v>
      </c>
      <c r="R1510" s="114" t="s">
        <v>40</v>
      </c>
      <c r="S1510" s="335">
        <v>43830</v>
      </c>
    </row>
    <row r="1511" spans="1:19" s="1" customFormat="1" ht="15.6">
      <c r="A1511" s="107"/>
      <c r="B1511" s="1411" t="s">
        <v>118</v>
      </c>
      <c r="C1511" s="1411"/>
      <c r="D1511" s="1411"/>
      <c r="E1511" s="1411"/>
      <c r="F1511" s="1411"/>
      <c r="G1511" s="1411"/>
      <c r="H1511" s="128">
        <f>H1512+H1513+H1514+H1515</f>
        <v>2833.2999999999997</v>
      </c>
      <c r="I1511" s="128">
        <f t="shared" ref="I1511:P1511" si="449">I1512+I1513+I1514+I1515</f>
        <v>2631.4</v>
      </c>
      <c r="J1511" s="128">
        <f t="shared" si="449"/>
        <v>2598.2999999999997</v>
      </c>
      <c r="K1511" s="128">
        <f t="shared" si="449"/>
        <v>119</v>
      </c>
      <c r="L1511" s="366">
        <f t="shared" si="449"/>
        <v>4336309</v>
      </c>
      <c r="M1511" s="128">
        <f t="shared" si="449"/>
        <v>0</v>
      </c>
      <c r="N1511" s="128">
        <f t="shared" si="449"/>
        <v>0</v>
      </c>
      <c r="O1511" s="128">
        <f t="shared" si="449"/>
        <v>4336309</v>
      </c>
      <c r="P1511" s="128">
        <f t="shared" si="449"/>
        <v>0</v>
      </c>
      <c r="Q1511" s="114" t="s">
        <v>40</v>
      </c>
      <c r="R1511" s="106" t="s">
        <v>40</v>
      </c>
      <c r="S1511" s="335">
        <v>43830</v>
      </c>
    </row>
    <row r="1512" spans="1:19" s="1" customFormat="1" ht="31.2">
      <c r="A1512" s="327"/>
      <c r="B1512" s="365" t="s">
        <v>489</v>
      </c>
      <c r="C1512" s="352">
        <v>1973</v>
      </c>
      <c r="D1512" s="365"/>
      <c r="E1512" s="330" t="s">
        <v>218</v>
      </c>
      <c r="F1512" s="352">
        <v>2</v>
      </c>
      <c r="G1512" s="352">
        <v>2</v>
      </c>
      <c r="H1512" s="353">
        <v>366.6</v>
      </c>
      <c r="I1512" s="356">
        <v>338.2</v>
      </c>
      <c r="J1512" s="356">
        <v>338.2</v>
      </c>
      <c r="K1512" s="355">
        <v>16</v>
      </c>
      <c r="L1512" s="333">
        <v>1231974</v>
      </c>
      <c r="M1512" s="333">
        <v>0</v>
      </c>
      <c r="N1512" s="333">
        <v>0</v>
      </c>
      <c r="O1512" s="333">
        <v>1231974</v>
      </c>
      <c r="P1512" s="333">
        <f t="shared" ref="P1512:P1514" si="450">P1519</f>
        <v>0</v>
      </c>
      <c r="Q1512" s="334">
        <f t="shared" ref="Q1512:Q1514" si="451">L1512/I1512</f>
        <v>3642.7380248373743</v>
      </c>
      <c r="R1512" s="356">
        <v>7920</v>
      </c>
      <c r="S1512" s="335">
        <v>43830</v>
      </c>
    </row>
    <row r="1513" spans="1:19" s="1" customFormat="1" ht="15.6">
      <c r="A1513" s="327"/>
      <c r="B1513" s="365" t="s">
        <v>225</v>
      </c>
      <c r="C1513" s="352">
        <v>1990</v>
      </c>
      <c r="D1513" s="365"/>
      <c r="E1513" s="330" t="s">
        <v>219</v>
      </c>
      <c r="F1513" s="352">
        <v>3</v>
      </c>
      <c r="G1513" s="352">
        <v>3</v>
      </c>
      <c r="H1513" s="353">
        <v>1344.1</v>
      </c>
      <c r="I1513" s="356">
        <v>1284.0999999999999</v>
      </c>
      <c r="J1513" s="356">
        <v>1284.0999999999999</v>
      </c>
      <c r="K1513" s="355">
        <v>61</v>
      </c>
      <c r="L1513" s="333">
        <v>1299802</v>
      </c>
      <c r="M1513" s="333">
        <v>0</v>
      </c>
      <c r="N1513" s="333">
        <v>0</v>
      </c>
      <c r="O1513" s="333">
        <v>1299802</v>
      </c>
      <c r="P1513" s="333">
        <f t="shared" si="450"/>
        <v>0</v>
      </c>
      <c r="Q1513" s="334">
        <f t="shared" si="451"/>
        <v>1012.2280196246398</v>
      </c>
      <c r="R1513" s="356">
        <v>7920</v>
      </c>
      <c r="S1513" s="335">
        <v>43830</v>
      </c>
    </row>
    <row r="1514" spans="1:19" s="1" customFormat="1" ht="31.2">
      <c r="A1514" s="327"/>
      <c r="B1514" s="365" t="s">
        <v>490</v>
      </c>
      <c r="C1514" s="352">
        <v>1973</v>
      </c>
      <c r="D1514" s="365"/>
      <c r="E1514" s="330" t="s">
        <v>218</v>
      </c>
      <c r="F1514" s="352">
        <v>2</v>
      </c>
      <c r="G1514" s="352">
        <v>2</v>
      </c>
      <c r="H1514" s="353">
        <v>567</v>
      </c>
      <c r="I1514" s="356">
        <v>519.5</v>
      </c>
      <c r="J1514" s="356">
        <v>486.4</v>
      </c>
      <c r="K1514" s="355">
        <v>28</v>
      </c>
      <c r="L1514" s="333">
        <v>1450861</v>
      </c>
      <c r="M1514" s="333">
        <v>0</v>
      </c>
      <c r="N1514" s="333">
        <v>0</v>
      </c>
      <c r="O1514" s="333">
        <v>1450861</v>
      </c>
      <c r="P1514" s="333">
        <f t="shared" si="450"/>
        <v>0</v>
      </c>
      <c r="Q1514" s="334">
        <f t="shared" si="451"/>
        <v>2792.8026948989414</v>
      </c>
      <c r="R1514" s="356">
        <v>7920</v>
      </c>
      <c r="S1514" s="335">
        <v>43830</v>
      </c>
    </row>
    <row r="1515" spans="1:19" s="1" customFormat="1" ht="31.2">
      <c r="A1515" s="327">
        <f>A1509+1</f>
        <v>16</v>
      </c>
      <c r="B1515" s="351" t="s">
        <v>491</v>
      </c>
      <c r="C1515" s="329">
        <v>1960</v>
      </c>
      <c r="D1515" s="329"/>
      <c r="E1515" s="330" t="s">
        <v>218</v>
      </c>
      <c r="F1515" s="329">
        <v>2</v>
      </c>
      <c r="G1515" s="329">
        <v>2</v>
      </c>
      <c r="H1515" s="331">
        <v>555.6</v>
      </c>
      <c r="I1515" s="334">
        <v>489.6</v>
      </c>
      <c r="J1515" s="334">
        <v>489.6</v>
      </c>
      <c r="K1515" s="332">
        <v>14</v>
      </c>
      <c r="L1515" s="333">
        <v>353672</v>
      </c>
      <c r="M1515" s="333">
        <v>0</v>
      </c>
      <c r="N1515" s="333">
        <v>0</v>
      </c>
      <c r="O1515" s="333">
        <v>353672</v>
      </c>
      <c r="P1515" s="333">
        <v>0</v>
      </c>
      <c r="Q1515" s="356">
        <f>L1515/I1515</f>
        <v>722.36928104575156</v>
      </c>
      <c r="R1515" s="334">
        <v>7920</v>
      </c>
      <c r="S1515" s="335">
        <v>43830</v>
      </c>
    </row>
    <row r="1516" spans="1:19" s="1" customFormat="1" ht="23.4" customHeight="1">
      <c r="B1516" s="1411" t="s">
        <v>649</v>
      </c>
      <c r="C1516" s="1411"/>
      <c r="D1516" s="1411"/>
      <c r="E1516" s="1411"/>
      <c r="F1516" s="1411"/>
      <c r="G1516" s="1411"/>
      <c r="H1516" s="111">
        <f>H1517</f>
        <v>952.2</v>
      </c>
      <c r="I1516" s="111">
        <f t="shared" ref="I1516:P1516" si="452">I1517</f>
        <v>814</v>
      </c>
      <c r="J1516" s="111">
        <f t="shared" si="452"/>
        <v>630.1</v>
      </c>
      <c r="K1516" s="111">
        <f t="shared" si="452"/>
        <v>41</v>
      </c>
      <c r="L1516" s="566">
        <f t="shared" si="452"/>
        <v>1490380</v>
      </c>
      <c r="M1516" s="566">
        <f t="shared" si="452"/>
        <v>0</v>
      </c>
      <c r="N1516" s="566">
        <f t="shared" si="452"/>
        <v>0</v>
      </c>
      <c r="O1516" s="566">
        <f t="shared" si="452"/>
        <v>1490380</v>
      </c>
      <c r="P1516" s="566">
        <f t="shared" si="452"/>
        <v>0</v>
      </c>
      <c r="Q1516" s="106" t="s">
        <v>40</v>
      </c>
      <c r="R1516" s="114" t="s">
        <v>40</v>
      </c>
      <c r="S1516" s="335">
        <v>43830</v>
      </c>
    </row>
    <row r="1517" spans="1:19" s="1" customFormat="1" ht="21.6" customHeight="1">
      <c r="A1517" s="107"/>
      <c r="B1517" s="1411" t="s">
        <v>655</v>
      </c>
      <c r="C1517" s="1411"/>
      <c r="D1517" s="1411"/>
      <c r="E1517" s="1411"/>
      <c r="F1517" s="1411"/>
      <c r="G1517" s="1411"/>
      <c r="H1517" s="111">
        <f>H1518</f>
        <v>952.2</v>
      </c>
      <c r="I1517" s="111">
        <f t="shared" ref="I1517:P1517" si="453">I1518</f>
        <v>814</v>
      </c>
      <c r="J1517" s="111">
        <f t="shared" si="453"/>
        <v>630.1</v>
      </c>
      <c r="K1517" s="111">
        <f t="shared" si="453"/>
        <v>41</v>
      </c>
      <c r="L1517" s="566">
        <f t="shared" si="453"/>
        <v>1490380</v>
      </c>
      <c r="M1517" s="566">
        <f t="shared" si="453"/>
        <v>0</v>
      </c>
      <c r="N1517" s="566">
        <f t="shared" si="453"/>
        <v>0</v>
      </c>
      <c r="O1517" s="566">
        <f t="shared" si="453"/>
        <v>1490380</v>
      </c>
      <c r="P1517" s="566">
        <f t="shared" si="453"/>
        <v>0</v>
      </c>
      <c r="Q1517" s="106" t="s">
        <v>40</v>
      </c>
      <c r="R1517" s="106" t="s">
        <v>40</v>
      </c>
      <c r="S1517" s="335">
        <v>43830</v>
      </c>
    </row>
    <row r="1518" spans="1:19" s="1" customFormat="1" ht="39" customHeight="1">
      <c r="A1518" s="107"/>
      <c r="B1518" s="568" t="s">
        <v>657</v>
      </c>
      <c r="C1518" s="108">
        <v>1983</v>
      </c>
      <c r="D1518" s="108"/>
      <c r="E1518" s="99" t="s">
        <v>220</v>
      </c>
      <c r="F1518" s="108">
        <v>2</v>
      </c>
      <c r="G1518" s="108">
        <v>3</v>
      </c>
      <c r="H1518" s="111">
        <v>952.2</v>
      </c>
      <c r="I1518" s="114">
        <v>814</v>
      </c>
      <c r="J1518" s="114">
        <v>630.1</v>
      </c>
      <c r="K1518" s="112">
        <v>41</v>
      </c>
      <c r="L1518" s="113">
        <v>1490380</v>
      </c>
      <c r="M1518" s="113">
        <v>0</v>
      </c>
      <c r="N1518" s="113">
        <v>0</v>
      </c>
      <c r="O1518" s="113">
        <v>1490380</v>
      </c>
      <c r="P1518" s="113">
        <v>0</v>
      </c>
      <c r="Q1518" s="106">
        <f>L1518/I1518</f>
        <v>1830.933660933661</v>
      </c>
      <c r="R1518" s="107">
        <v>7920</v>
      </c>
      <c r="S1518" s="335">
        <v>43830</v>
      </c>
    </row>
    <row r="1519" spans="1:19" s="1" customFormat="1" ht="15.6">
      <c r="A1519" s="107"/>
      <c r="B1519" s="1411" t="s">
        <v>62</v>
      </c>
      <c r="C1519" s="1411"/>
      <c r="D1519" s="1411"/>
      <c r="E1519" s="1411"/>
      <c r="F1519" s="1411"/>
      <c r="G1519" s="1411"/>
      <c r="H1519" s="128">
        <f>H1520</f>
        <v>445.14</v>
      </c>
      <c r="I1519" s="106">
        <f t="shared" ref="I1519:P1520" si="454">I1520</f>
        <v>380.18</v>
      </c>
      <c r="J1519" s="106">
        <f t="shared" si="454"/>
        <v>380.18</v>
      </c>
      <c r="K1519" s="119">
        <f t="shared" si="454"/>
        <v>18</v>
      </c>
      <c r="L1519" s="113">
        <f t="shared" si="454"/>
        <v>1175875</v>
      </c>
      <c r="M1519" s="113">
        <f t="shared" si="454"/>
        <v>0</v>
      </c>
      <c r="N1519" s="113">
        <f t="shared" si="454"/>
        <v>0</v>
      </c>
      <c r="O1519" s="113">
        <f t="shared" si="454"/>
        <v>1175875</v>
      </c>
      <c r="P1519" s="113">
        <f t="shared" si="454"/>
        <v>0</v>
      </c>
      <c r="Q1519" s="106" t="s">
        <v>40</v>
      </c>
      <c r="R1519" s="106" t="s">
        <v>40</v>
      </c>
      <c r="S1519" s="335">
        <v>43830</v>
      </c>
    </row>
    <row r="1520" spans="1:19" s="1" customFormat="1" ht="15.6">
      <c r="A1520" s="107"/>
      <c r="B1520" s="1411" t="s">
        <v>117</v>
      </c>
      <c r="C1520" s="1411"/>
      <c r="D1520" s="1411"/>
      <c r="E1520" s="1411"/>
      <c r="F1520" s="1411"/>
      <c r="G1520" s="1411"/>
      <c r="H1520" s="128">
        <f>H1521</f>
        <v>445.14</v>
      </c>
      <c r="I1520" s="106">
        <f t="shared" si="454"/>
        <v>380.18</v>
      </c>
      <c r="J1520" s="106">
        <f t="shared" si="454"/>
        <v>380.18</v>
      </c>
      <c r="K1520" s="119">
        <f t="shared" si="454"/>
        <v>18</v>
      </c>
      <c r="L1520" s="113">
        <f t="shared" si="454"/>
        <v>1175875</v>
      </c>
      <c r="M1520" s="113">
        <f t="shared" si="454"/>
        <v>0</v>
      </c>
      <c r="N1520" s="113">
        <f t="shared" si="454"/>
        <v>0</v>
      </c>
      <c r="O1520" s="113">
        <f t="shared" si="454"/>
        <v>1175875</v>
      </c>
      <c r="P1520" s="113">
        <f t="shared" si="454"/>
        <v>0</v>
      </c>
      <c r="Q1520" s="106" t="s">
        <v>40</v>
      </c>
      <c r="R1520" s="106" t="s">
        <v>40</v>
      </c>
      <c r="S1520" s="335">
        <v>43830</v>
      </c>
    </row>
    <row r="1521" spans="1:19" s="1" customFormat="1" ht="31.2">
      <c r="A1521" s="327">
        <f>A1515+1</f>
        <v>17</v>
      </c>
      <c r="B1521" s="365" t="s">
        <v>488</v>
      </c>
      <c r="C1521" s="352">
        <v>1967</v>
      </c>
      <c r="D1521" s="352"/>
      <c r="E1521" s="330" t="s">
        <v>218</v>
      </c>
      <c r="F1521" s="352">
        <v>2</v>
      </c>
      <c r="G1521" s="352">
        <v>2</v>
      </c>
      <c r="H1521" s="353">
        <v>445.14</v>
      </c>
      <c r="I1521" s="356">
        <v>380.18</v>
      </c>
      <c r="J1521" s="356">
        <v>380.18</v>
      </c>
      <c r="K1521" s="355">
        <v>18</v>
      </c>
      <c r="L1521" s="333">
        <v>1175875</v>
      </c>
      <c r="M1521" s="333">
        <v>0</v>
      </c>
      <c r="N1521" s="333">
        <v>0</v>
      </c>
      <c r="O1521" s="333">
        <f>L1521</f>
        <v>1175875</v>
      </c>
      <c r="P1521" s="333">
        <v>0</v>
      </c>
      <c r="Q1521" s="356">
        <f>L1521/I1521</f>
        <v>3092.9428165605764</v>
      </c>
      <c r="R1521" s="334">
        <v>7920</v>
      </c>
      <c r="S1521" s="335">
        <v>43830</v>
      </c>
    </row>
    <row r="1522" spans="1:19" s="1" customFormat="1" ht="15.6">
      <c r="A1522" s="327"/>
      <c r="B1522" s="1488" t="s">
        <v>63</v>
      </c>
      <c r="C1522" s="1488"/>
      <c r="D1522" s="1488"/>
      <c r="E1522" s="1488"/>
      <c r="F1522" s="1488"/>
      <c r="G1522" s="1488"/>
      <c r="H1522" s="353">
        <f>H1523</f>
        <v>571.1</v>
      </c>
      <c r="I1522" s="356">
        <f t="shared" ref="I1522:P1522" si="455">I1523</f>
        <v>516.70000000000005</v>
      </c>
      <c r="J1522" s="356">
        <f t="shared" si="455"/>
        <v>516.70000000000005</v>
      </c>
      <c r="K1522" s="355">
        <f t="shared" si="455"/>
        <v>28</v>
      </c>
      <c r="L1522" s="333">
        <f t="shared" si="455"/>
        <v>1608623</v>
      </c>
      <c r="M1522" s="333">
        <f t="shared" si="455"/>
        <v>0</v>
      </c>
      <c r="N1522" s="333">
        <f t="shared" si="455"/>
        <v>0</v>
      </c>
      <c r="O1522" s="333">
        <f t="shared" si="455"/>
        <v>1608623</v>
      </c>
      <c r="P1522" s="333">
        <f t="shared" si="455"/>
        <v>0</v>
      </c>
      <c r="Q1522" s="356" t="s">
        <v>40</v>
      </c>
      <c r="R1522" s="356" t="s">
        <v>40</v>
      </c>
      <c r="S1522" s="335">
        <v>43830</v>
      </c>
    </row>
    <row r="1523" spans="1:19" s="1" customFormat="1" ht="15.75" customHeight="1">
      <c r="A1523" s="327"/>
      <c r="B1523" s="1490" t="s">
        <v>116</v>
      </c>
      <c r="C1523" s="1490"/>
      <c r="D1523" s="1490"/>
      <c r="E1523" s="1490"/>
      <c r="F1523" s="1490"/>
      <c r="G1523" s="1490"/>
      <c r="H1523" s="353">
        <f>H1524</f>
        <v>571.1</v>
      </c>
      <c r="I1523" s="353">
        <f t="shared" ref="I1523:P1523" si="456">I1524</f>
        <v>516.70000000000005</v>
      </c>
      <c r="J1523" s="353">
        <f t="shared" si="456"/>
        <v>516.70000000000005</v>
      </c>
      <c r="K1523" s="353">
        <f t="shared" si="456"/>
        <v>28</v>
      </c>
      <c r="L1523" s="708">
        <f t="shared" si="456"/>
        <v>1608623</v>
      </c>
      <c r="M1523" s="708">
        <f t="shared" si="456"/>
        <v>0</v>
      </c>
      <c r="N1523" s="708">
        <f t="shared" si="456"/>
        <v>0</v>
      </c>
      <c r="O1523" s="708">
        <f t="shared" si="456"/>
        <v>1608623</v>
      </c>
      <c r="P1523" s="708">
        <f t="shared" si="456"/>
        <v>0</v>
      </c>
      <c r="Q1523" s="356" t="s">
        <v>40</v>
      </c>
      <c r="R1523" s="356" t="s">
        <v>40</v>
      </c>
      <c r="S1523" s="335">
        <v>43830</v>
      </c>
    </row>
    <row r="1524" spans="1:19" s="1" customFormat="1" ht="31.2">
      <c r="A1524" s="327"/>
      <c r="B1524" s="723" t="s">
        <v>678</v>
      </c>
      <c r="C1524" s="724">
        <v>1969</v>
      </c>
      <c r="D1524" s="725"/>
      <c r="E1524" s="330" t="s">
        <v>218</v>
      </c>
      <c r="F1524" s="726">
        <v>2</v>
      </c>
      <c r="G1524" s="726">
        <v>2</v>
      </c>
      <c r="H1524" s="368">
        <v>571.1</v>
      </c>
      <c r="I1524" s="369">
        <v>516.70000000000005</v>
      </c>
      <c r="J1524" s="369">
        <v>516.70000000000005</v>
      </c>
      <c r="K1524" s="370">
        <v>28</v>
      </c>
      <c r="L1524" s="333">
        <v>1608623</v>
      </c>
      <c r="M1524" s="333">
        <v>0</v>
      </c>
      <c r="N1524" s="333">
        <v>0</v>
      </c>
      <c r="O1524" s="333">
        <v>1608623</v>
      </c>
      <c r="P1524" s="333">
        <v>0</v>
      </c>
      <c r="Q1524" s="371">
        <f>L1524/I1524</f>
        <v>3113.2630152893357</v>
      </c>
      <c r="R1524" s="334">
        <v>7920</v>
      </c>
      <c r="S1524" s="335">
        <v>43830</v>
      </c>
    </row>
    <row r="1525" spans="1:19" s="1" customFormat="1" ht="15.6">
      <c r="A1525" s="327"/>
      <c r="B1525" s="1493" t="s">
        <v>663</v>
      </c>
      <c r="C1525" s="1494"/>
      <c r="D1525" s="1494"/>
      <c r="E1525" s="1494"/>
      <c r="F1525" s="1494"/>
      <c r="G1525" s="1495"/>
      <c r="H1525" s="371">
        <f>H1526</f>
        <v>783.2</v>
      </c>
      <c r="I1525" s="371">
        <f t="shared" ref="I1525:P1525" si="457">I1526</f>
        <v>734.8</v>
      </c>
      <c r="J1525" s="371">
        <f t="shared" si="457"/>
        <v>552.79999999999995</v>
      </c>
      <c r="K1525" s="371">
        <f t="shared" si="457"/>
        <v>32</v>
      </c>
      <c r="L1525" s="697">
        <f t="shared" si="457"/>
        <v>1457324</v>
      </c>
      <c r="M1525" s="697">
        <f t="shared" si="457"/>
        <v>0</v>
      </c>
      <c r="N1525" s="697">
        <f t="shared" si="457"/>
        <v>0</v>
      </c>
      <c r="O1525" s="697">
        <f t="shared" si="457"/>
        <v>1457324</v>
      </c>
      <c r="P1525" s="697">
        <f t="shared" si="457"/>
        <v>0</v>
      </c>
      <c r="Q1525" s="356" t="s">
        <v>40</v>
      </c>
      <c r="R1525" s="356" t="s">
        <v>40</v>
      </c>
      <c r="S1525" s="335">
        <v>43830</v>
      </c>
    </row>
    <row r="1526" spans="1:19" s="1" customFormat="1" ht="31.2">
      <c r="A1526" s="327"/>
      <c r="B1526" s="723" t="s">
        <v>666</v>
      </c>
      <c r="C1526" s="724">
        <v>1978</v>
      </c>
      <c r="D1526" s="725"/>
      <c r="E1526" s="330" t="s">
        <v>218</v>
      </c>
      <c r="F1526" s="726">
        <v>2</v>
      </c>
      <c r="G1526" s="726">
        <v>2</v>
      </c>
      <c r="H1526" s="368">
        <v>783.2</v>
      </c>
      <c r="I1526" s="369">
        <v>734.8</v>
      </c>
      <c r="J1526" s="369">
        <v>552.79999999999995</v>
      </c>
      <c r="K1526" s="370">
        <v>32</v>
      </c>
      <c r="L1526" s="333">
        <v>1457324</v>
      </c>
      <c r="M1526" s="333">
        <v>0</v>
      </c>
      <c r="N1526" s="333">
        <v>0</v>
      </c>
      <c r="O1526" s="333">
        <v>1457324</v>
      </c>
      <c r="P1526" s="333">
        <v>0</v>
      </c>
      <c r="Q1526" s="371">
        <f t="shared" ref="Q1526" si="458">L1526/I1526</f>
        <v>1983.2934131736529</v>
      </c>
      <c r="R1526" s="334">
        <v>7920</v>
      </c>
      <c r="S1526" s="335">
        <v>43830</v>
      </c>
    </row>
    <row r="1527" spans="1:19" s="1" customFormat="1" ht="15.6">
      <c r="A1527" s="107"/>
      <c r="B1527" s="1411" t="s">
        <v>64</v>
      </c>
      <c r="C1527" s="1411"/>
      <c r="D1527" s="1411"/>
      <c r="E1527" s="1411"/>
      <c r="F1527" s="1411"/>
      <c r="G1527" s="1411"/>
      <c r="H1527" s="128">
        <f>H1528</f>
        <v>3434.5</v>
      </c>
      <c r="I1527" s="106">
        <f t="shared" ref="I1527:P1527" si="459">I1528</f>
        <v>3176.9</v>
      </c>
      <c r="J1527" s="106">
        <f t="shared" si="459"/>
        <v>3176.9</v>
      </c>
      <c r="K1527" s="119">
        <f t="shared" si="459"/>
        <v>113</v>
      </c>
      <c r="L1527" s="113">
        <f t="shared" si="459"/>
        <v>5448472</v>
      </c>
      <c r="M1527" s="113">
        <f t="shared" si="459"/>
        <v>0</v>
      </c>
      <c r="N1527" s="113">
        <f t="shared" si="459"/>
        <v>0</v>
      </c>
      <c r="O1527" s="113">
        <f t="shared" si="459"/>
        <v>5448472</v>
      </c>
      <c r="P1527" s="113">
        <f t="shared" si="459"/>
        <v>0</v>
      </c>
      <c r="Q1527" s="106" t="s">
        <v>40</v>
      </c>
      <c r="R1527" s="106" t="s">
        <v>40</v>
      </c>
      <c r="S1527" s="335">
        <v>43830</v>
      </c>
    </row>
    <row r="1528" spans="1:19" s="1" customFormat="1" ht="15.6">
      <c r="A1528" s="107"/>
      <c r="B1528" s="1411" t="s">
        <v>115</v>
      </c>
      <c r="C1528" s="1411"/>
      <c r="D1528" s="1411"/>
      <c r="E1528" s="1411"/>
      <c r="F1528" s="1411"/>
      <c r="G1528" s="1411"/>
      <c r="H1528" s="128">
        <f>SUM(H1529:H1530)</f>
        <v>3434.5</v>
      </c>
      <c r="I1528" s="128">
        <f t="shared" ref="I1528:P1528" si="460">SUM(I1529:I1530)</f>
        <v>3176.9</v>
      </c>
      <c r="J1528" s="128">
        <f t="shared" si="460"/>
        <v>3176.9</v>
      </c>
      <c r="K1528" s="128">
        <f t="shared" si="460"/>
        <v>113</v>
      </c>
      <c r="L1528" s="366">
        <f t="shared" si="460"/>
        <v>5448472</v>
      </c>
      <c r="M1528" s="366">
        <f t="shared" si="460"/>
        <v>0</v>
      </c>
      <c r="N1528" s="366">
        <f t="shared" si="460"/>
        <v>0</v>
      </c>
      <c r="O1528" s="366">
        <f t="shared" si="460"/>
        <v>5448472</v>
      </c>
      <c r="P1528" s="366">
        <f t="shared" si="460"/>
        <v>0</v>
      </c>
      <c r="Q1528" s="106" t="s">
        <v>40</v>
      </c>
      <c r="R1528" s="106" t="s">
        <v>40</v>
      </c>
      <c r="S1528" s="335">
        <v>43830</v>
      </c>
    </row>
    <row r="1529" spans="1:19" s="1" customFormat="1" ht="31.2">
      <c r="A1529" s="327">
        <f>A1524+1</f>
        <v>1</v>
      </c>
      <c r="B1529" s="365" t="s">
        <v>616</v>
      </c>
      <c r="C1529" s="352">
        <v>1970</v>
      </c>
      <c r="D1529" s="352"/>
      <c r="E1529" s="330" t="s">
        <v>218</v>
      </c>
      <c r="F1529" s="352">
        <v>2</v>
      </c>
      <c r="G1529" s="352">
        <v>2</v>
      </c>
      <c r="H1529" s="353">
        <v>795.4</v>
      </c>
      <c r="I1529" s="356">
        <v>735.1</v>
      </c>
      <c r="J1529" s="356">
        <v>735.1</v>
      </c>
      <c r="K1529" s="355">
        <v>30</v>
      </c>
      <c r="L1529" s="333">
        <v>1902273</v>
      </c>
      <c r="M1529" s="333">
        <v>0</v>
      </c>
      <c r="N1529" s="333">
        <v>0</v>
      </c>
      <c r="O1529" s="333">
        <f>L1529</f>
        <v>1902273</v>
      </c>
      <c r="P1529" s="333">
        <v>0</v>
      </c>
      <c r="Q1529" s="356">
        <f>L1529/I1529</f>
        <v>2587.7744524554482</v>
      </c>
      <c r="R1529" s="334">
        <v>7920</v>
      </c>
      <c r="S1529" s="335">
        <v>43830</v>
      </c>
    </row>
    <row r="1530" spans="1:19" s="1" customFormat="1" ht="31.2">
      <c r="A1530" s="327">
        <f t="shared" ref="A1530:A1552" si="461">A1529+1</f>
        <v>2</v>
      </c>
      <c r="B1530" s="365" t="s">
        <v>617</v>
      </c>
      <c r="C1530" s="352">
        <v>1985</v>
      </c>
      <c r="D1530" s="352"/>
      <c r="E1530" s="330" t="s">
        <v>218</v>
      </c>
      <c r="F1530" s="352">
        <v>3</v>
      </c>
      <c r="G1530" s="352">
        <v>4</v>
      </c>
      <c r="H1530" s="353">
        <v>2639.1</v>
      </c>
      <c r="I1530" s="356">
        <v>2441.8000000000002</v>
      </c>
      <c r="J1530" s="356">
        <v>2441.8000000000002</v>
      </c>
      <c r="K1530" s="355">
        <v>83</v>
      </c>
      <c r="L1530" s="333">
        <v>3546199</v>
      </c>
      <c r="M1530" s="333">
        <v>0</v>
      </c>
      <c r="N1530" s="333">
        <v>0</v>
      </c>
      <c r="O1530" s="333">
        <f>L1530</f>
        <v>3546199</v>
      </c>
      <c r="P1530" s="333">
        <v>0</v>
      </c>
      <c r="Q1530" s="356">
        <f>L1530/I1530</f>
        <v>1452.2888852485869</v>
      </c>
      <c r="R1530" s="334">
        <v>7920</v>
      </c>
      <c r="S1530" s="335">
        <v>43830</v>
      </c>
    </row>
    <row r="1531" spans="1:19" s="1" customFormat="1" ht="15.6">
      <c r="A1531" s="327"/>
      <c r="B1531" s="365"/>
      <c r="C1531" s="352"/>
      <c r="D1531" s="352"/>
      <c r="E1531" s="330"/>
      <c r="F1531" s="352"/>
      <c r="G1531" s="352"/>
      <c r="H1531" s="353"/>
      <c r="I1531" s="356"/>
      <c r="J1531" s="356"/>
      <c r="K1531" s="355"/>
      <c r="L1531" s="333"/>
      <c r="M1531" s="333"/>
      <c r="N1531" s="333"/>
      <c r="O1531" s="333"/>
      <c r="P1531" s="333"/>
      <c r="Q1531" s="356"/>
      <c r="R1531" s="334"/>
      <c r="S1531" s="335"/>
    </row>
    <row r="1532" spans="1:19" s="1" customFormat="1" ht="15.6">
      <c r="A1532" s="327"/>
      <c r="B1532" s="365"/>
      <c r="C1532" s="352"/>
      <c r="D1532" s="352"/>
      <c r="E1532" s="330"/>
      <c r="F1532" s="352"/>
      <c r="G1532" s="352"/>
      <c r="H1532" s="353"/>
      <c r="I1532" s="356"/>
      <c r="J1532" s="356"/>
      <c r="K1532" s="355"/>
      <c r="L1532" s="333"/>
      <c r="M1532" s="333"/>
      <c r="N1532" s="333"/>
      <c r="O1532" s="333"/>
      <c r="P1532" s="333"/>
      <c r="Q1532" s="356"/>
      <c r="R1532" s="334"/>
      <c r="S1532" s="335"/>
    </row>
    <row r="1533" spans="1:19" s="1" customFormat="1" ht="15.6">
      <c r="A1533" s="107"/>
      <c r="B1533" s="1411" t="s">
        <v>211</v>
      </c>
      <c r="C1533" s="1411"/>
      <c r="D1533" s="1411"/>
      <c r="E1533" s="1411"/>
      <c r="F1533" s="1411"/>
      <c r="G1533" s="1411"/>
      <c r="H1533" s="128">
        <f>H1534+H1536</f>
        <v>2953.2000000000003</v>
      </c>
      <c r="I1533" s="128">
        <f t="shared" ref="I1533:P1533" si="462">I1534+I1536</f>
        <v>2191.4</v>
      </c>
      <c r="J1533" s="128">
        <f t="shared" si="462"/>
        <v>2191.4</v>
      </c>
      <c r="K1533" s="119">
        <f t="shared" si="462"/>
        <v>85</v>
      </c>
      <c r="L1533" s="113">
        <f t="shared" si="462"/>
        <v>3398521</v>
      </c>
      <c r="M1533" s="113">
        <f t="shared" si="462"/>
        <v>0</v>
      </c>
      <c r="N1533" s="113">
        <f t="shared" si="462"/>
        <v>0</v>
      </c>
      <c r="O1533" s="113">
        <f t="shared" si="462"/>
        <v>3398521</v>
      </c>
      <c r="P1533" s="113">
        <f t="shared" si="462"/>
        <v>0</v>
      </c>
      <c r="Q1533" s="106" t="s">
        <v>40</v>
      </c>
      <c r="R1533" s="106" t="s">
        <v>40</v>
      </c>
      <c r="S1533" s="335">
        <v>43830</v>
      </c>
    </row>
    <row r="1534" spans="1:19" s="1" customFormat="1" ht="15.6">
      <c r="A1534" s="107"/>
      <c r="B1534" s="1411" t="s">
        <v>637</v>
      </c>
      <c r="C1534" s="1411"/>
      <c r="D1534" s="1411"/>
      <c r="E1534" s="1411"/>
      <c r="F1534" s="1411"/>
      <c r="G1534" s="1411"/>
      <c r="H1534" s="128">
        <f>H1535</f>
        <v>2145.8000000000002</v>
      </c>
      <c r="I1534" s="128">
        <f t="shared" ref="I1534:P1534" si="463">I1535</f>
        <v>1475.9</v>
      </c>
      <c r="J1534" s="128">
        <f t="shared" si="463"/>
        <v>1475.9</v>
      </c>
      <c r="K1534" s="119">
        <f t="shared" si="463"/>
        <v>60</v>
      </c>
      <c r="L1534" s="113">
        <f t="shared" si="463"/>
        <v>1889892</v>
      </c>
      <c r="M1534" s="113">
        <f t="shared" si="463"/>
        <v>0</v>
      </c>
      <c r="N1534" s="113">
        <f t="shared" si="463"/>
        <v>0</v>
      </c>
      <c r="O1534" s="113">
        <f t="shared" si="463"/>
        <v>1889892</v>
      </c>
      <c r="P1534" s="113">
        <f t="shared" si="463"/>
        <v>0</v>
      </c>
      <c r="Q1534" s="106" t="s">
        <v>40</v>
      </c>
      <c r="R1534" s="114" t="s">
        <v>40</v>
      </c>
      <c r="S1534" s="335">
        <v>43830</v>
      </c>
    </row>
    <row r="1535" spans="1:19" s="1" customFormat="1" ht="31.2">
      <c r="A1535" s="107">
        <f>A1532+1</f>
        <v>1</v>
      </c>
      <c r="B1535" s="564" t="s">
        <v>638</v>
      </c>
      <c r="C1535" s="118">
        <v>1967</v>
      </c>
      <c r="D1535" s="118"/>
      <c r="E1535" s="109" t="s">
        <v>218</v>
      </c>
      <c r="F1535" s="118">
        <v>4</v>
      </c>
      <c r="G1535" s="118">
        <v>3</v>
      </c>
      <c r="H1535" s="128">
        <v>2145.8000000000002</v>
      </c>
      <c r="I1535" s="106">
        <v>1475.9</v>
      </c>
      <c r="J1535" s="106">
        <v>1475.9</v>
      </c>
      <c r="K1535" s="119">
        <v>60</v>
      </c>
      <c r="L1535" s="113">
        <v>1889892</v>
      </c>
      <c r="M1535" s="113">
        <v>0</v>
      </c>
      <c r="N1535" s="113">
        <v>0</v>
      </c>
      <c r="O1535" s="113">
        <v>1889892</v>
      </c>
      <c r="P1535" s="113">
        <v>0</v>
      </c>
      <c r="Q1535" s="106">
        <f>L1535/I1535</f>
        <v>1280.5013889829934</v>
      </c>
      <c r="R1535" s="114">
        <v>7920</v>
      </c>
      <c r="S1535" s="335">
        <v>43830</v>
      </c>
    </row>
    <row r="1536" spans="1:19" s="1" customFormat="1" ht="15.6">
      <c r="A1536" s="107"/>
      <c r="B1536" s="1411" t="s">
        <v>639</v>
      </c>
      <c r="C1536" s="1411"/>
      <c r="D1536" s="1411"/>
      <c r="E1536" s="1411"/>
      <c r="F1536" s="1411"/>
      <c r="G1536" s="1411"/>
      <c r="H1536" s="128">
        <f>H1537</f>
        <v>807.4</v>
      </c>
      <c r="I1536" s="128">
        <f t="shared" ref="I1536:P1536" si="464">I1537</f>
        <v>715.5</v>
      </c>
      <c r="J1536" s="128">
        <f t="shared" si="464"/>
        <v>715.5</v>
      </c>
      <c r="K1536" s="119">
        <f t="shared" si="464"/>
        <v>25</v>
      </c>
      <c r="L1536" s="113">
        <f t="shared" si="464"/>
        <v>1508629</v>
      </c>
      <c r="M1536" s="113">
        <f t="shared" si="464"/>
        <v>0</v>
      </c>
      <c r="N1536" s="113">
        <f t="shared" si="464"/>
        <v>0</v>
      </c>
      <c r="O1536" s="113">
        <f t="shared" si="464"/>
        <v>1508629</v>
      </c>
      <c r="P1536" s="113">
        <f t="shared" si="464"/>
        <v>0</v>
      </c>
      <c r="Q1536" s="106" t="s">
        <v>40</v>
      </c>
      <c r="R1536" s="114" t="s">
        <v>40</v>
      </c>
      <c r="S1536" s="335">
        <v>43830</v>
      </c>
    </row>
    <row r="1537" spans="1:19" s="1" customFormat="1" ht="31.2">
      <c r="A1537" s="107">
        <f>A1535+1</f>
        <v>2</v>
      </c>
      <c r="B1537" s="564" t="s">
        <v>640</v>
      </c>
      <c r="C1537" s="118">
        <v>1981</v>
      </c>
      <c r="D1537" s="118"/>
      <c r="E1537" s="109" t="s">
        <v>218</v>
      </c>
      <c r="F1537" s="118">
        <v>2</v>
      </c>
      <c r="G1537" s="118">
        <v>2</v>
      </c>
      <c r="H1537" s="128">
        <v>807.4</v>
      </c>
      <c r="I1537" s="106">
        <v>715.5</v>
      </c>
      <c r="J1537" s="106">
        <v>715.5</v>
      </c>
      <c r="K1537" s="119">
        <v>25</v>
      </c>
      <c r="L1537" s="113">
        <v>1508629</v>
      </c>
      <c r="M1537" s="113">
        <v>0</v>
      </c>
      <c r="N1537" s="113">
        <v>0</v>
      </c>
      <c r="O1537" s="113">
        <v>1508629</v>
      </c>
      <c r="P1537" s="113">
        <v>0</v>
      </c>
      <c r="Q1537" s="106">
        <f>L1537/I1537</f>
        <v>2108.4961565338922</v>
      </c>
      <c r="R1537" s="114">
        <v>7920</v>
      </c>
      <c r="S1537" s="335">
        <v>43830</v>
      </c>
    </row>
    <row r="1538" spans="1:19" s="1" customFormat="1" ht="15.6">
      <c r="A1538" s="107"/>
      <c r="B1538" s="1411" t="s">
        <v>66</v>
      </c>
      <c r="C1538" s="1411"/>
      <c r="D1538" s="1411"/>
      <c r="E1538" s="1411"/>
      <c r="F1538" s="1411"/>
      <c r="G1538" s="1411"/>
      <c r="H1538" s="128">
        <f>H1541+H1539</f>
        <v>1902.9</v>
      </c>
      <c r="I1538" s="128">
        <f t="shared" ref="I1538:P1538" si="465">I1541+I1539</f>
        <v>1758.6999999999998</v>
      </c>
      <c r="J1538" s="128">
        <f t="shared" si="465"/>
        <v>1631.9</v>
      </c>
      <c r="K1538" s="128">
        <f t="shared" si="465"/>
        <v>48</v>
      </c>
      <c r="L1538" s="366">
        <f t="shared" si="465"/>
        <v>4103443</v>
      </c>
      <c r="M1538" s="366">
        <f t="shared" si="465"/>
        <v>0</v>
      </c>
      <c r="N1538" s="366">
        <f t="shared" si="465"/>
        <v>0</v>
      </c>
      <c r="O1538" s="366">
        <f t="shared" si="465"/>
        <v>4103443</v>
      </c>
      <c r="P1538" s="366">
        <f t="shared" si="465"/>
        <v>0</v>
      </c>
      <c r="Q1538" s="106" t="s">
        <v>40</v>
      </c>
      <c r="R1538" s="106" t="s">
        <v>40</v>
      </c>
      <c r="S1538" s="335">
        <v>43830</v>
      </c>
    </row>
    <row r="1539" spans="1:19" s="1" customFormat="1" ht="22.95" customHeight="1">
      <c r="A1539" s="327"/>
      <c r="B1539" s="867" t="s">
        <v>641</v>
      </c>
      <c r="C1539" s="867"/>
      <c r="D1539" s="867"/>
      <c r="E1539" s="867"/>
      <c r="F1539" s="867"/>
      <c r="G1539" s="867"/>
      <c r="H1539" s="353">
        <f>H1540</f>
        <v>689.6</v>
      </c>
      <c r="I1539" s="353">
        <f t="shared" ref="I1539:P1539" si="466">I1540</f>
        <v>641.1</v>
      </c>
      <c r="J1539" s="353">
        <f t="shared" si="466"/>
        <v>555.5</v>
      </c>
      <c r="K1539" s="353">
        <f t="shared" si="466"/>
        <v>19</v>
      </c>
      <c r="L1539" s="680">
        <f t="shared" si="466"/>
        <v>357985</v>
      </c>
      <c r="M1539" s="680">
        <f t="shared" si="466"/>
        <v>0</v>
      </c>
      <c r="N1539" s="680">
        <f t="shared" si="466"/>
        <v>0</v>
      </c>
      <c r="O1539" s="680">
        <f t="shared" si="466"/>
        <v>357985</v>
      </c>
      <c r="P1539" s="680">
        <f t="shared" si="466"/>
        <v>0</v>
      </c>
      <c r="Q1539" s="356" t="s">
        <v>40</v>
      </c>
      <c r="R1539" s="356" t="s">
        <v>40</v>
      </c>
      <c r="S1539" s="335">
        <v>43830</v>
      </c>
    </row>
    <row r="1540" spans="1:19" s="1" customFormat="1" ht="31.2">
      <c r="A1540" s="327"/>
      <c r="B1540" s="867" t="s">
        <v>643</v>
      </c>
      <c r="C1540" s="352">
        <v>1972</v>
      </c>
      <c r="D1540" s="867"/>
      <c r="E1540" s="330" t="s">
        <v>218</v>
      </c>
      <c r="F1540" s="352">
        <v>2</v>
      </c>
      <c r="G1540" s="352">
        <v>2</v>
      </c>
      <c r="H1540" s="353">
        <v>689.6</v>
      </c>
      <c r="I1540" s="356">
        <v>641.1</v>
      </c>
      <c r="J1540" s="356">
        <v>555.5</v>
      </c>
      <c r="K1540" s="355">
        <v>19</v>
      </c>
      <c r="L1540" s="333">
        <v>357985</v>
      </c>
      <c r="M1540" s="333">
        <v>0</v>
      </c>
      <c r="N1540" s="333">
        <v>0</v>
      </c>
      <c r="O1540" s="333">
        <v>357985</v>
      </c>
      <c r="P1540" s="333">
        <v>0</v>
      </c>
      <c r="Q1540" s="356">
        <f>L1540/I1540</f>
        <v>558.39182654812043</v>
      </c>
      <c r="R1540" s="356">
        <v>7920</v>
      </c>
      <c r="S1540" s="335">
        <v>43830</v>
      </c>
    </row>
    <row r="1541" spans="1:19" s="1" customFormat="1" ht="15.6">
      <c r="A1541" s="107"/>
      <c r="B1541" s="1411" t="s">
        <v>114</v>
      </c>
      <c r="C1541" s="1411"/>
      <c r="D1541" s="1411"/>
      <c r="E1541" s="1411"/>
      <c r="F1541" s="1411"/>
      <c r="G1541" s="1411"/>
      <c r="H1541" s="128">
        <f>H1542+H1543</f>
        <v>1213.3</v>
      </c>
      <c r="I1541" s="128">
        <f t="shared" ref="I1541:P1541" si="467">I1542+I1543</f>
        <v>1117.5999999999999</v>
      </c>
      <c r="J1541" s="128">
        <f t="shared" si="467"/>
        <v>1076.4000000000001</v>
      </c>
      <c r="K1541" s="128">
        <f t="shared" si="467"/>
        <v>29</v>
      </c>
      <c r="L1541" s="366">
        <f t="shared" si="467"/>
        <v>3745458</v>
      </c>
      <c r="M1541" s="366">
        <f t="shared" si="467"/>
        <v>0</v>
      </c>
      <c r="N1541" s="366">
        <f t="shared" si="467"/>
        <v>0</v>
      </c>
      <c r="O1541" s="366">
        <f t="shared" si="467"/>
        <v>3745458</v>
      </c>
      <c r="P1541" s="366">
        <f t="shared" si="467"/>
        <v>0</v>
      </c>
      <c r="Q1541" s="106" t="s">
        <v>40</v>
      </c>
      <c r="R1541" s="114" t="s">
        <v>40</v>
      </c>
      <c r="S1541" s="335">
        <v>43830</v>
      </c>
    </row>
    <row r="1542" spans="1:19" s="1" customFormat="1" ht="31.2">
      <c r="A1542" s="327">
        <f>A1537+1</f>
        <v>3</v>
      </c>
      <c r="B1542" s="365" t="s">
        <v>501</v>
      </c>
      <c r="C1542" s="352">
        <v>1980</v>
      </c>
      <c r="D1542" s="352"/>
      <c r="E1542" s="330" t="s">
        <v>218</v>
      </c>
      <c r="F1542" s="352">
        <v>2</v>
      </c>
      <c r="G1542" s="352">
        <v>2</v>
      </c>
      <c r="H1542" s="353">
        <v>793.8</v>
      </c>
      <c r="I1542" s="356">
        <v>730.4</v>
      </c>
      <c r="J1542" s="356">
        <v>730.4</v>
      </c>
      <c r="K1542" s="355">
        <v>20</v>
      </c>
      <c r="L1542" s="333">
        <v>2305927</v>
      </c>
      <c r="M1542" s="333">
        <v>0</v>
      </c>
      <c r="N1542" s="333">
        <v>0</v>
      </c>
      <c r="O1542" s="333">
        <v>2305927</v>
      </c>
      <c r="P1542" s="333">
        <v>0</v>
      </c>
      <c r="Q1542" s="356">
        <f>L1542/I1542</f>
        <v>3157.0742059145673</v>
      </c>
      <c r="R1542" s="334">
        <v>7920</v>
      </c>
      <c r="S1542" s="335">
        <v>43830</v>
      </c>
    </row>
    <row r="1543" spans="1:19" s="1" customFormat="1" ht="31.2">
      <c r="A1543" s="327">
        <f t="shared" si="461"/>
        <v>4</v>
      </c>
      <c r="B1543" s="365" t="s">
        <v>502</v>
      </c>
      <c r="C1543" s="352">
        <v>1953</v>
      </c>
      <c r="D1543" s="352"/>
      <c r="E1543" s="330" t="s">
        <v>218</v>
      </c>
      <c r="F1543" s="352">
        <v>2</v>
      </c>
      <c r="G1543" s="352">
        <v>1</v>
      </c>
      <c r="H1543" s="353">
        <v>419.5</v>
      </c>
      <c r="I1543" s="356">
        <v>387.2</v>
      </c>
      <c r="J1543" s="356">
        <v>346</v>
      </c>
      <c r="K1543" s="355">
        <v>9</v>
      </c>
      <c r="L1543" s="333">
        <v>1439531</v>
      </c>
      <c r="M1543" s="333">
        <v>0</v>
      </c>
      <c r="N1543" s="333">
        <v>0</v>
      </c>
      <c r="O1543" s="333">
        <v>1439531</v>
      </c>
      <c r="P1543" s="333">
        <v>0</v>
      </c>
      <c r="Q1543" s="356">
        <f>L1543/I1543</f>
        <v>3717.7970041322315</v>
      </c>
      <c r="R1543" s="334">
        <v>7920</v>
      </c>
      <c r="S1543" s="335">
        <v>43830</v>
      </c>
    </row>
    <row r="1544" spans="1:19" s="1" customFormat="1" ht="15.6">
      <c r="A1544" s="107"/>
      <c r="B1544" s="304"/>
      <c r="C1544" s="118"/>
      <c r="D1544" s="118"/>
      <c r="E1544" s="109"/>
      <c r="F1544" s="118"/>
      <c r="G1544" s="118"/>
      <c r="H1544" s="128"/>
      <c r="I1544" s="106"/>
      <c r="J1544" s="106"/>
      <c r="K1544" s="119"/>
      <c r="L1544" s="113"/>
      <c r="M1544" s="113"/>
      <c r="N1544" s="113"/>
      <c r="O1544" s="113"/>
      <c r="P1544" s="113"/>
      <c r="Q1544" s="106"/>
      <c r="R1544" s="114"/>
      <c r="S1544" s="335"/>
    </row>
    <row r="1545" spans="1:19" s="1" customFormat="1" ht="15.6">
      <c r="A1545" s="107"/>
      <c r="B1545" s="1411" t="s">
        <v>207</v>
      </c>
      <c r="C1545" s="1411"/>
      <c r="D1545" s="1411"/>
      <c r="E1545" s="1411"/>
      <c r="F1545" s="1411"/>
      <c r="G1545" s="1411"/>
      <c r="H1545" s="128">
        <f>SUM(H1546:H1552)</f>
        <v>53715.519999999997</v>
      </c>
      <c r="I1545" s="128">
        <f t="shared" ref="I1545:P1545" si="468">SUM(I1546:I1552)</f>
        <v>46423.12</v>
      </c>
      <c r="J1545" s="128">
        <f t="shared" si="468"/>
        <v>45450.12</v>
      </c>
      <c r="K1545" s="128">
        <f t="shared" si="468"/>
        <v>2022</v>
      </c>
      <c r="L1545" s="366">
        <f t="shared" si="468"/>
        <v>21360482</v>
      </c>
      <c r="M1545" s="366">
        <f t="shared" si="468"/>
        <v>0</v>
      </c>
      <c r="N1545" s="366">
        <f t="shared" si="468"/>
        <v>0</v>
      </c>
      <c r="O1545" s="366">
        <f t="shared" si="468"/>
        <v>21360482</v>
      </c>
      <c r="P1545" s="366">
        <f t="shared" si="468"/>
        <v>0</v>
      </c>
      <c r="Q1545" s="106" t="s">
        <v>40</v>
      </c>
      <c r="R1545" s="106" t="s">
        <v>40</v>
      </c>
      <c r="S1545" s="335">
        <v>43830</v>
      </c>
    </row>
    <row r="1546" spans="1:19" s="21" customFormat="1" ht="15.6">
      <c r="A1546" s="327">
        <f>A1544+1</f>
        <v>1</v>
      </c>
      <c r="B1546" s="351" t="s">
        <v>506</v>
      </c>
      <c r="C1546" s="367">
        <v>1982</v>
      </c>
      <c r="D1546" s="367"/>
      <c r="E1546" s="330" t="s">
        <v>219</v>
      </c>
      <c r="F1546" s="352">
        <v>9</v>
      </c>
      <c r="G1546" s="352">
        <v>2</v>
      </c>
      <c r="H1546" s="368">
        <v>5115.57</v>
      </c>
      <c r="I1546" s="369">
        <v>4456.17</v>
      </c>
      <c r="J1546" s="369">
        <v>4337.2700000000004</v>
      </c>
      <c r="K1546" s="370">
        <v>180</v>
      </c>
      <c r="L1546" s="333">
        <v>1823609</v>
      </c>
      <c r="M1546" s="333">
        <v>0</v>
      </c>
      <c r="N1546" s="333">
        <v>0</v>
      </c>
      <c r="O1546" s="333">
        <f t="shared" ref="O1546:O1552" si="469">L1546</f>
        <v>1823609</v>
      </c>
      <c r="P1546" s="333">
        <v>0</v>
      </c>
      <c r="Q1546" s="371">
        <f t="shared" ref="Q1546:Q1552" si="470">L1546/I1546</f>
        <v>409.23236770589989</v>
      </c>
      <c r="R1546" s="334">
        <v>7920</v>
      </c>
      <c r="S1546" s="335">
        <v>43830</v>
      </c>
    </row>
    <row r="1547" spans="1:19" s="21" customFormat="1" ht="15.6">
      <c r="A1547" s="327">
        <f t="shared" si="461"/>
        <v>2</v>
      </c>
      <c r="B1547" s="351" t="s">
        <v>507</v>
      </c>
      <c r="C1547" s="367">
        <v>1984</v>
      </c>
      <c r="D1547" s="367"/>
      <c r="E1547" s="330" t="s">
        <v>219</v>
      </c>
      <c r="F1547" s="352">
        <v>9</v>
      </c>
      <c r="G1547" s="352">
        <v>7</v>
      </c>
      <c r="H1547" s="368">
        <v>16499.849999999999</v>
      </c>
      <c r="I1547" s="369">
        <v>14068.3</v>
      </c>
      <c r="J1547" s="369">
        <v>13909.7</v>
      </c>
      <c r="K1547" s="370">
        <v>589</v>
      </c>
      <c r="L1547" s="333">
        <v>5329850</v>
      </c>
      <c r="M1547" s="333">
        <v>0</v>
      </c>
      <c r="N1547" s="333">
        <v>0</v>
      </c>
      <c r="O1547" s="333">
        <f t="shared" si="469"/>
        <v>5329850</v>
      </c>
      <c r="P1547" s="333">
        <v>0</v>
      </c>
      <c r="Q1547" s="371">
        <f t="shared" si="470"/>
        <v>378.85529879232035</v>
      </c>
      <c r="R1547" s="334">
        <v>7920</v>
      </c>
      <c r="S1547" s="335">
        <v>43830</v>
      </c>
    </row>
    <row r="1548" spans="1:19" s="21" customFormat="1" ht="15.6">
      <c r="A1548" s="327">
        <f t="shared" si="461"/>
        <v>3</v>
      </c>
      <c r="B1548" s="351" t="s">
        <v>508</v>
      </c>
      <c r="C1548" s="367">
        <v>1988</v>
      </c>
      <c r="D1548" s="367"/>
      <c r="E1548" s="330" t="s">
        <v>219</v>
      </c>
      <c r="F1548" s="352">
        <v>9</v>
      </c>
      <c r="G1548" s="352">
        <v>1</v>
      </c>
      <c r="H1548" s="368">
        <v>2532.1999999999998</v>
      </c>
      <c r="I1548" s="369">
        <v>2227</v>
      </c>
      <c r="J1548" s="369">
        <v>2150.1999999999998</v>
      </c>
      <c r="K1548" s="370">
        <v>94</v>
      </c>
      <c r="L1548" s="333">
        <v>1176993</v>
      </c>
      <c r="M1548" s="333">
        <v>0</v>
      </c>
      <c r="N1548" s="333">
        <v>0</v>
      </c>
      <c r="O1548" s="333">
        <f t="shared" si="469"/>
        <v>1176993</v>
      </c>
      <c r="P1548" s="333">
        <v>0</v>
      </c>
      <c r="Q1548" s="371">
        <f t="shared" si="470"/>
        <v>528.51055231252803</v>
      </c>
      <c r="R1548" s="334">
        <v>7920</v>
      </c>
      <c r="S1548" s="335">
        <v>43830</v>
      </c>
    </row>
    <row r="1549" spans="1:19" s="21" customFormat="1" ht="15.6">
      <c r="A1549" s="327">
        <f t="shared" si="461"/>
        <v>4</v>
      </c>
      <c r="B1549" s="351" t="s">
        <v>509</v>
      </c>
      <c r="C1549" s="367">
        <v>1984</v>
      </c>
      <c r="D1549" s="367"/>
      <c r="E1549" s="330" t="s">
        <v>219</v>
      </c>
      <c r="F1549" s="352">
        <v>9</v>
      </c>
      <c r="G1549" s="352">
        <v>3</v>
      </c>
      <c r="H1549" s="368">
        <v>7816.7</v>
      </c>
      <c r="I1549" s="369">
        <v>6789.35</v>
      </c>
      <c r="J1549" s="369">
        <v>6608.25</v>
      </c>
      <c r="K1549" s="370">
        <v>323</v>
      </c>
      <c r="L1549" s="333">
        <v>2684544</v>
      </c>
      <c r="M1549" s="333">
        <v>0</v>
      </c>
      <c r="N1549" s="333">
        <v>0</v>
      </c>
      <c r="O1549" s="333">
        <f t="shared" si="469"/>
        <v>2684544</v>
      </c>
      <c r="P1549" s="333">
        <v>0</v>
      </c>
      <c r="Q1549" s="371">
        <f t="shared" si="470"/>
        <v>395.40515660556605</v>
      </c>
      <c r="R1549" s="334">
        <v>7920</v>
      </c>
      <c r="S1549" s="335">
        <v>43830</v>
      </c>
    </row>
    <row r="1550" spans="1:19" s="21" customFormat="1" ht="15.6">
      <c r="A1550" s="327">
        <f t="shared" si="461"/>
        <v>5</v>
      </c>
      <c r="B1550" s="351" t="s">
        <v>510</v>
      </c>
      <c r="C1550" s="367">
        <v>1977</v>
      </c>
      <c r="D1550" s="367"/>
      <c r="E1550" s="330" t="s">
        <v>219</v>
      </c>
      <c r="F1550" s="352">
        <v>5</v>
      </c>
      <c r="G1550" s="352">
        <v>18</v>
      </c>
      <c r="H1550" s="368">
        <v>10645.8</v>
      </c>
      <c r="I1550" s="369">
        <v>9514.4</v>
      </c>
      <c r="J1550" s="369">
        <v>9336.2999999999993</v>
      </c>
      <c r="K1550" s="370">
        <v>431</v>
      </c>
      <c r="L1550" s="333">
        <v>6294002</v>
      </c>
      <c r="M1550" s="333">
        <v>0</v>
      </c>
      <c r="N1550" s="333">
        <v>0</v>
      </c>
      <c r="O1550" s="333">
        <f t="shared" si="469"/>
        <v>6294002</v>
      </c>
      <c r="P1550" s="333">
        <v>0</v>
      </c>
      <c r="Q1550" s="371">
        <f t="shared" si="470"/>
        <v>661.52379550996386</v>
      </c>
      <c r="R1550" s="334">
        <v>7920</v>
      </c>
      <c r="S1550" s="335">
        <v>43830</v>
      </c>
    </row>
    <row r="1551" spans="1:19" s="21" customFormat="1" ht="31.2">
      <c r="A1551" s="327">
        <f t="shared" si="461"/>
        <v>6</v>
      </c>
      <c r="B1551" s="351" t="s">
        <v>428</v>
      </c>
      <c r="C1551" s="367">
        <v>1983</v>
      </c>
      <c r="D1551" s="367"/>
      <c r="E1551" s="330" t="s">
        <v>218</v>
      </c>
      <c r="F1551" s="352">
        <v>9</v>
      </c>
      <c r="G1551" s="352">
        <v>1</v>
      </c>
      <c r="H1551" s="368">
        <v>5874.5</v>
      </c>
      <c r="I1551" s="369">
        <v>4804</v>
      </c>
      <c r="J1551" s="369">
        <v>4544.5</v>
      </c>
      <c r="K1551" s="370">
        <v>182</v>
      </c>
      <c r="L1551" s="333">
        <v>2199863</v>
      </c>
      <c r="M1551" s="333">
        <v>0</v>
      </c>
      <c r="N1551" s="333">
        <v>0</v>
      </c>
      <c r="O1551" s="333">
        <f t="shared" si="469"/>
        <v>2199863</v>
      </c>
      <c r="P1551" s="333">
        <v>0</v>
      </c>
      <c r="Q1551" s="371">
        <f t="shared" si="470"/>
        <v>457.92318900915905</v>
      </c>
      <c r="R1551" s="334">
        <v>7920</v>
      </c>
      <c r="S1551" s="335">
        <v>43830</v>
      </c>
    </row>
    <row r="1552" spans="1:19" s="21" customFormat="1" ht="15.6">
      <c r="A1552" s="327">
        <f t="shared" si="461"/>
        <v>7</v>
      </c>
      <c r="B1552" s="351" t="s">
        <v>511</v>
      </c>
      <c r="C1552" s="367">
        <v>1990</v>
      </c>
      <c r="D1552" s="367"/>
      <c r="E1552" s="330" t="s">
        <v>219</v>
      </c>
      <c r="F1552" s="352">
        <v>9</v>
      </c>
      <c r="G1552" s="352">
        <v>2</v>
      </c>
      <c r="H1552" s="368">
        <v>5230.8999999999996</v>
      </c>
      <c r="I1552" s="369">
        <v>4563.8999999999996</v>
      </c>
      <c r="J1552" s="369">
        <v>4563.8999999999996</v>
      </c>
      <c r="K1552" s="370">
        <v>223</v>
      </c>
      <c r="L1552" s="333">
        <v>1851621</v>
      </c>
      <c r="M1552" s="333">
        <v>0</v>
      </c>
      <c r="N1552" s="333">
        <v>0</v>
      </c>
      <c r="O1552" s="333">
        <f t="shared" si="469"/>
        <v>1851621</v>
      </c>
      <c r="P1552" s="333">
        <v>0</v>
      </c>
      <c r="Q1552" s="371">
        <f t="shared" si="470"/>
        <v>405.71024781436932</v>
      </c>
      <c r="R1552" s="334">
        <v>7920</v>
      </c>
      <c r="S1552" s="335">
        <v>43830</v>
      </c>
    </row>
    <row r="1553" spans="1:19" s="21" customFormat="1" ht="15.6">
      <c r="A1553" s="327"/>
      <c r="B1553" s="351"/>
      <c r="C1553" s="367"/>
      <c r="D1553" s="367"/>
      <c r="E1553" s="330"/>
      <c r="F1553" s="352"/>
      <c r="G1553" s="352"/>
      <c r="H1553" s="368"/>
      <c r="I1553" s="369"/>
      <c r="J1553" s="369"/>
      <c r="K1553" s="370"/>
      <c r="L1553" s="333"/>
      <c r="M1553" s="333"/>
      <c r="N1553" s="333"/>
      <c r="O1553" s="333"/>
      <c r="P1553" s="333"/>
      <c r="Q1553" s="371"/>
      <c r="R1553" s="334"/>
      <c r="S1553" s="335"/>
    </row>
    <row r="1554" spans="1:19" s="21" customFormat="1" ht="15.6">
      <c r="A1554" s="327"/>
      <c r="B1554" s="351"/>
      <c r="C1554" s="367"/>
      <c r="D1554" s="367"/>
      <c r="E1554" s="330"/>
      <c r="F1554" s="352"/>
      <c r="G1554" s="352"/>
      <c r="H1554" s="368"/>
      <c r="I1554" s="369"/>
      <c r="J1554" s="369"/>
      <c r="K1554" s="370"/>
      <c r="L1554" s="333"/>
      <c r="M1554" s="333"/>
      <c r="N1554" s="333"/>
      <c r="O1554" s="333"/>
      <c r="P1554" s="333"/>
      <c r="Q1554" s="371"/>
      <c r="R1554" s="334"/>
      <c r="S1554" s="335"/>
    </row>
    <row r="1555" spans="1:19" s="21" customFormat="1" ht="15.6">
      <c r="A1555" s="327"/>
      <c r="B1555" s="351"/>
      <c r="C1555" s="352"/>
      <c r="D1555" s="352"/>
      <c r="E1555" s="330"/>
      <c r="F1555" s="352"/>
      <c r="G1555" s="352"/>
      <c r="H1555" s="353"/>
      <c r="I1555" s="372"/>
      <c r="J1555" s="372"/>
      <c r="K1555" s="355"/>
      <c r="L1555" s="333"/>
      <c r="M1555" s="333"/>
      <c r="N1555" s="333"/>
      <c r="O1555" s="333"/>
      <c r="P1555" s="333"/>
      <c r="Q1555" s="371"/>
      <c r="R1555" s="334"/>
      <c r="S1555" s="335"/>
    </row>
    <row r="1556" spans="1:19" s="21" customFormat="1" ht="15.6">
      <c r="A1556" s="327"/>
      <c r="B1556" s="351"/>
      <c r="C1556" s="367"/>
      <c r="D1556" s="367"/>
      <c r="E1556" s="330"/>
      <c r="F1556" s="367"/>
      <c r="G1556" s="367"/>
      <c r="H1556" s="368"/>
      <c r="I1556" s="369"/>
      <c r="J1556" s="369"/>
      <c r="K1556" s="370"/>
      <c r="L1556" s="333"/>
      <c r="M1556" s="333"/>
      <c r="N1556" s="333"/>
      <c r="O1556" s="333"/>
      <c r="P1556" s="333"/>
      <c r="Q1556" s="371"/>
      <c r="R1556" s="334"/>
      <c r="S1556" s="335"/>
    </row>
    <row r="1557" spans="1:19" s="36" customFormat="1" ht="15.6">
      <c r="A1557" s="107"/>
      <c r="B1557" s="1411" t="s">
        <v>67</v>
      </c>
      <c r="C1557" s="1411"/>
      <c r="D1557" s="1411"/>
      <c r="E1557" s="1411"/>
      <c r="F1557" s="1411"/>
      <c r="G1557" s="1411"/>
      <c r="H1557" s="128">
        <f>H1558+H1560</f>
        <v>4895.2</v>
      </c>
      <c r="I1557" s="162">
        <f t="shared" ref="I1557" si="471">I1558+I1560</f>
        <v>4785.5</v>
      </c>
      <c r="J1557" s="106">
        <f>J1558+J1560</f>
        <v>3916</v>
      </c>
      <c r="K1557" s="119">
        <f>K1558+K1560</f>
        <v>167</v>
      </c>
      <c r="L1557" s="113">
        <f>L1558+L1560</f>
        <v>2982495.07</v>
      </c>
      <c r="M1557" s="113">
        <f t="shared" ref="M1557:N1557" si="472">M1558+M1560</f>
        <v>0</v>
      </c>
      <c r="N1557" s="113">
        <f t="shared" si="472"/>
        <v>260236.27</v>
      </c>
      <c r="O1557" s="113">
        <f>O1558+O1560</f>
        <v>2722258.8</v>
      </c>
      <c r="P1557" s="113">
        <f t="shared" ref="P1557" si="473">P1558+P1560</f>
        <v>0</v>
      </c>
      <c r="Q1557" s="114" t="s">
        <v>40</v>
      </c>
      <c r="R1557" s="108" t="s">
        <v>40</v>
      </c>
      <c r="S1557" s="335">
        <v>43830</v>
      </c>
    </row>
    <row r="1558" spans="1:19" s="1" customFormat="1" ht="15.6">
      <c r="A1558" s="107"/>
      <c r="B1558" s="1411" t="s">
        <v>90</v>
      </c>
      <c r="C1558" s="1411"/>
      <c r="D1558" s="1411"/>
      <c r="E1558" s="1411"/>
      <c r="F1558" s="1411"/>
      <c r="G1558" s="1411"/>
      <c r="H1558" s="128">
        <f>H1559</f>
        <v>1507.8</v>
      </c>
      <c r="I1558" s="106">
        <f t="shared" ref="I1558:P1558" si="474">I1559</f>
        <v>1398.1</v>
      </c>
      <c r="J1558" s="106">
        <f t="shared" si="474"/>
        <v>1200.7</v>
      </c>
      <c r="K1558" s="119">
        <f t="shared" si="474"/>
        <v>62</v>
      </c>
      <c r="L1558" s="113">
        <f>L1559</f>
        <v>728197.07</v>
      </c>
      <c r="M1558" s="113">
        <f t="shared" si="474"/>
        <v>0</v>
      </c>
      <c r="N1558" s="113">
        <f t="shared" si="474"/>
        <v>260236.27</v>
      </c>
      <c r="O1558" s="113">
        <f t="shared" si="474"/>
        <v>467960.8</v>
      </c>
      <c r="P1558" s="113">
        <f t="shared" si="474"/>
        <v>0</v>
      </c>
      <c r="Q1558" s="114" t="s">
        <v>40</v>
      </c>
      <c r="R1558" s="108" t="s">
        <v>40</v>
      </c>
      <c r="S1558" s="335">
        <v>43830</v>
      </c>
    </row>
    <row r="1559" spans="1:19" s="23" customFormat="1" ht="15.6">
      <c r="A1559" s="107">
        <f>A1556+1</f>
        <v>1</v>
      </c>
      <c r="B1559" s="307" t="s">
        <v>429</v>
      </c>
      <c r="C1559" s="118">
        <v>1983</v>
      </c>
      <c r="D1559" s="182"/>
      <c r="E1559" s="109" t="s">
        <v>219</v>
      </c>
      <c r="F1559" s="118">
        <v>3</v>
      </c>
      <c r="G1559" s="118">
        <v>3</v>
      </c>
      <c r="H1559" s="128">
        <v>1507.8</v>
      </c>
      <c r="I1559" s="106">
        <v>1398.1</v>
      </c>
      <c r="J1559" s="106">
        <v>1200.7</v>
      </c>
      <c r="K1559" s="119">
        <v>62</v>
      </c>
      <c r="L1559" s="113">
        <v>728197.07</v>
      </c>
      <c r="M1559" s="113">
        <v>0</v>
      </c>
      <c r="N1559" s="113">
        <v>260236.27</v>
      </c>
      <c r="O1559" s="113">
        <v>467960.8</v>
      </c>
      <c r="P1559" s="113">
        <v>0</v>
      </c>
      <c r="Q1559" s="106">
        <f>L1559/I1559</f>
        <v>520.84762892496963</v>
      </c>
      <c r="R1559" s="114">
        <v>6774</v>
      </c>
      <c r="S1559" s="335">
        <v>43830</v>
      </c>
    </row>
    <row r="1560" spans="1:19" s="23" customFormat="1" ht="15.6">
      <c r="A1560" s="327"/>
      <c r="B1560" s="1496" t="s">
        <v>127</v>
      </c>
      <c r="C1560" s="1496"/>
      <c r="D1560" s="1496"/>
      <c r="E1560" s="1496"/>
      <c r="F1560" s="1496"/>
      <c r="G1560" s="1496"/>
      <c r="H1560" s="353">
        <f t="shared" ref="H1560:P1560" si="475">H1561</f>
        <v>3387.4</v>
      </c>
      <c r="I1560" s="356">
        <f t="shared" si="475"/>
        <v>3387.4</v>
      </c>
      <c r="J1560" s="356">
        <f t="shared" si="475"/>
        <v>2715.3</v>
      </c>
      <c r="K1560" s="355">
        <f t="shared" si="475"/>
        <v>105</v>
      </c>
      <c r="L1560" s="333">
        <f t="shared" si="475"/>
        <v>2254298</v>
      </c>
      <c r="M1560" s="333">
        <f t="shared" si="475"/>
        <v>0</v>
      </c>
      <c r="N1560" s="333">
        <f t="shared" si="475"/>
        <v>0</v>
      </c>
      <c r="O1560" s="333">
        <f t="shared" si="475"/>
        <v>2254298</v>
      </c>
      <c r="P1560" s="333">
        <f t="shared" si="475"/>
        <v>0</v>
      </c>
      <c r="Q1560" s="356" t="s">
        <v>40</v>
      </c>
      <c r="R1560" s="329" t="s">
        <v>40</v>
      </c>
      <c r="S1560" s="335">
        <v>43830</v>
      </c>
    </row>
    <row r="1561" spans="1:19" s="23" customFormat="1" ht="45" customHeight="1">
      <c r="A1561" s="327">
        <f>A1559+1</f>
        <v>2</v>
      </c>
      <c r="B1561" s="912" t="s">
        <v>687</v>
      </c>
      <c r="C1561" s="327">
        <v>1970</v>
      </c>
      <c r="D1561" s="327"/>
      <c r="E1561" s="330" t="s">
        <v>218</v>
      </c>
      <c r="F1561" s="327">
        <v>5</v>
      </c>
      <c r="G1561" s="327">
        <v>4</v>
      </c>
      <c r="H1561" s="758">
        <v>3387.4</v>
      </c>
      <c r="I1561" s="327">
        <v>3387.4</v>
      </c>
      <c r="J1561" s="327">
        <v>2715.3</v>
      </c>
      <c r="K1561" s="580">
        <v>105</v>
      </c>
      <c r="L1561" s="333">
        <v>2254298</v>
      </c>
      <c r="M1561" s="333">
        <v>0</v>
      </c>
      <c r="N1561" s="333">
        <v>0</v>
      </c>
      <c r="O1561" s="333">
        <f>L1561</f>
        <v>2254298</v>
      </c>
      <c r="P1561" s="333">
        <v>0</v>
      </c>
      <c r="Q1561" s="620">
        <f>L1561/I1561</f>
        <v>665.49506996516504</v>
      </c>
      <c r="R1561" s="334">
        <v>7920</v>
      </c>
      <c r="S1561" s="335">
        <v>43830</v>
      </c>
    </row>
    <row r="1562" spans="1:19" s="23" customFormat="1" ht="21.75" customHeight="1">
      <c r="A1562" s="1425" t="s">
        <v>206</v>
      </c>
      <c r="B1562" s="1425"/>
      <c r="C1562" s="1425"/>
      <c r="D1562" s="1425"/>
      <c r="E1562" s="1425"/>
      <c r="F1562" s="1425"/>
      <c r="G1562" s="1425"/>
      <c r="H1562" s="1425"/>
      <c r="I1562" s="1425"/>
      <c r="J1562" s="1425"/>
      <c r="K1562" s="1425"/>
      <c r="L1562" s="1425"/>
      <c r="M1562" s="1425"/>
      <c r="N1562" s="1425"/>
      <c r="O1562" s="1425"/>
      <c r="P1562" s="1425"/>
      <c r="Q1562" s="1425"/>
      <c r="R1562" s="1425"/>
      <c r="S1562" s="1425"/>
    </row>
    <row r="1563" spans="1:19" s="23" customFormat="1" ht="19.5" customHeight="1">
      <c r="A1563" s="107"/>
      <c r="B1563" s="1424" t="s">
        <v>205</v>
      </c>
      <c r="C1563" s="1424"/>
      <c r="D1563" s="1424"/>
      <c r="E1563" s="1424"/>
      <c r="F1563" s="1424"/>
      <c r="G1563" s="1424"/>
      <c r="H1563" s="181">
        <f>H1565+H1574</f>
        <v>25922.6</v>
      </c>
      <c r="I1563" s="181">
        <f t="shared" ref="I1563:P1563" si="476">I1565+I1574</f>
        <v>21873.7</v>
      </c>
      <c r="J1563" s="181">
        <f t="shared" si="476"/>
        <v>21404.3</v>
      </c>
      <c r="K1563" s="154">
        <f t="shared" si="476"/>
        <v>750</v>
      </c>
      <c r="L1563" s="113">
        <f t="shared" si="476"/>
        <v>2663060.64</v>
      </c>
      <c r="M1563" s="113">
        <f t="shared" si="476"/>
        <v>0</v>
      </c>
      <c r="N1563" s="113">
        <f t="shared" si="476"/>
        <v>0</v>
      </c>
      <c r="O1563" s="113">
        <f t="shared" si="476"/>
        <v>2663060.64</v>
      </c>
      <c r="P1563" s="113">
        <f t="shared" si="476"/>
        <v>0</v>
      </c>
      <c r="Q1563" s="114" t="s">
        <v>40</v>
      </c>
      <c r="R1563" s="108" t="s">
        <v>40</v>
      </c>
      <c r="S1563" s="108" t="s">
        <v>40</v>
      </c>
    </row>
    <row r="1564" spans="1:19" s="1" customFormat="1" ht="21.75" customHeight="1">
      <c r="A1564" s="1425" t="s">
        <v>35</v>
      </c>
      <c r="B1564" s="1425"/>
      <c r="C1564" s="1425"/>
      <c r="D1564" s="1425"/>
      <c r="E1564" s="1425"/>
      <c r="F1564" s="1425"/>
      <c r="G1564" s="1425"/>
      <c r="H1564" s="1425"/>
      <c r="I1564" s="1425"/>
      <c r="J1564" s="1425"/>
      <c r="K1564" s="1425"/>
      <c r="L1564" s="1425"/>
      <c r="M1564" s="1425"/>
      <c r="N1564" s="1425"/>
      <c r="O1564" s="1425"/>
      <c r="P1564" s="1425"/>
      <c r="Q1564" s="1425"/>
      <c r="R1564" s="1425"/>
      <c r="S1564" s="1425"/>
    </row>
    <row r="1565" spans="1:19" s="1" customFormat="1" ht="21.75" customHeight="1">
      <c r="A1565" s="302"/>
      <c r="B1565" s="1424" t="s">
        <v>20</v>
      </c>
      <c r="C1565" s="1424"/>
      <c r="D1565" s="1424"/>
      <c r="E1565" s="1424"/>
      <c r="F1565" s="1424"/>
      <c r="G1565" s="1424"/>
      <c r="H1565" s="111">
        <f>H1566</f>
        <v>23801.1</v>
      </c>
      <c r="I1565" s="111">
        <f t="shared" ref="I1565:P1566" si="477">I1566</f>
        <v>20069.3</v>
      </c>
      <c r="J1565" s="111">
        <f t="shared" si="477"/>
        <v>20069.3</v>
      </c>
      <c r="K1565" s="112">
        <f>K1566</f>
        <v>702</v>
      </c>
      <c r="L1565" s="113">
        <f>L1566</f>
        <v>2447351.64</v>
      </c>
      <c r="M1565" s="113">
        <f t="shared" ref="M1565:P1565" si="478">M1566</f>
        <v>0</v>
      </c>
      <c r="N1565" s="113">
        <f t="shared" si="478"/>
        <v>0</v>
      </c>
      <c r="O1565" s="113">
        <f t="shared" si="478"/>
        <v>2447351.64</v>
      </c>
      <c r="P1565" s="113">
        <f t="shared" si="478"/>
        <v>0</v>
      </c>
      <c r="Q1565" s="114" t="s">
        <v>40</v>
      </c>
      <c r="R1565" s="108" t="s">
        <v>40</v>
      </c>
      <c r="S1565" s="335">
        <v>43830</v>
      </c>
    </row>
    <row r="1566" spans="1:19" s="37" customFormat="1" ht="15.75" customHeight="1">
      <c r="A1566" s="99"/>
      <c r="B1566" s="1424" t="s">
        <v>53</v>
      </c>
      <c r="C1566" s="1424"/>
      <c r="D1566" s="1424"/>
      <c r="E1566" s="1424"/>
      <c r="F1566" s="1424"/>
      <c r="G1566" s="1424"/>
      <c r="H1566" s="111">
        <f>H1567</f>
        <v>23801.1</v>
      </c>
      <c r="I1566" s="114">
        <f t="shared" si="477"/>
        <v>20069.3</v>
      </c>
      <c r="J1566" s="114">
        <f t="shared" si="477"/>
        <v>20069.3</v>
      </c>
      <c r="K1566" s="112">
        <f t="shared" si="477"/>
        <v>702</v>
      </c>
      <c r="L1566" s="113">
        <f t="shared" si="477"/>
        <v>2447351.64</v>
      </c>
      <c r="M1566" s="113">
        <f t="shared" si="477"/>
        <v>0</v>
      </c>
      <c r="N1566" s="113">
        <f t="shared" si="477"/>
        <v>0</v>
      </c>
      <c r="O1566" s="113">
        <f t="shared" si="477"/>
        <v>2447351.64</v>
      </c>
      <c r="P1566" s="113">
        <f t="shared" si="477"/>
        <v>0</v>
      </c>
      <c r="Q1566" s="114" t="s">
        <v>40</v>
      </c>
      <c r="R1566" s="108" t="s">
        <v>40</v>
      </c>
      <c r="S1566" s="335">
        <v>43830</v>
      </c>
    </row>
    <row r="1567" spans="1:19" s="37" customFormat="1" ht="15.75" customHeight="1">
      <c r="A1567" s="99"/>
      <c r="B1567" s="1424" t="s">
        <v>88</v>
      </c>
      <c r="C1567" s="1424"/>
      <c r="D1567" s="1424"/>
      <c r="E1567" s="1424"/>
      <c r="F1567" s="1424"/>
      <c r="G1567" s="1424"/>
      <c r="H1567" s="111">
        <f t="shared" ref="H1567:P1567" si="479">SUM(H1568:H1572)</f>
        <v>23801.1</v>
      </c>
      <c r="I1567" s="114">
        <f t="shared" si="479"/>
        <v>20069.3</v>
      </c>
      <c r="J1567" s="114">
        <f t="shared" si="479"/>
        <v>20069.3</v>
      </c>
      <c r="K1567" s="112">
        <f t="shared" si="479"/>
        <v>702</v>
      </c>
      <c r="L1567" s="113">
        <f t="shared" si="479"/>
        <v>2447351.64</v>
      </c>
      <c r="M1567" s="113">
        <f t="shared" si="479"/>
        <v>0</v>
      </c>
      <c r="N1567" s="113">
        <f t="shared" si="479"/>
        <v>0</v>
      </c>
      <c r="O1567" s="113">
        <f t="shared" si="479"/>
        <v>2447351.64</v>
      </c>
      <c r="P1567" s="113">
        <f t="shared" si="479"/>
        <v>0</v>
      </c>
      <c r="Q1567" s="114" t="s">
        <v>40</v>
      </c>
      <c r="R1567" s="108" t="s">
        <v>40</v>
      </c>
      <c r="S1567" s="335">
        <v>43830</v>
      </c>
    </row>
    <row r="1568" spans="1:19" s="33" customFormat="1" ht="15.6">
      <c r="A1568" s="302">
        <f>A1561+1</f>
        <v>3</v>
      </c>
      <c r="B1568" s="183" t="s">
        <v>359</v>
      </c>
      <c r="C1568" s="184">
        <v>1975</v>
      </c>
      <c r="D1568" s="129"/>
      <c r="E1568" s="109" t="s">
        <v>219</v>
      </c>
      <c r="F1568" s="99">
        <v>5</v>
      </c>
      <c r="G1568" s="99">
        <v>4</v>
      </c>
      <c r="H1568" s="180">
        <f>2075.9+150</f>
        <v>2225.9</v>
      </c>
      <c r="I1568" s="100">
        <v>2075.9</v>
      </c>
      <c r="J1568" s="100">
        <v>2075.9</v>
      </c>
      <c r="K1568" s="101">
        <v>112</v>
      </c>
      <c r="L1568" s="113">
        <v>203849</v>
      </c>
      <c r="M1568" s="113">
        <v>0</v>
      </c>
      <c r="N1568" s="113">
        <v>0</v>
      </c>
      <c r="O1568" s="113">
        <f>L1568</f>
        <v>203849</v>
      </c>
      <c r="P1568" s="113">
        <v>0</v>
      </c>
      <c r="Q1568" s="114">
        <f>L1568/I1568</f>
        <v>98.197890071776087</v>
      </c>
      <c r="R1568" s="114">
        <v>6774</v>
      </c>
      <c r="S1568" s="335">
        <v>43830</v>
      </c>
    </row>
    <row r="1569" spans="1:19" s="33" customFormat="1" ht="15.6">
      <c r="A1569" s="302">
        <f>A1568+1</f>
        <v>4</v>
      </c>
      <c r="B1569" s="183" t="s">
        <v>360</v>
      </c>
      <c r="C1569" s="184">
        <v>1991</v>
      </c>
      <c r="D1569" s="129"/>
      <c r="E1569" s="109" t="s">
        <v>219</v>
      </c>
      <c r="F1569" s="99">
        <v>9</v>
      </c>
      <c r="G1569" s="99">
        <v>2</v>
      </c>
      <c r="H1569" s="180">
        <f>4259.3+1200.8</f>
        <v>5460.1</v>
      </c>
      <c r="I1569" s="100">
        <v>4259.3</v>
      </c>
      <c r="J1569" s="100">
        <v>4259.3</v>
      </c>
      <c r="K1569" s="101">
        <v>132</v>
      </c>
      <c r="L1569" s="113">
        <v>489343.64</v>
      </c>
      <c r="M1569" s="113">
        <v>0</v>
      </c>
      <c r="N1569" s="113">
        <v>0</v>
      </c>
      <c r="O1569" s="113">
        <f>L1569</f>
        <v>489343.64</v>
      </c>
      <c r="P1569" s="113">
        <v>0</v>
      </c>
      <c r="Q1569" s="114">
        <f>L1569/I1569</f>
        <v>114.88827741647688</v>
      </c>
      <c r="R1569" s="114">
        <v>6774</v>
      </c>
      <c r="S1569" s="335">
        <v>43830</v>
      </c>
    </row>
    <row r="1570" spans="1:19" s="33" customFormat="1" ht="15.6">
      <c r="A1570" s="302">
        <f t="shared" ref="A1570:A1572" si="480">A1569+1</f>
        <v>5</v>
      </c>
      <c r="B1570" s="183" t="s">
        <v>432</v>
      </c>
      <c r="C1570" s="184">
        <v>1978</v>
      </c>
      <c r="D1570" s="129"/>
      <c r="E1570" s="109" t="s">
        <v>219</v>
      </c>
      <c r="F1570" s="99">
        <v>5</v>
      </c>
      <c r="G1570" s="99">
        <v>6</v>
      </c>
      <c r="H1570" s="180">
        <v>6071.5</v>
      </c>
      <c r="I1570" s="100">
        <v>4592.3</v>
      </c>
      <c r="J1570" s="100">
        <v>4592.3</v>
      </c>
      <c r="K1570" s="101">
        <v>181</v>
      </c>
      <c r="L1570" s="113">
        <v>395010</v>
      </c>
      <c r="M1570" s="113">
        <v>0</v>
      </c>
      <c r="N1570" s="113">
        <v>0</v>
      </c>
      <c r="O1570" s="113">
        <f>L1570</f>
        <v>395010</v>
      </c>
      <c r="P1570" s="113">
        <v>0</v>
      </c>
      <c r="Q1570" s="114">
        <f>L1570/I1570</f>
        <v>86.015721969383534</v>
      </c>
      <c r="R1570" s="114">
        <v>6774</v>
      </c>
      <c r="S1570" s="335">
        <v>43830</v>
      </c>
    </row>
    <row r="1571" spans="1:19" s="33" customFormat="1" ht="15.6">
      <c r="A1571" s="302">
        <f t="shared" si="480"/>
        <v>6</v>
      </c>
      <c r="B1571" s="183" t="s">
        <v>431</v>
      </c>
      <c r="C1571" s="184">
        <v>1980</v>
      </c>
      <c r="D1571" s="129"/>
      <c r="E1571" s="109" t="s">
        <v>219</v>
      </c>
      <c r="F1571" s="99">
        <v>5</v>
      </c>
      <c r="G1571" s="99">
        <v>6</v>
      </c>
      <c r="H1571" s="180">
        <f>493.2+4644.3</f>
        <v>5137.5</v>
      </c>
      <c r="I1571" s="100">
        <v>4644.3</v>
      </c>
      <c r="J1571" s="100">
        <v>4644.3</v>
      </c>
      <c r="K1571" s="101">
        <v>177</v>
      </c>
      <c r="L1571" s="113">
        <v>285326</v>
      </c>
      <c r="M1571" s="113">
        <v>0</v>
      </c>
      <c r="N1571" s="113">
        <v>0</v>
      </c>
      <c r="O1571" s="113">
        <f>L1571</f>
        <v>285326</v>
      </c>
      <c r="P1571" s="113">
        <v>0</v>
      </c>
      <c r="Q1571" s="114">
        <f>L1571/I1571</f>
        <v>61.435738432056496</v>
      </c>
      <c r="R1571" s="114">
        <v>6774</v>
      </c>
      <c r="S1571" s="335">
        <v>43830</v>
      </c>
    </row>
    <row r="1572" spans="1:19" s="33" customFormat="1" ht="31.2">
      <c r="A1572" s="302">
        <f t="shared" si="480"/>
        <v>7</v>
      </c>
      <c r="B1572" s="183" t="s">
        <v>358</v>
      </c>
      <c r="C1572" s="184">
        <v>1973</v>
      </c>
      <c r="D1572" s="129"/>
      <c r="E1572" s="109" t="s">
        <v>218</v>
      </c>
      <c r="F1572" s="99">
        <v>5</v>
      </c>
      <c r="G1572" s="99">
        <v>6</v>
      </c>
      <c r="H1572" s="180">
        <v>4906.1000000000004</v>
      </c>
      <c r="I1572" s="100">
        <v>4497.5</v>
      </c>
      <c r="J1572" s="100">
        <v>4497.5</v>
      </c>
      <c r="K1572" s="101">
        <v>100</v>
      </c>
      <c r="L1572" s="113">
        <v>1073823</v>
      </c>
      <c r="M1572" s="113">
        <v>0</v>
      </c>
      <c r="N1572" s="113">
        <v>0</v>
      </c>
      <c r="O1572" s="113">
        <f>L1572</f>
        <v>1073823</v>
      </c>
      <c r="P1572" s="113">
        <v>0</v>
      </c>
      <c r="Q1572" s="114">
        <f>L1572/I1572</f>
        <v>238.75997776542525</v>
      </c>
      <c r="R1572" s="114">
        <v>6774</v>
      </c>
      <c r="S1572" s="335">
        <v>43830</v>
      </c>
    </row>
    <row r="1573" spans="1:19" s="1" customFormat="1" ht="34.5" customHeight="1">
      <c r="A1573" s="1425" t="s">
        <v>37</v>
      </c>
      <c r="B1573" s="1425"/>
      <c r="C1573" s="1425"/>
      <c r="D1573" s="1425"/>
      <c r="E1573" s="1425"/>
      <c r="F1573" s="1425"/>
      <c r="G1573" s="1425"/>
      <c r="H1573" s="1425"/>
      <c r="I1573" s="1425"/>
      <c r="J1573" s="1425"/>
      <c r="K1573" s="1425"/>
      <c r="L1573" s="1425"/>
      <c r="M1573" s="1425"/>
      <c r="N1573" s="1425"/>
      <c r="O1573" s="1425"/>
      <c r="P1573" s="1425"/>
      <c r="Q1573" s="1425"/>
      <c r="R1573" s="1425"/>
      <c r="S1573" s="1425"/>
    </row>
    <row r="1574" spans="1:19" s="1" customFormat="1" ht="15.6">
      <c r="A1574" s="302"/>
      <c r="B1574" s="1424" t="s">
        <v>20</v>
      </c>
      <c r="C1574" s="1424"/>
      <c r="D1574" s="1424"/>
      <c r="E1574" s="1424"/>
      <c r="F1574" s="1424"/>
      <c r="G1574" s="1424"/>
      <c r="H1574" s="111">
        <f>H1575+H1578</f>
        <v>2121.5</v>
      </c>
      <c r="I1574" s="111">
        <f t="shared" ref="I1574:J1574" si="481">I1575+I1578</f>
        <v>1804.4</v>
      </c>
      <c r="J1574" s="111">
        <f t="shared" si="481"/>
        <v>1335</v>
      </c>
      <c r="K1574" s="112">
        <f>K1575+K1578</f>
        <v>48</v>
      </c>
      <c r="L1574" s="113">
        <f t="shared" ref="L1574:P1574" si="482">L1575+L1578</f>
        <v>215709</v>
      </c>
      <c r="M1574" s="113">
        <f t="shared" si="482"/>
        <v>0</v>
      </c>
      <c r="N1574" s="113">
        <f t="shared" si="482"/>
        <v>0</v>
      </c>
      <c r="O1574" s="113">
        <f t="shared" si="482"/>
        <v>215709</v>
      </c>
      <c r="P1574" s="113">
        <f t="shared" si="482"/>
        <v>0</v>
      </c>
      <c r="Q1574" s="114" t="s">
        <v>40</v>
      </c>
      <c r="R1574" s="108" t="s">
        <v>40</v>
      </c>
      <c r="S1574" s="335">
        <v>43830</v>
      </c>
    </row>
    <row r="1575" spans="1:19" s="1" customFormat="1" ht="15.75" customHeight="1">
      <c r="A1575" s="302"/>
      <c r="B1575" s="1447" t="s">
        <v>58</v>
      </c>
      <c r="C1575" s="1447"/>
      <c r="D1575" s="1447"/>
      <c r="E1575" s="1447"/>
      <c r="F1575" s="1447"/>
      <c r="G1575" s="1447"/>
      <c r="H1575" s="127">
        <f>H1576</f>
        <v>2121.5</v>
      </c>
      <c r="I1575" s="104">
        <f t="shared" ref="I1575:P1576" si="483">I1576</f>
        <v>1804.4</v>
      </c>
      <c r="J1575" s="104">
        <f t="shared" si="483"/>
        <v>1335</v>
      </c>
      <c r="K1575" s="105">
        <f t="shared" si="483"/>
        <v>48</v>
      </c>
      <c r="L1575" s="113">
        <f t="shared" si="483"/>
        <v>215709</v>
      </c>
      <c r="M1575" s="113">
        <f t="shared" si="483"/>
        <v>0</v>
      </c>
      <c r="N1575" s="113">
        <f t="shared" si="483"/>
        <v>0</v>
      </c>
      <c r="O1575" s="113">
        <f t="shared" si="483"/>
        <v>215709</v>
      </c>
      <c r="P1575" s="113">
        <f t="shared" si="483"/>
        <v>0</v>
      </c>
      <c r="Q1575" s="104" t="str">
        <f>Q1576</f>
        <v>Х</v>
      </c>
      <c r="R1575" s="104" t="str">
        <f t="shared" ref="R1575" si="484">R1576</f>
        <v>Х</v>
      </c>
      <c r="S1575" s="335">
        <v>43830</v>
      </c>
    </row>
    <row r="1576" spans="1:19" s="1" customFormat="1" ht="15.75" customHeight="1">
      <c r="A1576" s="302"/>
      <c r="B1576" s="1447" t="s">
        <v>87</v>
      </c>
      <c r="C1576" s="1447"/>
      <c r="D1576" s="1447"/>
      <c r="E1576" s="1447"/>
      <c r="F1576" s="1447"/>
      <c r="G1576" s="1447"/>
      <c r="H1576" s="127">
        <f>H1577</f>
        <v>2121.5</v>
      </c>
      <c r="I1576" s="104">
        <f t="shared" si="483"/>
        <v>1804.4</v>
      </c>
      <c r="J1576" s="104">
        <f t="shared" si="483"/>
        <v>1335</v>
      </c>
      <c r="K1576" s="105">
        <f t="shared" si="483"/>
        <v>48</v>
      </c>
      <c r="L1576" s="113">
        <f>L1577</f>
        <v>215709</v>
      </c>
      <c r="M1576" s="113">
        <f t="shared" si="483"/>
        <v>0</v>
      </c>
      <c r="N1576" s="113">
        <f t="shared" si="483"/>
        <v>0</v>
      </c>
      <c r="O1576" s="113">
        <f>L1576</f>
        <v>215709</v>
      </c>
      <c r="P1576" s="113">
        <v>0</v>
      </c>
      <c r="Q1576" s="104" t="s">
        <v>40</v>
      </c>
      <c r="R1576" s="302" t="s">
        <v>40</v>
      </c>
      <c r="S1576" s="335">
        <v>43830</v>
      </c>
    </row>
    <row r="1577" spans="1:19" s="1" customFormat="1" ht="31.2">
      <c r="A1577" s="302">
        <f>A1572+1</f>
        <v>8</v>
      </c>
      <c r="B1577" s="300" t="s">
        <v>433</v>
      </c>
      <c r="C1577" s="99">
        <v>1959</v>
      </c>
      <c r="D1577" s="109"/>
      <c r="E1577" s="109" t="s">
        <v>218</v>
      </c>
      <c r="F1577" s="185" t="s">
        <v>73</v>
      </c>
      <c r="G1577" s="185" t="s">
        <v>74</v>
      </c>
      <c r="H1577" s="180">
        <v>2121.5</v>
      </c>
      <c r="I1577" s="100">
        <v>1804.4</v>
      </c>
      <c r="J1577" s="100">
        <f>1379-44</f>
        <v>1335</v>
      </c>
      <c r="K1577" s="101">
        <v>48</v>
      </c>
      <c r="L1577" s="113">
        <v>215709</v>
      </c>
      <c r="M1577" s="113">
        <v>0</v>
      </c>
      <c r="N1577" s="113">
        <v>0</v>
      </c>
      <c r="O1577" s="113">
        <f>L1577</f>
        <v>215709</v>
      </c>
      <c r="P1577" s="113">
        <v>0</v>
      </c>
      <c r="Q1577" s="100">
        <f>L1577/I1577</f>
        <v>119.54610951008645</v>
      </c>
      <c r="R1577" s="114">
        <v>6774</v>
      </c>
      <c r="S1577" s="335">
        <v>43830</v>
      </c>
    </row>
    <row r="1578" spans="1:19" s="1" customFormat="1" ht="25.95" customHeight="1">
      <c r="A1578" s="367"/>
      <c r="B1578" s="1483" t="s">
        <v>59</v>
      </c>
      <c r="C1578" s="1483"/>
      <c r="D1578" s="1483"/>
      <c r="E1578" s="1483"/>
      <c r="F1578" s="1483"/>
      <c r="G1578" s="1483"/>
      <c r="H1578" s="368">
        <f t="shared" ref="H1578:P1578" si="485">H1579+H1580</f>
        <v>0</v>
      </c>
      <c r="I1578" s="371">
        <f t="shared" si="485"/>
        <v>0</v>
      </c>
      <c r="J1578" s="371">
        <f t="shared" si="485"/>
        <v>0</v>
      </c>
      <c r="K1578" s="370">
        <f t="shared" si="485"/>
        <v>0</v>
      </c>
      <c r="L1578" s="333">
        <f t="shared" si="485"/>
        <v>0</v>
      </c>
      <c r="M1578" s="333">
        <f t="shared" si="485"/>
        <v>0</v>
      </c>
      <c r="N1578" s="333">
        <f t="shared" si="485"/>
        <v>0</v>
      </c>
      <c r="O1578" s="333">
        <f t="shared" si="485"/>
        <v>0</v>
      </c>
      <c r="P1578" s="333">
        <f t="shared" si="485"/>
        <v>0</v>
      </c>
      <c r="Q1578" s="371" t="str">
        <f>Q1579</f>
        <v>Х</v>
      </c>
      <c r="R1578" s="371" t="str">
        <f t="shared" ref="R1578" si="486">R1579</f>
        <v>Х</v>
      </c>
      <c r="S1578" s="335">
        <v>43830</v>
      </c>
    </row>
    <row r="1579" spans="1:19" s="1" customFormat="1" ht="43.2" customHeight="1">
      <c r="A1579" s="327"/>
      <c r="B1579" s="1485" t="s">
        <v>86</v>
      </c>
      <c r="C1579" s="1485"/>
      <c r="D1579" s="1485"/>
      <c r="E1579" s="1485"/>
      <c r="F1579" s="1485"/>
      <c r="G1579" s="1485"/>
      <c r="H1579" s="371">
        <v>0</v>
      </c>
      <c r="I1579" s="371">
        <v>0</v>
      </c>
      <c r="J1579" s="371">
        <v>0</v>
      </c>
      <c r="K1579" s="332">
        <v>0</v>
      </c>
      <c r="L1579" s="333">
        <v>0</v>
      </c>
      <c r="M1579" s="333">
        <v>0</v>
      </c>
      <c r="N1579" s="333">
        <v>0</v>
      </c>
      <c r="O1579" s="333">
        <v>0</v>
      </c>
      <c r="P1579" s="333">
        <v>0</v>
      </c>
      <c r="Q1579" s="371" t="s">
        <v>40</v>
      </c>
      <c r="R1579" s="367" t="s">
        <v>40</v>
      </c>
      <c r="S1579" s="335">
        <v>43830</v>
      </c>
    </row>
    <row r="1580" spans="1:19" s="1" customFormat="1" ht="36.6" customHeight="1">
      <c r="A1580" s="367"/>
      <c r="B1580" s="1485" t="s">
        <v>85</v>
      </c>
      <c r="C1580" s="1485"/>
      <c r="D1580" s="1485"/>
      <c r="E1580" s="1485"/>
      <c r="F1580" s="1485"/>
      <c r="G1580" s="1485"/>
      <c r="H1580" s="331">
        <v>0</v>
      </c>
      <c r="I1580" s="329">
        <v>0</v>
      </c>
      <c r="J1580" s="329">
        <v>0</v>
      </c>
      <c r="K1580" s="332">
        <v>0</v>
      </c>
      <c r="L1580" s="333">
        <v>0</v>
      </c>
      <c r="M1580" s="333">
        <v>0</v>
      </c>
      <c r="N1580" s="333">
        <v>0</v>
      </c>
      <c r="O1580" s="333">
        <v>0</v>
      </c>
      <c r="P1580" s="333">
        <v>0</v>
      </c>
      <c r="Q1580" s="334" t="s">
        <v>40</v>
      </c>
      <c r="R1580" s="329" t="s">
        <v>40</v>
      </c>
      <c r="S1580" s="335">
        <v>43830</v>
      </c>
    </row>
  </sheetData>
  <autoFilter ref="A14:BJ772"/>
  <sortState ref="B20:AZ187">
    <sortCondition ref="B20:B187"/>
  </sortState>
  <customSheetViews>
    <customSheetView guid="{971AA6D5-B469-4A54-816C-1252CCB6D265}" scale="62" showPageBreaks="1" fitToPage="1" showAutoFilter="1" state="hidden" view="pageBreakPreview" topLeftCell="A10">
      <pane xSplit="2" ySplit="8" topLeftCell="C818" activePane="bottomRight" state="frozen"/>
      <selection pane="bottomRight" activeCell="A10" sqref="A1:XFD1048576"/>
      <pageMargins left="0.19685039370078741" right="0.19685039370078741" top="0.98425196850393704" bottom="0.39370078740157483" header="0.78740157480314965" footer="0"/>
      <printOptions horizontalCentered="1"/>
      <pageSetup paperSize="9" scale="22" firstPageNumber="2" fitToHeight="0" orientation="landscape" useFirstPageNumber="1" r:id="rId1"/>
      <headerFooter>
        <oddHeader>&amp;C&amp;14&amp;P</oddHeader>
      </headerFooter>
      <autoFilter ref="A14:BJ772"/>
    </customSheetView>
    <customSheetView guid="{DFE5B545-478C-4B86-847C-1FEE882C6F69}" scale="62" showPageBreaks="1" fitToPage="1" showAutoFilter="1" state="hidden" view="pageBreakPreview" topLeftCell="A10">
      <pane xSplit="2" ySplit="8" topLeftCell="C818" activePane="bottomRight" state="frozen"/>
      <selection pane="bottomRight" activeCell="A10" sqref="A1:XFD1048576"/>
      <pageMargins left="0.19685039370078741" right="0.19685039370078741" top="0.98425196850393704" bottom="0.39370078740157483" header="0.78740157480314965" footer="0"/>
      <printOptions horizontalCentered="1"/>
      <pageSetup paperSize="9" scale="22" firstPageNumber="2" fitToHeight="0" orientation="landscape" useFirstPageNumber="1" r:id="rId2"/>
      <headerFooter>
        <oddHeader>&amp;C&amp;14&amp;P</oddHeader>
      </headerFooter>
      <autoFilter ref="A14:BJ772"/>
    </customSheetView>
    <customSheetView guid="{4C44C113-DA02-468D-99C5-83FA6693F42F}" scale="62" showPageBreaks="1" fitToPage="1" showAutoFilter="1" state="hidden" view="pageBreakPreview" topLeftCell="A10">
      <pane xSplit="2" ySplit="10" topLeftCell="C818" activePane="bottomRight" state="frozen"/>
      <selection pane="bottomRight" activeCell="A10" sqref="A1:XFD1048576"/>
      <pageMargins left="0.19685039370078741" right="0.19685039370078741" top="0.98425196850393704" bottom="0.39370078740157483" header="0.78740157480314965" footer="0"/>
      <printOptions horizontalCentered="1"/>
      <pageSetup paperSize="9" scale="22" firstPageNumber="2" fitToHeight="0" orientation="landscape" useFirstPageNumber="1" r:id="rId3"/>
      <headerFooter>
        <oddHeader>&amp;C&amp;14&amp;P</oddHeader>
      </headerFooter>
      <autoFilter ref="A14:BJ772"/>
    </customSheetView>
    <customSheetView guid="{570403C4-1D93-4175-B4D8-BD47D46CE99C}" scale="62" showPageBreaks="1" fitToPage="1" showAutoFilter="1" state="hidden" view="pageBreakPreview" topLeftCell="A10">
      <pane xSplit="2" ySplit="10" topLeftCell="C818" activePane="bottomRight" state="frozen"/>
      <selection pane="bottomRight" activeCell="A10" sqref="A1:XFD1048576"/>
      <pageMargins left="0.19685039370078741" right="0.19685039370078741" top="0.98425196850393704" bottom="0.39370078740157483" header="0.78740157480314965" footer="0"/>
      <printOptions horizontalCentered="1"/>
      <pageSetup paperSize="9" scale="22" firstPageNumber="2" fitToHeight="0" orientation="landscape" useFirstPageNumber="1" r:id="rId4"/>
      <headerFooter>
        <oddHeader>&amp;C&amp;14&amp;P</oddHeader>
      </headerFooter>
      <autoFilter ref="A14:BJ772"/>
    </customSheetView>
    <customSheetView guid="{B1841E62-04AF-4786-8B2B-B1F42C88E6D1}" scale="62" showPageBreaks="1" fitToPage="1" showAutoFilter="1" state="hidden" view="pageBreakPreview" topLeftCell="A10">
      <pane xSplit="2" ySplit="9" topLeftCell="C818" activePane="bottomRight" state="frozen"/>
      <selection pane="bottomRight" activeCell="A10" sqref="A1:XFD1048576"/>
      <pageMargins left="0.19685039370078741" right="0.19685039370078741" top="0.98425196850393704" bottom="0.39370078740157483" header="0.78740157480314965" footer="0"/>
      <printOptions horizontalCentered="1"/>
      <pageSetup paperSize="9" scale="22" firstPageNumber="2" fitToHeight="0" orientation="landscape" useFirstPageNumber="1" r:id="rId5"/>
      <headerFooter>
        <oddHeader>&amp;C&amp;14&amp;P</oddHeader>
      </headerFooter>
      <autoFilter ref="A14:BJ580"/>
    </customSheetView>
    <customSheetView guid="{A28C0ADC-4E0C-4A0A-ACB1-DA409183476D}" scale="62" showPageBreaks="1" fitToPage="1" showAutoFilter="1" state="hidden" view="pageBreakPreview" topLeftCell="A10">
      <pane xSplit="2" ySplit="10" topLeftCell="C818" activePane="bottomRight" state="frozen"/>
      <selection pane="bottomRight" activeCell="A10" sqref="A1:XFD1048576"/>
      <pageMargins left="0.19685039370078741" right="0.19685039370078741" top="0.98425196850393704" bottom="0.39370078740157483" header="0.78740157480314965" footer="0"/>
      <printOptions horizontalCentered="1"/>
      <pageSetup paperSize="9" scale="22" firstPageNumber="2" fitToHeight="0" orientation="landscape" useFirstPageNumber="1" r:id="rId6"/>
      <headerFooter>
        <oddHeader>&amp;C&amp;14&amp;P</oddHeader>
      </headerFooter>
      <autoFilter ref="A14:BJ772"/>
    </customSheetView>
    <customSheetView guid="{144E5A37-1CF2-41F0-BEF8-CB5D4D392E2A}" scale="62" showPageBreaks="1" fitToPage="1" showAutoFilter="1" state="hidden" view="pageBreakPreview" topLeftCell="A10">
      <pane xSplit="1.6092715231788079" ySplit="9" topLeftCell="C818" activePane="bottomRight" state="frozen"/>
      <selection pane="bottomRight" activeCell="A10" sqref="A1:XFD1048576"/>
      <pageMargins left="0.19685039370078741" right="0.19685039370078741" top="0.98425196850393704" bottom="0.39370078740157483" header="0.78740157480314965" footer="0"/>
      <printOptions horizontalCentered="1"/>
      <pageSetup paperSize="9" scale="22" firstPageNumber="2" fitToHeight="0" orientation="landscape" useFirstPageNumber="1" r:id="rId7"/>
      <headerFooter>
        <oddHeader>&amp;C&amp;14&amp;P</oddHeader>
      </headerFooter>
      <autoFilter ref="A14:BJ772"/>
    </customSheetView>
    <customSheetView guid="{7A75CCE7-0E84-47E6-A162-5AC0354F2967}" scale="62" showPageBreaks="1" fitToPage="1" showAutoFilter="1" state="hidden" view="pageBreakPreview" topLeftCell="A10">
      <pane xSplit="2" ySplit="10" topLeftCell="C818" activePane="bottomRight" state="frozen"/>
      <selection pane="bottomRight" activeCell="A10" sqref="A1:XFD1048576"/>
      <pageMargins left="0.19685039370078741" right="0.19685039370078741" top="0.98425196850393704" bottom="0.39370078740157483" header="0.78740157480314965" footer="0"/>
      <printOptions horizontalCentered="1"/>
      <pageSetup paperSize="9" scale="22" firstPageNumber="2" fitToHeight="0" orientation="landscape" useFirstPageNumber="1" r:id="rId8"/>
      <headerFooter>
        <oddHeader>&amp;C&amp;14&amp;P</oddHeader>
      </headerFooter>
      <autoFilter ref="A14:BJ772"/>
    </customSheetView>
    <customSheetView guid="{A6187BD3-0BA4-497C-8924-4FA3D77530F0}" scale="62" showPageBreaks="1" fitToPage="1" showAutoFilter="1" state="hidden" view="pageBreakPreview" topLeftCell="A10">
      <pane xSplit="2" ySplit="10" topLeftCell="C818" activePane="bottomRight" state="frozen"/>
      <selection pane="bottomRight" activeCell="A10" sqref="A1:XFD1048576"/>
      <pageMargins left="0.19685039370078741" right="0.19685039370078741" top="0.98425196850393704" bottom="0.39370078740157483" header="0.78740157480314965" footer="0"/>
      <printOptions horizontalCentered="1"/>
      <pageSetup paperSize="9" scale="22" firstPageNumber="2" fitToHeight="0" orientation="landscape" useFirstPageNumber="1" r:id="rId9"/>
      <headerFooter>
        <oddHeader>&amp;C&amp;14&amp;P</oddHeader>
      </headerFooter>
      <autoFilter ref="A14:BJ772"/>
    </customSheetView>
    <customSheetView guid="{DC88C499-913F-4D15-846E-E5B9D5E047D7}" scale="62" showPageBreaks="1" fitToPage="1" showAutoFilter="1" state="hidden" view="pageBreakPreview" topLeftCell="A10">
      <pane xSplit="2" ySplit="10" topLeftCell="C818" activePane="bottomRight" state="frozen"/>
      <selection pane="bottomRight" activeCell="A10" sqref="A1:XFD1048576"/>
      <pageMargins left="0.19685039370078741" right="0.19685039370078741" top="0.98425196850393704" bottom="0.39370078740157483" header="0.78740157480314965" footer="0"/>
      <printOptions horizontalCentered="1"/>
      <pageSetup paperSize="9" scale="22" firstPageNumber="2" fitToHeight="0" orientation="landscape" useFirstPageNumber="1" r:id="rId10"/>
      <headerFooter>
        <oddHeader>&amp;C&amp;14&amp;P</oddHeader>
      </headerFooter>
      <autoFilter ref="A14:BJ772"/>
    </customSheetView>
  </customSheetViews>
  <mergeCells count="352">
    <mergeCell ref="B341:G341"/>
    <mergeCell ref="B1377:G1377"/>
    <mergeCell ref="B1579:G1579"/>
    <mergeCell ref="B1580:G1580"/>
    <mergeCell ref="A1564:S1564"/>
    <mergeCell ref="B1565:G1565"/>
    <mergeCell ref="B1566:G1566"/>
    <mergeCell ref="B1567:G1567"/>
    <mergeCell ref="A1573:S1573"/>
    <mergeCell ref="B1574:G1574"/>
    <mergeCell ref="B1575:G1575"/>
    <mergeCell ref="B1576:G1576"/>
    <mergeCell ref="B1578:G1578"/>
    <mergeCell ref="B1536:G1536"/>
    <mergeCell ref="B1538:G1538"/>
    <mergeCell ref="B1541:G1541"/>
    <mergeCell ref="B1545:G1545"/>
    <mergeCell ref="B1557:G1557"/>
    <mergeCell ref="B1558:G1558"/>
    <mergeCell ref="B1560:G1560"/>
    <mergeCell ref="A1562:S1562"/>
    <mergeCell ref="B1563:G1563"/>
    <mergeCell ref="B1511:G1511"/>
    <mergeCell ref="B1519:G1519"/>
    <mergeCell ref="B1520:G1520"/>
    <mergeCell ref="B1522:G1522"/>
    <mergeCell ref="B1523:G1523"/>
    <mergeCell ref="B1527:G1527"/>
    <mergeCell ref="B1528:G1528"/>
    <mergeCell ref="B1533:G1533"/>
    <mergeCell ref="B1534:G1534"/>
    <mergeCell ref="B1516:G1516"/>
    <mergeCell ref="B1517:G1517"/>
    <mergeCell ref="B1525:G1525"/>
    <mergeCell ref="B1487:G1487"/>
    <mergeCell ref="B1488:G1488"/>
    <mergeCell ref="B1490:G1490"/>
    <mergeCell ref="B1491:G1491"/>
    <mergeCell ref="B1501:G1501"/>
    <mergeCell ref="B1502:G1502"/>
    <mergeCell ref="B1507:G1507"/>
    <mergeCell ref="B1508:G1508"/>
    <mergeCell ref="B1510:G1510"/>
    <mergeCell ref="B1461:G1461"/>
    <mergeCell ref="B1466:G1466"/>
    <mergeCell ref="B1467:G1467"/>
    <mergeCell ref="B1471:G1471"/>
    <mergeCell ref="B1472:G1472"/>
    <mergeCell ref="B1476:G1476"/>
    <mergeCell ref="B1477:G1477"/>
    <mergeCell ref="B1483:G1483"/>
    <mergeCell ref="B1485:G1485"/>
    <mergeCell ref="B1430:G1430"/>
    <mergeCell ref="B1432:G1432"/>
    <mergeCell ref="B1434:G1434"/>
    <mergeCell ref="B1435:G1435"/>
    <mergeCell ref="B1447:G1447"/>
    <mergeCell ref="B1449:G1449"/>
    <mergeCell ref="B1451:G1451"/>
    <mergeCell ref="B1458:G1458"/>
    <mergeCell ref="B1459:G1459"/>
    <mergeCell ref="B1395:G1395"/>
    <mergeCell ref="B1398:G1398"/>
    <mergeCell ref="B1400:G1400"/>
    <mergeCell ref="B1403:G1403"/>
    <mergeCell ref="B1404:G1404"/>
    <mergeCell ref="B1414:G1414"/>
    <mergeCell ref="B1415:G1415"/>
    <mergeCell ref="B1426:G1426"/>
    <mergeCell ref="B1427:G1427"/>
    <mergeCell ref="B1423:G1423"/>
    <mergeCell ref="B1379:G1379"/>
    <mergeCell ref="B1380:G1380"/>
    <mergeCell ref="B1383:G1383"/>
    <mergeCell ref="B1384:G1384"/>
    <mergeCell ref="B1386:G1386"/>
    <mergeCell ref="B1387:G1387"/>
    <mergeCell ref="B1389:G1389"/>
    <mergeCell ref="B1391:G1391"/>
    <mergeCell ref="B1392:G1392"/>
    <mergeCell ref="B1357:G1357"/>
    <mergeCell ref="B1360:G1360"/>
    <mergeCell ref="B1361:G1361"/>
    <mergeCell ref="B1364:G1364"/>
    <mergeCell ref="B1365:G1365"/>
    <mergeCell ref="B1369:G1369"/>
    <mergeCell ref="B1372:G1372"/>
    <mergeCell ref="B1373:G1373"/>
    <mergeCell ref="B1375:G1375"/>
    <mergeCell ref="B1367:G1367"/>
    <mergeCell ref="B1308:G1308"/>
    <mergeCell ref="B1322:G1322"/>
    <mergeCell ref="B1323:G1323"/>
    <mergeCell ref="B1331:G1331"/>
    <mergeCell ref="B1332:G1332"/>
    <mergeCell ref="B1338:G1338"/>
    <mergeCell ref="B1339:G1339"/>
    <mergeCell ref="B1341:G1341"/>
    <mergeCell ref="B1342:G1342"/>
    <mergeCell ref="B1320:G1320"/>
    <mergeCell ref="A1083:S1083"/>
    <mergeCell ref="A1084:S1084"/>
    <mergeCell ref="B1085:G1085"/>
    <mergeCell ref="B1086:G1086"/>
    <mergeCell ref="B1255:G1255"/>
    <mergeCell ref="B1267:G1267"/>
    <mergeCell ref="B1269:G1269"/>
    <mergeCell ref="B1295:G1295"/>
    <mergeCell ref="B1068:G1068"/>
    <mergeCell ref="B1069:G1069"/>
    <mergeCell ref="A1075:S1075"/>
    <mergeCell ref="B1076:G1076"/>
    <mergeCell ref="B1077:G1077"/>
    <mergeCell ref="B1078:G1078"/>
    <mergeCell ref="B1080:G1080"/>
    <mergeCell ref="B1081:G1081"/>
    <mergeCell ref="B1082:G1082"/>
    <mergeCell ref="B1017:G1017"/>
    <mergeCell ref="B1025:G1025"/>
    <mergeCell ref="B1021:G1021"/>
    <mergeCell ref="B1022:G1022"/>
    <mergeCell ref="B1065:G1065"/>
    <mergeCell ref="A1066:S1066"/>
    <mergeCell ref="B1067:G1067"/>
    <mergeCell ref="B1026:G1026"/>
    <mergeCell ref="B1028:G1028"/>
    <mergeCell ref="B1029:G1029"/>
    <mergeCell ref="B1032:G1032"/>
    <mergeCell ref="B1033:G1033"/>
    <mergeCell ref="B1038:G1038"/>
    <mergeCell ref="B1039:G1039"/>
    <mergeCell ref="B1041:G1041"/>
    <mergeCell ref="B1043:G1043"/>
    <mergeCell ref="B1044:G1044"/>
    <mergeCell ref="B1048:G1048"/>
    <mergeCell ref="B1060:G1060"/>
    <mergeCell ref="B1061:G1061"/>
    <mergeCell ref="B1063:G1063"/>
    <mergeCell ref="A1064:S1064"/>
    <mergeCell ref="B992:G992"/>
    <mergeCell ref="B993:G993"/>
    <mergeCell ref="B996:G996"/>
    <mergeCell ref="B997:G997"/>
    <mergeCell ref="B1007:G1007"/>
    <mergeCell ref="B1008:G1008"/>
    <mergeCell ref="B1013:G1013"/>
    <mergeCell ref="B1014:G1014"/>
    <mergeCell ref="B1016:G1016"/>
    <mergeCell ref="B968:G968"/>
    <mergeCell ref="B956:G956"/>
    <mergeCell ref="B969:G969"/>
    <mergeCell ref="B973:G973"/>
    <mergeCell ref="B974:G974"/>
    <mergeCell ref="B978:G978"/>
    <mergeCell ref="B979:G979"/>
    <mergeCell ref="B986:G986"/>
    <mergeCell ref="B990:G990"/>
    <mergeCell ref="B935:G935"/>
    <mergeCell ref="B937:G937"/>
    <mergeCell ref="B938:G938"/>
    <mergeCell ref="B945:G945"/>
    <mergeCell ref="B947:G947"/>
    <mergeCell ref="B949:G949"/>
    <mergeCell ref="B958:G958"/>
    <mergeCell ref="B961:G961"/>
    <mergeCell ref="B963:G963"/>
    <mergeCell ref="B905:G905"/>
    <mergeCell ref="B908:G908"/>
    <mergeCell ref="B909:G909"/>
    <mergeCell ref="B916:G916"/>
    <mergeCell ref="B917:G917"/>
    <mergeCell ref="B929:G929"/>
    <mergeCell ref="B930:G930"/>
    <mergeCell ref="B926:G926"/>
    <mergeCell ref="B933:G933"/>
    <mergeCell ref="B886:G886"/>
    <mergeCell ref="B887:G887"/>
    <mergeCell ref="B889:G889"/>
    <mergeCell ref="B890:G890"/>
    <mergeCell ref="B894:G894"/>
    <mergeCell ref="B896:G896"/>
    <mergeCell ref="B897:G897"/>
    <mergeCell ref="B900:G900"/>
    <mergeCell ref="B903:G903"/>
    <mergeCell ref="B864:G864"/>
    <mergeCell ref="B867:G867"/>
    <mergeCell ref="B868:G868"/>
    <mergeCell ref="B874:G874"/>
    <mergeCell ref="B876:G876"/>
    <mergeCell ref="B878:G878"/>
    <mergeCell ref="B880:G880"/>
    <mergeCell ref="B882:G882"/>
    <mergeCell ref="B883:G883"/>
    <mergeCell ref="B872:G872"/>
    <mergeCell ref="B545:G545"/>
    <mergeCell ref="B476:G476"/>
    <mergeCell ref="B583:G583"/>
    <mergeCell ref="B584:G584"/>
    <mergeCell ref="B753:G753"/>
    <mergeCell ref="B767:G767"/>
    <mergeCell ref="B770:G770"/>
    <mergeCell ref="A581:S581"/>
    <mergeCell ref="B863:G863"/>
    <mergeCell ref="B842:G842"/>
    <mergeCell ref="B844:G844"/>
    <mergeCell ref="B822:G822"/>
    <mergeCell ref="B845:G845"/>
    <mergeCell ref="B860:G860"/>
    <mergeCell ref="B796:G796"/>
    <mergeCell ref="B809:G809"/>
    <mergeCell ref="B825:G825"/>
    <mergeCell ref="B826:G826"/>
    <mergeCell ref="B834:G834"/>
    <mergeCell ref="B835:G835"/>
    <mergeCell ref="B841:G841"/>
    <mergeCell ref="B486:G486"/>
    <mergeCell ref="A582:S582"/>
    <mergeCell ref="B534:G534"/>
    <mergeCell ref="B344:G344"/>
    <mergeCell ref="B347:G347"/>
    <mergeCell ref="B349:G349"/>
    <mergeCell ref="B353:G353"/>
    <mergeCell ref="B352:G352"/>
    <mergeCell ref="B412:G412"/>
    <mergeCell ref="B537:G537"/>
    <mergeCell ref="B499:G499"/>
    <mergeCell ref="B503:G503"/>
    <mergeCell ref="B469:G469"/>
    <mergeCell ref="B364:G364"/>
    <mergeCell ref="B405:G405"/>
    <mergeCell ref="B382:G382"/>
    <mergeCell ref="B384:G384"/>
    <mergeCell ref="B446:G446"/>
    <mergeCell ref="B373:G373"/>
    <mergeCell ref="B536:G536"/>
    <mergeCell ref="B521:G521"/>
    <mergeCell ref="B523:G523"/>
    <mergeCell ref="B516:G516"/>
    <mergeCell ref="B518:G518"/>
    <mergeCell ref="B429:G429"/>
    <mergeCell ref="B443:G443"/>
    <mergeCell ref="B380:G380"/>
    <mergeCell ref="O2:S2"/>
    <mergeCell ref="C12:C14"/>
    <mergeCell ref="A531:S531"/>
    <mergeCell ref="B532:G532"/>
    <mergeCell ref="B533:G533"/>
    <mergeCell ref="O3:S3"/>
    <mergeCell ref="B300:G300"/>
    <mergeCell ref="B261:G261"/>
    <mergeCell ref="B269:G269"/>
    <mergeCell ref="B270:G270"/>
    <mergeCell ref="B281:G281"/>
    <mergeCell ref="B282:G282"/>
    <mergeCell ref="B284:G284"/>
    <mergeCell ref="B285:G285"/>
    <mergeCell ref="A520:S520"/>
    <mergeCell ref="B244:G244"/>
    <mergeCell ref="B16:G16"/>
    <mergeCell ref="B19:G19"/>
    <mergeCell ref="B207:G207"/>
    <mergeCell ref="B231:G231"/>
    <mergeCell ref="B260:G260"/>
    <mergeCell ref="B303:G303"/>
    <mergeCell ref="B336:G336"/>
    <mergeCell ref="B304:G304"/>
    <mergeCell ref="L12:L13"/>
    <mergeCell ref="K11:K13"/>
    <mergeCell ref="A17:S17"/>
    <mergeCell ref="B188:G188"/>
    <mergeCell ref="O1:S1"/>
    <mergeCell ref="O4:S4"/>
    <mergeCell ref="O5:S5"/>
    <mergeCell ref="J12:J13"/>
    <mergeCell ref="E11:E14"/>
    <mergeCell ref="F11:F14"/>
    <mergeCell ref="L11:P11"/>
    <mergeCell ref="M12:P12"/>
    <mergeCell ref="Q11:Q13"/>
    <mergeCell ref="S11:S14"/>
    <mergeCell ref="A6:S6"/>
    <mergeCell ref="R11:R13"/>
    <mergeCell ref="A7:S7"/>
    <mergeCell ref="H11:H13"/>
    <mergeCell ref="A8:S8"/>
    <mergeCell ref="A11:A14"/>
    <mergeCell ref="A9:S9"/>
    <mergeCell ref="I12:I13"/>
    <mergeCell ref="B18:G18"/>
    <mergeCell ref="A10:S10"/>
    <mergeCell ref="G11:G14"/>
    <mergeCell ref="C11:D11"/>
    <mergeCell ref="D12:D14"/>
    <mergeCell ref="I11:J11"/>
    <mergeCell ref="B11:B14"/>
    <mergeCell ref="B339:G339"/>
    <mergeCell ref="B338:G338"/>
    <mergeCell ref="B312:G312"/>
    <mergeCell ref="B314:G314"/>
    <mergeCell ref="B316:G316"/>
    <mergeCell ref="B317:G317"/>
    <mergeCell ref="B321:G321"/>
    <mergeCell ref="B320:G320"/>
    <mergeCell ref="B325:G325"/>
    <mergeCell ref="B324:G324"/>
    <mergeCell ref="B205:G205"/>
    <mergeCell ref="B308:G308"/>
    <mergeCell ref="B307:G307"/>
    <mergeCell ref="B310:G310"/>
    <mergeCell ref="B318:G318"/>
    <mergeCell ref="B257:G257"/>
    <mergeCell ref="B332:G332"/>
    <mergeCell ref="B331:G331"/>
    <mergeCell ref="B524:G524"/>
    <mergeCell ref="B525:G525"/>
    <mergeCell ref="A522:S522"/>
    <mergeCell ref="B425:G425"/>
    <mergeCell ref="B430:G430"/>
    <mergeCell ref="B435:G435"/>
    <mergeCell ref="B434:G434"/>
    <mergeCell ref="B441:G441"/>
    <mergeCell ref="B445:G445"/>
    <mergeCell ref="B449:G449"/>
    <mergeCell ref="B470:G470"/>
    <mergeCell ref="B477:G477"/>
    <mergeCell ref="B515:G515"/>
    <mergeCell ref="B480:G480"/>
    <mergeCell ref="B479:G479"/>
    <mergeCell ref="B485:G485"/>
    <mergeCell ref="B492:G492"/>
    <mergeCell ref="B491:G491"/>
    <mergeCell ref="B494:G494"/>
    <mergeCell ref="B450:G450"/>
    <mergeCell ref="B460:G460"/>
    <mergeCell ref="B461:G461"/>
    <mergeCell ref="B466:G466"/>
    <mergeCell ref="B467:G467"/>
    <mergeCell ref="B363:G363"/>
    <mergeCell ref="B397:G397"/>
    <mergeCell ref="B496:G496"/>
    <mergeCell ref="B377:G377"/>
    <mergeCell ref="B376:G376"/>
    <mergeCell ref="B403:G403"/>
    <mergeCell ref="B474:G474"/>
    <mergeCell ref="B473:G473"/>
    <mergeCell ref="B483:G483"/>
    <mergeCell ref="B415:G415"/>
    <mergeCell ref="B417:G417"/>
    <mergeCell ref="B401:G401"/>
    <mergeCell ref="B419:G419"/>
    <mergeCell ref="B385:G385"/>
    <mergeCell ref="B424:G424"/>
  </mergeCells>
  <printOptions horizontalCentered="1"/>
  <pageMargins left="0.19685039370078741" right="0.19685039370078741" top="0.98425196850393704" bottom="0.39370078740157483" header="0.78740157480314965" footer="0"/>
  <pageSetup paperSize="9" scale="22" firstPageNumber="2" fitToHeight="0" orientation="landscape" useFirstPageNumber="1" r:id="rId11"/>
  <headerFooter>
    <oddHeader>&amp;C&amp;14&amp;P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537"/>
  <sheetViews>
    <sheetView view="pageBreakPreview" zoomScale="68" zoomScaleSheetLayoutView="68" workbookViewId="0">
      <pane xSplit="2" ySplit="6" topLeftCell="C514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8.88671875" defaultRowHeight="14.4"/>
  <cols>
    <col min="1" max="1" width="4.88671875" style="13" customWidth="1"/>
    <col min="2" max="2" width="30.6640625" style="1" customWidth="1"/>
    <col min="3" max="3" width="14.6640625" style="1" customWidth="1"/>
    <col min="4" max="4" width="13.5546875" style="1" customWidth="1"/>
    <col min="5" max="5" width="13.6640625" style="1" customWidth="1"/>
    <col min="6" max="6" width="14.6640625" style="1" customWidth="1"/>
    <col min="7" max="7" width="11.6640625" style="1" customWidth="1"/>
    <col min="8" max="8" width="11.88671875" style="1" customWidth="1"/>
    <col min="9" max="9" width="12.6640625" style="1" customWidth="1"/>
    <col min="10" max="10" width="12.109375" style="1" customWidth="1"/>
    <col min="11" max="11" width="14.44140625" style="25" customWidth="1"/>
    <col min="12" max="12" width="11.44140625" style="22" customWidth="1"/>
    <col min="13" max="13" width="16.109375" style="1" customWidth="1"/>
    <col min="14" max="14" width="11.5546875" style="22" customWidth="1"/>
    <col min="15" max="15" width="14.88671875" style="25" customWidth="1"/>
    <col min="16" max="16" width="8.33203125" style="22" customWidth="1"/>
    <col min="17" max="17" width="12.88671875" style="25" customWidth="1"/>
    <col min="18" max="18" width="11.5546875" style="22" customWidth="1"/>
    <col min="19" max="19" width="12.6640625" style="1" customWidth="1"/>
    <col min="20" max="20" width="7.5546875" style="22" customWidth="1"/>
    <col min="21" max="21" width="10.33203125" style="1" customWidth="1"/>
    <col min="22" max="22" width="13.109375" style="283" hidden="1" customWidth="1"/>
    <col min="23" max="24" width="12.33203125" style="283" customWidth="1"/>
    <col min="25" max="26" width="12.5546875" style="1" customWidth="1"/>
    <col min="27" max="28" width="11.109375" style="1" customWidth="1"/>
    <col min="29" max="30" width="11.33203125" style="1" customWidth="1"/>
    <col min="31" max="32" width="14" style="1" customWidth="1"/>
    <col min="33" max="35" width="10.6640625" style="1" customWidth="1"/>
    <col min="36" max="16384" width="8.88671875" style="1"/>
  </cols>
  <sheetData>
    <row r="1" spans="1:49" s="17" customFormat="1" ht="15.6">
      <c r="A1" s="1498" t="s">
        <v>39</v>
      </c>
      <c r="B1" s="1498"/>
      <c r="C1" s="1498"/>
      <c r="D1" s="1498"/>
      <c r="E1" s="1498"/>
      <c r="F1" s="1498"/>
      <c r="G1" s="1498"/>
      <c r="H1" s="1498"/>
      <c r="I1" s="1498"/>
      <c r="J1" s="1498"/>
      <c r="K1" s="1498"/>
      <c r="L1" s="1498"/>
      <c r="M1" s="1498"/>
      <c r="N1" s="1498"/>
      <c r="O1" s="1498"/>
      <c r="P1" s="1498"/>
      <c r="Q1" s="1498"/>
      <c r="R1" s="1498"/>
      <c r="S1" s="1498"/>
      <c r="T1" s="1498"/>
      <c r="U1" s="1498"/>
      <c r="V1" s="279"/>
      <c r="W1" s="279"/>
      <c r="X1" s="279"/>
    </row>
    <row r="2" spans="1:49" s="17" customFormat="1" ht="17.399999999999999" customHeight="1">
      <c r="A2" s="1499" t="s">
        <v>0</v>
      </c>
      <c r="B2" s="1499" t="s">
        <v>22</v>
      </c>
      <c r="C2" s="1499" t="s">
        <v>459</v>
      </c>
      <c r="D2" s="1500" t="s">
        <v>558</v>
      </c>
      <c r="E2" s="1501"/>
      <c r="F2" s="1501"/>
      <c r="G2" s="1501"/>
      <c r="H2" s="1501"/>
      <c r="I2" s="1501"/>
      <c r="J2" s="1501"/>
      <c r="K2" s="1501"/>
      <c r="L2" s="1501"/>
      <c r="M2" s="1501"/>
      <c r="N2" s="1501"/>
      <c r="O2" s="1501"/>
      <c r="P2" s="1501"/>
      <c r="Q2" s="1501"/>
      <c r="R2" s="1501"/>
      <c r="S2" s="1501"/>
      <c r="T2" s="1501"/>
      <c r="U2" s="1502"/>
      <c r="V2" s="280"/>
      <c r="W2" s="280"/>
      <c r="X2" s="280"/>
    </row>
    <row r="3" spans="1:49" s="17" customFormat="1">
      <c r="A3" s="1499"/>
      <c r="B3" s="1499"/>
      <c r="C3" s="1499"/>
      <c r="D3" s="1499" t="s">
        <v>559</v>
      </c>
      <c r="E3" s="1499"/>
      <c r="F3" s="1499"/>
      <c r="G3" s="1499"/>
      <c r="H3" s="1499"/>
      <c r="I3" s="1499"/>
      <c r="J3" s="1499"/>
      <c r="K3" s="1499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280"/>
      <c r="W3" s="280"/>
      <c r="X3" s="280"/>
    </row>
    <row r="4" spans="1:49" s="17" customFormat="1" ht="102" customHeight="1">
      <c r="A4" s="1499"/>
      <c r="B4" s="1499"/>
      <c r="C4" s="1499"/>
      <c r="D4" s="444" t="s">
        <v>556</v>
      </c>
      <c r="E4" s="445" t="s">
        <v>549</v>
      </c>
      <c r="F4" s="445" t="s">
        <v>550</v>
      </c>
      <c r="G4" s="445" t="s">
        <v>551</v>
      </c>
      <c r="H4" s="445" t="s">
        <v>552</v>
      </c>
      <c r="I4" s="445" t="s">
        <v>553</v>
      </c>
      <c r="J4" s="445" t="s">
        <v>554</v>
      </c>
      <c r="K4" s="444" t="s">
        <v>555</v>
      </c>
      <c r="L4" s="1497" t="s">
        <v>215</v>
      </c>
      <c r="M4" s="1497"/>
      <c r="N4" s="1497" t="s">
        <v>216</v>
      </c>
      <c r="O4" s="1497"/>
      <c r="P4" s="1497" t="s">
        <v>217</v>
      </c>
      <c r="Q4" s="1497"/>
      <c r="R4" s="1497" t="s">
        <v>436</v>
      </c>
      <c r="S4" s="1497"/>
      <c r="T4" s="1497" t="s">
        <v>557</v>
      </c>
      <c r="U4" s="1497"/>
      <c r="V4" s="280"/>
      <c r="W4" s="280" t="s">
        <v>576</v>
      </c>
      <c r="X4" s="280" t="s">
        <v>591</v>
      </c>
      <c r="Y4" s="272" t="s">
        <v>69</v>
      </c>
      <c r="Z4" s="273" t="s">
        <v>605</v>
      </c>
      <c r="AA4" s="273" t="s">
        <v>606</v>
      </c>
      <c r="AB4" s="273" t="s">
        <v>467</v>
      </c>
      <c r="AC4" s="272" t="s">
        <v>468</v>
      </c>
      <c r="AD4" s="273" t="s">
        <v>607</v>
      </c>
      <c r="AE4" s="627" t="s">
        <v>720</v>
      </c>
      <c r="AF4" s="273"/>
      <c r="AG4" s="272"/>
      <c r="AH4" s="273"/>
    </row>
    <row r="5" spans="1:49">
      <c r="A5" s="1499"/>
      <c r="B5" s="1499"/>
      <c r="C5" s="393" t="s">
        <v>17</v>
      </c>
      <c r="D5" s="393"/>
      <c r="E5" s="393"/>
      <c r="F5" s="393"/>
      <c r="G5" s="393"/>
      <c r="H5" s="393"/>
      <c r="I5" s="393"/>
      <c r="J5" s="393"/>
      <c r="K5" s="187" t="s">
        <v>17</v>
      </c>
      <c r="L5" s="395" t="s">
        <v>23</v>
      </c>
      <c r="M5" s="393" t="s">
        <v>17</v>
      </c>
      <c r="N5" s="395" t="s">
        <v>21</v>
      </c>
      <c r="O5" s="187" t="s">
        <v>17</v>
      </c>
      <c r="P5" s="395" t="s">
        <v>21</v>
      </c>
      <c r="Q5" s="187" t="s">
        <v>17</v>
      </c>
      <c r="R5" s="395" t="s">
        <v>21</v>
      </c>
      <c r="S5" s="393" t="s">
        <v>17</v>
      </c>
      <c r="T5" s="395" t="s">
        <v>24</v>
      </c>
      <c r="U5" s="285" t="s">
        <v>17</v>
      </c>
      <c r="V5" s="280"/>
      <c r="W5" s="280"/>
      <c r="X5" s="280"/>
      <c r="AD5" s="3"/>
      <c r="AF5" s="861" t="s">
        <v>858</v>
      </c>
      <c r="AG5" s="3" t="s">
        <v>975</v>
      </c>
    </row>
    <row r="6" spans="1:49">
      <c r="A6" s="189">
        <v>1</v>
      </c>
      <c r="B6" s="189">
        <v>2</v>
      </c>
      <c r="C6" s="189">
        <v>3</v>
      </c>
      <c r="D6" s="189">
        <v>4</v>
      </c>
      <c r="E6" s="189">
        <v>5</v>
      </c>
      <c r="F6" s="189">
        <v>6</v>
      </c>
      <c r="G6" s="189">
        <v>7</v>
      </c>
      <c r="H6" s="189">
        <v>8</v>
      </c>
      <c r="I6" s="189">
        <v>9</v>
      </c>
      <c r="J6" s="189">
        <v>10</v>
      </c>
      <c r="K6" s="190">
        <v>11</v>
      </c>
      <c r="L6" s="190">
        <v>12</v>
      </c>
      <c r="M6" s="190">
        <v>13</v>
      </c>
      <c r="N6" s="190">
        <v>14</v>
      </c>
      <c r="O6" s="190">
        <v>15</v>
      </c>
      <c r="P6" s="190">
        <v>16</v>
      </c>
      <c r="Q6" s="190">
        <v>17</v>
      </c>
      <c r="R6" s="190">
        <v>18</v>
      </c>
      <c r="S6" s="190">
        <v>19</v>
      </c>
      <c r="T6" s="190">
        <v>20</v>
      </c>
      <c r="U6" s="286">
        <v>21</v>
      </c>
      <c r="V6" s="281"/>
      <c r="W6" s="281"/>
      <c r="X6" s="281"/>
    </row>
    <row r="7" spans="1:49">
      <c r="A7" s="191"/>
      <c r="B7" s="191" t="s">
        <v>42</v>
      </c>
      <c r="C7" s="192">
        <f>C8+C177+C194+C196+C222+C235+C251+C260+C272+C275+C294+C298+C311+C315+C322+C328+C342+C353+C366+C374+C419+C424+C429+C440+C444+C456+C501+C506+C509+C516+C519+C526+C532+C537+C544+C556</f>
        <v>688029148.84000003</v>
      </c>
      <c r="D7" s="192"/>
      <c r="E7" s="192"/>
      <c r="F7" s="192"/>
      <c r="G7" s="192"/>
      <c r="H7" s="192"/>
      <c r="I7" s="192"/>
      <c r="J7" s="192"/>
      <c r="K7" s="192" t="e">
        <f>K8+K177+K194+K196+K222+K235+K251+K260+K272+K275+K294+K298+K311+K315+K322+K328+K342+K353+K366+K374+K419+K424+K429+K440+K444+K456+K501+K506+K509+K516+K519+K526+K532+K537+K544+K556</f>
        <v>#REF!</v>
      </c>
      <c r="L7" s="193">
        <v>79</v>
      </c>
      <c r="M7" s="192">
        <f>M8+M177+M194+M196+M222+M235+M251+M260+M272+M275+M294+M298+M311+M315+M322+M328+M342+M353+M366+M374+M419+M424+M429+M440+M444+M456+M501+M506+M509+M516+M519+M526+M532+M537+M544+M556</f>
        <v>109722398</v>
      </c>
      <c r="N7" s="192">
        <f>N8+N177+N194+N196+N222+N235+N251+N260+N272+N275+N294+N298+N311+N315+N322+N328+N342+N353+N366+N374+N419+N424+N429+N440+N444+N456+N501+N506+N509+N516+N519+N526+N532+N537+N544+N556</f>
        <v>181088.71</v>
      </c>
      <c r="O7" s="192">
        <f>O8+O177+O194+O196+O222+O235+O251+O260+O272+O275+O294+O298+O311+O315+O322+O328+O342+O353+O366+O374+O419+O424+O429+O440+O444+O456+O501+O506+O509+O516+O519+O526+O532+O537+O544+O556</f>
        <v>407329726.71000004</v>
      </c>
      <c r="P7" s="192">
        <v>682</v>
      </c>
      <c r="Q7" s="192">
        <f>Q8+Q177+Q194+Q196+Q222+Q235+Q251+Q260+Q272+Q275+Q294+Q298+Q311+Q315+Q322+Q328+Q342+Q353+Q366+Q374+Q419+Q424+Q429+Q440+Q444+Q456+Q501+Q506+Q509+Q516+Q519+Q526+Q532+Q537+Q544+Q556</f>
        <v>662518</v>
      </c>
      <c r="R7" s="192">
        <v>41826.129999999997</v>
      </c>
      <c r="S7" s="192">
        <f>S8+S177+S194+S196+S222+S235+S251+S260+S272+S275+S294+S298+S311+S315+S322+S328+S342+S353+S366+S374+S419+S424+S429+S440+S444+S456+S501+S506+S509+S516+S519+S526+S532+S537+S544+S556</f>
        <v>57577828.790000007</v>
      </c>
      <c r="T7" s="259">
        <v>212</v>
      </c>
      <c r="U7" s="287">
        <f>U8+U177+U194+U196+U222+U235+U251+U260+U272+U275+U294+U298+U311+U315+U322+U328+U342+U353+U366+U374+U419+U424+U429+U440+U444+U456+U501+U506+U509+U516+U519+U526+U532+U537+U544+U556</f>
        <v>728274</v>
      </c>
      <c r="V7" s="282"/>
      <c r="W7" s="282"/>
      <c r="X7" s="282"/>
    </row>
    <row r="8" spans="1:49" ht="18.75" customHeight="1">
      <c r="A8" s="430"/>
      <c r="B8" s="431" t="s">
        <v>89</v>
      </c>
      <c r="C8" s="432">
        <f>SUM(C9:C176)</f>
        <v>336230870.63</v>
      </c>
      <c r="D8" s="432"/>
      <c r="E8" s="432"/>
      <c r="F8" s="432"/>
      <c r="G8" s="432"/>
      <c r="H8" s="432"/>
      <c r="I8" s="432"/>
      <c r="J8" s="432"/>
      <c r="K8" s="432" t="e">
        <f>SUM(K9:K176)</f>
        <v>#REF!</v>
      </c>
      <c r="L8" s="433">
        <v>45</v>
      </c>
      <c r="M8" s="432">
        <f>SUM(M9:M176)</f>
        <v>84665172</v>
      </c>
      <c r="N8" s="432">
        <f t="shared" ref="N8:R8" si="0">SUM(N9:N176)</f>
        <v>64824.649999999994</v>
      </c>
      <c r="O8" s="432">
        <f>SUM(O9:O176)</f>
        <v>127943364.07000001</v>
      </c>
      <c r="P8" s="432">
        <f t="shared" si="0"/>
        <v>682</v>
      </c>
      <c r="Q8" s="432">
        <f>SUM(Q9:Q176)</f>
        <v>662518</v>
      </c>
      <c r="R8" s="432">
        <f t="shared" si="0"/>
        <v>29106.850000000002</v>
      </c>
      <c r="S8" s="432">
        <f>SUM(S9:S176)</f>
        <v>38255949.950000003</v>
      </c>
      <c r="T8" s="433">
        <v>0</v>
      </c>
      <c r="U8" s="434">
        <v>0</v>
      </c>
      <c r="V8" s="436"/>
      <c r="W8" s="436"/>
      <c r="X8" s="436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37"/>
    </row>
    <row r="9" spans="1:49" s="59" customFormat="1">
      <c r="A9" s="198">
        <v>1</v>
      </c>
      <c r="B9" s="195" t="s">
        <v>324</v>
      </c>
      <c r="C9" s="196">
        <v>5982216</v>
      </c>
      <c r="D9" s="196"/>
      <c r="E9" s="196"/>
      <c r="F9" s="196"/>
      <c r="G9" s="196"/>
      <c r="H9" s="196"/>
      <c r="I9" s="196"/>
      <c r="J9" s="196"/>
      <c r="K9" s="196">
        <v>0</v>
      </c>
      <c r="L9" s="194">
        <v>0</v>
      </c>
      <c r="M9" s="196">
        <v>0</v>
      </c>
      <c r="N9" s="196">
        <v>0</v>
      </c>
      <c r="O9" s="196">
        <v>0</v>
      </c>
      <c r="P9" s="194">
        <v>0</v>
      </c>
      <c r="Q9" s="196">
        <v>0</v>
      </c>
      <c r="R9" s="199">
        <v>4158.84</v>
      </c>
      <c r="S9" s="196">
        <v>5982216</v>
      </c>
      <c r="T9" s="197">
        <v>0</v>
      </c>
      <c r="U9" s="288">
        <v>0</v>
      </c>
      <c r="V9" s="282">
        <f>C9-'часть 1'!L20</f>
        <v>0</v>
      </c>
      <c r="W9" s="282"/>
      <c r="X9" s="28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296"/>
    </row>
    <row r="10" spans="1:49" s="89" customFormat="1">
      <c r="A10" s="198">
        <v>2</v>
      </c>
      <c r="B10" s="195" t="s">
        <v>325</v>
      </c>
      <c r="C10" s="196">
        <v>9379653</v>
      </c>
      <c r="D10" s="196"/>
      <c r="E10" s="196"/>
      <c r="F10" s="196"/>
      <c r="G10" s="196"/>
      <c r="H10" s="196"/>
      <c r="I10" s="196"/>
      <c r="J10" s="196"/>
      <c r="K10" s="196">
        <v>0</v>
      </c>
      <c r="L10" s="194">
        <v>5</v>
      </c>
      <c r="M10" s="196">
        <v>9379653</v>
      </c>
      <c r="N10" s="196">
        <v>0</v>
      </c>
      <c r="O10" s="196">
        <v>0</v>
      </c>
      <c r="P10" s="194">
        <v>0</v>
      </c>
      <c r="Q10" s="196">
        <v>0</v>
      </c>
      <c r="R10" s="197">
        <v>0</v>
      </c>
      <c r="S10" s="196">
        <v>0</v>
      </c>
      <c r="T10" s="197">
        <v>0</v>
      </c>
      <c r="U10" s="288">
        <v>0</v>
      </c>
      <c r="V10" s="282">
        <f>C10-'часть 1'!L21</f>
        <v>0</v>
      </c>
      <c r="W10" s="282"/>
      <c r="X10" s="28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296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</row>
    <row r="11" spans="1:49" s="59" customFormat="1">
      <c r="A11" s="198">
        <v>3</v>
      </c>
      <c r="B11" s="195" t="s">
        <v>321</v>
      </c>
      <c r="C11" s="196">
        <v>3763756</v>
      </c>
      <c r="D11" s="196"/>
      <c r="E11" s="196"/>
      <c r="F11" s="196"/>
      <c r="G11" s="196"/>
      <c r="H11" s="196"/>
      <c r="I11" s="196"/>
      <c r="J11" s="196"/>
      <c r="K11" s="196">
        <v>0</v>
      </c>
      <c r="L11" s="194">
        <v>2</v>
      </c>
      <c r="M11" s="196">
        <v>3763756</v>
      </c>
      <c r="N11" s="196">
        <v>0</v>
      </c>
      <c r="O11" s="196">
        <v>0</v>
      </c>
      <c r="P11" s="194">
        <v>0</v>
      </c>
      <c r="Q11" s="196">
        <v>0</v>
      </c>
      <c r="R11" s="200">
        <v>0</v>
      </c>
      <c r="S11" s="196">
        <v>0</v>
      </c>
      <c r="T11" s="197">
        <v>0</v>
      </c>
      <c r="U11" s="288">
        <v>0</v>
      </c>
      <c r="V11" s="282">
        <f>C11-'часть 1'!L22</f>
        <v>0</v>
      </c>
      <c r="W11" s="282"/>
      <c r="X11" s="28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296"/>
    </row>
    <row r="12" spans="1:49" s="59" customFormat="1">
      <c r="A12" s="198">
        <v>4</v>
      </c>
      <c r="B12" s="195" t="s">
        <v>346</v>
      </c>
      <c r="C12" s="196">
        <v>1095812</v>
      </c>
      <c r="D12" s="196"/>
      <c r="E12" s="196"/>
      <c r="F12" s="196"/>
      <c r="G12" s="196"/>
      <c r="H12" s="196"/>
      <c r="I12" s="196"/>
      <c r="J12" s="196"/>
      <c r="K12" s="196">
        <v>1095812</v>
      </c>
      <c r="L12" s="194">
        <v>0</v>
      </c>
      <c r="M12" s="196">
        <v>0</v>
      </c>
      <c r="N12" s="196">
        <v>0</v>
      </c>
      <c r="O12" s="196">
        <v>0</v>
      </c>
      <c r="P12" s="194">
        <v>0</v>
      </c>
      <c r="Q12" s="196">
        <v>0</v>
      </c>
      <c r="R12" s="200">
        <v>0</v>
      </c>
      <c r="S12" s="196">
        <v>0</v>
      </c>
      <c r="T12" s="197">
        <v>0</v>
      </c>
      <c r="U12" s="288">
        <v>0</v>
      </c>
      <c r="V12" s="282">
        <f>C12-'часть 1'!L23</f>
        <v>0</v>
      </c>
      <c r="W12" s="282"/>
      <c r="X12" s="28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296"/>
    </row>
    <row r="13" spans="1:49" s="59" customFormat="1">
      <c r="A13" s="198">
        <v>5</v>
      </c>
      <c r="B13" s="195" t="s">
        <v>322</v>
      </c>
      <c r="C13" s="196">
        <v>5619141</v>
      </c>
      <c r="D13" s="196"/>
      <c r="E13" s="196"/>
      <c r="F13" s="196"/>
      <c r="G13" s="196"/>
      <c r="H13" s="196"/>
      <c r="I13" s="196"/>
      <c r="J13" s="196"/>
      <c r="K13" s="196">
        <v>0</v>
      </c>
      <c r="L13" s="194">
        <v>3</v>
      </c>
      <c r="M13" s="196">
        <v>5619141</v>
      </c>
      <c r="N13" s="196">
        <v>0</v>
      </c>
      <c r="O13" s="196">
        <v>0</v>
      </c>
      <c r="P13" s="194">
        <v>0</v>
      </c>
      <c r="Q13" s="196">
        <v>0</v>
      </c>
      <c r="R13" s="200">
        <v>0</v>
      </c>
      <c r="S13" s="196">
        <v>0</v>
      </c>
      <c r="T13" s="197">
        <v>0</v>
      </c>
      <c r="U13" s="288">
        <v>0</v>
      </c>
      <c r="V13" s="282">
        <f>C13-'часть 1'!L24</f>
        <v>0</v>
      </c>
      <c r="W13" s="282"/>
      <c r="X13" s="28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296"/>
    </row>
    <row r="14" spans="1:49" s="59" customFormat="1">
      <c r="A14" s="198">
        <v>6</v>
      </c>
      <c r="B14" s="195" t="s">
        <v>320</v>
      </c>
      <c r="C14" s="196">
        <v>3748388</v>
      </c>
      <c r="D14" s="196"/>
      <c r="E14" s="196"/>
      <c r="F14" s="196"/>
      <c r="G14" s="196"/>
      <c r="H14" s="196"/>
      <c r="I14" s="196"/>
      <c r="J14" s="196"/>
      <c r="K14" s="196">
        <v>0</v>
      </c>
      <c r="L14" s="194">
        <v>2</v>
      </c>
      <c r="M14" s="196">
        <v>3748388</v>
      </c>
      <c r="N14" s="196">
        <v>0</v>
      </c>
      <c r="O14" s="196">
        <v>0</v>
      </c>
      <c r="P14" s="194">
        <v>0</v>
      </c>
      <c r="Q14" s="196">
        <v>0</v>
      </c>
      <c r="R14" s="197">
        <v>0</v>
      </c>
      <c r="S14" s="196">
        <v>0</v>
      </c>
      <c r="T14" s="197">
        <v>0</v>
      </c>
      <c r="U14" s="288">
        <v>0</v>
      </c>
      <c r="V14" s="282">
        <f>C14-'часть 1'!L25</f>
        <v>0</v>
      </c>
      <c r="W14" s="282"/>
      <c r="X14" s="28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296"/>
    </row>
    <row r="15" spans="1:49" s="59" customFormat="1">
      <c r="A15" s="198">
        <v>7</v>
      </c>
      <c r="B15" s="195" t="s">
        <v>327</v>
      </c>
      <c r="C15" s="196">
        <v>15157748</v>
      </c>
      <c r="D15" s="196"/>
      <c r="E15" s="196"/>
      <c r="F15" s="196"/>
      <c r="G15" s="196"/>
      <c r="H15" s="196"/>
      <c r="I15" s="196"/>
      <c r="J15" s="196"/>
      <c r="K15" s="196">
        <v>0</v>
      </c>
      <c r="L15" s="194">
        <v>8</v>
      </c>
      <c r="M15" s="196">
        <f>C15</f>
        <v>15157748</v>
      </c>
      <c r="N15" s="196">
        <v>0</v>
      </c>
      <c r="O15" s="196">
        <v>0</v>
      </c>
      <c r="P15" s="194">
        <v>0</v>
      </c>
      <c r="Q15" s="196">
        <v>0</v>
      </c>
      <c r="R15" s="197">
        <v>0</v>
      </c>
      <c r="S15" s="196">
        <v>0</v>
      </c>
      <c r="T15" s="197">
        <v>0</v>
      </c>
      <c r="U15" s="288">
        <v>0</v>
      </c>
      <c r="V15" s="282">
        <f>C15-'часть 1'!L26</f>
        <v>0</v>
      </c>
      <c r="W15" s="282"/>
      <c r="X15" s="28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296"/>
    </row>
    <row r="16" spans="1:49" s="59" customFormat="1">
      <c r="A16" s="198">
        <v>8</v>
      </c>
      <c r="B16" s="195" t="s">
        <v>323</v>
      </c>
      <c r="C16" s="196">
        <v>1030213</v>
      </c>
      <c r="D16" s="196"/>
      <c r="E16" s="196"/>
      <c r="F16" s="196"/>
      <c r="G16" s="196"/>
      <c r="H16" s="196"/>
      <c r="I16" s="196"/>
      <c r="J16" s="196"/>
      <c r="K16" s="196">
        <v>0</v>
      </c>
      <c r="L16" s="194">
        <v>0</v>
      </c>
      <c r="M16" s="196">
        <v>0</v>
      </c>
      <c r="N16" s="196">
        <v>513.79999999999995</v>
      </c>
      <c r="O16" s="199">
        <f>C16</f>
        <v>1030213</v>
      </c>
      <c r="P16" s="194">
        <v>0</v>
      </c>
      <c r="Q16" s="196">
        <v>0</v>
      </c>
      <c r="R16" s="200">
        <v>0</v>
      </c>
      <c r="S16" s="196">
        <v>0</v>
      </c>
      <c r="T16" s="197">
        <v>0</v>
      </c>
      <c r="U16" s="288">
        <v>0</v>
      </c>
      <c r="V16" s="282">
        <f>C16-'часть 1'!L27</f>
        <v>0</v>
      </c>
      <c r="W16" s="282"/>
      <c r="X16" s="28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296"/>
    </row>
    <row r="17" spans="1:49" s="59" customFormat="1">
      <c r="A17" s="198">
        <v>9</v>
      </c>
      <c r="B17" s="195" t="s">
        <v>319</v>
      </c>
      <c r="C17" s="196">
        <v>530465</v>
      </c>
      <c r="D17" s="196"/>
      <c r="E17" s="196"/>
      <c r="F17" s="196"/>
      <c r="G17" s="196"/>
      <c r="H17" s="196"/>
      <c r="I17" s="196"/>
      <c r="J17" s="196"/>
      <c r="K17" s="196" t="e">
        <f>#REF!</f>
        <v>#REF!</v>
      </c>
      <c r="L17" s="194">
        <v>0</v>
      </c>
      <c r="M17" s="196">
        <v>0</v>
      </c>
      <c r="N17" s="199">
        <v>0</v>
      </c>
      <c r="O17" s="196">
        <v>0</v>
      </c>
      <c r="P17" s="194">
        <v>0</v>
      </c>
      <c r="Q17" s="196">
        <v>0</v>
      </c>
      <c r="R17" s="200">
        <v>0</v>
      </c>
      <c r="S17" s="196">
        <v>0</v>
      </c>
      <c r="T17" s="197">
        <v>0</v>
      </c>
      <c r="U17" s="288">
        <v>0</v>
      </c>
      <c r="V17" s="282">
        <f>C17-'часть 1'!L28</f>
        <v>0</v>
      </c>
      <c r="W17" s="282"/>
      <c r="X17" s="28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296"/>
    </row>
    <row r="18" spans="1:49" s="59" customFormat="1">
      <c r="A18" s="198">
        <v>10</v>
      </c>
      <c r="B18" s="195" t="s">
        <v>326</v>
      </c>
      <c r="C18" s="196">
        <v>1983854</v>
      </c>
      <c r="D18" s="196"/>
      <c r="E18" s="196"/>
      <c r="F18" s="196"/>
      <c r="G18" s="196"/>
      <c r="H18" s="196"/>
      <c r="I18" s="196"/>
      <c r="J18" s="196"/>
      <c r="K18" s="196">
        <v>0</v>
      </c>
      <c r="L18" s="194">
        <v>0</v>
      </c>
      <c r="M18" s="196">
        <v>0</v>
      </c>
      <c r="N18" s="196">
        <v>1000</v>
      </c>
      <c r="O18" s="196">
        <v>1983854</v>
      </c>
      <c r="P18" s="194">
        <v>0</v>
      </c>
      <c r="Q18" s="196">
        <v>0</v>
      </c>
      <c r="R18" s="197">
        <v>0</v>
      </c>
      <c r="S18" s="196">
        <v>0</v>
      </c>
      <c r="T18" s="197">
        <v>0</v>
      </c>
      <c r="U18" s="288">
        <v>0</v>
      </c>
      <c r="V18" s="282">
        <f>C18-'часть 1'!L29</f>
        <v>0</v>
      </c>
      <c r="W18" s="282"/>
      <c r="X18" s="28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296"/>
    </row>
    <row r="19" spans="1:49" s="59" customFormat="1">
      <c r="A19" s="198">
        <v>11</v>
      </c>
      <c r="B19" s="195" t="s">
        <v>388</v>
      </c>
      <c r="C19" s="196">
        <v>1206304</v>
      </c>
      <c r="D19" s="196"/>
      <c r="E19" s="196"/>
      <c r="F19" s="196"/>
      <c r="G19" s="196"/>
      <c r="H19" s="196"/>
      <c r="I19" s="196"/>
      <c r="J19" s="196"/>
      <c r="K19" s="196">
        <v>0</v>
      </c>
      <c r="L19" s="194">
        <v>0</v>
      </c>
      <c r="M19" s="196">
        <v>0</v>
      </c>
      <c r="N19" s="196">
        <v>576</v>
      </c>
      <c r="O19" s="196">
        <v>1206304</v>
      </c>
      <c r="P19" s="194">
        <v>0</v>
      </c>
      <c r="Q19" s="196">
        <v>0</v>
      </c>
      <c r="R19" s="197">
        <v>0</v>
      </c>
      <c r="S19" s="196">
        <v>0</v>
      </c>
      <c r="T19" s="197">
        <v>0</v>
      </c>
      <c r="U19" s="288">
        <v>0</v>
      </c>
      <c r="V19" s="282">
        <f>C19-'часть 1'!L30</f>
        <v>0</v>
      </c>
      <c r="W19" s="282"/>
      <c r="X19" s="28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296"/>
    </row>
    <row r="20" spans="1:49" s="59" customFormat="1">
      <c r="A20" s="198">
        <v>12</v>
      </c>
      <c r="B20" s="195" t="s">
        <v>419</v>
      </c>
      <c r="C20" s="196">
        <v>402530.2</v>
      </c>
      <c r="D20" s="196"/>
      <c r="E20" s="196"/>
      <c r="F20" s="196"/>
      <c r="G20" s="196"/>
      <c r="H20" s="196"/>
      <c r="I20" s="196"/>
      <c r="J20" s="196"/>
      <c r="K20" s="196">
        <v>402530.2</v>
      </c>
      <c r="L20" s="194">
        <v>0</v>
      </c>
      <c r="M20" s="196">
        <v>0</v>
      </c>
      <c r="N20" s="196">
        <v>0</v>
      </c>
      <c r="O20" s="196">
        <v>0</v>
      </c>
      <c r="P20" s="194">
        <v>0</v>
      </c>
      <c r="Q20" s="196">
        <v>0</v>
      </c>
      <c r="R20" s="197">
        <v>0</v>
      </c>
      <c r="S20" s="196">
        <v>0</v>
      </c>
      <c r="T20" s="197">
        <v>0</v>
      </c>
      <c r="U20" s="288">
        <v>0</v>
      </c>
      <c r="V20" s="282">
        <f>C20-'часть 1'!L31</f>
        <v>0</v>
      </c>
      <c r="W20" s="282"/>
      <c r="X20" s="28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296"/>
    </row>
    <row r="21" spans="1:49" s="59" customFormat="1">
      <c r="A21" s="198">
        <v>13</v>
      </c>
      <c r="B21" s="195" t="s">
        <v>387</v>
      </c>
      <c r="C21" s="196">
        <v>2861497</v>
      </c>
      <c r="D21" s="196"/>
      <c r="E21" s="196"/>
      <c r="F21" s="196"/>
      <c r="G21" s="196"/>
      <c r="H21" s="196"/>
      <c r="I21" s="196"/>
      <c r="J21" s="196"/>
      <c r="K21" s="196">
        <v>0</v>
      </c>
      <c r="L21" s="194">
        <v>0</v>
      </c>
      <c r="M21" s="196">
        <v>0</v>
      </c>
      <c r="N21" s="196">
        <v>1450</v>
      </c>
      <c r="O21" s="196">
        <v>2861497</v>
      </c>
      <c r="P21" s="194">
        <v>0</v>
      </c>
      <c r="Q21" s="196">
        <v>0</v>
      </c>
      <c r="R21" s="197">
        <v>0</v>
      </c>
      <c r="S21" s="196">
        <v>0</v>
      </c>
      <c r="T21" s="197">
        <v>0</v>
      </c>
      <c r="U21" s="288">
        <v>0</v>
      </c>
      <c r="V21" s="282">
        <f>C21-'часть 1'!L32</f>
        <v>0</v>
      </c>
      <c r="W21" s="282"/>
      <c r="X21" s="28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296"/>
    </row>
    <row r="22" spans="1:49" s="59" customFormat="1">
      <c r="A22" s="198">
        <v>14</v>
      </c>
      <c r="B22" s="195" t="s">
        <v>334</v>
      </c>
      <c r="C22" s="196">
        <v>1535065.47</v>
      </c>
      <c r="D22" s="196"/>
      <c r="E22" s="196"/>
      <c r="F22" s="196"/>
      <c r="G22" s="196"/>
      <c r="H22" s="196"/>
      <c r="I22" s="196"/>
      <c r="J22" s="196"/>
      <c r="K22" s="196">
        <v>0</v>
      </c>
      <c r="L22" s="194">
        <v>0</v>
      </c>
      <c r="M22" s="196">
        <v>0</v>
      </c>
      <c r="N22" s="196">
        <v>0</v>
      </c>
      <c r="O22" s="196">
        <v>0</v>
      </c>
      <c r="P22" s="194">
        <v>0</v>
      </c>
      <c r="Q22" s="196">
        <v>0</v>
      </c>
      <c r="R22" s="196">
        <v>1641</v>
      </c>
      <c r="S22" s="196">
        <v>1535065.47</v>
      </c>
      <c r="T22" s="197">
        <v>0</v>
      </c>
      <c r="U22" s="288">
        <v>0</v>
      </c>
      <c r="V22" s="282">
        <f>C22-'часть 1'!L33</f>
        <v>0</v>
      </c>
      <c r="W22" s="282"/>
      <c r="X22" s="28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296"/>
    </row>
    <row r="23" spans="1:49" s="59" customFormat="1">
      <c r="A23" s="198">
        <v>15</v>
      </c>
      <c r="B23" s="195" t="s">
        <v>330</v>
      </c>
      <c r="C23" s="196">
        <v>930534</v>
      </c>
      <c r="D23" s="196"/>
      <c r="E23" s="196"/>
      <c r="F23" s="196"/>
      <c r="G23" s="196"/>
      <c r="H23" s="196"/>
      <c r="I23" s="196"/>
      <c r="J23" s="196"/>
      <c r="K23" s="196">
        <v>930534</v>
      </c>
      <c r="L23" s="194">
        <v>0</v>
      </c>
      <c r="M23" s="196">
        <v>0</v>
      </c>
      <c r="N23" s="196">
        <v>0</v>
      </c>
      <c r="O23" s="196">
        <v>0</v>
      </c>
      <c r="P23" s="194">
        <v>0</v>
      </c>
      <c r="Q23" s="196">
        <v>0</v>
      </c>
      <c r="R23" s="200">
        <v>0</v>
      </c>
      <c r="S23" s="196">
        <v>0</v>
      </c>
      <c r="T23" s="197">
        <v>0</v>
      </c>
      <c r="U23" s="288">
        <v>0</v>
      </c>
      <c r="V23" s="282">
        <f>C23-'часть 1'!L34</f>
        <v>0</v>
      </c>
      <c r="W23" s="282"/>
      <c r="X23" s="282"/>
      <c r="Y23" s="4"/>
      <c r="Z23" s="12"/>
      <c r="AA23" s="12"/>
      <c r="AB23" s="12"/>
      <c r="AC23" s="12"/>
      <c r="AD23" s="12"/>
      <c r="AE23" s="12"/>
      <c r="AF23" s="12"/>
      <c r="AG23" s="12"/>
      <c r="AH23" s="12"/>
      <c r="AI23" s="296"/>
    </row>
    <row r="24" spans="1:49" s="59" customFormat="1">
      <c r="A24" s="198">
        <v>16</v>
      </c>
      <c r="B24" s="195" t="s">
        <v>328</v>
      </c>
      <c r="C24" s="196">
        <v>662518</v>
      </c>
      <c r="D24" s="196"/>
      <c r="E24" s="196"/>
      <c r="F24" s="196"/>
      <c r="G24" s="196"/>
      <c r="H24" s="196"/>
      <c r="I24" s="196"/>
      <c r="J24" s="196"/>
      <c r="K24" s="196">
        <v>0</v>
      </c>
      <c r="L24" s="194">
        <v>0</v>
      </c>
      <c r="M24" s="196">
        <v>0</v>
      </c>
      <c r="N24" s="196">
        <v>0</v>
      </c>
      <c r="O24" s="196">
        <v>0</v>
      </c>
      <c r="P24" s="196">
        <v>682</v>
      </c>
      <c r="Q24" s="196">
        <f>C24</f>
        <v>662518</v>
      </c>
      <c r="R24" s="197">
        <v>0</v>
      </c>
      <c r="S24" s="196">
        <v>0</v>
      </c>
      <c r="T24" s="197">
        <v>0</v>
      </c>
      <c r="U24" s="288">
        <v>0</v>
      </c>
      <c r="V24" s="282">
        <f>C24-'часть 1'!L35</f>
        <v>0</v>
      </c>
      <c r="W24" s="282"/>
      <c r="X24" s="28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296"/>
    </row>
    <row r="25" spans="1:49" s="59" customFormat="1">
      <c r="A25" s="198">
        <v>17</v>
      </c>
      <c r="B25" s="195" t="s">
        <v>333</v>
      </c>
      <c r="C25" s="196">
        <v>2346663</v>
      </c>
      <c r="D25" s="196"/>
      <c r="E25" s="196"/>
      <c r="F25" s="196"/>
      <c r="G25" s="196"/>
      <c r="H25" s="196"/>
      <c r="I25" s="196"/>
      <c r="J25" s="196"/>
      <c r="K25" s="196">
        <v>2346663</v>
      </c>
      <c r="L25" s="194">
        <v>0</v>
      </c>
      <c r="M25" s="196">
        <v>0</v>
      </c>
      <c r="N25" s="199">
        <v>0</v>
      </c>
      <c r="O25" s="196">
        <v>0</v>
      </c>
      <c r="P25" s="194">
        <v>0</v>
      </c>
      <c r="Q25" s="196">
        <v>0</v>
      </c>
      <c r="R25" s="200">
        <v>0</v>
      </c>
      <c r="S25" s="196">
        <v>0</v>
      </c>
      <c r="T25" s="197">
        <v>0</v>
      </c>
      <c r="U25" s="288">
        <v>0</v>
      </c>
      <c r="V25" s="282">
        <f>C25-'часть 1'!L36</f>
        <v>0</v>
      </c>
      <c r="W25" s="282"/>
      <c r="X25" s="282"/>
      <c r="Y25" s="12"/>
      <c r="Z25" s="12"/>
      <c r="AA25" s="12"/>
      <c r="AB25" s="12"/>
      <c r="AC25" s="12"/>
      <c r="AD25" s="12"/>
      <c r="AE25" s="15"/>
      <c r="AF25" s="12"/>
      <c r="AG25" s="12"/>
      <c r="AH25" s="12"/>
      <c r="AI25" s="296"/>
    </row>
    <row r="26" spans="1:49" s="59" customFormat="1">
      <c r="A26" s="198">
        <v>18</v>
      </c>
      <c r="B26" s="195" t="s">
        <v>331</v>
      </c>
      <c r="C26" s="196">
        <v>727019</v>
      </c>
      <c r="D26" s="196"/>
      <c r="E26" s="196"/>
      <c r="F26" s="196"/>
      <c r="G26" s="196"/>
      <c r="H26" s="196"/>
      <c r="I26" s="196"/>
      <c r="J26" s="196"/>
      <c r="K26" s="196">
        <v>727019</v>
      </c>
      <c r="L26" s="194">
        <v>0</v>
      </c>
      <c r="M26" s="196">
        <v>0</v>
      </c>
      <c r="N26" s="196">
        <v>0</v>
      </c>
      <c r="O26" s="196">
        <v>0</v>
      </c>
      <c r="P26" s="194">
        <v>0</v>
      </c>
      <c r="Q26" s="196">
        <v>0</v>
      </c>
      <c r="R26" s="200">
        <v>0</v>
      </c>
      <c r="S26" s="196">
        <v>0</v>
      </c>
      <c r="T26" s="197">
        <v>0</v>
      </c>
      <c r="U26" s="288">
        <v>0</v>
      </c>
      <c r="V26" s="282">
        <f>C26-'часть 1'!L37</f>
        <v>0</v>
      </c>
      <c r="W26" s="282"/>
      <c r="X26" s="28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296"/>
    </row>
    <row r="27" spans="1:49" s="59" customFormat="1">
      <c r="A27" s="198">
        <v>19</v>
      </c>
      <c r="B27" s="195" t="s">
        <v>329</v>
      </c>
      <c r="C27" s="196">
        <v>538121</v>
      </c>
      <c r="D27" s="196"/>
      <c r="E27" s="196"/>
      <c r="F27" s="196"/>
      <c r="G27" s="196"/>
      <c r="H27" s="196"/>
      <c r="I27" s="196"/>
      <c r="J27" s="196"/>
      <c r="K27" s="196">
        <v>538121</v>
      </c>
      <c r="L27" s="194">
        <v>0</v>
      </c>
      <c r="M27" s="196">
        <v>0</v>
      </c>
      <c r="N27" s="196">
        <v>0</v>
      </c>
      <c r="O27" s="196">
        <v>0</v>
      </c>
      <c r="P27" s="194">
        <v>0</v>
      </c>
      <c r="Q27" s="196">
        <v>0</v>
      </c>
      <c r="R27" s="197">
        <v>0</v>
      </c>
      <c r="S27" s="196">
        <v>0</v>
      </c>
      <c r="T27" s="197">
        <v>0</v>
      </c>
      <c r="U27" s="288">
        <v>0</v>
      </c>
      <c r="V27" s="282">
        <f>C27-'часть 1'!L38</f>
        <v>0</v>
      </c>
      <c r="W27" s="282"/>
      <c r="X27" s="282"/>
      <c r="Y27" s="4"/>
      <c r="Z27" s="12"/>
      <c r="AA27" s="12"/>
      <c r="AB27" s="12"/>
      <c r="AC27" s="12"/>
      <c r="AD27" s="12"/>
      <c r="AE27" s="12"/>
      <c r="AF27" s="12"/>
      <c r="AG27" s="12"/>
      <c r="AH27" s="12"/>
      <c r="AI27" s="296"/>
    </row>
    <row r="28" spans="1:49" s="59" customFormat="1">
      <c r="A28" s="198">
        <v>20</v>
      </c>
      <c r="B28" s="195" t="s">
        <v>332</v>
      </c>
      <c r="C28" s="196">
        <v>1756852</v>
      </c>
      <c r="D28" s="196"/>
      <c r="E28" s="196"/>
      <c r="F28" s="196"/>
      <c r="G28" s="196"/>
      <c r="H28" s="196"/>
      <c r="I28" s="196"/>
      <c r="J28" s="196"/>
      <c r="K28" s="196">
        <v>0</v>
      </c>
      <c r="L28" s="194">
        <v>0</v>
      </c>
      <c r="M28" s="196">
        <v>0</v>
      </c>
      <c r="N28" s="196">
        <v>891</v>
      </c>
      <c r="O28" s="196">
        <v>1756852</v>
      </c>
      <c r="P28" s="194">
        <v>0</v>
      </c>
      <c r="Q28" s="196">
        <v>0</v>
      </c>
      <c r="R28" s="197">
        <v>0</v>
      </c>
      <c r="S28" s="196">
        <v>0</v>
      </c>
      <c r="T28" s="197">
        <v>0</v>
      </c>
      <c r="U28" s="288">
        <v>0</v>
      </c>
      <c r="V28" s="282">
        <f>C28-'часть 1'!L39</f>
        <v>0</v>
      </c>
      <c r="W28" s="282"/>
      <c r="X28" s="28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296"/>
    </row>
    <row r="29" spans="1:49" s="59" customFormat="1">
      <c r="A29" s="198">
        <v>21</v>
      </c>
      <c r="B29" s="195" t="s">
        <v>316</v>
      </c>
      <c r="C29" s="196">
        <v>676398.28</v>
      </c>
      <c r="D29" s="196"/>
      <c r="E29" s="196"/>
      <c r="F29" s="196"/>
      <c r="G29" s="196"/>
      <c r="H29" s="196"/>
      <c r="I29" s="196"/>
      <c r="J29" s="196"/>
      <c r="K29" s="196">
        <v>0</v>
      </c>
      <c r="L29" s="194">
        <v>0</v>
      </c>
      <c r="M29" s="196">
        <v>0</v>
      </c>
      <c r="N29" s="196">
        <v>0</v>
      </c>
      <c r="O29" s="196">
        <v>0</v>
      </c>
      <c r="P29" s="194">
        <v>0</v>
      </c>
      <c r="Q29" s="196">
        <v>0</v>
      </c>
      <c r="R29" s="196">
        <v>1444</v>
      </c>
      <c r="S29" s="196">
        <v>676398.28</v>
      </c>
      <c r="T29" s="197">
        <v>0</v>
      </c>
      <c r="U29" s="288">
        <v>0</v>
      </c>
      <c r="V29" s="282">
        <f>C29-'часть 1'!L40</f>
        <v>0</v>
      </c>
      <c r="W29" s="282"/>
      <c r="X29" s="28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296"/>
    </row>
    <row r="30" spans="1:49" s="59" customFormat="1">
      <c r="A30" s="198">
        <v>22</v>
      </c>
      <c r="B30" s="195" t="s">
        <v>313</v>
      </c>
      <c r="C30" s="196">
        <v>766539</v>
      </c>
      <c r="D30" s="196"/>
      <c r="E30" s="196"/>
      <c r="F30" s="196"/>
      <c r="G30" s="196"/>
      <c r="H30" s="196"/>
      <c r="I30" s="196"/>
      <c r="J30" s="196"/>
      <c r="K30" s="196">
        <v>0</v>
      </c>
      <c r="L30" s="194">
        <v>0</v>
      </c>
      <c r="M30" s="196">
        <v>0</v>
      </c>
      <c r="N30" s="196">
        <v>378.5</v>
      </c>
      <c r="O30" s="196">
        <v>766539</v>
      </c>
      <c r="P30" s="194">
        <v>0</v>
      </c>
      <c r="Q30" s="196">
        <v>0</v>
      </c>
      <c r="R30" s="197">
        <v>0</v>
      </c>
      <c r="S30" s="196">
        <v>0</v>
      </c>
      <c r="T30" s="197">
        <v>0</v>
      </c>
      <c r="U30" s="288">
        <v>0</v>
      </c>
      <c r="V30" s="282">
        <f>C30-'часть 1'!L41</f>
        <v>0</v>
      </c>
      <c r="W30" s="282"/>
      <c r="X30" s="28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296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</row>
    <row r="31" spans="1:49" s="59" customFormat="1">
      <c r="A31" s="198">
        <v>23</v>
      </c>
      <c r="B31" s="195" t="s">
        <v>312</v>
      </c>
      <c r="C31" s="196">
        <v>1186114</v>
      </c>
      <c r="D31" s="196"/>
      <c r="E31" s="196"/>
      <c r="F31" s="196"/>
      <c r="G31" s="196"/>
      <c r="H31" s="196"/>
      <c r="I31" s="196"/>
      <c r="J31" s="196"/>
      <c r="K31" s="196">
        <v>0</v>
      </c>
      <c r="L31" s="194">
        <v>0</v>
      </c>
      <c r="M31" s="196">
        <v>0</v>
      </c>
      <c r="N31" s="196">
        <v>586.29999999999995</v>
      </c>
      <c r="O31" s="196">
        <v>1186114</v>
      </c>
      <c r="P31" s="194">
        <v>0</v>
      </c>
      <c r="Q31" s="196">
        <v>0</v>
      </c>
      <c r="R31" s="197">
        <v>0</v>
      </c>
      <c r="S31" s="196">
        <v>0</v>
      </c>
      <c r="T31" s="197">
        <v>0</v>
      </c>
      <c r="U31" s="288">
        <v>0</v>
      </c>
      <c r="V31" s="282">
        <f>C31-'часть 1'!L42</f>
        <v>0</v>
      </c>
      <c r="W31" s="282"/>
      <c r="X31" s="28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296"/>
    </row>
    <row r="32" spans="1:49" s="89" customFormat="1">
      <c r="A32" s="198">
        <v>24</v>
      </c>
      <c r="B32" s="195" t="s">
        <v>311</v>
      </c>
      <c r="C32" s="196">
        <v>178272.59</v>
      </c>
      <c r="D32" s="196"/>
      <c r="E32" s="196"/>
      <c r="F32" s="196"/>
      <c r="G32" s="196"/>
      <c r="H32" s="196"/>
      <c r="I32" s="196"/>
      <c r="J32" s="196"/>
      <c r="K32" s="196">
        <v>178272.59</v>
      </c>
      <c r="L32" s="194">
        <v>0</v>
      </c>
      <c r="M32" s="196">
        <v>0</v>
      </c>
      <c r="N32" s="199">
        <v>0</v>
      </c>
      <c r="O32" s="196">
        <v>0</v>
      </c>
      <c r="P32" s="194">
        <v>0</v>
      </c>
      <c r="Q32" s="196">
        <v>0</v>
      </c>
      <c r="R32" s="200">
        <v>0</v>
      </c>
      <c r="S32" s="196">
        <v>0</v>
      </c>
      <c r="T32" s="197">
        <v>0</v>
      </c>
      <c r="U32" s="288">
        <v>0</v>
      </c>
      <c r="V32" s="282">
        <f>C32-'часть 1'!L43</f>
        <v>0</v>
      </c>
      <c r="W32" s="282"/>
      <c r="X32" s="28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296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</row>
    <row r="33" spans="1:49" s="59" customFormat="1">
      <c r="A33" s="198">
        <v>25</v>
      </c>
      <c r="B33" s="195" t="s">
        <v>315</v>
      </c>
      <c r="C33" s="196">
        <v>1087116</v>
      </c>
      <c r="D33" s="196"/>
      <c r="E33" s="196"/>
      <c r="F33" s="196"/>
      <c r="G33" s="196"/>
      <c r="H33" s="196"/>
      <c r="I33" s="196"/>
      <c r="J33" s="196"/>
      <c r="K33" s="196" t="e">
        <f>#REF!</f>
        <v>#REF!</v>
      </c>
      <c r="L33" s="194">
        <v>0</v>
      </c>
      <c r="M33" s="196">
        <v>0</v>
      </c>
      <c r="N33" s="196">
        <v>0</v>
      </c>
      <c r="O33" s="196">
        <v>0</v>
      </c>
      <c r="P33" s="194">
        <v>0</v>
      </c>
      <c r="Q33" s="196">
        <v>0</v>
      </c>
      <c r="R33" s="197">
        <v>0</v>
      </c>
      <c r="S33" s="196">
        <v>0</v>
      </c>
      <c r="T33" s="197">
        <v>0</v>
      </c>
      <c r="U33" s="288">
        <v>0</v>
      </c>
      <c r="V33" s="282">
        <f>C33-'часть 1'!L44</f>
        <v>0</v>
      </c>
      <c r="W33" s="282"/>
      <c r="X33" s="28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296"/>
    </row>
    <row r="34" spans="1:49" s="59" customFormat="1">
      <c r="A34" s="198">
        <v>26</v>
      </c>
      <c r="B34" s="195" t="s">
        <v>351</v>
      </c>
      <c r="C34" s="196">
        <v>1411363</v>
      </c>
      <c r="D34" s="196"/>
      <c r="E34" s="196"/>
      <c r="F34" s="196"/>
      <c r="G34" s="196"/>
      <c r="H34" s="196"/>
      <c r="I34" s="196"/>
      <c r="J34" s="196"/>
      <c r="K34" s="196">
        <v>0</v>
      </c>
      <c r="L34" s="194">
        <v>0</v>
      </c>
      <c r="M34" s="196">
        <v>0</v>
      </c>
      <c r="N34" s="196">
        <v>702</v>
      </c>
      <c r="O34" s="196">
        <v>1411363</v>
      </c>
      <c r="P34" s="194">
        <v>0</v>
      </c>
      <c r="Q34" s="196">
        <v>0</v>
      </c>
      <c r="R34" s="197">
        <v>0</v>
      </c>
      <c r="S34" s="196">
        <v>0</v>
      </c>
      <c r="T34" s="197">
        <v>0</v>
      </c>
      <c r="U34" s="288">
        <v>0</v>
      </c>
      <c r="V34" s="282">
        <f>C34-'часть 1'!L45</f>
        <v>0</v>
      </c>
      <c r="W34" s="282"/>
      <c r="X34" s="28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296"/>
    </row>
    <row r="35" spans="1:49" s="59" customFormat="1">
      <c r="A35" s="198">
        <v>27</v>
      </c>
      <c r="B35" s="195" t="s">
        <v>314</v>
      </c>
      <c r="C35" s="196">
        <v>1136666</v>
      </c>
      <c r="D35" s="196"/>
      <c r="E35" s="196"/>
      <c r="F35" s="196"/>
      <c r="G35" s="196"/>
      <c r="H35" s="196"/>
      <c r="I35" s="196"/>
      <c r="J35" s="196"/>
      <c r="K35" s="196">
        <v>0</v>
      </c>
      <c r="L35" s="194">
        <v>0</v>
      </c>
      <c r="M35" s="196">
        <v>0</v>
      </c>
      <c r="N35" s="196">
        <v>552</v>
      </c>
      <c r="O35" s="196">
        <v>1136666</v>
      </c>
      <c r="P35" s="194">
        <v>0</v>
      </c>
      <c r="Q35" s="196">
        <v>0</v>
      </c>
      <c r="R35" s="200">
        <v>0</v>
      </c>
      <c r="S35" s="196">
        <v>0</v>
      </c>
      <c r="T35" s="197">
        <v>0</v>
      </c>
      <c r="U35" s="288">
        <v>0</v>
      </c>
      <c r="V35" s="282">
        <f>C35-'часть 1'!L46</f>
        <v>0</v>
      </c>
      <c r="W35" s="282"/>
      <c r="X35" s="28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296"/>
    </row>
    <row r="36" spans="1:49" s="59" customFormat="1">
      <c r="A36" s="198">
        <v>28</v>
      </c>
      <c r="B36" s="195" t="s">
        <v>369</v>
      </c>
      <c r="C36" s="196">
        <v>1385674</v>
      </c>
      <c r="D36" s="196"/>
      <c r="E36" s="196"/>
      <c r="F36" s="196"/>
      <c r="G36" s="196"/>
      <c r="H36" s="196"/>
      <c r="I36" s="196"/>
      <c r="J36" s="196"/>
      <c r="K36" s="196">
        <v>1385674</v>
      </c>
      <c r="L36" s="194">
        <v>0</v>
      </c>
      <c r="M36" s="196">
        <v>0</v>
      </c>
      <c r="N36" s="196">
        <v>0</v>
      </c>
      <c r="O36" s="196">
        <v>0</v>
      </c>
      <c r="P36" s="194">
        <v>0</v>
      </c>
      <c r="Q36" s="196">
        <v>0</v>
      </c>
      <c r="R36" s="197">
        <v>0</v>
      </c>
      <c r="S36" s="196">
        <v>0</v>
      </c>
      <c r="T36" s="197">
        <v>0</v>
      </c>
      <c r="U36" s="288">
        <v>0</v>
      </c>
      <c r="V36" s="282">
        <f>C36-'часть 1'!L47</f>
        <v>0</v>
      </c>
      <c r="W36" s="282"/>
      <c r="X36" s="28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296"/>
    </row>
    <row r="37" spans="1:49" s="59" customFormat="1">
      <c r="A37" s="198">
        <v>29</v>
      </c>
      <c r="B37" s="195" t="s">
        <v>370</v>
      </c>
      <c r="C37" s="196">
        <v>4619990</v>
      </c>
      <c r="D37" s="196"/>
      <c r="E37" s="196"/>
      <c r="F37" s="196"/>
      <c r="G37" s="196"/>
      <c r="H37" s="196"/>
      <c r="I37" s="196"/>
      <c r="J37" s="196"/>
      <c r="K37" s="196">
        <v>0</v>
      </c>
      <c r="L37" s="194">
        <v>0</v>
      </c>
      <c r="M37" s="196">
        <v>0</v>
      </c>
      <c r="N37" s="196">
        <v>2319</v>
      </c>
      <c r="O37" s="196">
        <v>4619990</v>
      </c>
      <c r="P37" s="194">
        <v>0</v>
      </c>
      <c r="Q37" s="196">
        <v>0</v>
      </c>
      <c r="R37" s="200">
        <v>0</v>
      </c>
      <c r="S37" s="196">
        <v>0</v>
      </c>
      <c r="T37" s="197">
        <v>0</v>
      </c>
      <c r="U37" s="288">
        <v>0</v>
      </c>
      <c r="V37" s="282">
        <f>C37-'часть 1'!L48</f>
        <v>0</v>
      </c>
      <c r="W37" s="282"/>
      <c r="X37" s="28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296"/>
    </row>
    <row r="38" spans="1:49" s="59" customFormat="1">
      <c r="A38" s="198">
        <v>30</v>
      </c>
      <c r="B38" s="195" t="s">
        <v>373</v>
      </c>
      <c r="C38" s="196">
        <v>1865304</v>
      </c>
      <c r="D38" s="196"/>
      <c r="E38" s="196"/>
      <c r="F38" s="196"/>
      <c r="G38" s="196"/>
      <c r="H38" s="196"/>
      <c r="I38" s="196"/>
      <c r="J38" s="196"/>
      <c r="K38" s="196">
        <v>0</v>
      </c>
      <c r="L38" s="194">
        <v>0</v>
      </c>
      <c r="M38" s="196">
        <v>0</v>
      </c>
      <c r="N38" s="196">
        <v>924</v>
      </c>
      <c r="O38" s="196">
        <v>1865304</v>
      </c>
      <c r="P38" s="194">
        <v>0</v>
      </c>
      <c r="Q38" s="196">
        <v>0</v>
      </c>
      <c r="R38" s="197">
        <v>0</v>
      </c>
      <c r="S38" s="196">
        <v>0</v>
      </c>
      <c r="T38" s="197">
        <v>0</v>
      </c>
      <c r="U38" s="288">
        <v>0</v>
      </c>
      <c r="V38" s="282">
        <f>C38-'часть 1'!L49</f>
        <v>0</v>
      </c>
      <c r="W38" s="282"/>
      <c r="X38" s="28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296"/>
    </row>
    <row r="39" spans="1:49" s="59" customFormat="1">
      <c r="A39" s="198">
        <v>31</v>
      </c>
      <c r="B39" s="195" t="s">
        <v>381</v>
      </c>
      <c r="C39" s="196">
        <v>1870910</v>
      </c>
      <c r="D39" s="196"/>
      <c r="E39" s="196"/>
      <c r="F39" s="196"/>
      <c r="G39" s="196"/>
      <c r="H39" s="196"/>
      <c r="I39" s="196"/>
      <c r="J39" s="196"/>
      <c r="K39" s="196">
        <v>0</v>
      </c>
      <c r="L39" s="194">
        <v>0</v>
      </c>
      <c r="M39" s="196">
        <v>0</v>
      </c>
      <c r="N39" s="196">
        <v>946.3</v>
      </c>
      <c r="O39" s="196">
        <v>1870910</v>
      </c>
      <c r="P39" s="194">
        <v>0</v>
      </c>
      <c r="Q39" s="196">
        <v>0</v>
      </c>
      <c r="R39" s="197">
        <v>0</v>
      </c>
      <c r="S39" s="196">
        <v>0</v>
      </c>
      <c r="T39" s="197">
        <v>0</v>
      </c>
      <c r="U39" s="288">
        <v>0</v>
      </c>
      <c r="V39" s="282">
        <f>C39-'часть 1'!L50</f>
        <v>0</v>
      </c>
      <c r="W39" s="282"/>
      <c r="X39" s="28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296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s="59" customFormat="1">
      <c r="A40" s="198">
        <v>32</v>
      </c>
      <c r="B40" s="195" t="s">
        <v>382</v>
      </c>
      <c r="C40" s="196">
        <v>1533757</v>
      </c>
      <c r="D40" s="196"/>
      <c r="E40" s="196"/>
      <c r="F40" s="196"/>
      <c r="G40" s="196"/>
      <c r="H40" s="196"/>
      <c r="I40" s="196"/>
      <c r="J40" s="196"/>
      <c r="K40" s="196">
        <v>0</v>
      </c>
      <c r="L40" s="194">
        <v>0</v>
      </c>
      <c r="M40" s="196">
        <v>0</v>
      </c>
      <c r="N40" s="196">
        <v>772.9</v>
      </c>
      <c r="O40" s="196">
        <v>1533757</v>
      </c>
      <c r="P40" s="194">
        <v>0</v>
      </c>
      <c r="Q40" s="196">
        <v>0</v>
      </c>
      <c r="R40" s="197">
        <v>0</v>
      </c>
      <c r="S40" s="196">
        <v>0</v>
      </c>
      <c r="T40" s="197">
        <v>0</v>
      </c>
      <c r="U40" s="288">
        <v>0</v>
      </c>
      <c r="V40" s="282">
        <f>C40-'часть 1'!L51</f>
        <v>0</v>
      </c>
      <c r="W40" s="282"/>
      <c r="X40" s="28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296"/>
    </row>
    <row r="41" spans="1:49">
      <c r="A41" s="194">
        <v>33</v>
      </c>
      <c r="B41" s="195" t="s">
        <v>371</v>
      </c>
      <c r="C41" s="196">
        <v>939858</v>
      </c>
      <c r="D41" s="196"/>
      <c r="E41" s="196"/>
      <c r="F41" s="196"/>
      <c r="G41" s="196"/>
      <c r="H41" s="196"/>
      <c r="I41" s="196"/>
      <c r="J41" s="196"/>
      <c r="K41" s="196">
        <v>939858</v>
      </c>
      <c r="L41" s="194">
        <v>0</v>
      </c>
      <c r="M41" s="196">
        <v>0</v>
      </c>
      <c r="N41" s="196">
        <v>0</v>
      </c>
      <c r="O41" s="196">
        <v>0</v>
      </c>
      <c r="P41" s="194">
        <v>0</v>
      </c>
      <c r="Q41" s="196">
        <v>0</v>
      </c>
      <c r="R41" s="200">
        <v>0</v>
      </c>
      <c r="S41" s="196">
        <v>0</v>
      </c>
      <c r="T41" s="197">
        <v>0</v>
      </c>
      <c r="U41" s="288">
        <v>0</v>
      </c>
      <c r="V41" s="282">
        <f>C41-'часть 1'!L52</f>
        <v>0</v>
      </c>
      <c r="W41" s="282"/>
      <c r="X41" s="28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296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</row>
    <row r="42" spans="1:49" s="59" customFormat="1">
      <c r="A42" s="198">
        <v>34</v>
      </c>
      <c r="B42" s="195" t="s">
        <v>377</v>
      </c>
      <c r="C42" s="196">
        <v>2368392</v>
      </c>
      <c r="D42" s="196"/>
      <c r="E42" s="196"/>
      <c r="F42" s="196"/>
      <c r="G42" s="196"/>
      <c r="H42" s="196"/>
      <c r="I42" s="196"/>
      <c r="J42" s="196"/>
      <c r="K42" s="196">
        <v>0</v>
      </c>
      <c r="L42" s="194">
        <v>0</v>
      </c>
      <c r="M42" s="196">
        <v>0</v>
      </c>
      <c r="N42" s="196">
        <v>1200</v>
      </c>
      <c r="O42" s="199">
        <v>2368392</v>
      </c>
      <c r="P42" s="194">
        <v>0</v>
      </c>
      <c r="Q42" s="196">
        <v>0</v>
      </c>
      <c r="R42" s="197">
        <v>0</v>
      </c>
      <c r="S42" s="196">
        <v>0</v>
      </c>
      <c r="T42" s="197">
        <v>0</v>
      </c>
      <c r="U42" s="288">
        <v>0</v>
      </c>
      <c r="V42" s="282">
        <f>C42-'часть 1'!L53</f>
        <v>0</v>
      </c>
      <c r="W42" s="282"/>
      <c r="X42" s="28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296"/>
    </row>
    <row r="43" spans="1:49" s="89" customFormat="1">
      <c r="A43" s="198">
        <v>35</v>
      </c>
      <c r="B43" s="195" t="s">
        <v>378</v>
      </c>
      <c r="C43" s="196">
        <v>2433930.91</v>
      </c>
      <c r="D43" s="196"/>
      <c r="E43" s="196"/>
      <c r="F43" s="196"/>
      <c r="G43" s="196"/>
      <c r="H43" s="196"/>
      <c r="I43" s="196"/>
      <c r="J43" s="196"/>
      <c r="K43" s="196">
        <v>1478520.9100000001</v>
      </c>
      <c r="L43" s="194">
        <v>0</v>
      </c>
      <c r="M43" s="196">
        <v>0</v>
      </c>
      <c r="N43" s="196">
        <v>526.79999999999995</v>
      </c>
      <c r="O43" s="196">
        <v>955410</v>
      </c>
      <c r="P43" s="194">
        <v>0</v>
      </c>
      <c r="Q43" s="196">
        <v>0</v>
      </c>
      <c r="R43" s="200">
        <v>0</v>
      </c>
      <c r="S43" s="196">
        <v>0</v>
      </c>
      <c r="T43" s="197">
        <v>0</v>
      </c>
      <c r="U43" s="288">
        <v>0</v>
      </c>
      <c r="V43" s="282">
        <f>C43-'часть 1'!L54</f>
        <v>0</v>
      </c>
      <c r="W43" s="282"/>
      <c r="X43" s="28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296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</row>
    <row r="44" spans="1:49" s="59" customFormat="1">
      <c r="A44" s="198">
        <v>36</v>
      </c>
      <c r="B44" s="195" t="s">
        <v>383</v>
      </c>
      <c r="C44" s="196">
        <v>1721850</v>
      </c>
      <c r="D44" s="196"/>
      <c r="E44" s="196"/>
      <c r="F44" s="196"/>
      <c r="G44" s="196"/>
      <c r="H44" s="196"/>
      <c r="I44" s="196"/>
      <c r="J44" s="196"/>
      <c r="K44" s="196">
        <v>0</v>
      </c>
      <c r="L44" s="194">
        <v>0</v>
      </c>
      <c r="M44" s="196">
        <v>0</v>
      </c>
      <c r="N44" s="196">
        <v>868.68</v>
      </c>
      <c r="O44" s="196">
        <v>1721850</v>
      </c>
      <c r="P44" s="194">
        <v>0</v>
      </c>
      <c r="Q44" s="196">
        <v>0</v>
      </c>
      <c r="R44" s="197">
        <v>0</v>
      </c>
      <c r="S44" s="196">
        <v>0</v>
      </c>
      <c r="T44" s="197">
        <v>0</v>
      </c>
      <c r="U44" s="288">
        <v>0</v>
      </c>
      <c r="V44" s="282">
        <f>C44-'часть 1'!L55</f>
        <v>0</v>
      </c>
      <c r="W44" s="282"/>
      <c r="X44" s="28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296"/>
    </row>
    <row r="45" spans="1:49" s="59" customFormat="1">
      <c r="A45" s="198">
        <v>37</v>
      </c>
      <c r="B45" s="195" t="s">
        <v>368</v>
      </c>
      <c r="C45" s="196">
        <v>814117</v>
      </c>
      <c r="D45" s="196"/>
      <c r="E45" s="196"/>
      <c r="F45" s="196"/>
      <c r="G45" s="196"/>
      <c r="H45" s="196"/>
      <c r="I45" s="196"/>
      <c r="J45" s="196"/>
      <c r="K45" s="196">
        <v>814117</v>
      </c>
      <c r="L45" s="194">
        <v>0</v>
      </c>
      <c r="M45" s="196">
        <v>0</v>
      </c>
      <c r="N45" s="196">
        <v>0</v>
      </c>
      <c r="O45" s="196">
        <v>0</v>
      </c>
      <c r="P45" s="194">
        <v>0</v>
      </c>
      <c r="Q45" s="196">
        <v>0</v>
      </c>
      <c r="R45" s="197">
        <v>0</v>
      </c>
      <c r="S45" s="196">
        <v>0</v>
      </c>
      <c r="T45" s="197">
        <v>0</v>
      </c>
      <c r="U45" s="288">
        <v>0</v>
      </c>
      <c r="V45" s="282">
        <f>C45-'часть 1'!L56</f>
        <v>0</v>
      </c>
      <c r="W45" s="282"/>
      <c r="X45" s="28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296"/>
    </row>
    <row r="46" spans="1:49" s="59" customFormat="1">
      <c r="A46" s="198">
        <v>38</v>
      </c>
      <c r="B46" s="195" t="s">
        <v>375</v>
      </c>
      <c r="C46" s="196">
        <v>3045081</v>
      </c>
      <c r="D46" s="196"/>
      <c r="E46" s="196"/>
      <c r="F46" s="196"/>
      <c r="G46" s="196"/>
      <c r="H46" s="196"/>
      <c r="I46" s="196"/>
      <c r="J46" s="196"/>
      <c r="K46" s="196">
        <v>0</v>
      </c>
      <c r="L46" s="194">
        <v>0</v>
      </c>
      <c r="M46" s="196">
        <v>0</v>
      </c>
      <c r="N46" s="196">
        <v>0</v>
      </c>
      <c r="O46" s="196">
        <v>0</v>
      </c>
      <c r="P46" s="194">
        <v>0</v>
      </c>
      <c r="Q46" s="196">
        <v>0</v>
      </c>
      <c r="R46" s="196">
        <v>2108</v>
      </c>
      <c r="S46" s="196">
        <v>3045081</v>
      </c>
      <c r="T46" s="197">
        <v>0</v>
      </c>
      <c r="U46" s="288">
        <v>0</v>
      </c>
      <c r="V46" s="282">
        <f>C46-'часть 1'!L57</f>
        <v>0</v>
      </c>
      <c r="W46" s="282"/>
      <c r="X46" s="28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296"/>
    </row>
    <row r="47" spans="1:49" s="59" customFormat="1">
      <c r="A47" s="198">
        <v>39</v>
      </c>
      <c r="B47" s="195" t="s">
        <v>380</v>
      </c>
      <c r="C47" s="196">
        <v>2244806</v>
      </c>
      <c r="D47" s="196"/>
      <c r="E47" s="196"/>
      <c r="F47" s="196"/>
      <c r="G47" s="196"/>
      <c r="H47" s="196"/>
      <c r="I47" s="196"/>
      <c r="J47" s="196"/>
      <c r="K47" s="196">
        <v>0</v>
      </c>
      <c r="L47" s="194">
        <v>0</v>
      </c>
      <c r="M47" s="196">
        <v>0</v>
      </c>
      <c r="N47" s="199">
        <v>1120</v>
      </c>
      <c r="O47" s="196">
        <v>2244806</v>
      </c>
      <c r="P47" s="194">
        <v>0</v>
      </c>
      <c r="Q47" s="196">
        <v>0</v>
      </c>
      <c r="R47" s="200">
        <v>0</v>
      </c>
      <c r="S47" s="196">
        <v>0</v>
      </c>
      <c r="T47" s="197">
        <v>0</v>
      </c>
      <c r="U47" s="288">
        <v>0</v>
      </c>
      <c r="V47" s="282">
        <f>C47-'часть 1'!L58</f>
        <v>0</v>
      </c>
      <c r="W47" s="282"/>
      <c r="X47" s="28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296"/>
    </row>
    <row r="48" spans="1:49" s="59" customFormat="1">
      <c r="A48" s="198">
        <v>40</v>
      </c>
      <c r="B48" s="195" t="s">
        <v>374</v>
      </c>
      <c r="C48" s="196">
        <v>1361273</v>
      </c>
      <c r="D48" s="196"/>
      <c r="E48" s="196"/>
      <c r="F48" s="196"/>
      <c r="G48" s="196"/>
      <c r="H48" s="196"/>
      <c r="I48" s="196"/>
      <c r="J48" s="196"/>
      <c r="K48" s="196">
        <v>347471</v>
      </c>
      <c r="L48" s="194">
        <v>0</v>
      </c>
      <c r="M48" s="196">
        <v>0</v>
      </c>
      <c r="N48" s="196">
        <v>0</v>
      </c>
      <c r="O48" s="196">
        <v>0</v>
      </c>
      <c r="P48" s="194">
        <v>0</v>
      </c>
      <c r="Q48" s="196">
        <v>0</v>
      </c>
      <c r="R48" s="196">
        <v>1105</v>
      </c>
      <c r="S48" s="196">
        <v>1013802</v>
      </c>
      <c r="T48" s="197">
        <v>0</v>
      </c>
      <c r="U48" s="288">
        <v>0</v>
      </c>
      <c r="V48" s="282">
        <f>C48-'часть 1'!L59</f>
        <v>0</v>
      </c>
      <c r="W48" s="282"/>
      <c r="X48" s="28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296"/>
    </row>
    <row r="49" spans="1:49" s="59" customFormat="1">
      <c r="A49" s="198">
        <v>41</v>
      </c>
      <c r="B49" s="195" t="s">
        <v>376</v>
      </c>
      <c r="C49" s="196">
        <v>2421596</v>
      </c>
      <c r="D49" s="196"/>
      <c r="E49" s="196"/>
      <c r="F49" s="196"/>
      <c r="G49" s="196"/>
      <c r="H49" s="196"/>
      <c r="I49" s="196"/>
      <c r="J49" s="196"/>
      <c r="K49" s="196">
        <v>0</v>
      </c>
      <c r="L49" s="194">
        <v>0</v>
      </c>
      <c r="M49" s="196">
        <v>0</v>
      </c>
      <c r="N49" s="196">
        <v>1230.72</v>
      </c>
      <c r="O49" s="199">
        <v>2421596</v>
      </c>
      <c r="P49" s="194">
        <v>0</v>
      </c>
      <c r="Q49" s="196">
        <v>0</v>
      </c>
      <c r="R49" s="197">
        <v>0</v>
      </c>
      <c r="S49" s="196">
        <v>0</v>
      </c>
      <c r="T49" s="197">
        <v>0</v>
      </c>
      <c r="U49" s="288">
        <v>0</v>
      </c>
      <c r="V49" s="282">
        <f>C49-'часть 1'!L60</f>
        <v>0</v>
      </c>
      <c r="W49" s="282"/>
      <c r="X49" s="28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296"/>
    </row>
    <row r="50" spans="1:49" s="59" customFormat="1">
      <c r="A50" s="198">
        <v>42</v>
      </c>
      <c r="B50" s="195" t="s">
        <v>379</v>
      </c>
      <c r="C50" s="196">
        <v>2056315</v>
      </c>
      <c r="D50" s="196"/>
      <c r="E50" s="196"/>
      <c r="F50" s="196"/>
      <c r="G50" s="196"/>
      <c r="H50" s="196"/>
      <c r="I50" s="196"/>
      <c r="J50" s="196"/>
      <c r="K50" s="196">
        <v>0</v>
      </c>
      <c r="L50" s="194">
        <v>0</v>
      </c>
      <c r="M50" s="196">
        <v>0</v>
      </c>
      <c r="N50" s="196">
        <v>978</v>
      </c>
      <c r="O50" s="196">
        <v>2056315</v>
      </c>
      <c r="P50" s="194">
        <v>0</v>
      </c>
      <c r="Q50" s="196">
        <v>0</v>
      </c>
      <c r="R50" s="200">
        <v>0</v>
      </c>
      <c r="S50" s="196">
        <v>0</v>
      </c>
      <c r="T50" s="197">
        <v>0</v>
      </c>
      <c r="U50" s="288">
        <v>0</v>
      </c>
      <c r="V50" s="282">
        <f>C50-'часть 1'!L61</f>
        <v>0</v>
      </c>
      <c r="W50" s="282"/>
      <c r="X50" s="28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296"/>
    </row>
    <row r="51" spans="1:49" s="59" customFormat="1">
      <c r="A51" s="198">
        <v>43</v>
      </c>
      <c r="B51" s="195" t="s">
        <v>372</v>
      </c>
      <c r="C51" s="196">
        <v>9473593</v>
      </c>
      <c r="D51" s="196"/>
      <c r="E51" s="196"/>
      <c r="F51" s="196"/>
      <c r="G51" s="196"/>
      <c r="H51" s="196"/>
      <c r="I51" s="196"/>
      <c r="J51" s="196"/>
      <c r="K51" s="196">
        <v>0</v>
      </c>
      <c r="L51" s="194">
        <v>5</v>
      </c>
      <c r="M51" s="196">
        <v>9473593</v>
      </c>
      <c r="N51" s="196">
        <v>0</v>
      </c>
      <c r="O51" s="196">
        <v>0</v>
      </c>
      <c r="P51" s="194">
        <v>0</v>
      </c>
      <c r="Q51" s="196">
        <v>0</v>
      </c>
      <c r="R51" s="197">
        <v>0</v>
      </c>
      <c r="S51" s="196">
        <v>0</v>
      </c>
      <c r="T51" s="197">
        <v>0</v>
      </c>
      <c r="U51" s="288">
        <v>0</v>
      </c>
      <c r="V51" s="282">
        <f>C51-'часть 1'!L62</f>
        <v>0</v>
      </c>
      <c r="W51" s="282"/>
      <c r="X51" s="28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296"/>
    </row>
    <row r="52" spans="1:49" s="59" customFormat="1">
      <c r="A52" s="198">
        <v>44</v>
      </c>
      <c r="B52" s="195" t="s">
        <v>344</v>
      </c>
      <c r="C52" s="196">
        <v>4441828</v>
      </c>
      <c r="D52" s="196"/>
      <c r="E52" s="196"/>
      <c r="F52" s="196"/>
      <c r="G52" s="196"/>
      <c r="H52" s="196"/>
      <c r="I52" s="196"/>
      <c r="J52" s="196"/>
      <c r="K52" s="196">
        <v>0</v>
      </c>
      <c r="L52" s="194">
        <v>0</v>
      </c>
      <c r="M52" s="196">
        <v>0</v>
      </c>
      <c r="N52" s="196">
        <v>0</v>
      </c>
      <c r="O52" s="196">
        <v>0</v>
      </c>
      <c r="P52" s="194">
        <v>0</v>
      </c>
      <c r="Q52" s="196">
        <v>0</v>
      </c>
      <c r="R52" s="196">
        <v>3081.4</v>
      </c>
      <c r="S52" s="196">
        <v>4441828</v>
      </c>
      <c r="T52" s="197">
        <v>0</v>
      </c>
      <c r="U52" s="288">
        <v>0</v>
      </c>
      <c r="V52" s="282">
        <f>C52-'часть 1'!L63</f>
        <v>0</v>
      </c>
      <c r="W52" s="282"/>
      <c r="X52" s="28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296"/>
    </row>
    <row r="53" spans="1:49" s="59" customFormat="1">
      <c r="A53" s="198">
        <v>45</v>
      </c>
      <c r="B53" s="195" t="s">
        <v>348</v>
      </c>
      <c r="C53" s="196">
        <v>3051089</v>
      </c>
      <c r="D53" s="196"/>
      <c r="E53" s="196"/>
      <c r="F53" s="196"/>
      <c r="G53" s="196"/>
      <c r="H53" s="196"/>
      <c r="I53" s="196"/>
      <c r="J53" s="196"/>
      <c r="K53" s="196">
        <v>0</v>
      </c>
      <c r="L53" s="194">
        <v>0</v>
      </c>
      <c r="M53" s="196">
        <v>0</v>
      </c>
      <c r="N53" s="196">
        <v>1549</v>
      </c>
      <c r="O53" s="196">
        <v>3051089</v>
      </c>
      <c r="P53" s="194">
        <v>0</v>
      </c>
      <c r="Q53" s="196">
        <v>0</v>
      </c>
      <c r="R53" s="197">
        <v>0</v>
      </c>
      <c r="S53" s="196">
        <v>0</v>
      </c>
      <c r="T53" s="197">
        <v>0</v>
      </c>
      <c r="U53" s="288">
        <v>0</v>
      </c>
      <c r="V53" s="282">
        <f>C53-'часть 1'!L64</f>
        <v>0</v>
      </c>
      <c r="W53" s="282"/>
      <c r="X53" s="28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296"/>
    </row>
    <row r="54" spans="1:49" s="59" customFormat="1">
      <c r="A54" s="198">
        <v>46</v>
      </c>
      <c r="B54" s="195" t="s">
        <v>386</v>
      </c>
      <c r="C54" s="196">
        <v>869749</v>
      </c>
      <c r="D54" s="196"/>
      <c r="E54" s="196"/>
      <c r="F54" s="196"/>
      <c r="G54" s="196"/>
      <c r="H54" s="196"/>
      <c r="I54" s="196"/>
      <c r="J54" s="196"/>
      <c r="K54" s="196">
        <v>0</v>
      </c>
      <c r="L54" s="194">
        <v>0</v>
      </c>
      <c r="M54" s="196">
        <v>0</v>
      </c>
      <c r="N54" s="196">
        <v>431.5</v>
      </c>
      <c r="O54" s="196">
        <f>C54</f>
        <v>869749</v>
      </c>
      <c r="P54" s="194">
        <v>0</v>
      </c>
      <c r="Q54" s="196">
        <v>0</v>
      </c>
      <c r="R54" s="197">
        <v>0</v>
      </c>
      <c r="S54" s="196">
        <v>0</v>
      </c>
      <c r="T54" s="197">
        <v>0</v>
      </c>
      <c r="U54" s="288">
        <v>0</v>
      </c>
      <c r="V54" s="282">
        <f>C54-'часть 1'!L65</f>
        <v>0</v>
      </c>
      <c r="W54" s="282"/>
      <c r="X54" s="28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296"/>
    </row>
    <row r="55" spans="1:49" s="59" customFormat="1">
      <c r="A55" s="198">
        <v>47</v>
      </c>
      <c r="B55" s="195" t="s">
        <v>461</v>
      </c>
      <c r="C55" s="196">
        <v>869880</v>
      </c>
      <c r="D55" s="196"/>
      <c r="E55" s="196"/>
      <c r="F55" s="196"/>
      <c r="G55" s="196"/>
      <c r="H55" s="196"/>
      <c r="I55" s="196"/>
      <c r="J55" s="196"/>
      <c r="K55" s="196">
        <v>0</v>
      </c>
      <c r="L55" s="194">
        <v>0</v>
      </c>
      <c r="M55" s="196">
        <v>0</v>
      </c>
      <c r="N55" s="196">
        <v>431.5</v>
      </c>
      <c r="O55" s="199">
        <f>C55</f>
        <v>869880</v>
      </c>
      <c r="P55" s="194">
        <v>0</v>
      </c>
      <c r="Q55" s="196">
        <v>0</v>
      </c>
      <c r="R55" s="200">
        <v>0</v>
      </c>
      <c r="S55" s="196">
        <v>0</v>
      </c>
      <c r="T55" s="197">
        <v>0</v>
      </c>
      <c r="U55" s="288">
        <v>0</v>
      </c>
      <c r="V55" s="282">
        <f>C55-'часть 1'!L66</f>
        <v>0</v>
      </c>
      <c r="W55" s="282"/>
      <c r="X55" s="28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296"/>
    </row>
    <row r="56" spans="1:49" s="59" customFormat="1" ht="27.6">
      <c r="A56" s="198">
        <v>48</v>
      </c>
      <c r="B56" s="195" t="s">
        <v>462</v>
      </c>
      <c r="C56" s="196">
        <v>172302</v>
      </c>
      <c r="D56" s="196"/>
      <c r="E56" s="196"/>
      <c r="F56" s="196"/>
      <c r="G56" s="196"/>
      <c r="H56" s="196"/>
      <c r="I56" s="196"/>
      <c r="J56" s="196"/>
      <c r="K56" s="196">
        <v>172302</v>
      </c>
      <c r="L56" s="194">
        <v>0</v>
      </c>
      <c r="M56" s="196">
        <v>0</v>
      </c>
      <c r="N56" s="196">
        <v>0</v>
      </c>
      <c r="O56" s="196">
        <v>0</v>
      </c>
      <c r="P56" s="194">
        <v>0</v>
      </c>
      <c r="Q56" s="196">
        <v>0</v>
      </c>
      <c r="R56" s="197">
        <v>0</v>
      </c>
      <c r="S56" s="196">
        <v>0</v>
      </c>
      <c r="T56" s="197">
        <v>0</v>
      </c>
      <c r="U56" s="288">
        <v>0</v>
      </c>
      <c r="V56" s="282">
        <f>C56-'часть 1'!L67</f>
        <v>0</v>
      </c>
      <c r="W56" s="282"/>
      <c r="X56" s="28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296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</row>
    <row r="57" spans="1:49" s="59" customFormat="1">
      <c r="A57" s="198">
        <v>49</v>
      </c>
      <c r="B57" s="195" t="s">
        <v>389</v>
      </c>
      <c r="C57" s="196">
        <v>3706393</v>
      </c>
      <c r="D57" s="196"/>
      <c r="E57" s="196"/>
      <c r="F57" s="196"/>
      <c r="G57" s="196"/>
      <c r="H57" s="196"/>
      <c r="I57" s="196"/>
      <c r="J57" s="196"/>
      <c r="K57" s="196" t="e">
        <f>#REF!</f>
        <v>#REF!</v>
      </c>
      <c r="L57" s="194">
        <v>0</v>
      </c>
      <c r="M57" s="196">
        <v>0</v>
      </c>
      <c r="N57" s="196">
        <v>0</v>
      </c>
      <c r="O57" s="196">
        <v>0</v>
      </c>
      <c r="P57" s="194">
        <v>0</v>
      </c>
      <c r="Q57" s="196">
        <v>0</v>
      </c>
      <c r="R57" s="197">
        <v>0</v>
      </c>
      <c r="S57" s="196">
        <v>0</v>
      </c>
      <c r="T57" s="197">
        <v>0</v>
      </c>
      <c r="U57" s="288">
        <v>0</v>
      </c>
      <c r="V57" s="282">
        <f>C57-'часть 1'!L68</f>
        <v>0</v>
      </c>
      <c r="W57" s="282"/>
      <c r="X57" s="28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296"/>
    </row>
    <row r="58" spans="1:49" s="59" customFormat="1">
      <c r="A58" s="198">
        <v>50</v>
      </c>
      <c r="B58" s="195" t="s">
        <v>317</v>
      </c>
      <c r="C58" s="196">
        <v>698585</v>
      </c>
      <c r="D58" s="196"/>
      <c r="E58" s="196"/>
      <c r="F58" s="196"/>
      <c r="G58" s="196"/>
      <c r="H58" s="196"/>
      <c r="I58" s="196"/>
      <c r="J58" s="196"/>
      <c r="K58" s="196">
        <v>698585</v>
      </c>
      <c r="L58" s="194">
        <v>0</v>
      </c>
      <c r="M58" s="196">
        <v>0</v>
      </c>
      <c r="N58" s="199">
        <v>0</v>
      </c>
      <c r="O58" s="196">
        <v>0</v>
      </c>
      <c r="P58" s="194">
        <v>0</v>
      </c>
      <c r="Q58" s="196">
        <v>0</v>
      </c>
      <c r="R58" s="200">
        <v>0</v>
      </c>
      <c r="S58" s="196">
        <v>0</v>
      </c>
      <c r="T58" s="197">
        <v>0</v>
      </c>
      <c r="U58" s="288">
        <v>0</v>
      </c>
      <c r="V58" s="282">
        <f>C58-'часть 1'!L69</f>
        <v>0</v>
      </c>
      <c r="W58" s="282"/>
      <c r="X58" s="28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296"/>
    </row>
    <row r="59" spans="1:49" s="59" customFormat="1">
      <c r="A59" s="198">
        <v>51</v>
      </c>
      <c r="B59" s="195" t="s">
        <v>384</v>
      </c>
      <c r="C59" s="196">
        <v>951740</v>
      </c>
      <c r="D59" s="196"/>
      <c r="E59" s="196"/>
      <c r="F59" s="196"/>
      <c r="G59" s="196"/>
      <c r="H59" s="196"/>
      <c r="I59" s="196"/>
      <c r="J59" s="196"/>
      <c r="K59" s="196">
        <v>0</v>
      </c>
      <c r="L59" s="194">
        <v>0</v>
      </c>
      <c r="M59" s="196">
        <v>0</v>
      </c>
      <c r="N59" s="196">
        <v>471.1</v>
      </c>
      <c r="O59" s="196">
        <v>951740</v>
      </c>
      <c r="P59" s="194">
        <v>0</v>
      </c>
      <c r="Q59" s="196">
        <v>0</v>
      </c>
      <c r="R59" s="197">
        <v>0</v>
      </c>
      <c r="S59" s="196">
        <v>0</v>
      </c>
      <c r="T59" s="197">
        <v>0</v>
      </c>
      <c r="U59" s="288">
        <v>0</v>
      </c>
      <c r="V59" s="282">
        <f>C59-'часть 1'!L70</f>
        <v>0</v>
      </c>
      <c r="W59" s="282"/>
      <c r="X59" s="28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296"/>
    </row>
    <row r="60" spans="1:49">
      <c r="A60" s="198">
        <v>52</v>
      </c>
      <c r="B60" s="195" t="s">
        <v>247</v>
      </c>
      <c r="C60" s="196">
        <v>2056139</v>
      </c>
      <c r="D60" s="196"/>
      <c r="E60" s="196"/>
      <c r="F60" s="196"/>
      <c r="G60" s="196"/>
      <c r="H60" s="196"/>
      <c r="I60" s="196"/>
      <c r="J60" s="196"/>
      <c r="K60" s="196">
        <v>0</v>
      </c>
      <c r="L60" s="194">
        <v>0</v>
      </c>
      <c r="M60" s="196">
        <v>0</v>
      </c>
      <c r="N60" s="196">
        <v>1020</v>
      </c>
      <c r="O60" s="196">
        <v>2056139</v>
      </c>
      <c r="P60" s="194">
        <v>0</v>
      </c>
      <c r="Q60" s="196">
        <v>0</v>
      </c>
      <c r="R60" s="200">
        <v>0</v>
      </c>
      <c r="S60" s="196">
        <v>0</v>
      </c>
      <c r="T60" s="197">
        <v>0</v>
      </c>
      <c r="U60" s="288">
        <v>0</v>
      </c>
      <c r="V60" s="282">
        <f>C60-'часть 1'!L71</f>
        <v>0</v>
      </c>
      <c r="W60" s="282"/>
      <c r="X60" s="28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296"/>
    </row>
    <row r="61" spans="1:49">
      <c r="A61" s="198">
        <v>53</v>
      </c>
      <c r="B61" s="195" t="s">
        <v>274</v>
      </c>
      <c r="C61" s="196">
        <v>1321356</v>
      </c>
      <c r="D61" s="196"/>
      <c r="E61" s="196"/>
      <c r="F61" s="196"/>
      <c r="G61" s="196"/>
      <c r="H61" s="196"/>
      <c r="I61" s="196"/>
      <c r="J61" s="196"/>
      <c r="K61" s="196">
        <v>0</v>
      </c>
      <c r="L61" s="194">
        <v>0</v>
      </c>
      <c r="M61" s="196">
        <v>0</v>
      </c>
      <c r="N61" s="196">
        <v>662</v>
      </c>
      <c r="O61" s="199">
        <v>1321356</v>
      </c>
      <c r="P61" s="194">
        <v>0</v>
      </c>
      <c r="Q61" s="196">
        <v>0</v>
      </c>
      <c r="R61" s="197">
        <v>0</v>
      </c>
      <c r="S61" s="196">
        <v>0</v>
      </c>
      <c r="T61" s="197">
        <v>0</v>
      </c>
      <c r="U61" s="288">
        <v>0</v>
      </c>
      <c r="V61" s="282">
        <f>C61-'часть 1'!L72</f>
        <v>0</v>
      </c>
      <c r="W61" s="282"/>
      <c r="X61" s="28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296"/>
    </row>
    <row r="62" spans="1:49">
      <c r="A62" s="198">
        <v>54</v>
      </c>
      <c r="B62" s="195" t="s">
        <v>338</v>
      </c>
      <c r="C62" s="196">
        <v>1679278</v>
      </c>
      <c r="D62" s="196"/>
      <c r="E62" s="196"/>
      <c r="F62" s="196"/>
      <c r="G62" s="196"/>
      <c r="H62" s="196"/>
      <c r="I62" s="196"/>
      <c r="J62" s="196"/>
      <c r="K62" s="196">
        <v>355519</v>
      </c>
      <c r="L62" s="194">
        <v>0</v>
      </c>
      <c r="M62" s="196">
        <v>0</v>
      </c>
      <c r="N62" s="196">
        <v>663.3</v>
      </c>
      <c r="O62" s="196">
        <v>1323759</v>
      </c>
      <c r="P62" s="194">
        <v>0</v>
      </c>
      <c r="Q62" s="196">
        <v>0</v>
      </c>
      <c r="R62" s="197">
        <v>0</v>
      </c>
      <c r="S62" s="196">
        <v>0</v>
      </c>
      <c r="T62" s="197">
        <v>0</v>
      </c>
      <c r="U62" s="288">
        <v>0</v>
      </c>
      <c r="V62" s="282">
        <f>C62-'часть 1'!L73</f>
        <v>0</v>
      </c>
      <c r="W62" s="282"/>
      <c r="X62" s="282"/>
      <c r="Y62" s="12"/>
      <c r="Z62" s="12"/>
      <c r="AA62" s="12"/>
      <c r="AB62" s="12"/>
      <c r="AC62" s="12"/>
      <c r="AD62" s="12"/>
      <c r="AE62" s="12"/>
      <c r="AF62" s="12"/>
      <c r="AG62" s="4"/>
      <c r="AH62" s="12"/>
      <c r="AI62" s="296"/>
    </row>
    <row r="63" spans="1:49" s="11" customFormat="1">
      <c r="A63" s="198">
        <v>55</v>
      </c>
      <c r="B63" s="195" t="s">
        <v>272</v>
      </c>
      <c r="C63" s="196">
        <v>1100896</v>
      </c>
      <c r="D63" s="196"/>
      <c r="E63" s="196"/>
      <c r="F63" s="196"/>
      <c r="G63" s="196"/>
      <c r="H63" s="196"/>
      <c r="I63" s="196"/>
      <c r="J63" s="196"/>
      <c r="K63" s="196">
        <v>0</v>
      </c>
      <c r="L63" s="194">
        <v>0</v>
      </c>
      <c r="M63" s="196">
        <v>0</v>
      </c>
      <c r="N63" s="196">
        <v>549</v>
      </c>
      <c r="O63" s="199">
        <v>1100896</v>
      </c>
      <c r="P63" s="194">
        <v>0</v>
      </c>
      <c r="Q63" s="196">
        <v>0</v>
      </c>
      <c r="R63" s="197">
        <v>0</v>
      </c>
      <c r="S63" s="196">
        <v>0</v>
      </c>
      <c r="T63" s="197">
        <v>0</v>
      </c>
      <c r="U63" s="288">
        <v>0</v>
      </c>
      <c r="V63" s="282">
        <f>C63-'часть 1'!L74</f>
        <v>0</v>
      </c>
      <c r="W63" s="282"/>
      <c r="X63" s="28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296"/>
    </row>
    <row r="64" spans="1:49">
      <c r="A64" s="198">
        <v>56</v>
      </c>
      <c r="B64" s="195" t="s">
        <v>337</v>
      </c>
      <c r="C64" s="196">
        <v>1729707</v>
      </c>
      <c r="D64" s="196"/>
      <c r="E64" s="196"/>
      <c r="F64" s="196"/>
      <c r="G64" s="196"/>
      <c r="H64" s="196"/>
      <c r="I64" s="196"/>
      <c r="J64" s="196"/>
      <c r="K64" s="196">
        <v>630140</v>
      </c>
      <c r="L64" s="194">
        <v>0</v>
      </c>
      <c r="M64" s="196">
        <v>0</v>
      </c>
      <c r="N64" s="196">
        <v>0</v>
      </c>
      <c r="O64" s="196">
        <v>0</v>
      </c>
      <c r="P64" s="194">
        <v>0</v>
      </c>
      <c r="Q64" s="196">
        <v>0</v>
      </c>
      <c r="R64" s="196">
        <v>760.3</v>
      </c>
      <c r="S64" s="196">
        <v>1099567</v>
      </c>
      <c r="T64" s="197">
        <v>0</v>
      </c>
      <c r="U64" s="288">
        <v>0</v>
      </c>
      <c r="V64" s="282">
        <f>C64-'часть 1'!L75</f>
        <v>0</v>
      </c>
      <c r="W64" s="282"/>
      <c r="X64" s="28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296"/>
    </row>
    <row r="65" spans="1:38" s="59" customFormat="1">
      <c r="A65" s="198">
        <v>57</v>
      </c>
      <c r="B65" s="195" t="s">
        <v>257</v>
      </c>
      <c r="C65" s="196">
        <v>451222.57</v>
      </c>
      <c r="D65" s="196"/>
      <c r="E65" s="196"/>
      <c r="F65" s="196"/>
      <c r="G65" s="196"/>
      <c r="H65" s="196"/>
      <c r="I65" s="196"/>
      <c r="J65" s="196"/>
      <c r="K65" s="196">
        <v>451222.57</v>
      </c>
      <c r="L65" s="194">
        <v>0</v>
      </c>
      <c r="M65" s="196">
        <v>0</v>
      </c>
      <c r="N65" s="196">
        <v>0</v>
      </c>
      <c r="O65" s="196">
        <v>0</v>
      </c>
      <c r="P65" s="194">
        <v>0</v>
      </c>
      <c r="Q65" s="196">
        <v>0</v>
      </c>
      <c r="R65" s="197">
        <v>0</v>
      </c>
      <c r="S65" s="196">
        <v>0</v>
      </c>
      <c r="T65" s="197">
        <v>0</v>
      </c>
      <c r="U65" s="288">
        <v>0</v>
      </c>
      <c r="V65" s="282">
        <f>C65-'часть 1'!L76</f>
        <v>0</v>
      </c>
      <c r="W65" s="282"/>
      <c r="X65" s="282"/>
      <c r="Y65" s="12"/>
      <c r="Z65" s="12"/>
      <c r="AA65" s="4"/>
      <c r="AB65" s="12"/>
      <c r="AC65" s="12"/>
      <c r="AD65" s="12"/>
      <c r="AE65" s="12"/>
      <c r="AF65" s="12"/>
      <c r="AG65" s="12"/>
      <c r="AH65" s="12"/>
      <c r="AI65" s="296"/>
    </row>
    <row r="66" spans="1:38" ht="27.6">
      <c r="A66" s="198">
        <v>58</v>
      </c>
      <c r="B66" s="195" t="s">
        <v>307</v>
      </c>
      <c r="C66" s="196">
        <v>703675.57</v>
      </c>
      <c r="D66" s="196"/>
      <c r="E66" s="196"/>
      <c r="F66" s="196"/>
      <c r="G66" s="196"/>
      <c r="H66" s="196"/>
      <c r="I66" s="196"/>
      <c r="J66" s="196"/>
      <c r="K66" s="196">
        <v>0</v>
      </c>
      <c r="L66" s="194">
        <v>0</v>
      </c>
      <c r="M66" s="196">
        <v>0</v>
      </c>
      <c r="N66" s="196">
        <v>378</v>
      </c>
      <c r="O66" s="196">
        <v>703675.57</v>
      </c>
      <c r="P66" s="194">
        <v>0</v>
      </c>
      <c r="Q66" s="196">
        <v>0</v>
      </c>
      <c r="R66" s="197">
        <v>0</v>
      </c>
      <c r="S66" s="196">
        <v>0</v>
      </c>
      <c r="T66" s="197">
        <v>0</v>
      </c>
      <c r="U66" s="288">
        <v>0</v>
      </c>
      <c r="V66" s="282">
        <f>C66-'часть 1'!L77</f>
        <v>0</v>
      </c>
      <c r="W66" s="282"/>
      <c r="X66" s="28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296"/>
    </row>
    <row r="67" spans="1:38">
      <c r="A67" s="198">
        <v>59</v>
      </c>
      <c r="B67" s="195" t="s">
        <v>268</v>
      </c>
      <c r="C67" s="196">
        <v>1053533.22</v>
      </c>
      <c r="D67" s="196"/>
      <c r="E67" s="196"/>
      <c r="F67" s="196"/>
      <c r="G67" s="196"/>
      <c r="H67" s="196"/>
      <c r="I67" s="196"/>
      <c r="J67" s="196"/>
      <c r="K67" s="196">
        <v>1053533.22</v>
      </c>
      <c r="L67" s="194">
        <v>0</v>
      </c>
      <c r="M67" s="196">
        <v>0</v>
      </c>
      <c r="N67" s="196">
        <v>0</v>
      </c>
      <c r="O67" s="196">
        <v>0</v>
      </c>
      <c r="P67" s="194">
        <v>0</v>
      </c>
      <c r="Q67" s="196">
        <v>0</v>
      </c>
      <c r="R67" s="197">
        <v>0</v>
      </c>
      <c r="S67" s="196">
        <v>0</v>
      </c>
      <c r="T67" s="197">
        <v>0</v>
      </c>
      <c r="U67" s="288">
        <v>0</v>
      </c>
      <c r="V67" s="282">
        <f>C67-'часть 1'!L78</f>
        <v>0</v>
      </c>
      <c r="W67" s="282"/>
      <c r="X67" s="28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296"/>
      <c r="AJ67" s="11"/>
      <c r="AK67" s="11"/>
      <c r="AL67" s="11"/>
    </row>
    <row r="68" spans="1:38">
      <c r="A68" s="198">
        <v>60</v>
      </c>
      <c r="B68" s="195" t="s">
        <v>246</v>
      </c>
      <c r="C68" s="196">
        <v>1253738</v>
      </c>
      <c r="D68" s="196"/>
      <c r="E68" s="196"/>
      <c r="F68" s="196"/>
      <c r="G68" s="196"/>
      <c r="H68" s="196"/>
      <c r="I68" s="196"/>
      <c r="J68" s="196"/>
      <c r="K68" s="196">
        <v>0</v>
      </c>
      <c r="L68" s="194">
        <v>0</v>
      </c>
      <c r="M68" s="196">
        <v>0</v>
      </c>
      <c r="N68" s="196">
        <v>622</v>
      </c>
      <c r="O68" s="196">
        <v>1253738</v>
      </c>
      <c r="P68" s="194">
        <v>0</v>
      </c>
      <c r="Q68" s="196">
        <v>0</v>
      </c>
      <c r="R68" s="200">
        <v>0</v>
      </c>
      <c r="S68" s="196">
        <v>0</v>
      </c>
      <c r="T68" s="197">
        <v>0</v>
      </c>
      <c r="U68" s="288">
        <v>0</v>
      </c>
      <c r="V68" s="282">
        <f>C68-'часть 1'!L79</f>
        <v>0</v>
      </c>
      <c r="W68" s="282"/>
      <c r="X68" s="28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296"/>
    </row>
    <row r="69" spans="1:38" s="11" customFormat="1">
      <c r="A69" s="198">
        <v>61</v>
      </c>
      <c r="B69" s="195" t="s">
        <v>470</v>
      </c>
      <c r="C69" s="196">
        <v>1870046</v>
      </c>
      <c r="D69" s="196"/>
      <c r="E69" s="196"/>
      <c r="F69" s="196"/>
      <c r="G69" s="196"/>
      <c r="H69" s="196"/>
      <c r="I69" s="196"/>
      <c r="J69" s="196"/>
      <c r="K69" s="196">
        <v>0</v>
      </c>
      <c r="L69" s="194">
        <v>1</v>
      </c>
      <c r="M69" s="196">
        <v>1870046</v>
      </c>
      <c r="N69" s="196">
        <v>0</v>
      </c>
      <c r="O69" s="196">
        <v>0</v>
      </c>
      <c r="P69" s="194">
        <v>0</v>
      </c>
      <c r="Q69" s="196">
        <v>0</v>
      </c>
      <c r="R69" s="197">
        <v>0</v>
      </c>
      <c r="S69" s="196">
        <v>0</v>
      </c>
      <c r="T69" s="197">
        <v>0</v>
      </c>
      <c r="U69" s="288">
        <v>0</v>
      </c>
      <c r="V69" s="282">
        <f>C69-'часть 1'!L80</f>
        <v>0</v>
      </c>
      <c r="W69" s="282"/>
      <c r="X69" s="28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296"/>
      <c r="AJ69" s="1"/>
      <c r="AK69" s="1"/>
      <c r="AL69" s="1"/>
    </row>
    <row r="70" spans="1:38">
      <c r="A70" s="198">
        <v>62</v>
      </c>
      <c r="B70" s="195" t="s">
        <v>350</v>
      </c>
      <c r="C70" s="196">
        <v>3720676</v>
      </c>
      <c r="D70" s="196"/>
      <c r="E70" s="196"/>
      <c r="F70" s="196"/>
      <c r="G70" s="196"/>
      <c r="H70" s="196"/>
      <c r="I70" s="196"/>
      <c r="J70" s="196"/>
      <c r="K70" s="196">
        <v>0</v>
      </c>
      <c r="L70" s="194">
        <v>2</v>
      </c>
      <c r="M70" s="196">
        <v>3720676</v>
      </c>
      <c r="N70" s="196">
        <v>0</v>
      </c>
      <c r="O70" s="196">
        <v>0</v>
      </c>
      <c r="P70" s="194">
        <v>0</v>
      </c>
      <c r="Q70" s="196">
        <v>0</v>
      </c>
      <c r="R70" s="197">
        <v>0</v>
      </c>
      <c r="S70" s="196">
        <v>0</v>
      </c>
      <c r="T70" s="197">
        <v>0</v>
      </c>
      <c r="U70" s="288">
        <v>0</v>
      </c>
      <c r="V70" s="282">
        <f>C70-'часть 1'!L81</f>
        <v>0</v>
      </c>
      <c r="W70" s="282"/>
      <c r="X70" s="28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296"/>
    </row>
    <row r="71" spans="1:38">
      <c r="A71" s="198">
        <v>63</v>
      </c>
      <c r="B71" s="195" t="s">
        <v>251</v>
      </c>
      <c r="C71" s="196">
        <v>3687908</v>
      </c>
      <c r="D71" s="196"/>
      <c r="E71" s="196"/>
      <c r="F71" s="196"/>
      <c r="G71" s="196"/>
      <c r="H71" s="196"/>
      <c r="I71" s="196"/>
      <c r="J71" s="196"/>
      <c r="K71" s="196">
        <v>3687908</v>
      </c>
      <c r="L71" s="194">
        <v>0</v>
      </c>
      <c r="M71" s="196">
        <v>0</v>
      </c>
      <c r="N71" s="196">
        <v>0</v>
      </c>
      <c r="O71" s="196">
        <v>0</v>
      </c>
      <c r="P71" s="194">
        <v>0</v>
      </c>
      <c r="Q71" s="196">
        <v>0</v>
      </c>
      <c r="R71" s="200">
        <v>0</v>
      </c>
      <c r="S71" s="196">
        <v>0</v>
      </c>
      <c r="T71" s="197">
        <v>0</v>
      </c>
      <c r="U71" s="288">
        <v>0</v>
      </c>
      <c r="V71" s="282">
        <f>C71-'часть 1'!L82</f>
        <v>0</v>
      </c>
      <c r="W71" s="282"/>
      <c r="X71" s="282"/>
      <c r="Y71" s="12"/>
      <c r="Z71" s="12"/>
      <c r="AA71" s="12"/>
      <c r="AB71" s="12"/>
      <c r="AC71" s="12"/>
      <c r="AD71" s="12"/>
      <c r="AE71" s="64"/>
      <c r="AF71" s="12"/>
      <c r="AG71" s="12"/>
      <c r="AH71" s="12"/>
      <c r="AI71" s="296"/>
    </row>
    <row r="72" spans="1:38">
      <c r="A72" s="198">
        <v>64</v>
      </c>
      <c r="B72" s="195" t="s">
        <v>226</v>
      </c>
      <c r="C72" s="196">
        <v>1760967.35</v>
      </c>
      <c r="D72" s="196"/>
      <c r="E72" s="196"/>
      <c r="F72" s="196"/>
      <c r="G72" s="196"/>
      <c r="H72" s="196"/>
      <c r="I72" s="196"/>
      <c r="J72" s="196"/>
      <c r="K72" s="196">
        <v>0</v>
      </c>
      <c r="L72" s="194">
        <v>0</v>
      </c>
      <c r="M72" s="196">
        <v>0</v>
      </c>
      <c r="N72" s="196">
        <v>881</v>
      </c>
      <c r="O72" s="196">
        <v>1760967.35</v>
      </c>
      <c r="P72" s="194">
        <v>0</v>
      </c>
      <c r="Q72" s="196">
        <v>0</v>
      </c>
      <c r="R72" s="200">
        <v>0</v>
      </c>
      <c r="S72" s="196">
        <v>0</v>
      </c>
      <c r="T72" s="197">
        <v>0</v>
      </c>
      <c r="U72" s="288">
        <v>0</v>
      </c>
      <c r="V72" s="282">
        <f>C72-'часть 1'!L83</f>
        <v>0</v>
      </c>
      <c r="W72" s="282"/>
      <c r="X72" s="28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296"/>
    </row>
    <row r="73" spans="1:38">
      <c r="A73" s="198">
        <v>65</v>
      </c>
      <c r="B73" s="195" t="s">
        <v>271</v>
      </c>
      <c r="C73" s="196">
        <v>881947</v>
      </c>
      <c r="D73" s="196"/>
      <c r="E73" s="196"/>
      <c r="F73" s="196"/>
      <c r="G73" s="196"/>
      <c r="H73" s="196"/>
      <c r="I73" s="196"/>
      <c r="J73" s="196"/>
      <c r="K73" s="196">
        <v>881947</v>
      </c>
      <c r="L73" s="194">
        <v>0</v>
      </c>
      <c r="M73" s="196">
        <v>0</v>
      </c>
      <c r="N73" s="196">
        <v>0</v>
      </c>
      <c r="O73" s="196">
        <v>0</v>
      </c>
      <c r="P73" s="194">
        <v>0</v>
      </c>
      <c r="Q73" s="196">
        <v>0</v>
      </c>
      <c r="R73" s="197">
        <v>0</v>
      </c>
      <c r="S73" s="196">
        <v>0</v>
      </c>
      <c r="T73" s="197">
        <v>0</v>
      </c>
      <c r="U73" s="288">
        <v>0</v>
      </c>
      <c r="V73" s="282">
        <f>C73-'часть 1'!L84</f>
        <v>0</v>
      </c>
      <c r="W73" s="282"/>
      <c r="X73" s="282"/>
      <c r="Y73" s="4"/>
      <c r="Z73" s="12"/>
      <c r="AA73" s="12"/>
      <c r="AB73" s="12"/>
      <c r="AC73" s="12"/>
      <c r="AD73" s="12"/>
      <c r="AE73" s="12"/>
      <c r="AF73" s="12"/>
      <c r="AG73" s="12"/>
      <c r="AH73" s="12"/>
      <c r="AI73" s="296"/>
    </row>
    <row r="74" spans="1:38">
      <c r="A74" s="198">
        <v>66</v>
      </c>
      <c r="B74" s="195" t="s">
        <v>287</v>
      </c>
      <c r="C74" s="196">
        <v>517739</v>
      </c>
      <c r="D74" s="196"/>
      <c r="E74" s="196"/>
      <c r="F74" s="196"/>
      <c r="G74" s="196"/>
      <c r="H74" s="196"/>
      <c r="I74" s="196"/>
      <c r="J74" s="196"/>
      <c r="K74" s="196">
        <v>0</v>
      </c>
      <c r="L74" s="194">
        <v>0</v>
      </c>
      <c r="M74" s="196">
        <v>0</v>
      </c>
      <c r="N74" s="196">
        <v>252</v>
      </c>
      <c r="O74" s="199">
        <v>517739</v>
      </c>
      <c r="P74" s="194">
        <v>0</v>
      </c>
      <c r="Q74" s="196">
        <v>0</v>
      </c>
      <c r="R74" s="197">
        <v>0</v>
      </c>
      <c r="S74" s="196">
        <v>0</v>
      </c>
      <c r="T74" s="197">
        <v>0</v>
      </c>
      <c r="U74" s="288">
        <v>0</v>
      </c>
      <c r="V74" s="282">
        <f>C74-'часть 1'!L85</f>
        <v>0</v>
      </c>
      <c r="W74" s="282"/>
      <c r="X74" s="28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296"/>
    </row>
    <row r="75" spans="1:38">
      <c r="A75" s="198">
        <v>67</v>
      </c>
      <c r="B75" s="195" t="s">
        <v>289</v>
      </c>
      <c r="C75" s="196">
        <v>1728895</v>
      </c>
      <c r="D75" s="196"/>
      <c r="E75" s="196"/>
      <c r="F75" s="196"/>
      <c r="G75" s="196"/>
      <c r="H75" s="196"/>
      <c r="I75" s="196"/>
      <c r="J75" s="196"/>
      <c r="K75" s="196">
        <v>0</v>
      </c>
      <c r="L75" s="194">
        <v>0</v>
      </c>
      <c r="M75" s="196">
        <v>0</v>
      </c>
      <c r="N75" s="196">
        <v>873.06</v>
      </c>
      <c r="O75" s="196">
        <v>1728895</v>
      </c>
      <c r="P75" s="201">
        <v>0</v>
      </c>
      <c r="Q75" s="196">
        <v>0</v>
      </c>
      <c r="R75" s="200">
        <v>0</v>
      </c>
      <c r="S75" s="196">
        <v>0</v>
      </c>
      <c r="T75" s="197">
        <v>0</v>
      </c>
      <c r="U75" s="288">
        <v>0</v>
      </c>
      <c r="V75" s="282">
        <f>C75-'часть 1'!L86</f>
        <v>0</v>
      </c>
      <c r="W75" s="282"/>
      <c r="X75" s="28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296"/>
    </row>
    <row r="76" spans="1:38">
      <c r="A76" s="198">
        <v>68</v>
      </c>
      <c r="B76" s="195" t="s">
        <v>259</v>
      </c>
      <c r="C76" s="196">
        <v>682529</v>
      </c>
      <c r="D76" s="196"/>
      <c r="E76" s="196"/>
      <c r="F76" s="196"/>
      <c r="G76" s="196"/>
      <c r="H76" s="196"/>
      <c r="I76" s="196"/>
      <c r="J76" s="196"/>
      <c r="K76" s="196">
        <v>0</v>
      </c>
      <c r="L76" s="194">
        <v>0</v>
      </c>
      <c r="M76" s="196">
        <v>0</v>
      </c>
      <c r="N76" s="196">
        <v>335.6</v>
      </c>
      <c r="O76" s="196">
        <v>682529</v>
      </c>
      <c r="P76" s="194">
        <v>0</v>
      </c>
      <c r="Q76" s="196">
        <v>0</v>
      </c>
      <c r="R76" s="197">
        <v>0</v>
      </c>
      <c r="S76" s="196">
        <v>0</v>
      </c>
      <c r="T76" s="197">
        <v>0</v>
      </c>
      <c r="U76" s="288">
        <v>0</v>
      </c>
      <c r="V76" s="282">
        <f>C76-'часть 1'!L87</f>
        <v>0</v>
      </c>
      <c r="W76" s="282"/>
      <c r="X76" s="28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296"/>
    </row>
    <row r="77" spans="1:38">
      <c r="A77" s="198">
        <v>69</v>
      </c>
      <c r="B77" s="195" t="s">
        <v>291</v>
      </c>
      <c r="C77" s="196">
        <v>582157</v>
      </c>
      <c r="D77" s="196"/>
      <c r="E77" s="196"/>
      <c r="F77" s="196"/>
      <c r="G77" s="196"/>
      <c r="H77" s="196"/>
      <c r="I77" s="196"/>
      <c r="J77" s="196"/>
      <c r="K77" s="196">
        <v>0</v>
      </c>
      <c r="L77" s="194">
        <v>0</v>
      </c>
      <c r="M77" s="196">
        <v>0</v>
      </c>
      <c r="N77" s="196">
        <v>285</v>
      </c>
      <c r="O77" s="196">
        <v>582157</v>
      </c>
      <c r="P77" s="194">
        <v>0</v>
      </c>
      <c r="Q77" s="196">
        <v>0</v>
      </c>
      <c r="R77" s="200">
        <v>0</v>
      </c>
      <c r="S77" s="196">
        <v>0</v>
      </c>
      <c r="T77" s="197">
        <v>0</v>
      </c>
      <c r="U77" s="288">
        <v>0</v>
      </c>
      <c r="V77" s="282">
        <f>C77-'часть 1'!L88</f>
        <v>0</v>
      </c>
      <c r="W77" s="282"/>
      <c r="X77" s="28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296"/>
    </row>
    <row r="78" spans="1:38">
      <c r="A78" s="198">
        <v>70</v>
      </c>
      <c r="B78" s="195" t="s">
        <v>224</v>
      </c>
      <c r="C78" s="196">
        <v>701704</v>
      </c>
      <c r="D78" s="196"/>
      <c r="E78" s="196"/>
      <c r="F78" s="196"/>
      <c r="G78" s="196"/>
      <c r="H78" s="196"/>
      <c r="I78" s="196"/>
      <c r="J78" s="196"/>
      <c r="K78" s="196">
        <v>701704</v>
      </c>
      <c r="L78" s="194">
        <v>0</v>
      </c>
      <c r="M78" s="196">
        <v>0</v>
      </c>
      <c r="N78" s="199">
        <v>0</v>
      </c>
      <c r="O78" s="196">
        <v>0</v>
      </c>
      <c r="P78" s="194">
        <v>0</v>
      </c>
      <c r="Q78" s="196">
        <v>0</v>
      </c>
      <c r="R78" s="200">
        <v>0</v>
      </c>
      <c r="S78" s="196">
        <v>0</v>
      </c>
      <c r="T78" s="197">
        <v>0</v>
      </c>
      <c r="U78" s="288">
        <v>0</v>
      </c>
      <c r="V78" s="282">
        <f>C78-'часть 1'!L89</f>
        <v>0</v>
      </c>
      <c r="W78" s="282"/>
      <c r="X78" s="282"/>
      <c r="Y78" s="4"/>
      <c r="Z78" s="12"/>
      <c r="AA78" s="12"/>
      <c r="AB78" s="12"/>
      <c r="AC78" s="12"/>
      <c r="AD78" s="12"/>
      <c r="AE78" s="12"/>
      <c r="AF78" s="12"/>
      <c r="AG78" s="12"/>
      <c r="AH78" s="12"/>
      <c r="AI78" s="296"/>
    </row>
    <row r="79" spans="1:38">
      <c r="A79" s="198">
        <v>71</v>
      </c>
      <c r="B79" s="195" t="s">
        <v>261</v>
      </c>
      <c r="C79" s="196">
        <v>1969149</v>
      </c>
      <c r="D79" s="196"/>
      <c r="E79" s="196"/>
      <c r="F79" s="196"/>
      <c r="G79" s="196"/>
      <c r="H79" s="196"/>
      <c r="I79" s="196"/>
      <c r="J79" s="196"/>
      <c r="K79" s="196">
        <v>0</v>
      </c>
      <c r="L79" s="194">
        <v>0</v>
      </c>
      <c r="M79" s="196">
        <v>0</v>
      </c>
      <c r="N79" s="196">
        <v>995.8</v>
      </c>
      <c r="O79" s="196">
        <v>1969149</v>
      </c>
      <c r="P79" s="194">
        <v>0</v>
      </c>
      <c r="Q79" s="196">
        <v>0</v>
      </c>
      <c r="R79" s="197">
        <v>0</v>
      </c>
      <c r="S79" s="196">
        <v>0</v>
      </c>
      <c r="T79" s="197">
        <v>0</v>
      </c>
      <c r="U79" s="288">
        <v>0</v>
      </c>
      <c r="V79" s="282">
        <f>C79-'часть 1'!L90</f>
        <v>0</v>
      </c>
      <c r="W79" s="282"/>
      <c r="X79" s="28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296"/>
    </row>
    <row r="80" spans="1:38">
      <c r="A80" s="198">
        <v>72</v>
      </c>
      <c r="B80" s="195" t="s">
        <v>239</v>
      </c>
      <c r="C80" s="196">
        <v>1023088</v>
      </c>
      <c r="D80" s="196"/>
      <c r="E80" s="196"/>
      <c r="F80" s="196"/>
      <c r="G80" s="196"/>
      <c r="H80" s="196"/>
      <c r="I80" s="196"/>
      <c r="J80" s="196"/>
      <c r="K80" s="196">
        <v>0</v>
      </c>
      <c r="L80" s="194">
        <v>0</v>
      </c>
      <c r="M80" s="196">
        <v>0</v>
      </c>
      <c r="N80" s="196">
        <v>0</v>
      </c>
      <c r="O80" s="196">
        <v>0</v>
      </c>
      <c r="P80" s="194">
        <v>0</v>
      </c>
      <c r="Q80" s="196">
        <v>0</v>
      </c>
      <c r="R80" s="196">
        <v>694</v>
      </c>
      <c r="S80" s="199">
        <v>1023088</v>
      </c>
      <c r="T80" s="197">
        <v>0</v>
      </c>
      <c r="U80" s="288">
        <v>0</v>
      </c>
      <c r="V80" s="282">
        <f>C80-'часть 1'!L91</f>
        <v>0</v>
      </c>
      <c r="W80" s="282"/>
      <c r="X80" s="28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296"/>
    </row>
    <row r="81" spans="1:35">
      <c r="A81" s="198">
        <v>73</v>
      </c>
      <c r="B81" s="195" t="s">
        <v>336</v>
      </c>
      <c r="C81" s="196">
        <v>3334570</v>
      </c>
      <c r="D81" s="196"/>
      <c r="E81" s="196"/>
      <c r="F81" s="196"/>
      <c r="G81" s="196"/>
      <c r="H81" s="196"/>
      <c r="I81" s="196"/>
      <c r="J81" s="196"/>
      <c r="K81" s="196" t="e">
        <f>#REF!</f>
        <v>#REF!</v>
      </c>
      <c r="L81" s="194">
        <v>0</v>
      </c>
      <c r="M81" s="196">
        <v>0</v>
      </c>
      <c r="N81" s="199">
        <v>0</v>
      </c>
      <c r="O81" s="196">
        <v>0</v>
      </c>
      <c r="P81" s="194">
        <v>0</v>
      </c>
      <c r="Q81" s="196">
        <v>0</v>
      </c>
      <c r="R81" s="197">
        <v>0</v>
      </c>
      <c r="S81" s="196">
        <v>0</v>
      </c>
      <c r="T81" s="197">
        <v>0</v>
      </c>
      <c r="U81" s="288">
        <v>0</v>
      </c>
      <c r="V81" s="282">
        <f>C81-'часть 1'!L92</f>
        <v>0</v>
      </c>
      <c r="W81" s="282"/>
      <c r="X81" s="282"/>
      <c r="Y81" s="12"/>
      <c r="Z81" s="12"/>
      <c r="AA81" s="12"/>
      <c r="AB81" s="12"/>
      <c r="AC81" s="12"/>
      <c r="AD81" s="12"/>
      <c r="AE81" s="15"/>
      <c r="AF81" s="12"/>
      <c r="AG81" s="12"/>
      <c r="AH81" s="12"/>
      <c r="AI81" s="296"/>
    </row>
    <row r="82" spans="1:35">
      <c r="A82" s="198">
        <v>74</v>
      </c>
      <c r="B82" s="195" t="s">
        <v>306</v>
      </c>
      <c r="C82" s="196">
        <v>1127374.33</v>
      </c>
      <c r="D82" s="196"/>
      <c r="E82" s="196"/>
      <c r="F82" s="196"/>
      <c r="G82" s="196"/>
      <c r="H82" s="196"/>
      <c r="I82" s="196"/>
      <c r="J82" s="196"/>
      <c r="K82" s="196">
        <v>1127374.33</v>
      </c>
      <c r="L82" s="194">
        <v>0</v>
      </c>
      <c r="M82" s="196">
        <v>0</v>
      </c>
      <c r="N82" s="196">
        <v>0</v>
      </c>
      <c r="O82" s="196">
        <v>0</v>
      </c>
      <c r="P82" s="194">
        <v>0</v>
      </c>
      <c r="Q82" s="196">
        <v>0</v>
      </c>
      <c r="R82" s="197">
        <v>0</v>
      </c>
      <c r="S82" s="196">
        <v>0</v>
      </c>
      <c r="T82" s="197">
        <v>0</v>
      </c>
      <c r="U82" s="288">
        <v>0</v>
      </c>
      <c r="V82" s="282">
        <f>C82-'часть 1'!L93</f>
        <v>0</v>
      </c>
      <c r="W82" s="282"/>
      <c r="X82" s="28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296"/>
    </row>
    <row r="83" spans="1:35">
      <c r="A83" s="198">
        <v>75</v>
      </c>
      <c r="B83" s="195" t="s">
        <v>234</v>
      </c>
      <c r="C83" s="196">
        <v>1161456</v>
      </c>
      <c r="D83" s="196"/>
      <c r="E83" s="196"/>
      <c r="F83" s="196"/>
      <c r="G83" s="196"/>
      <c r="H83" s="196"/>
      <c r="I83" s="196"/>
      <c r="J83" s="196"/>
      <c r="K83" s="196">
        <v>1161456</v>
      </c>
      <c r="L83" s="194">
        <v>0</v>
      </c>
      <c r="M83" s="196">
        <v>0</v>
      </c>
      <c r="N83" s="196">
        <v>0</v>
      </c>
      <c r="O83" s="196">
        <v>0</v>
      </c>
      <c r="P83" s="194">
        <v>0</v>
      </c>
      <c r="Q83" s="196">
        <v>0</v>
      </c>
      <c r="R83" s="197">
        <v>0</v>
      </c>
      <c r="S83" s="196">
        <v>0</v>
      </c>
      <c r="T83" s="197">
        <v>0</v>
      </c>
      <c r="U83" s="288">
        <v>0</v>
      </c>
      <c r="V83" s="282">
        <f>C83-'часть 1'!L94</f>
        <v>0</v>
      </c>
      <c r="W83" s="282"/>
      <c r="X83" s="28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296"/>
    </row>
    <row r="84" spans="1:35">
      <c r="A84" s="198">
        <v>76</v>
      </c>
      <c r="B84" s="195" t="s">
        <v>277</v>
      </c>
      <c r="C84" s="196">
        <v>1197250.23</v>
      </c>
      <c r="D84" s="196"/>
      <c r="E84" s="196"/>
      <c r="F84" s="196"/>
      <c r="G84" s="196"/>
      <c r="H84" s="196"/>
      <c r="I84" s="196"/>
      <c r="J84" s="196"/>
      <c r="K84" s="196">
        <v>1197250.23</v>
      </c>
      <c r="L84" s="194">
        <v>0</v>
      </c>
      <c r="M84" s="196">
        <v>0</v>
      </c>
      <c r="N84" s="199">
        <v>0</v>
      </c>
      <c r="O84" s="196">
        <v>0</v>
      </c>
      <c r="P84" s="194">
        <v>0</v>
      </c>
      <c r="Q84" s="196">
        <v>0</v>
      </c>
      <c r="R84" s="197">
        <v>0</v>
      </c>
      <c r="S84" s="196">
        <v>0</v>
      </c>
      <c r="T84" s="197">
        <v>0</v>
      </c>
      <c r="U84" s="288">
        <v>0</v>
      </c>
      <c r="V84" s="282">
        <f>C84-'часть 1'!L95</f>
        <v>0</v>
      </c>
      <c r="W84" s="282"/>
      <c r="X84" s="28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296"/>
    </row>
    <row r="85" spans="1:35">
      <c r="A85" s="198">
        <v>77</v>
      </c>
      <c r="B85" s="195" t="s">
        <v>303</v>
      </c>
      <c r="C85" s="196">
        <v>2784233</v>
      </c>
      <c r="D85" s="196"/>
      <c r="E85" s="196"/>
      <c r="F85" s="196"/>
      <c r="G85" s="196"/>
      <c r="H85" s="196"/>
      <c r="I85" s="196"/>
      <c r="J85" s="196"/>
      <c r="K85" s="196">
        <v>0</v>
      </c>
      <c r="L85" s="194">
        <v>0</v>
      </c>
      <c r="M85" s="196">
        <v>0</v>
      </c>
      <c r="N85" s="196">
        <v>1391</v>
      </c>
      <c r="O85" s="196">
        <v>2784233</v>
      </c>
      <c r="P85" s="194">
        <v>0</v>
      </c>
      <c r="Q85" s="196">
        <v>0</v>
      </c>
      <c r="R85" s="197">
        <v>0</v>
      </c>
      <c r="S85" s="196">
        <v>0</v>
      </c>
      <c r="T85" s="197">
        <v>0</v>
      </c>
      <c r="U85" s="288">
        <v>0</v>
      </c>
      <c r="V85" s="282">
        <f>C85-'часть 1'!L96</f>
        <v>0</v>
      </c>
      <c r="W85" s="282"/>
      <c r="X85" s="28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296"/>
    </row>
    <row r="86" spans="1:35">
      <c r="A86" s="198">
        <v>78</v>
      </c>
      <c r="B86" s="195" t="s">
        <v>293</v>
      </c>
      <c r="C86" s="196">
        <v>2369961</v>
      </c>
      <c r="D86" s="196"/>
      <c r="E86" s="196"/>
      <c r="F86" s="196"/>
      <c r="G86" s="196"/>
      <c r="H86" s="196"/>
      <c r="I86" s="196"/>
      <c r="J86" s="196"/>
      <c r="K86" s="196">
        <v>2369961</v>
      </c>
      <c r="L86" s="194">
        <v>0</v>
      </c>
      <c r="M86" s="196">
        <v>0</v>
      </c>
      <c r="N86" s="196">
        <v>0</v>
      </c>
      <c r="O86" s="196">
        <v>0</v>
      </c>
      <c r="P86" s="194">
        <v>0</v>
      </c>
      <c r="Q86" s="196">
        <v>0</v>
      </c>
      <c r="R86" s="200">
        <v>0</v>
      </c>
      <c r="S86" s="196">
        <v>0</v>
      </c>
      <c r="T86" s="197">
        <v>0</v>
      </c>
      <c r="U86" s="288">
        <v>0</v>
      </c>
      <c r="V86" s="282">
        <f>C86-'часть 1'!L97</f>
        <v>0</v>
      </c>
      <c r="W86" s="282"/>
      <c r="X86" s="28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296"/>
    </row>
    <row r="87" spans="1:35">
      <c r="A87" s="198">
        <v>79</v>
      </c>
      <c r="B87" s="195" t="s">
        <v>463</v>
      </c>
      <c r="C87" s="196">
        <v>672819</v>
      </c>
      <c r="D87" s="196"/>
      <c r="E87" s="196"/>
      <c r="F87" s="196"/>
      <c r="G87" s="196"/>
      <c r="H87" s="196"/>
      <c r="I87" s="196"/>
      <c r="J87" s="196"/>
      <c r="K87" s="196">
        <v>0</v>
      </c>
      <c r="L87" s="194">
        <v>0</v>
      </c>
      <c r="M87" s="196">
        <v>0</v>
      </c>
      <c r="N87" s="196">
        <v>331.4</v>
      </c>
      <c r="O87" s="196">
        <v>672819</v>
      </c>
      <c r="P87" s="194">
        <v>0</v>
      </c>
      <c r="Q87" s="196">
        <v>0</v>
      </c>
      <c r="R87" s="200">
        <v>0</v>
      </c>
      <c r="S87" s="196">
        <v>0</v>
      </c>
      <c r="T87" s="197">
        <v>0</v>
      </c>
      <c r="U87" s="288">
        <v>0</v>
      </c>
      <c r="V87" s="282">
        <f>C87-'часть 1'!L98</f>
        <v>0</v>
      </c>
      <c r="W87" s="282"/>
      <c r="X87" s="28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296"/>
    </row>
    <row r="88" spans="1:35">
      <c r="A88" s="198">
        <v>80</v>
      </c>
      <c r="B88" s="195" t="s">
        <v>340</v>
      </c>
      <c r="C88" s="196">
        <v>1651491</v>
      </c>
      <c r="D88" s="196"/>
      <c r="E88" s="196"/>
      <c r="F88" s="196"/>
      <c r="G88" s="196"/>
      <c r="H88" s="196"/>
      <c r="I88" s="196"/>
      <c r="J88" s="196"/>
      <c r="K88" s="196">
        <v>1651491</v>
      </c>
      <c r="L88" s="194">
        <v>0</v>
      </c>
      <c r="M88" s="196">
        <v>0</v>
      </c>
      <c r="N88" s="196">
        <v>0</v>
      </c>
      <c r="O88" s="196">
        <v>0</v>
      </c>
      <c r="P88" s="194">
        <v>0</v>
      </c>
      <c r="Q88" s="196">
        <v>0</v>
      </c>
      <c r="R88" s="197">
        <v>0</v>
      </c>
      <c r="S88" s="196">
        <v>0</v>
      </c>
      <c r="T88" s="197">
        <v>0</v>
      </c>
      <c r="U88" s="288">
        <v>0</v>
      </c>
      <c r="V88" s="282">
        <f>C88-'часть 1'!L99</f>
        <v>0</v>
      </c>
      <c r="W88" s="282"/>
      <c r="X88" s="28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296"/>
    </row>
    <row r="89" spans="1:35">
      <c r="A89" s="198">
        <v>81</v>
      </c>
      <c r="B89" s="195" t="s">
        <v>254</v>
      </c>
      <c r="C89" s="196">
        <v>1432926</v>
      </c>
      <c r="D89" s="196"/>
      <c r="E89" s="196"/>
      <c r="F89" s="196"/>
      <c r="G89" s="196"/>
      <c r="H89" s="196"/>
      <c r="I89" s="196"/>
      <c r="J89" s="196"/>
      <c r="K89" s="196">
        <v>0</v>
      </c>
      <c r="L89" s="194">
        <v>0</v>
      </c>
      <c r="M89" s="196">
        <v>0</v>
      </c>
      <c r="N89" s="196">
        <v>710.73</v>
      </c>
      <c r="O89" s="196">
        <v>1432926</v>
      </c>
      <c r="P89" s="194">
        <v>0</v>
      </c>
      <c r="Q89" s="196">
        <v>0</v>
      </c>
      <c r="R89" s="200">
        <v>0</v>
      </c>
      <c r="S89" s="196">
        <v>0</v>
      </c>
      <c r="T89" s="197">
        <v>0</v>
      </c>
      <c r="U89" s="288">
        <v>0</v>
      </c>
      <c r="V89" s="282">
        <f>C89-'часть 1'!L100</f>
        <v>0</v>
      </c>
      <c r="W89" s="282"/>
      <c r="X89" s="28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296"/>
    </row>
    <row r="90" spans="1:35">
      <c r="A90" s="198">
        <v>82</v>
      </c>
      <c r="B90" s="195" t="s">
        <v>343</v>
      </c>
      <c r="C90" s="196">
        <v>1137886</v>
      </c>
      <c r="D90" s="196"/>
      <c r="E90" s="196"/>
      <c r="F90" s="196"/>
      <c r="G90" s="196"/>
      <c r="H90" s="196"/>
      <c r="I90" s="196"/>
      <c r="J90" s="196"/>
      <c r="K90" s="196">
        <v>0</v>
      </c>
      <c r="L90" s="194">
        <v>0</v>
      </c>
      <c r="M90" s="196">
        <v>0</v>
      </c>
      <c r="N90" s="196">
        <v>0</v>
      </c>
      <c r="O90" s="196">
        <v>0</v>
      </c>
      <c r="P90" s="194">
        <v>0</v>
      </c>
      <c r="Q90" s="196">
        <v>0</v>
      </c>
      <c r="R90" s="199">
        <v>785.5</v>
      </c>
      <c r="S90" s="196">
        <v>1137886</v>
      </c>
      <c r="T90" s="197">
        <v>0</v>
      </c>
      <c r="U90" s="288">
        <v>0</v>
      </c>
      <c r="V90" s="282">
        <f>C90-'часть 1'!L101</f>
        <v>0</v>
      </c>
      <c r="W90" s="282"/>
      <c r="X90" s="28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296"/>
    </row>
    <row r="91" spans="1:35">
      <c r="A91" s="198">
        <v>83</v>
      </c>
      <c r="B91" s="195" t="s">
        <v>305</v>
      </c>
      <c r="C91" s="196">
        <v>1814838</v>
      </c>
      <c r="D91" s="196"/>
      <c r="E91" s="196"/>
      <c r="F91" s="196"/>
      <c r="G91" s="196"/>
      <c r="H91" s="196"/>
      <c r="I91" s="196"/>
      <c r="J91" s="196"/>
      <c r="K91" s="196">
        <v>0</v>
      </c>
      <c r="L91" s="194">
        <v>0</v>
      </c>
      <c r="M91" s="196">
        <v>0</v>
      </c>
      <c r="N91" s="196">
        <v>917</v>
      </c>
      <c r="O91" s="196">
        <v>1814838</v>
      </c>
      <c r="P91" s="194">
        <v>0</v>
      </c>
      <c r="Q91" s="196">
        <v>0</v>
      </c>
      <c r="R91" s="197">
        <v>0</v>
      </c>
      <c r="S91" s="196">
        <v>0</v>
      </c>
      <c r="T91" s="197">
        <v>0</v>
      </c>
      <c r="U91" s="288">
        <v>0</v>
      </c>
      <c r="V91" s="282">
        <f>C91-'часть 1'!L102</f>
        <v>0</v>
      </c>
      <c r="W91" s="282"/>
      <c r="X91" s="28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296"/>
    </row>
    <row r="92" spans="1:35">
      <c r="A92" s="198">
        <v>84</v>
      </c>
      <c r="B92" s="195" t="s">
        <v>345</v>
      </c>
      <c r="C92" s="196">
        <v>1544359.54</v>
      </c>
      <c r="D92" s="196"/>
      <c r="E92" s="196"/>
      <c r="F92" s="196"/>
      <c r="G92" s="196"/>
      <c r="H92" s="196"/>
      <c r="I92" s="196"/>
      <c r="J92" s="196"/>
      <c r="K92" s="196">
        <v>1544359.54</v>
      </c>
      <c r="L92" s="194">
        <v>0</v>
      </c>
      <c r="M92" s="196">
        <v>0</v>
      </c>
      <c r="N92" s="196">
        <v>0</v>
      </c>
      <c r="O92" s="196">
        <v>0</v>
      </c>
      <c r="P92" s="194">
        <v>0</v>
      </c>
      <c r="Q92" s="196">
        <v>0</v>
      </c>
      <c r="R92" s="197">
        <v>0</v>
      </c>
      <c r="S92" s="196">
        <v>0</v>
      </c>
      <c r="T92" s="197">
        <v>0</v>
      </c>
      <c r="U92" s="288">
        <v>0</v>
      </c>
      <c r="V92" s="282">
        <f>C92-'часть 1'!L103</f>
        <v>0</v>
      </c>
      <c r="W92" s="282"/>
      <c r="X92" s="28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297"/>
    </row>
    <row r="93" spans="1:35" ht="28.2">
      <c r="A93" s="198">
        <v>85</v>
      </c>
      <c r="B93" s="195" t="s">
        <v>454</v>
      </c>
      <c r="C93" s="196">
        <v>1787034</v>
      </c>
      <c r="D93" s="196"/>
      <c r="E93" s="196"/>
      <c r="F93" s="196"/>
      <c r="G93" s="196"/>
      <c r="H93" s="196"/>
      <c r="I93" s="196"/>
      <c r="J93" s="196"/>
      <c r="K93" s="196">
        <v>0</v>
      </c>
      <c r="L93" s="194">
        <v>1</v>
      </c>
      <c r="M93" s="196">
        <v>1787034</v>
      </c>
      <c r="N93" s="196">
        <v>0</v>
      </c>
      <c r="O93" s="196">
        <v>0</v>
      </c>
      <c r="P93" s="194">
        <v>0</v>
      </c>
      <c r="Q93" s="196">
        <v>0</v>
      </c>
      <c r="R93" s="200">
        <v>0</v>
      </c>
      <c r="S93" s="196">
        <v>0</v>
      </c>
      <c r="T93" s="197">
        <v>0</v>
      </c>
      <c r="U93" s="288">
        <v>0</v>
      </c>
      <c r="V93" s="282">
        <f>C93-'часть 1'!L104</f>
        <v>0</v>
      </c>
      <c r="W93" s="282"/>
      <c r="X93" s="28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296"/>
    </row>
    <row r="94" spans="1:35" ht="28.2">
      <c r="A94" s="198">
        <v>86</v>
      </c>
      <c r="B94" s="195" t="s">
        <v>455</v>
      </c>
      <c r="C94" s="196">
        <v>437998.57</v>
      </c>
      <c r="D94" s="196"/>
      <c r="E94" s="196"/>
      <c r="F94" s="196"/>
      <c r="G94" s="196"/>
      <c r="H94" s="196"/>
      <c r="I94" s="196"/>
      <c r="J94" s="196"/>
      <c r="K94" s="196">
        <v>437998.57</v>
      </c>
      <c r="L94" s="194">
        <v>0</v>
      </c>
      <c r="M94" s="196">
        <v>0</v>
      </c>
      <c r="N94" s="199">
        <v>0</v>
      </c>
      <c r="O94" s="196">
        <v>0</v>
      </c>
      <c r="P94" s="194">
        <v>0</v>
      </c>
      <c r="Q94" s="196">
        <v>0</v>
      </c>
      <c r="R94" s="200">
        <v>0</v>
      </c>
      <c r="S94" s="196">
        <v>0</v>
      </c>
      <c r="T94" s="197">
        <v>0</v>
      </c>
      <c r="U94" s="288">
        <v>0</v>
      </c>
      <c r="V94" s="282">
        <f>C94-'часть 1'!L105</f>
        <v>0</v>
      </c>
      <c r="W94" s="282"/>
      <c r="X94" s="28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296"/>
    </row>
    <row r="95" spans="1:35" ht="28.2">
      <c r="A95" s="198">
        <v>87</v>
      </c>
      <c r="B95" s="195" t="s">
        <v>456</v>
      </c>
      <c r="C95" s="196">
        <v>1116228</v>
      </c>
      <c r="D95" s="196"/>
      <c r="E95" s="196"/>
      <c r="F95" s="196"/>
      <c r="G95" s="196"/>
      <c r="H95" s="196"/>
      <c r="I95" s="196"/>
      <c r="J95" s="196"/>
      <c r="K95" s="196">
        <v>0</v>
      </c>
      <c r="L95" s="194">
        <v>0</v>
      </c>
      <c r="M95" s="196">
        <v>0</v>
      </c>
      <c r="N95" s="196">
        <v>734</v>
      </c>
      <c r="O95" s="196">
        <v>1116228</v>
      </c>
      <c r="P95" s="194">
        <v>0</v>
      </c>
      <c r="Q95" s="196">
        <v>0</v>
      </c>
      <c r="R95" s="200">
        <v>0</v>
      </c>
      <c r="S95" s="196">
        <v>0</v>
      </c>
      <c r="T95" s="197">
        <v>0</v>
      </c>
      <c r="U95" s="288">
        <v>0</v>
      </c>
      <c r="V95" s="282">
        <f>C95-'часть 1'!L106</f>
        <v>0</v>
      </c>
      <c r="W95" s="282"/>
      <c r="X95" s="28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296"/>
    </row>
    <row r="96" spans="1:35" ht="28.2">
      <c r="A96" s="198">
        <v>88</v>
      </c>
      <c r="B96" s="195" t="s">
        <v>457</v>
      </c>
      <c r="C96" s="196">
        <v>1313728</v>
      </c>
      <c r="D96" s="196"/>
      <c r="E96" s="196"/>
      <c r="F96" s="196"/>
      <c r="G96" s="196"/>
      <c r="H96" s="196"/>
      <c r="I96" s="196"/>
      <c r="J96" s="196"/>
      <c r="K96" s="196">
        <v>0</v>
      </c>
      <c r="L96" s="194">
        <v>0</v>
      </c>
      <c r="M96" s="196">
        <v>0</v>
      </c>
      <c r="N96" s="199">
        <v>660.7</v>
      </c>
      <c r="O96" s="196">
        <v>1313728</v>
      </c>
      <c r="P96" s="194">
        <v>0</v>
      </c>
      <c r="Q96" s="196">
        <v>0</v>
      </c>
      <c r="R96" s="197">
        <v>0</v>
      </c>
      <c r="S96" s="196">
        <v>0</v>
      </c>
      <c r="T96" s="197">
        <v>0</v>
      </c>
      <c r="U96" s="288">
        <v>0</v>
      </c>
      <c r="V96" s="282">
        <f>C96-'часть 1'!L107</f>
        <v>0</v>
      </c>
      <c r="W96" s="282"/>
      <c r="X96" s="28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296"/>
    </row>
    <row r="97" spans="1:35">
      <c r="A97" s="198">
        <v>89</v>
      </c>
      <c r="B97" s="195" t="s">
        <v>241</v>
      </c>
      <c r="C97" s="196">
        <v>359651</v>
      </c>
      <c r="D97" s="196"/>
      <c r="E97" s="196"/>
      <c r="F97" s="196"/>
      <c r="G97" s="196"/>
      <c r="H97" s="196"/>
      <c r="I97" s="196"/>
      <c r="J97" s="196"/>
      <c r="K97" s="196">
        <v>359651</v>
      </c>
      <c r="L97" s="194">
        <v>0</v>
      </c>
      <c r="M97" s="196">
        <v>0</v>
      </c>
      <c r="N97" s="196">
        <v>0</v>
      </c>
      <c r="O97" s="196">
        <v>0</v>
      </c>
      <c r="P97" s="194">
        <v>0</v>
      </c>
      <c r="Q97" s="196">
        <v>0</v>
      </c>
      <c r="R97" s="197">
        <v>0</v>
      </c>
      <c r="S97" s="196">
        <v>0</v>
      </c>
      <c r="T97" s="197">
        <v>0</v>
      </c>
      <c r="U97" s="288">
        <v>0</v>
      </c>
      <c r="V97" s="282">
        <f>C97-'часть 1'!L108</f>
        <v>0</v>
      </c>
      <c r="W97" s="282"/>
      <c r="X97" s="282"/>
      <c r="Y97" s="12"/>
      <c r="Z97" s="12"/>
      <c r="AA97" s="12"/>
      <c r="AB97" s="12"/>
      <c r="AC97" s="4"/>
      <c r="AD97" s="12"/>
      <c r="AE97" s="12"/>
      <c r="AF97" s="12"/>
      <c r="AG97" s="12"/>
      <c r="AH97" s="12"/>
      <c r="AI97" s="296"/>
    </row>
    <row r="98" spans="1:35">
      <c r="A98" s="198">
        <v>90</v>
      </c>
      <c r="B98" s="195" t="s">
        <v>233</v>
      </c>
      <c r="C98" s="196">
        <v>906779</v>
      </c>
      <c r="D98" s="196"/>
      <c r="E98" s="196"/>
      <c r="F98" s="196"/>
      <c r="G98" s="196"/>
      <c r="H98" s="196"/>
      <c r="I98" s="196"/>
      <c r="J98" s="196"/>
      <c r="K98" s="196">
        <v>906779</v>
      </c>
      <c r="L98" s="194">
        <v>0</v>
      </c>
      <c r="M98" s="196">
        <v>0</v>
      </c>
      <c r="N98" s="196">
        <v>0</v>
      </c>
      <c r="O98" s="196">
        <v>0</v>
      </c>
      <c r="P98" s="194">
        <v>0</v>
      </c>
      <c r="Q98" s="196">
        <v>0</v>
      </c>
      <c r="R98" s="197">
        <v>0</v>
      </c>
      <c r="S98" s="196">
        <v>0</v>
      </c>
      <c r="T98" s="197">
        <v>0</v>
      </c>
      <c r="U98" s="288">
        <v>0</v>
      </c>
      <c r="V98" s="282">
        <f>C98-'часть 1'!L109</f>
        <v>0</v>
      </c>
      <c r="W98" s="282"/>
      <c r="X98" s="28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296"/>
    </row>
    <row r="99" spans="1:35">
      <c r="A99" s="198">
        <v>91</v>
      </c>
      <c r="B99" s="195" t="s">
        <v>278</v>
      </c>
      <c r="C99" s="196">
        <v>886559</v>
      </c>
      <c r="D99" s="196"/>
      <c r="E99" s="196"/>
      <c r="F99" s="196"/>
      <c r="G99" s="196"/>
      <c r="H99" s="196"/>
      <c r="I99" s="196"/>
      <c r="J99" s="196"/>
      <c r="K99" s="196">
        <v>0</v>
      </c>
      <c r="L99" s="194">
        <v>0</v>
      </c>
      <c r="M99" s="196">
        <v>0</v>
      </c>
      <c r="N99" s="196">
        <v>440</v>
      </c>
      <c r="O99" s="199">
        <v>886559</v>
      </c>
      <c r="P99" s="194">
        <v>0</v>
      </c>
      <c r="Q99" s="196">
        <v>0</v>
      </c>
      <c r="R99" s="197">
        <v>0</v>
      </c>
      <c r="S99" s="196">
        <v>0</v>
      </c>
      <c r="T99" s="197">
        <v>0</v>
      </c>
      <c r="U99" s="288">
        <v>0</v>
      </c>
      <c r="V99" s="282">
        <f>C99-'часть 1'!L110</f>
        <v>0</v>
      </c>
      <c r="W99" s="282"/>
      <c r="X99" s="28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296"/>
    </row>
    <row r="100" spans="1:35">
      <c r="A100" s="198">
        <v>92</v>
      </c>
      <c r="B100" s="195" t="s">
        <v>347</v>
      </c>
      <c r="C100" s="196">
        <v>642210</v>
      </c>
      <c r="D100" s="196"/>
      <c r="E100" s="196"/>
      <c r="F100" s="196"/>
      <c r="G100" s="196"/>
      <c r="H100" s="196"/>
      <c r="I100" s="196"/>
      <c r="J100" s="196"/>
      <c r="K100" s="196">
        <v>0</v>
      </c>
      <c r="L100" s="194">
        <v>0</v>
      </c>
      <c r="M100" s="196">
        <v>0</v>
      </c>
      <c r="N100" s="196">
        <v>0</v>
      </c>
      <c r="O100" s="196">
        <v>0</v>
      </c>
      <c r="P100" s="194">
        <v>0</v>
      </c>
      <c r="Q100" s="196">
        <v>0</v>
      </c>
      <c r="R100" s="196">
        <v>440</v>
      </c>
      <c r="S100" s="196">
        <v>642210</v>
      </c>
      <c r="T100" s="197">
        <v>0</v>
      </c>
      <c r="U100" s="288">
        <v>0</v>
      </c>
      <c r="V100" s="282">
        <f>C100-'часть 1'!L111</f>
        <v>0</v>
      </c>
      <c r="W100" s="282"/>
      <c r="X100" s="28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296"/>
    </row>
    <row r="101" spans="1:35">
      <c r="A101" s="198">
        <v>93</v>
      </c>
      <c r="B101" s="195" t="s">
        <v>266</v>
      </c>
      <c r="C101" s="196">
        <v>1952489</v>
      </c>
      <c r="D101" s="196"/>
      <c r="E101" s="196"/>
      <c r="F101" s="196"/>
      <c r="G101" s="196"/>
      <c r="H101" s="196"/>
      <c r="I101" s="196"/>
      <c r="J101" s="196"/>
      <c r="K101" s="196">
        <v>0</v>
      </c>
      <c r="L101" s="194">
        <v>0</v>
      </c>
      <c r="M101" s="196">
        <v>0</v>
      </c>
      <c r="N101" s="196">
        <v>965</v>
      </c>
      <c r="O101" s="196">
        <v>1952489</v>
      </c>
      <c r="P101" s="194">
        <v>0</v>
      </c>
      <c r="Q101" s="196">
        <v>0</v>
      </c>
      <c r="R101" s="200">
        <v>0</v>
      </c>
      <c r="S101" s="196">
        <v>0</v>
      </c>
      <c r="T101" s="197">
        <v>0</v>
      </c>
      <c r="U101" s="288">
        <v>0</v>
      </c>
      <c r="V101" s="282">
        <f>C101-'часть 1'!L112</f>
        <v>0</v>
      </c>
      <c r="W101" s="282"/>
      <c r="X101" s="28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296"/>
    </row>
    <row r="102" spans="1:35">
      <c r="A102" s="198">
        <v>94</v>
      </c>
      <c r="B102" s="195" t="s">
        <v>310</v>
      </c>
      <c r="C102" s="196">
        <v>15157748</v>
      </c>
      <c r="D102" s="196"/>
      <c r="E102" s="196"/>
      <c r="F102" s="196"/>
      <c r="G102" s="196"/>
      <c r="H102" s="196"/>
      <c r="I102" s="196"/>
      <c r="J102" s="196"/>
      <c r="K102" s="196">
        <v>0</v>
      </c>
      <c r="L102" s="194">
        <v>8</v>
      </c>
      <c r="M102" s="196">
        <v>15157748</v>
      </c>
      <c r="N102" s="196">
        <v>0</v>
      </c>
      <c r="O102" s="196">
        <v>0</v>
      </c>
      <c r="P102" s="194">
        <v>0</v>
      </c>
      <c r="Q102" s="196">
        <v>0</v>
      </c>
      <c r="R102" s="197">
        <v>0</v>
      </c>
      <c r="S102" s="196">
        <v>0</v>
      </c>
      <c r="T102" s="197">
        <v>0</v>
      </c>
      <c r="U102" s="288">
        <v>0</v>
      </c>
      <c r="V102" s="282">
        <f>C102-'часть 1'!L113</f>
        <v>0</v>
      </c>
      <c r="W102" s="282"/>
      <c r="X102" s="28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296"/>
    </row>
    <row r="103" spans="1:35">
      <c r="A103" s="198">
        <v>95</v>
      </c>
      <c r="B103" s="195" t="s">
        <v>281</v>
      </c>
      <c r="C103" s="196">
        <v>2542298.37</v>
      </c>
      <c r="D103" s="196"/>
      <c r="E103" s="196"/>
      <c r="F103" s="196"/>
      <c r="G103" s="196"/>
      <c r="H103" s="196"/>
      <c r="I103" s="196"/>
      <c r="J103" s="196"/>
      <c r="K103" s="196">
        <v>0</v>
      </c>
      <c r="L103" s="194">
        <v>0</v>
      </c>
      <c r="M103" s="196">
        <v>0</v>
      </c>
      <c r="N103" s="196">
        <v>1350</v>
      </c>
      <c r="O103" s="196">
        <v>2542298.37</v>
      </c>
      <c r="P103" s="194">
        <v>0</v>
      </c>
      <c r="Q103" s="196">
        <v>0</v>
      </c>
      <c r="R103" s="197">
        <v>0</v>
      </c>
      <c r="S103" s="196">
        <v>0</v>
      </c>
      <c r="T103" s="197">
        <v>0</v>
      </c>
      <c r="U103" s="288">
        <v>0</v>
      </c>
      <c r="V103" s="282">
        <f>C103-'часть 1'!L114</f>
        <v>0</v>
      </c>
      <c r="W103" s="282"/>
      <c r="X103" s="28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296"/>
    </row>
    <row r="104" spans="1:35">
      <c r="A104" s="198">
        <v>96</v>
      </c>
      <c r="B104" s="195" t="s">
        <v>248</v>
      </c>
      <c r="C104" s="196">
        <v>1114586</v>
      </c>
      <c r="D104" s="196"/>
      <c r="E104" s="196"/>
      <c r="F104" s="196"/>
      <c r="G104" s="196"/>
      <c r="H104" s="196"/>
      <c r="I104" s="196"/>
      <c r="J104" s="196"/>
      <c r="K104" s="196">
        <v>0</v>
      </c>
      <c r="L104" s="194">
        <v>0</v>
      </c>
      <c r="M104" s="196">
        <v>0</v>
      </c>
      <c r="N104" s="196">
        <v>550</v>
      </c>
      <c r="O104" s="196">
        <v>1114586</v>
      </c>
      <c r="P104" s="194">
        <v>0</v>
      </c>
      <c r="Q104" s="196">
        <v>0</v>
      </c>
      <c r="R104" s="200">
        <v>0</v>
      </c>
      <c r="S104" s="196">
        <v>0</v>
      </c>
      <c r="T104" s="197">
        <v>0</v>
      </c>
      <c r="U104" s="288">
        <v>0</v>
      </c>
      <c r="V104" s="282">
        <f>C104-'часть 1'!L115</f>
        <v>0</v>
      </c>
      <c r="W104" s="282"/>
      <c r="X104" s="28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296"/>
    </row>
    <row r="105" spans="1:35">
      <c r="A105" s="198">
        <v>97</v>
      </c>
      <c r="B105" s="195" t="s">
        <v>301</v>
      </c>
      <c r="C105" s="196">
        <v>5623853</v>
      </c>
      <c r="D105" s="196"/>
      <c r="E105" s="196"/>
      <c r="F105" s="196"/>
      <c r="G105" s="196"/>
      <c r="H105" s="196"/>
      <c r="I105" s="196"/>
      <c r="J105" s="196"/>
      <c r="K105" s="196">
        <v>0</v>
      </c>
      <c r="L105" s="194">
        <v>3</v>
      </c>
      <c r="M105" s="202">
        <v>5623853</v>
      </c>
      <c r="N105" s="196">
        <v>0</v>
      </c>
      <c r="O105" s="196">
        <v>0</v>
      </c>
      <c r="P105" s="194">
        <v>0</v>
      </c>
      <c r="Q105" s="196">
        <v>0</v>
      </c>
      <c r="R105" s="200">
        <v>0</v>
      </c>
      <c r="S105" s="196">
        <v>0</v>
      </c>
      <c r="T105" s="197">
        <v>0</v>
      </c>
      <c r="U105" s="288">
        <v>0</v>
      </c>
      <c r="V105" s="282">
        <f>C105-'часть 1'!L116</f>
        <v>0</v>
      </c>
      <c r="W105" s="282"/>
      <c r="X105" s="28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296"/>
    </row>
    <row r="106" spans="1:35">
      <c r="A106" s="198">
        <v>98</v>
      </c>
      <c r="B106" s="195" t="s">
        <v>244</v>
      </c>
      <c r="C106" s="196">
        <v>2721106</v>
      </c>
      <c r="D106" s="196"/>
      <c r="E106" s="196"/>
      <c r="F106" s="196"/>
      <c r="G106" s="196"/>
      <c r="H106" s="196"/>
      <c r="I106" s="196"/>
      <c r="J106" s="196"/>
      <c r="K106" s="196">
        <v>0</v>
      </c>
      <c r="L106" s="194">
        <v>0</v>
      </c>
      <c r="M106" s="196">
        <v>0</v>
      </c>
      <c r="N106" s="196">
        <v>1371</v>
      </c>
      <c r="O106" s="196">
        <v>2721106</v>
      </c>
      <c r="P106" s="194">
        <v>0</v>
      </c>
      <c r="Q106" s="196">
        <v>0</v>
      </c>
      <c r="R106" s="197">
        <v>0</v>
      </c>
      <c r="S106" s="196">
        <v>0</v>
      </c>
      <c r="T106" s="197">
        <v>0</v>
      </c>
      <c r="U106" s="288">
        <v>0</v>
      </c>
      <c r="V106" s="282">
        <f>C106-'часть 1'!L117</f>
        <v>0</v>
      </c>
      <c r="W106" s="282"/>
      <c r="X106" s="28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296"/>
    </row>
    <row r="107" spans="1:35">
      <c r="A107" s="198">
        <v>99</v>
      </c>
      <c r="B107" s="195" t="s">
        <v>288</v>
      </c>
      <c r="C107" s="196">
        <v>9789326.5500000007</v>
      </c>
      <c r="D107" s="196"/>
      <c r="E107" s="196"/>
      <c r="F107" s="196"/>
      <c r="G107" s="196"/>
      <c r="H107" s="196"/>
      <c r="I107" s="196"/>
      <c r="J107" s="196"/>
      <c r="K107" s="196">
        <v>6592990.5599999996</v>
      </c>
      <c r="L107" s="194">
        <v>0</v>
      </c>
      <c r="M107" s="196">
        <v>0</v>
      </c>
      <c r="N107" s="196">
        <v>2090</v>
      </c>
      <c r="O107" s="196">
        <v>3196335.99</v>
      </c>
      <c r="P107" s="194">
        <v>0</v>
      </c>
      <c r="Q107" s="196">
        <v>0</v>
      </c>
      <c r="R107" s="197">
        <v>0</v>
      </c>
      <c r="S107" s="196">
        <v>0</v>
      </c>
      <c r="T107" s="197">
        <v>0</v>
      </c>
      <c r="U107" s="288">
        <v>0</v>
      </c>
      <c r="V107" s="282">
        <f>C107-'часть 1'!L118</f>
        <v>0</v>
      </c>
      <c r="W107" s="282"/>
      <c r="X107" s="28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296"/>
    </row>
    <row r="108" spans="1:35">
      <c r="A108" s="198">
        <v>100</v>
      </c>
      <c r="B108" s="195" t="s">
        <v>249</v>
      </c>
      <c r="C108" s="196">
        <v>1615074</v>
      </c>
      <c r="D108" s="196"/>
      <c r="E108" s="196"/>
      <c r="F108" s="196"/>
      <c r="G108" s="196"/>
      <c r="H108" s="196"/>
      <c r="I108" s="196"/>
      <c r="J108" s="196"/>
      <c r="K108" s="196" t="e">
        <f>#REF!</f>
        <v>#REF!</v>
      </c>
      <c r="L108" s="194">
        <v>0</v>
      </c>
      <c r="M108" s="196">
        <v>0</v>
      </c>
      <c r="N108" s="196">
        <v>0</v>
      </c>
      <c r="O108" s="196">
        <v>0</v>
      </c>
      <c r="P108" s="194">
        <v>0</v>
      </c>
      <c r="Q108" s="196">
        <v>0</v>
      </c>
      <c r="R108" s="200">
        <v>0</v>
      </c>
      <c r="S108" s="196">
        <v>0</v>
      </c>
      <c r="T108" s="197">
        <v>0</v>
      </c>
      <c r="U108" s="288">
        <v>0</v>
      </c>
      <c r="V108" s="282">
        <f>C108-'часть 1'!L119</f>
        <v>0</v>
      </c>
      <c r="W108" s="282"/>
      <c r="X108" s="28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296"/>
    </row>
    <row r="109" spans="1:35">
      <c r="A109" s="198">
        <v>101</v>
      </c>
      <c r="B109" s="195" t="s">
        <v>265</v>
      </c>
      <c r="C109" s="196">
        <v>824390</v>
      </c>
      <c r="D109" s="196"/>
      <c r="E109" s="196"/>
      <c r="F109" s="196"/>
      <c r="G109" s="196"/>
      <c r="H109" s="196"/>
      <c r="I109" s="196"/>
      <c r="J109" s="196"/>
      <c r="K109" s="196">
        <v>824390</v>
      </c>
      <c r="L109" s="194">
        <v>0</v>
      </c>
      <c r="M109" s="196">
        <v>0</v>
      </c>
      <c r="N109" s="196">
        <v>0</v>
      </c>
      <c r="O109" s="196">
        <v>0</v>
      </c>
      <c r="P109" s="194">
        <v>0</v>
      </c>
      <c r="Q109" s="196">
        <v>0</v>
      </c>
      <c r="R109" s="197">
        <v>0</v>
      </c>
      <c r="S109" s="196">
        <v>0</v>
      </c>
      <c r="T109" s="197">
        <v>0</v>
      </c>
      <c r="U109" s="288">
        <v>0</v>
      </c>
      <c r="V109" s="282">
        <f>C109-'часть 1'!L120</f>
        <v>0</v>
      </c>
      <c r="W109" s="282"/>
      <c r="X109" s="282"/>
      <c r="Y109" s="12"/>
      <c r="Z109" s="12"/>
      <c r="AA109" s="4"/>
      <c r="AB109" s="12"/>
      <c r="AC109" s="12"/>
      <c r="AD109" s="12"/>
      <c r="AE109" s="12"/>
      <c r="AF109" s="12"/>
      <c r="AG109" s="12"/>
      <c r="AH109" s="12"/>
      <c r="AI109" s="296"/>
    </row>
    <row r="110" spans="1:35">
      <c r="A110" s="198">
        <v>102</v>
      </c>
      <c r="B110" s="195" t="s">
        <v>292</v>
      </c>
      <c r="C110" s="196">
        <v>2661189</v>
      </c>
      <c r="D110" s="196"/>
      <c r="E110" s="196"/>
      <c r="F110" s="196"/>
      <c r="G110" s="196"/>
      <c r="H110" s="196"/>
      <c r="I110" s="196"/>
      <c r="J110" s="196"/>
      <c r="K110" s="196">
        <v>0</v>
      </c>
      <c r="L110" s="194">
        <v>0</v>
      </c>
      <c r="M110" s="196">
        <v>0</v>
      </c>
      <c r="N110" s="196">
        <v>1338.7</v>
      </c>
      <c r="O110" s="196">
        <v>2661189</v>
      </c>
      <c r="P110" s="194">
        <v>0</v>
      </c>
      <c r="Q110" s="196">
        <v>0</v>
      </c>
      <c r="R110" s="200">
        <v>0</v>
      </c>
      <c r="S110" s="196">
        <v>0</v>
      </c>
      <c r="T110" s="197">
        <v>0</v>
      </c>
      <c r="U110" s="288">
        <v>0</v>
      </c>
      <c r="V110" s="282">
        <f>C110-'часть 1'!L121</f>
        <v>0</v>
      </c>
      <c r="W110" s="282"/>
      <c r="X110" s="28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296"/>
    </row>
    <row r="111" spans="1:35">
      <c r="A111" s="198">
        <v>103</v>
      </c>
      <c r="B111" s="195" t="s">
        <v>276</v>
      </c>
      <c r="C111" s="196">
        <v>278220</v>
      </c>
      <c r="D111" s="196"/>
      <c r="E111" s="196"/>
      <c r="F111" s="196"/>
      <c r="G111" s="196"/>
      <c r="H111" s="196"/>
      <c r="I111" s="196"/>
      <c r="J111" s="196"/>
      <c r="K111" s="196">
        <v>278220</v>
      </c>
      <c r="L111" s="194">
        <v>0</v>
      </c>
      <c r="M111" s="196">
        <v>0</v>
      </c>
      <c r="N111" s="196">
        <v>0</v>
      </c>
      <c r="O111" s="196">
        <v>0</v>
      </c>
      <c r="P111" s="194">
        <v>0</v>
      </c>
      <c r="Q111" s="196">
        <v>0</v>
      </c>
      <c r="R111" s="197">
        <v>0</v>
      </c>
      <c r="S111" s="196">
        <v>0</v>
      </c>
      <c r="T111" s="197">
        <v>0</v>
      </c>
      <c r="U111" s="288">
        <v>0</v>
      </c>
      <c r="V111" s="282">
        <f>C111-'часть 1'!L122</f>
        <v>0</v>
      </c>
      <c r="W111" s="282"/>
      <c r="X111" s="28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296"/>
    </row>
    <row r="112" spans="1:35">
      <c r="A112" s="198">
        <v>104</v>
      </c>
      <c r="B112" s="195" t="s">
        <v>229</v>
      </c>
      <c r="C112" s="196">
        <v>2511472</v>
      </c>
      <c r="D112" s="196"/>
      <c r="E112" s="196"/>
      <c r="F112" s="196"/>
      <c r="G112" s="196"/>
      <c r="H112" s="196"/>
      <c r="I112" s="196"/>
      <c r="J112" s="196"/>
      <c r="K112" s="196">
        <v>2511472</v>
      </c>
      <c r="L112" s="194">
        <v>0</v>
      </c>
      <c r="M112" s="196">
        <v>0</v>
      </c>
      <c r="N112" s="196">
        <v>0</v>
      </c>
      <c r="O112" s="196">
        <v>0</v>
      </c>
      <c r="P112" s="194">
        <v>0</v>
      </c>
      <c r="Q112" s="196">
        <v>0</v>
      </c>
      <c r="R112" s="197">
        <v>0</v>
      </c>
      <c r="S112" s="196">
        <v>0</v>
      </c>
      <c r="T112" s="197">
        <v>0</v>
      </c>
      <c r="U112" s="288">
        <v>0</v>
      </c>
      <c r="V112" s="282">
        <f>C112-'часть 1'!L123</f>
        <v>0</v>
      </c>
      <c r="W112" s="282"/>
      <c r="X112" s="28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296"/>
    </row>
    <row r="113" spans="1:35">
      <c r="A113" s="198">
        <v>105</v>
      </c>
      <c r="B113" s="195" t="s">
        <v>309</v>
      </c>
      <c r="C113" s="196">
        <v>871988</v>
      </c>
      <c r="D113" s="196"/>
      <c r="E113" s="196"/>
      <c r="F113" s="196"/>
      <c r="G113" s="196"/>
      <c r="H113" s="196"/>
      <c r="I113" s="196"/>
      <c r="J113" s="196"/>
      <c r="K113" s="196">
        <v>0</v>
      </c>
      <c r="L113" s="194">
        <v>0</v>
      </c>
      <c r="M113" s="196">
        <v>0</v>
      </c>
      <c r="N113" s="196">
        <v>438.23</v>
      </c>
      <c r="O113" s="196">
        <v>871988</v>
      </c>
      <c r="P113" s="194">
        <v>0</v>
      </c>
      <c r="Q113" s="196">
        <v>0</v>
      </c>
      <c r="R113" s="197">
        <v>0</v>
      </c>
      <c r="S113" s="196">
        <v>0</v>
      </c>
      <c r="T113" s="197">
        <v>0</v>
      </c>
      <c r="U113" s="288">
        <v>0</v>
      </c>
      <c r="V113" s="282">
        <f>C113-'часть 1'!L124</f>
        <v>0</v>
      </c>
      <c r="W113" s="282"/>
      <c r="X113" s="28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296"/>
    </row>
    <row r="114" spans="1:35">
      <c r="A114" s="198">
        <v>106</v>
      </c>
      <c r="B114" s="195" t="s">
        <v>308</v>
      </c>
      <c r="C114" s="196">
        <v>2113335</v>
      </c>
      <c r="D114" s="196"/>
      <c r="E114" s="196"/>
      <c r="F114" s="196"/>
      <c r="G114" s="196"/>
      <c r="H114" s="196"/>
      <c r="I114" s="196"/>
      <c r="J114" s="196"/>
      <c r="K114" s="196" t="e">
        <f>#REF!</f>
        <v>#REF!</v>
      </c>
      <c r="L114" s="194">
        <v>0</v>
      </c>
      <c r="M114" s="196">
        <v>0</v>
      </c>
      <c r="N114" s="196">
        <v>0</v>
      </c>
      <c r="O114" s="196">
        <v>0</v>
      </c>
      <c r="P114" s="194">
        <v>0</v>
      </c>
      <c r="Q114" s="196">
        <v>0</v>
      </c>
      <c r="R114" s="197">
        <v>0</v>
      </c>
      <c r="S114" s="196">
        <v>0</v>
      </c>
      <c r="T114" s="197">
        <v>0</v>
      </c>
      <c r="U114" s="288">
        <v>0</v>
      </c>
      <c r="V114" s="282">
        <f>C114-'часть 1'!L125</f>
        <v>0</v>
      </c>
      <c r="W114" s="282"/>
      <c r="X114" s="28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296"/>
    </row>
    <row r="115" spans="1:35">
      <c r="A115" s="198">
        <v>107</v>
      </c>
      <c r="B115" s="195" t="s">
        <v>296</v>
      </c>
      <c r="C115" s="196">
        <v>996585</v>
      </c>
      <c r="D115" s="196"/>
      <c r="E115" s="196"/>
      <c r="F115" s="196"/>
      <c r="G115" s="196"/>
      <c r="H115" s="196"/>
      <c r="I115" s="196"/>
      <c r="J115" s="196"/>
      <c r="K115" s="196">
        <v>0</v>
      </c>
      <c r="L115" s="194">
        <v>0</v>
      </c>
      <c r="M115" s="196">
        <v>0</v>
      </c>
      <c r="N115" s="196">
        <v>496.2</v>
      </c>
      <c r="O115" s="196">
        <v>996585</v>
      </c>
      <c r="P115" s="194">
        <v>0</v>
      </c>
      <c r="Q115" s="196">
        <v>0</v>
      </c>
      <c r="R115" s="197">
        <v>0</v>
      </c>
      <c r="S115" s="196">
        <v>0</v>
      </c>
      <c r="T115" s="197">
        <v>0</v>
      </c>
      <c r="U115" s="288">
        <v>0</v>
      </c>
      <c r="V115" s="282">
        <f>C115-'часть 1'!L126</f>
        <v>0</v>
      </c>
      <c r="W115" s="282"/>
      <c r="X115" s="28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296"/>
    </row>
    <row r="116" spans="1:35">
      <c r="A116" s="198">
        <v>108</v>
      </c>
      <c r="B116" s="195" t="s">
        <v>240</v>
      </c>
      <c r="C116" s="196">
        <v>637739</v>
      </c>
      <c r="D116" s="196"/>
      <c r="E116" s="196"/>
      <c r="F116" s="196"/>
      <c r="G116" s="196"/>
      <c r="H116" s="196"/>
      <c r="I116" s="196"/>
      <c r="J116" s="196"/>
      <c r="K116" s="196">
        <v>637739</v>
      </c>
      <c r="L116" s="194">
        <v>0</v>
      </c>
      <c r="M116" s="196">
        <v>0</v>
      </c>
      <c r="N116" s="196">
        <v>0</v>
      </c>
      <c r="O116" s="196">
        <v>0</v>
      </c>
      <c r="P116" s="194">
        <v>0</v>
      </c>
      <c r="Q116" s="196">
        <v>0</v>
      </c>
      <c r="R116" s="197">
        <v>0</v>
      </c>
      <c r="S116" s="196">
        <v>0</v>
      </c>
      <c r="T116" s="197">
        <v>0</v>
      </c>
      <c r="U116" s="288">
        <v>0</v>
      </c>
      <c r="V116" s="282">
        <f>C116-'часть 1'!L127</f>
        <v>0</v>
      </c>
      <c r="W116" s="282"/>
      <c r="X116" s="28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296"/>
    </row>
    <row r="117" spans="1:35">
      <c r="A117" s="198">
        <v>109</v>
      </c>
      <c r="B117" s="195" t="s">
        <v>243</v>
      </c>
      <c r="C117" s="196">
        <v>1357217</v>
      </c>
      <c r="D117" s="196"/>
      <c r="E117" s="196"/>
      <c r="F117" s="196"/>
      <c r="G117" s="196"/>
      <c r="H117" s="196"/>
      <c r="I117" s="196"/>
      <c r="J117" s="196"/>
      <c r="K117" s="196">
        <v>0</v>
      </c>
      <c r="L117" s="194">
        <v>0</v>
      </c>
      <c r="M117" s="196">
        <v>0</v>
      </c>
      <c r="N117" s="196">
        <v>675</v>
      </c>
      <c r="O117" s="196">
        <v>1357217</v>
      </c>
      <c r="P117" s="194">
        <v>0</v>
      </c>
      <c r="Q117" s="196">
        <v>0</v>
      </c>
      <c r="R117" s="197">
        <v>0</v>
      </c>
      <c r="S117" s="196">
        <v>0</v>
      </c>
      <c r="T117" s="197">
        <v>0</v>
      </c>
      <c r="U117" s="288">
        <v>0</v>
      </c>
      <c r="V117" s="282">
        <f>C117-'часть 1'!L128</f>
        <v>0</v>
      </c>
      <c r="W117" s="282"/>
      <c r="X117" s="28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296"/>
    </row>
    <row r="118" spans="1:35">
      <c r="A118" s="198">
        <v>110</v>
      </c>
      <c r="B118" s="195" t="s">
        <v>269</v>
      </c>
      <c r="C118" s="196">
        <v>836226</v>
      </c>
      <c r="D118" s="196"/>
      <c r="E118" s="196"/>
      <c r="F118" s="196"/>
      <c r="G118" s="196"/>
      <c r="H118" s="196"/>
      <c r="I118" s="196"/>
      <c r="J118" s="196"/>
      <c r="K118" s="196">
        <v>0</v>
      </c>
      <c r="L118" s="194">
        <v>0</v>
      </c>
      <c r="M118" s="196">
        <v>0</v>
      </c>
      <c r="N118" s="196">
        <v>414.1</v>
      </c>
      <c r="O118" s="199">
        <v>836226</v>
      </c>
      <c r="P118" s="194">
        <v>0</v>
      </c>
      <c r="Q118" s="196">
        <v>0</v>
      </c>
      <c r="R118" s="197">
        <v>0</v>
      </c>
      <c r="S118" s="196">
        <v>0</v>
      </c>
      <c r="T118" s="197">
        <v>0</v>
      </c>
      <c r="U118" s="288">
        <v>0</v>
      </c>
      <c r="V118" s="282">
        <f>C118-'часть 1'!L129</f>
        <v>0</v>
      </c>
      <c r="W118" s="282"/>
      <c r="X118" s="28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296"/>
    </row>
    <row r="119" spans="1:35">
      <c r="A119" s="198">
        <v>111</v>
      </c>
      <c r="B119" s="195" t="s">
        <v>299</v>
      </c>
      <c r="C119" s="196">
        <v>640078</v>
      </c>
      <c r="D119" s="196"/>
      <c r="E119" s="196"/>
      <c r="F119" s="196"/>
      <c r="G119" s="196"/>
      <c r="H119" s="196"/>
      <c r="I119" s="196"/>
      <c r="J119" s="196"/>
      <c r="K119" s="196">
        <v>640078</v>
      </c>
      <c r="L119" s="194">
        <v>0</v>
      </c>
      <c r="M119" s="196">
        <v>0</v>
      </c>
      <c r="N119" s="196">
        <v>0</v>
      </c>
      <c r="O119" s="196">
        <v>0</v>
      </c>
      <c r="P119" s="194">
        <v>0</v>
      </c>
      <c r="Q119" s="196">
        <v>0</v>
      </c>
      <c r="R119" s="197">
        <v>0</v>
      </c>
      <c r="S119" s="196">
        <v>0</v>
      </c>
      <c r="T119" s="197">
        <v>0</v>
      </c>
      <c r="U119" s="288">
        <v>0</v>
      </c>
      <c r="V119" s="282">
        <f>C119-'часть 1'!L130</f>
        <v>0</v>
      </c>
      <c r="W119" s="282"/>
      <c r="X119" s="28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296"/>
    </row>
    <row r="120" spans="1:35">
      <c r="A120" s="198">
        <v>112</v>
      </c>
      <c r="B120" s="195" t="s">
        <v>236</v>
      </c>
      <c r="C120" s="196">
        <v>202649</v>
      </c>
      <c r="D120" s="196"/>
      <c r="E120" s="196"/>
      <c r="F120" s="196"/>
      <c r="G120" s="196"/>
      <c r="H120" s="196"/>
      <c r="I120" s="196"/>
      <c r="J120" s="196"/>
      <c r="K120" s="196" t="e">
        <f>#REF!</f>
        <v>#REF!</v>
      </c>
      <c r="L120" s="194">
        <v>0</v>
      </c>
      <c r="M120" s="196">
        <v>0</v>
      </c>
      <c r="N120" s="196">
        <v>0</v>
      </c>
      <c r="O120" s="196">
        <v>0</v>
      </c>
      <c r="P120" s="194">
        <v>0</v>
      </c>
      <c r="Q120" s="196">
        <v>0</v>
      </c>
      <c r="R120" s="200">
        <v>0</v>
      </c>
      <c r="S120" s="196">
        <v>0</v>
      </c>
      <c r="T120" s="197">
        <v>0</v>
      </c>
      <c r="U120" s="288">
        <v>0</v>
      </c>
      <c r="V120" s="282">
        <f>C120-'часть 1'!L131</f>
        <v>0</v>
      </c>
      <c r="W120" s="282"/>
      <c r="X120" s="28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296"/>
    </row>
    <row r="121" spans="1:35">
      <c r="A121" s="198">
        <v>113</v>
      </c>
      <c r="B121" s="195" t="s">
        <v>285</v>
      </c>
      <c r="C121" s="196">
        <v>7892437</v>
      </c>
      <c r="D121" s="196"/>
      <c r="E121" s="196"/>
      <c r="F121" s="196"/>
      <c r="G121" s="196"/>
      <c r="H121" s="196"/>
      <c r="I121" s="196"/>
      <c r="J121" s="196"/>
      <c r="K121" s="196">
        <v>7892437</v>
      </c>
      <c r="L121" s="194">
        <v>0</v>
      </c>
      <c r="M121" s="196">
        <v>0</v>
      </c>
      <c r="N121" s="196">
        <v>0</v>
      </c>
      <c r="O121" s="196">
        <v>0</v>
      </c>
      <c r="P121" s="194">
        <v>0</v>
      </c>
      <c r="Q121" s="196">
        <v>0</v>
      </c>
      <c r="R121" s="197">
        <v>0</v>
      </c>
      <c r="S121" s="196">
        <v>0</v>
      </c>
      <c r="T121" s="197">
        <v>0</v>
      </c>
      <c r="U121" s="288">
        <v>0</v>
      </c>
      <c r="V121" s="282">
        <f>C121-'часть 1'!L132</f>
        <v>0</v>
      </c>
      <c r="W121" s="282"/>
      <c r="X121" s="28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296"/>
    </row>
    <row r="122" spans="1:35">
      <c r="A122" s="198">
        <v>114</v>
      </c>
      <c r="B122" s="195" t="s">
        <v>237</v>
      </c>
      <c r="C122" s="196">
        <v>523389</v>
      </c>
      <c r="D122" s="196"/>
      <c r="E122" s="196"/>
      <c r="F122" s="196"/>
      <c r="G122" s="196"/>
      <c r="H122" s="196"/>
      <c r="I122" s="196"/>
      <c r="J122" s="196"/>
      <c r="K122" s="196">
        <v>0</v>
      </c>
      <c r="L122" s="194">
        <v>0</v>
      </c>
      <c r="M122" s="196">
        <v>0</v>
      </c>
      <c r="N122" s="196">
        <v>255</v>
      </c>
      <c r="O122" s="196">
        <v>523389</v>
      </c>
      <c r="P122" s="194">
        <v>0</v>
      </c>
      <c r="Q122" s="196">
        <v>0</v>
      </c>
      <c r="R122" s="200">
        <v>0</v>
      </c>
      <c r="S122" s="196">
        <v>0</v>
      </c>
      <c r="T122" s="197">
        <v>0</v>
      </c>
      <c r="U122" s="288">
        <v>0</v>
      </c>
      <c r="V122" s="282">
        <f>C122-'часть 1'!L133</f>
        <v>0</v>
      </c>
      <c r="W122" s="282"/>
      <c r="X122" s="28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296"/>
    </row>
    <row r="123" spans="1:35">
      <c r="A123" s="198">
        <v>115</v>
      </c>
      <c r="B123" s="195" t="s">
        <v>264</v>
      </c>
      <c r="C123" s="196">
        <v>1038920</v>
      </c>
      <c r="D123" s="196"/>
      <c r="E123" s="196"/>
      <c r="F123" s="196"/>
      <c r="G123" s="196"/>
      <c r="H123" s="196"/>
      <c r="I123" s="196"/>
      <c r="J123" s="196"/>
      <c r="K123" s="196">
        <v>1038920</v>
      </c>
      <c r="L123" s="194">
        <v>0</v>
      </c>
      <c r="M123" s="196">
        <v>0</v>
      </c>
      <c r="N123" s="196">
        <v>0</v>
      </c>
      <c r="O123" s="196">
        <v>0</v>
      </c>
      <c r="P123" s="194">
        <v>0</v>
      </c>
      <c r="Q123" s="196">
        <v>0</v>
      </c>
      <c r="R123" s="197">
        <v>0</v>
      </c>
      <c r="S123" s="196">
        <v>0</v>
      </c>
      <c r="T123" s="197">
        <v>0</v>
      </c>
      <c r="U123" s="288">
        <v>0</v>
      </c>
      <c r="V123" s="282">
        <f>C123-'часть 1'!L134</f>
        <v>0</v>
      </c>
      <c r="W123" s="282"/>
      <c r="X123" s="282"/>
      <c r="Y123" s="12"/>
      <c r="Z123" s="12"/>
      <c r="AA123" s="12"/>
      <c r="AB123" s="12"/>
      <c r="AC123" s="4"/>
      <c r="AD123" s="12"/>
      <c r="AE123" s="12"/>
      <c r="AF123" s="12"/>
      <c r="AG123" s="12"/>
      <c r="AH123" s="12"/>
      <c r="AI123" s="296"/>
    </row>
    <row r="124" spans="1:35">
      <c r="A124" s="194">
        <v>116</v>
      </c>
      <c r="B124" s="195" t="s">
        <v>258</v>
      </c>
      <c r="C124" s="196">
        <v>1742553</v>
      </c>
      <c r="D124" s="196"/>
      <c r="E124" s="196"/>
      <c r="F124" s="196"/>
      <c r="G124" s="196"/>
      <c r="H124" s="196"/>
      <c r="I124" s="196"/>
      <c r="J124" s="196"/>
      <c r="K124" s="196">
        <v>0</v>
      </c>
      <c r="L124" s="194">
        <v>0</v>
      </c>
      <c r="M124" s="196">
        <v>0</v>
      </c>
      <c r="N124" s="196">
        <v>874.22</v>
      </c>
      <c r="O124" s="199">
        <v>1742553</v>
      </c>
      <c r="P124" s="194">
        <v>0</v>
      </c>
      <c r="Q124" s="196">
        <v>0</v>
      </c>
      <c r="R124" s="197">
        <v>0</v>
      </c>
      <c r="S124" s="196">
        <v>0</v>
      </c>
      <c r="T124" s="197">
        <v>0</v>
      </c>
      <c r="U124" s="288">
        <v>0</v>
      </c>
      <c r="V124" s="282">
        <f>C124-'часть 1'!L135</f>
        <v>0</v>
      </c>
      <c r="W124" s="282"/>
      <c r="X124" s="28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296"/>
    </row>
    <row r="125" spans="1:35">
      <c r="A125" s="194">
        <v>117</v>
      </c>
      <c r="B125" s="195" t="s">
        <v>250</v>
      </c>
      <c r="C125" s="196">
        <v>2124581</v>
      </c>
      <c r="D125" s="196"/>
      <c r="E125" s="196"/>
      <c r="F125" s="196"/>
      <c r="G125" s="196"/>
      <c r="H125" s="196"/>
      <c r="I125" s="196"/>
      <c r="J125" s="196"/>
      <c r="K125" s="196">
        <v>0</v>
      </c>
      <c r="L125" s="194">
        <v>0</v>
      </c>
      <c r="M125" s="196">
        <v>0</v>
      </c>
      <c r="N125" s="196">
        <v>1070</v>
      </c>
      <c r="O125" s="199">
        <v>2124581</v>
      </c>
      <c r="P125" s="194">
        <v>0</v>
      </c>
      <c r="Q125" s="196">
        <v>0</v>
      </c>
      <c r="R125" s="200">
        <v>0</v>
      </c>
      <c r="S125" s="196">
        <v>0</v>
      </c>
      <c r="T125" s="197">
        <v>0</v>
      </c>
      <c r="U125" s="288">
        <v>0</v>
      </c>
      <c r="V125" s="282">
        <f>C125-'часть 1'!L136</f>
        <v>0</v>
      </c>
      <c r="W125" s="282"/>
      <c r="X125" s="28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296"/>
    </row>
    <row r="126" spans="1:35">
      <c r="A126" s="194">
        <v>118</v>
      </c>
      <c r="B126" s="195" t="s">
        <v>282</v>
      </c>
      <c r="C126" s="196">
        <v>2347478</v>
      </c>
      <c r="D126" s="196"/>
      <c r="E126" s="196"/>
      <c r="F126" s="196"/>
      <c r="G126" s="196"/>
      <c r="H126" s="196"/>
      <c r="I126" s="196"/>
      <c r="J126" s="196"/>
      <c r="K126" s="196">
        <v>0</v>
      </c>
      <c r="L126" s="194">
        <v>0</v>
      </c>
      <c r="M126" s="196">
        <v>0</v>
      </c>
      <c r="N126" s="196">
        <v>1185.07</v>
      </c>
      <c r="O126" s="196">
        <v>2347478</v>
      </c>
      <c r="P126" s="194">
        <v>0</v>
      </c>
      <c r="Q126" s="196">
        <v>0</v>
      </c>
      <c r="R126" s="197">
        <v>0</v>
      </c>
      <c r="S126" s="196">
        <v>0</v>
      </c>
      <c r="T126" s="197">
        <v>0</v>
      </c>
      <c r="U126" s="288">
        <v>0</v>
      </c>
      <c r="V126" s="282">
        <f>C126-'часть 1'!L137</f>
        <v>0</v>
      </c>
      <c r="W126" s="282"/>
      <c r="X126" s="28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296"/>
    </row>
    <row r="127" spans="1:35">
      <c r="A127" s="194">
        <v>119</v>
      </c>
      <c r="B127" s="195" t="s">
        <v>267</v>
      </c>
      <c r="C127" s="196">
        <v>2468472</v>
      </c>
      <c r="D127" s="196"/>
      <c r="E127" s="196"/>
      <c r="F127" s="196"/>
      <c r="G127" s="196"/>
      <c r="H127" s="196"/>
      <c r="I127" s="196"/>
      <c r="J127" s="196"/>
      <c r="K127" s="196">
        <v>0</v>
      </c>
      <c r="L127" s="194">
        <v>0</v>
      </c>
      <c r="M127" s="196">
        <v>0</v>
      </c>
      <c r="N127" s="199">
        <v>1246.5</v>
      </c>
      <c r="O127" s="196">
        <v>2468472</v>
      </c>
      <c r="P127" s="194">
        <v>0</v>
      </c>
      <c r="Q127" s="196">
        <v>0</v>
      </c>
      <c r="R127" s="197">
        <v>0</v>
      </c>
      <c r="S127" s="196">
        <v>0</v>
      </c>
      <c r="T127" s="197">
        <v>0</v>
      </c>
      <c r="U127" s="288">
        <v>0</v>
      </c>
      <c r="V127" s="282">
        <f>C127-'часть 1'!L138</f>
        <v>0</v>
      </c>
      <c r="W127" s="282"/>
      <c r="X127" s="28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296"/>
    </row>
    <row r="128" spans="1:35">
      <c r="A128" s="194">
        <v>120</v>
      </c>
      <c r="B128" s="195" t="s">
        <v>284</v>
      </c>
      <c r="C128" s="196">
        <v>1612780</v>
      </c>
      <c r="D128" s="196"/>
      <c r="E128" s="196"/>
      <c r="F128" s="196"/>
      <c r="G128" s="196"/>
      <c r="H128" s="196"/>
      <c r="I128" s="196"/>
      <c r="J128" s="196"/>
      <c r="K128" s="196">
        <v>0</v>
      </c>
      <c r="L128" s="194">
        <v>0</v>
      </c>
      <c r="M128" s="196">
        <v>0</v>
      </c>
      <c r="N128" s="196">
        <v>810.5</v>
      </c>
      <c r="O128" s="196">
        <v>1612780</v>
      </c>
      <c r="P128" s="194">
        <v>0</v>
      </c>
      <c r="Q128" s="196">
        <v>0</v>
      </c>
      <c r="R128" s="197">
        <v>0</v>
      </c>
      <c r="S128" s="196">
        <v>0</v>
      </c>
      <c r="T128" s="197">
        <v>0</v>
      </c>
      <c r="U128" s="288">
        <v>0</v>
      </c>
      <c r="V128" s="282">
        <f>C128-'часть 1'!L139</f>
        <v>0</v>
      </c>
      <c r="W128" s="282"/>
      <c r="X128" s="28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296"/>
    </row>
    <row r="129" spans="1:35">
      <c r="A129" s="194">
        <v>121</v>
      </c>
      <c r="B129" s="195" t="s">
        <v>256</v>
      </c>
      <c r="C129" s="196">
        <v>2580419</v>
      </c>
      <c r="D129" s="196"/>
      <c r="E129" s="196"/>
      <c r="F129" s="196"/>
      <c r="G129" s="196"/>
      <c r="H129" s="196"/>
      <c r="I129" s="196"/>
      <c r="J129" s="196"/>
      <c r="K129" s="196">
        <v>0</v>
      </c>
      <c r="L129" s="194">
        <v>0</v>
      </c>
      <c r="M129" s="196">
        <v>0</v>
      </c>
      <c r="N129" s="196">
        <v>786.3</v>
      </c>
      <c r="O129" s="196">
        <v>1565675</v>
      </c>
      <c r="P129" s="194">
        <v>0</v>
      </c>
      <c r="Q129" s="196">
        <v>0</v>
      </c>
      <c r="R129" s="196">
        <v>700</v>
      </c>
      <c r="S129" s="196">
        <v>1014744</v>
      </c>
      <c r="T129" s="197">
        <v>0</v>
      </c>
      <c r="U129" s="288">
        <v>0</v>
      </c>
      <c r="V129" s="282">
        <f>C129-'часть 1'!L140</f>
        <v>0</v>
      </c>
      <c r="W129" s="282"/>
      <c r="X129" s="28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296"/>
    </row>
    <row r="130" spans="1:35">
      <c r="A130" s="194">
        <v>122</v>
      </c>
      <c r="B130" s="195" t="s">
        <v>335</v>
      </c>
      <c r="C130" s="196">
        <v>1681645</v>
      </c>
      <c r="D130" s="196"/>
      <c r="E130" s="196"/>
      <c r="F130" s="196"/>
      <c r="G130" s="196"/>
      <c r="H130" s="196"/>
      <c r="I130" s="196"/>
      <c r="J130" s="196"/>
      <c r="K130" s="196">
        <v>0</v>
      </c>
      <c r="L130" s="194">
        <v>0</v>
      </c>
      <c r="M130" s="196">
        <v>0</v>
      </c>
      <c r="N130" s="196">
        <v>848.59</v>
      </c>
      <c r="O130" s="196">
        <v>1681645</v>
      </c>
      <c r="P130" s="194">
        <v>0</v>
      </c>
      <c r="Q130" s="196">
        <v>0</v>
      </c>
      <c r="R130" s="200">
        <v>0</v>
      </c>
      <c r="S130" s="196">
        <v>0</v>
      </c>
      <c r="T130" s="197">
        <v>0</v>
      </c>
      <c r="U130" s="288">
        <v>0</v>
      </c>
      <c r="V130" s="282">
        <f>C130-'часть 1'!L141</f>
        <v>0</v>
      </c>
      <c r="W130" s="282"/>
      <c r="X130" s="28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296"/>
    </row>
    <row r="131" spans="1:35">
      <c r="A131" s="194">
        <v>123</v>
      </c>
      <c r="B131" s="195" t="s">
        <v>255</v>
      </c>
      <c r="C131" s="196">
        <v>1318880</v>
      </c>
      <c r="D131" s="196"/>
      <c r="E131" s="196"/>
      <c r="F131" s="196"/>
      <c r="G131" s="196"/>
      <c r="H131" s="196"/>
      <c r="I131" s="196"/>
      <c r="J131" s="196"/>
      <c r="K131" s="196">
        <v>0</v>
      </c>
      <c r="L131" s="194">
        <v>0</v>
      </c>
      <c r="M131" s="196">
        <v>0</v>
      </c>
      <c r="N131" s="196">
        <v>660</v>
      </c>
      <c r="O131" s="196">
        <v>1318880</v>
      </c>
      <c r="P131" s="194">
        <v>0</v>
      </c>
      <c r="Q131" s="196">
        <v>0</v>
      </c>
      <c r="R131" s="200">
        <v>0</v>
      </c>
      <c r="S131" s="196">
        <v>0</v>
      </c>
      <c r="T131" s="197">
        <v>0</v>
      </c>
      <c r="U131" s="288">
        <v>0</v>
      </c>
      <c r="V131" s="282">
        <f>C131-'часть 1'!L142</f>
        <v>0</v>
      </c>
      <c r="W131" s="282"/>
      <c r="X131" s="28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296"/>
    </row>
    <row r="132" spans="1:35">
      <c r="A132" s="194">
        <v>124</v>
      </c>
      <c r="B132" s="195" t="s">
        <v>245</v>
      </c>
      <c r="C132" s="196">
        <v>1566345</v>
      </c>
      <c r="D132" s="196"/>
      <c r="E132" s="196"/>
      <c r="F132" s="196"/>
      <c r="G132" s="196"/>
      <c r="H132" s="196"/>
      <c r="I132" s="196"/>
      <c r="J132" s="196"/>
      <c r="K132" s="196">
        <v>0</v>
      </c>
      <c r="L132" s="194">
        <v>0</v>
      </c>
      <c r="M132" s="196">
        <v>0</v>
      </c>
      <c r="N132" s="196">
        <v>422</v>
      </c>
      <c r="O132" s="196">
        <v>850468</v>
      </c>
      <c r="P132" s="194">
        <v>0</v>
      </c>
      <c r="Q132" s="196">
        <v>0</v>
      </c>
      <c r="R132" s="196">
        <v>492</v>
      </c>
      <c r="S132" s="196">
        <v>715877</v>
      </c>
      <c r="T132" s="197">
        <v>0</v>
      </c>
      <c r="U132" s="288">
        <v>0</v>
      </c>
      <c r="V132" s="282">
        <f>C132-'часть 1'!L143</f>
        <v>0</v>
      </c>
      <c r="W132" s="282"/>
      <c r="X132" s="28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296"/>
    </row>
    <row r="133" spans="1:35" ht="27.6">
      <c r="A133" s="194">
        <v>125</v>
      </c>
      <c r="B133" s="195" t="s">
        <v>451</v>
      </c>
      <c r="C133" s="196">
        <v>1910088</v>
      </c>
      <c r="D133" s="196"/>
      <c r="E133" s="196"/>
      <c r="F133" s="196"/>
      <c r="G133" s="196"/>
      <c r="H133" s="196"/>
      <c r="I133" s="196"/>
      <c r="J133" s="196"/>
      <c r="K133" s="196">
        <v>1910088</v>
      </c>
      <c r="L133" s="194">
        <v>0</v>
      </c>
      <c r="M133" s="196">
        <v>0</v>
      </c>
      <c r="N133" s="196">
        <v>0</v>
      </c>
      <c r="O133" s="196">
        <v>0</v>
      </c>
      <c r="P133" s="194">
        <v>0</v>
      </c>
      <c r="Q133" s="196">
        <v>0</v>
      </c>
      <c r="R133" s="200">
        <v>0</v>
      </c>
      <c r="S133" s="196">
        <v>0</v>
      </c>
      <c r="T133" s="197">
        <v>0</v>
      </c>
      <c r="U133" s="288">
        <v>0</v>
      </c>
      <c r="V133" s="282">
        <f>C133-'часть 1'!L144</f>
        <v>0</v>
      </c>
      <c r="W133" s="282"/>
      <c r="X133" s="28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296"/>
    </row>
    <row r="134" spans="1:35">
      <c r="A134" s="194">
        <v>126</v>
      </c>
      <c r="B134" s="195" t="s">
        <v>280</v>
      </c>
      <c r="C134" s="196">
        <v>2694957</v>
      </c>
      <c r="D134" s="196"/>
      <c r="E134" s="196"/>
      <c r="F134" s="196"/>
      <c r="G134" s="196"/>
      <c r="H134" s="196"/>
      <c r="I134" s="196"/>
      <c r="J134" s="196"/>
      <c r="K134" s="196">
        <v>710638</v>
      </c>
      <c r="L134" s="194">
        <v>0</v>
      </c>
      <c r="M134" s="196">
        <v>0</v>
      </c>
      <c r="N134" s="196">
        <v>0</v>
      </c>
      <c r="O134" s="196">
        <v>0</v>
      </c>
      <c r="P134" s="194">
        <v>0</v>
      </c>
      <c r="Q134" s="196">
        <v>0</v>
      </c>
      <c r="R134" s="196">
        <v>1359.5</v>
      </c>
      <c r="S134" s="196">
        <v>1984319</v>
      </c>
      <c r="T134" s="197">
        <v>0</v>
      </c>
      <c r="U134" s="288">
        <v>0</v>
      </c>
      <c r="V134" s="282">
        <f>C134-'часть 1'!L145</f>
        <v>0</v>
      </c>
      <c r="W134" s="282"/>
      <c r="X134" s="28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296"/>
    </row>
    <row r="135" spans="1:35">
      <c r="A135" s="194">
        <v>127</v>
      </c>
      <c r="B135" s="195" t="s">
        <v>367</v>
      </c>
      <c r="C135" s="196">
        <v>580578</v>
      </c>
      <c r="D135" s="196"/>
      <c r="E135" s="196"/>
      <c r="F135" s="196"/>
      <c r="G135" s="196"/>
      <c r="H135" s="196"/>
      <c r="I135" s="196"/>
      <c r="J135" s="196"/>
      <c r="K135" s="196">
        <v>0</v>
      </c>
      <c r="L135" s="194">
        <v>0</v>
      </c>
      <c r="M135" s="196">
        <v>0</v>
      </c>
      <c r="N135" s="196">
        <v>293.5</v>
      </c>
      <c r="O135" s="196">
        <v>580578</v>
      </c>
      <c r="P135" s="194">
        <v>0</v>
      </c>
      <c r="Q135" s="196">
        <v>0</v>
      </c>
      <c r="R135" s="197">
        <v>0</v>
      </c>
      <c r="S135" s="196">
        <v>0</v>
      </c>
      <c r="T135" s="197">
        <v>0</v>
      </c>
      <c r="U135" s="288">
        <v>0</v>
      </c>
      <c r="V135" s="282">
        <f>C135-'часть 1'!L146</f>
        <v>0</v>
      </c>
      <c r="W135" s="282"/>
      <c r="X135" s="28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296"/>
    </row>
    <row r="136" spans="1:35">
      <c r="A136" s="194">
        <v>128</v>
      </c>
      <c r="B136" s="195" t="s">
        <v>464</v>
      </c>
      <c r="C136" s="196">
        <v>615357</v>
      </c>
      <c r="D136" s="196"/>
      <c r="E136" s="196"/>
      <c r="F136" s="196"/>
      <c r="G136" s="196"/>
      <c r="H136" s="196"/>
      <c r="I136" s="196"/>
      <c r="J136" s="196"/>
      <c r="K136" s="196">
        <v>0</v>
      </c>
      <c r="L136" s="194">
        <v>0</v>
      </c>
      <c r="M136" s="196">
        <v>0</v>
      </c>
      <c r="N136" s="196">
        <v>301</v>
      </c>
      <c r="O136" s="196">
        <v>615357</v>
      </c>
      <c r="P136" s="194">
        <v>0</v>
      </c>
      <c r="Q136" s="196">
        <v>0</v>
      </c>
      <c r="R136" s="197">
        <v>0</v>
      </c>
      <c r="S136" s="196">
        <v>0</v>
      </c>
      <c r="T136" s="197">
        <v>0</v>
      </c>
      <c r="U136" s="288">
        <v>0</v>
      </c>
      <c r="V136" s="282">
        <f>C136-'часть 1'!L147</f>
        <v>0</v>
      </c>
      <c r="W136" s="282"/>
      <c r="X136" s="28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296"/>
    </row>
    <row r="137" spans="1:35">
      <c r="A137" s="194">
        <v>129</v>
      </c>
      <c r="B137" s="195" t="s">
        <v>385</v>
      </c>
      <c r="C137" s="196">
        <v>269948.13</v>
      </c>
      <c r="D137" s="196"/>
      <c r="E137" s="196"/>
      <c r="F137" s="196"/>
      <c r="G137" s="196"/>
      <c r="H137" s="196"/>
      <c r="I137" s="196"/>
      <c r="J137" s="196"/>
      <c r="K137" s="196">
        <v>269948.13</v>
      </c>
      <c r="L137" s="194">
        <v>0</v>
      </c>
      <c r="M137" s="196">
        <v>0</v>
      </c>
      <c r="N137" s="196">
        <v>0</v>
      </c>
      <c r="O137" s="196">
        <v>0</v>
      </c>
      <c r="P137" s="194">
        <v>0</v>
      </c>
      <c r="Q137" s="196">
        <v>0</v>
      </c>
      <c r="R137" s="197">
        <v>0</v>
      </c>
      <c r="S137" s="196">
        <v>0</v>
      </c>
      <c r="T137" s="197">
        <v>0</v>
      </c>
      <c r="U137" s="288">
        <v>0</v>
      </c>
      <c r="V137" s="282">
        <f>C137-'часть 1'!L148</f>
        <v>0</v>
      </c>
      <c r="W137" s="282"/>
      <c r="X137" s="28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296"/>
    </row>
    <row r="138" spans="1:35">
      <c r="A138" s="194">
        <v>130</v>
      </c>
      <c r="B138" s="195" t="s">
        <v>238</v>
      </c>
      <c r="C138" s="196">
        <v>807980</v>
      </c>
      <c r="D138" s="196"/>
      <c r="E138" s="196"/>
      <c r="F138" s="196"/>
      <c r="G138" s="196"/>
      <c r="H138" s="196"/>
      <c r="I138" s="196"/>
      <c r="J138" s="196"/>
      <c r="K138" s="196">
        <v>0</v>
      </c>
      <c r="L138" s="194">
        <v>0</v>
      </c>
      <c r="M138" s="196">
        <v>0</v>
      </c>
      <c r="N138" s="196">
        <v>400</v>
      </c>
      <c r="O138" s="196">
        <v>807980</v>
      </c>
      <c r="P138" s="194">
        <v>0</v>
      </c>
      <c r="Q138" s="196">
        <v>0</v>
      </c>
      <c r="R138" s="200">
        <v>0</v>
      </c>
      <c r="S138" s="196">
        <v>0</v>
      </c>
      <c r="T138" s="197">
        <v>0</v>
      </c>
      <c r="U138" s="288">
        <v>0</v>
      </c>
      <c r="V138" s="282">
        <f>C138-'часть 1'!L149</f>
        <v>0</v>
      </c>
      <c r="W138" s="282"/>
      <c r="X138" s="28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296"/>
    </row>
    <row r="139" spans="1:35">
      <c r="A139" s="194">
        <v>131</v>
      </c>
      <c r="B139" s="195" t="s">
        <v>273</v>
      </c>
      <c r="C139" s="196">
        <v>661525</v>
      </c>
      <c r="D139" s="196"/>
      <c r="E139" s="196"/>
      <c r="F139" s="196"/>
      <c r="G139" s="196"/>
      <c r="H139" s="196"/>
      <c r="I139" s="196"/>
      <c r="J139" s="196"/>
      <c r="K139" s="196">
        <v>0</v>
      </c>
      <c r="L139" s="194">
        <v>0</v>
      </c>
      <c r="M139" s="196">
        <v>0</v>
      </c>
      <c r="N139" s="196">
        <v>325</v>
      </c>
      <c r="O139" s="199">
        <v>661525</v>
      </c>
      <c r="P139" s="194">
        <v>0</v>
      </c>
      <c r="Q139" s="196">
        <v>0</v>
      </c>
      <c r="R139" s="197">
        <v>0</v>
      </c>
      <c r="S139" s="196">
        <v>0</v>
      </c>
      <c r="T139" s="197">
        <v>0</v>
      </c>
      <c r="U139" s="288">
        <v>0</v>
      </c>
      <c r="V139" s="282">
        <f>C139-'часть 1'!L150</f>
        <v>0</v>
      </c>
      <c r="W139" s="282"/>
      <c r="X139" s="28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296"/>
    </row>
    <row r="140" spans="1:35">
      <c r="A140" s="198">
        <v>132</v>
      </c>
      <c r="B140" s="195" t="s">
        <v>297</v>
      </c>
      <c r="C140" s="196">
        <v>3719885</v>
      </c>
      <c r="D140" s="196"/>
      <c r="E140" s="196"/>
      <c r="F140" s="196"/>
      <c r="G140" s="196"/>
      <c r="H140" s="196"/>
      <c r="I140" s="196"/>
      <c r="J140" s="196"/>
      <c r="K140" s="196">
        <v>0</v>
      </c>
      <c r="L140" s="194">
        <v>2</v>
      </c>
      <c r="M140" s="196">
        <v>3719885</v>
      </c>
      <c r="N140" s="196">
        <v>0</v>
      </c>
      <c r="O140" s="196">
        <v>0</v>
      </c>
      <c r="P140" s="194">
        <v>0</v>
      </c>
      <c r="Q140" s="196">
        <v>0</v>
      </c>
      <c r="R140" s="197">
        <v>0</v>
      </c>
      <c r="S140" s="196">
        <v>0</v>
      </c>
      <c r="T140" s="197">
        <v>0</v>
      </c>
      <c r="U140" s="288">
        <v>0</v>
      </c>
      <c r="V140" s="282">
        <f>C140-'часть 1'!L151</f>
        <v>0</v>
      </c>
      <c r="W140" s="282"/>
      <c r="X140" s="28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296"/>
    </row>
    <row r="141" spans="1:35">
      <c r="A141" s="198">
        <v>133</v>
      </c>
      <c r="B141" s="195" t="s">
        <v>263</v>
      </c>
      <c r="C141" s="196">
        <v>1726391</v>
      </c>
      <c r="D141" s="196"/>
      <c r="E141" s="196"/>
      <c r="F141" s="196"/>
      <c r="G141" s="196"/>
      <c r="H141" s="196"/>
      <c r="I141" s="196"/>
      <c r="J141" s="196"/>
      <c r="K141" s="196">
        <v>0</v>
      </c>
      <c r="L141" s="194">
        <v>0</v>
      </c>
      <c r="M141" s="196">
        <v>0</v>
      </c>
      <c r="N141" s="196">
        <v>866.8</v>
      </c>
      <c r="O141" s="196">
        <v>1726391</v>
      </c>
      <c r="P141" s="194">
        <v>0</v>
      </c>
      <c r="Q141" s="196">
        <v>0</v>
      </c>
      <c r="R141" s="197">
        <v>0</v>
      </c>
      <c r="S141" s="196">
        <v>0</v>
      </c>
      <c r="T141" s="197">
        <v>0</v>
      </c>
      <c r="U141" s="288">
        <v>0</v>
      </c>
      <c r="V141" s="282">
        <f>C141-'часть 1'!L152</f>
        <v>0</v>
      </c>
      <c r="W141" s="282"/>
      <c r="X141" s="28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296"/>
    </row>
    <row r="142" spans="1:35">
      <c r="A142" s="198">
        <v>134</v>
      </c>
      <c r="B142" s="195" t="s">
        <v>235</v>
      </c>
      <c r="C142" s="196">
        <v>1521754</v>
      </c>
      <c r="D142" s="196"/>
      <c r="E142" s="196"/>
      <c r="F142" s="196"/>
      <c r="G142" s="196"/>
      <c r="H142" s="196"/>
      <c r="I142" s="196"/>
      <c r="J142" s="196"/>
      <c r="K142" s="196">
        <v>0</v>
      </c>
      <c r="L142" s="194">
        <v>0</v>
      </c>
      <c r="M142" s="196">
        <v>0</v>
      </c>
      <c r="N142" s="196">
        <v>430</v>
      </c>
      <c r="O142" s="196">
        <v>866735</v>
      </c>
      <c r="P142" s="194">
        <v>0</v>
      </c>
      <c r="Q142" s="196">
        <v>0</v>
      </c>
      <c r="R142" s="196">
        <v>449</v>
      </c>
      <c r="S142" s="196">
        <v>655019</v>
      </c>
      <c r="T142" s="197">
        <v>0</v>
      </c>
      <c r="U142" s="288">
        <v>0</v>
      </c>
      <c r="V142" s="282">
        <f>C142-'часть 1'!L153</f>
        <v>0</v>
      </c>
      <c r="W142" s="282"/>
      <c r="X142" s="28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296"/>
    </row>
    <row r="143" spans="1:35">
      <c r="A143" s="198">
        <v>135</v>
      </c>
      <c r="B143" s="195" t="s">
        <v>227</v>
      </c>
      <c r="C143" s="196">
        <v>671505</v>
      </c>
      <c r="D143" s="196"/>
      <c r="E143" s="196"/>
      <c r="F143" s="196"/>
      <c r="G143" s="196"/>
      <c r="H143" s="196"/>
      <c r="I143" s="196"/>
      <c r="J143" s="196"/>
      <c r="K143" s="196" t="e">
        <f>#REF!</f>
        <v>#REF!</v>
      </c>
      <c r="L143" s="194">
        <v>0</v>
      </c>
      <c r="M143" s="196">
        <v>0</v>
      </c>
      <c r="N143" s="196">
        <v>0</v>
      </c>
      <c r="O143" s="196">
        <v>0</v>
      </c>
      <c r="P143" s="194">
        <v>0</v>
      </c>
      <c r="Q143" s="196">
        <v>0</v>
      </c>
      <c r="R143" s="196">
        <v>404.5</v>
      </c>
      <c r="S143" s="196">
        <v>591227</v>
      </c>
      <c r="T143" s="197">
        <v>0</v>
      </c>
      <c r="U143" s="288">
        <v>0</v>
      </c>
      <c r="V143" s="282">
        <f>C143-'часть 1'!L154</f>
        <v>0</v>
      </c>
      <c r="W143" s="282"/>
      <c r="X143" s="282"/>
      <c r="Y143" s="12"/>
      <c r="Z143" s="274"/>
      <c r="AA143" s="12"/>
      <c r="AB143" s="12"/>
      <c r="AC143" s="12"/>
      <c r="AD143" s="12"/>
      <c r="AE143" s="12"/>
      <c r="AF143" s="12"/>
      <c r="AG143" s="12"/>
      <c r="AH143" s="12"/>
      <c r="AI143" s="296"/>
    </row>
    <row r="144" spans="1:35">
      <c r="A144" s="198">
        <v>136</v>
      </c>
      <c r="B144" s="195" t="s">
        <v>339</v>
      </c>
      <c r="C144" s="196">
        <v>1081718</v>
      </c>
      <c r="D144" s="196"/>
      <c r="E144" s="196"/>
      <c r="F144" s="196"/>
      <c r="G144" s="196"/>
      <c r="H144" s="196"/>
      <c r="I144" s="196"/>
      <c r="J144" s="196"/>
      <c r="K144" s="196">
        <v>0</v>
      </c>
      <c r="L144" s="194">
        <v>0</v>
      </c>
      <c r="M144" s="196">
        <v>0</v>
      </c>
      <c r="N144" s="196">
        <v>531.70000000000005</v>
      </c>
      <c r="O144" s="196">
        <v>1081718</v>
      </c>
      <c r="P144" s="194">
        <v>0</v>
      </c>
      <c r="Q144" s="196">
        <v>0</v>
      </c>
      <c r="R144" s="197">
        <v>0</v>
      </c>
      <c r="S144" s="196">
        <v>0</v>
      </c>
      <c r="T144" s="197">
        <v>0</v>
      </c>
      <c r="U144" s="288">
        <v>0</v>
      </c>
      <c r="V144" s="282">
        <f>C144-'часть 1'!L155</f>
        <v>0</v>
      </c>
      <c r="W144" s="282"/>
      <c r="X144" s="28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296"/>
    </row>
    <row r="145" spans="1:35">
      <c r="A145" s="198">
        <v>137</v>
      </c>
      <c r="B145" s="195" t="s">
        <v>231</v>
      </c>
      <c r="C145" s="196">
        <v>206635</v>
      </c>
      <c r="D145" s="196"/>
      <c r="E145" s="196"/>
      <c r="F145" s="196"/>
      <c r="G145" s="196"/>
      <c r="H145" s="196"/>
      <c r="I145" s="196"/>
      <c r="J145" s="196"/>
      <c r="K145" s="196">
        <v>206635</v>
      </c>
      <c r="L145" s="194">
        <v>0</v>
      </c>
      <c r="M145" s="196">
        <v>0</v>
      </c>
      <c r="N145" s="196">
        <v>0</v>
      </c>
      <c r="O145" s="196">
        <v>0</v>
      </c>
      <c r="P145" s="194">
        <v>0</v>
      </c>
      <c r="Q145" s="196">
        <v>0</v>
      </c>
      <c r="R145" s="197">
        <v>0</v>
      </c>
      <c r="S145" s="196">
        <v>0</v>
      </c>
      <c r="T145" s="197">
        <v>0</v>
      </c>
      <c r="U145" s="288">
        <v>0</v>
      </c>
      <c r="V145" s="282">
        <f>C145-'часть 1'!L156</f>
        <v>0</v>
      </c>
      <c r="W145" s="282"/>
      <c r="X145" s="28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296"/>
    </row>
    <row r="146" spans="1:35">
      <c r="A146" s="198">
        <v>138</v>
      </c>
      <c r="B146" s="195" t="s">
        <v>300</v>
      </c>
      <c r="C146" s="196">
        <v>1044081.04</v>
      </c>
      <c r="D146" s="196"/>
      <c r="E146" s="196"/>
      <c r="F146" s="196"/>
      <c r="G146" s="196"/>
      <c r="H146" s="196"/>
      <c r="I146" s="196"/>
      <c r="J146" s="196"/>
      <c r="K146" s="196">
        <v>0</v>
      </c>
      <c r="L146" s="194">
        <v>0</v>
      </c>
      <c r="M146" s="196">
        <v>0</v>
      </c>
      <c r="N146" s="196">
        <v>516.5</v>
      </c>
      <c r="O146" s="196">
        <v>1044081.04</v>
      </c>
      <c r="P146" s="194">
        <v>0</v>
      </c>
      <c r="Q146" s="196">
        <v>0</v>
      </c>
      <c r="R146" s="200">
        <v>0</v>
      </c>
      <c r="S146" s="196">
        <v>0</v>
      </c>
      <c r="T146" s="197">
        <v>0</v>
      </c>
      <c r="U146" s="288">
        <v>0</v>
      </c>
      <c r="V146" s="282">
        <f>C146-'часть 1'!L157</f>
        <v>0</v>
      </c>
      <c r="W146" s="282"/>
      <c r="X146" s="28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296"/>
    </row>
    <row r="147" spans="1:35">
      <c r="A147" s="198">
        <v>139</v>
      </c>
      <c r="B147" s="195" t="s">
        <v>283</v>
      </c>
      <c r="C147" s="196">
        <v>1340000</v>
      </c>
      <c r="D147" s="196"/>
      <c r="E147" s="196"/>
      <c r="F147" s="196"/>
      <c r="G147" s="196"/>
      <c r="H147" s="196"/>
      <c r="I147" s="196"/>
      <c r="J147" s="196"/>
      <c r="K147" s="196">
        <v>1340000</v>
      </c>
      <c r="L147" s="194">
        <v>0</v>
      </c>
      <c r="M147" s="196">
        <v>0</v>
      </c>
      <c r="N147" s="196">
        <v>0</v>
      </c>
      <c r="O147" s="196">
        <v>0</v>
      </c>
      <c r="P147" s="194">
        <v>0</v>
      </c>
      <c r="Q147" s="196">
        <v>0</v>
      </c>
      <c r="R147" s="197">
        <v>0</v>
      </c>
      <c r="S147" s="196">
        <v>0</v>
      </c>
      <c r="T147" s="197">
        <v>0</v>
      </c>
      <c r="U147" s="288">
        <v>0</v>
      </c>
      <c r="V147" s="282">
        <f>C147-'часть 1'!L158</f>
        <v>0</v>
      </c>
      <c r="W147" s="282"/>
      <c r="X147" s="28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296"/>
    </row>
    <row r="148" spans="1:35">
      <c r="A148" s="198">
        <v>140</v>
      </c>
      <c r="B148" s="195" t="s">
        <v>450</v>
      </c>
      <c r="C148" s="196">
        <v>2294529</v>
      </c>
      <c r="D148" s="196"/>
      <c r="E148" s="196"/>
      <c r="F148" s="196"/>
      <c r="G148" s="196"/>
      <c r="H148" s="196"/>
      <c r="I148" s="196"/>
      <c r="J148" s="196"/>
      <c r="K148" s="196">
        <v>0</v>
      </c>
      <c r="L148" s="194">
        <v>0</v>
      </c>
      <c r="M148" s="196">
        <v>0</v>
      </c>
      <c r="N148" s="196">
        <v>1162</v>
      </c>
      <c r="O148" s="196">
        <v>2294529</v>
      </c>
      <c r="P148" s="194">
        <v>0</v>
      </c>
      <c r="Q148" s="196">
        <v>0</v>
      </c>
      <c r="R148" s="197">
        <v>0</v>
      </c>
      <c r="S148" s="196">
        <v>0</v>
      </c>
      <c r="T148" s="197">
        <v>0</v>
      </c>
      <c r="U148" s="288">
        <v>0</v>
      </c>
      <c r="V148" s="282">
        <f>C148-'часть 1'!L159</f>
        <v>0</v>
      </c>
      <c r="W148" s="282"/>
      <c r="X148" s="28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296"/>
    </row>
    <row r="149" spans="1:35">
      <c r="A149" s="198">
        <v>141</v>
      </c>
      <c r="B149" s="195" t="s">
        <v>230</v>
      </c>
      <c r="C149" s="196">
        <v>2615616.2000000002</v>
      </c>
      <c r="D149" s="196"/>
      <c r="E149" s="196"/>
      <c r="F149" s="196"/>
      <c r="G149" s="196"/>
      <c r="H149" s="196"/>
      <c r="I149" s="196"/>
      <c r="J149" s="196"/>
      <c r="K149" s="196">
        <v>0</v>
      </c>
      <c r="L149" s="194">
        <v>0</v>
      </c>
      <c r="M149" s="196">
        <v>0</v>
      </c>
      <c r="N149" s="196">
        <v>0</v>
      </c>
      <c r="O149" s="196">
        <v>0</v>
      </c>
      <c r="P149" s="194">
        <v>0</v>
      </c>
      <c r="Q149" s="196">
        <v>0</v>
      </c>
      <c r="R149" s="196">
        <v>2540</v>
      </c>
      <c r="S149" s="196">
        <v>2615616.2000000002</v>
      </c>
      <c r="T149" s="197">
        <v>0</v>
      </c>
      <c r="U149" s="288">
        <v>0</v>
      </c>
      <c r="V149" s="282">
        <f>C149-'часть 1'!L160</f>
        <v>0</v>
      </c>
      <c r="W149" s="282"/>
      <c r="X149" s="28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296"/>
    </row>
    <row r="150" spans="1:35">
      <c r="A150" s="198">
        <v>142</v>
      </c>
      <c r="B150" s="195" t="s">
        <v>295</v>
      </c>
      <c r="C150" s="196">
        <v>1561539</v>
      </c>
      <c r="D150" s="196"/>
      <c r="E150" s="196"/>
      <c r="F150" s="196"/>
      <c r="G150" s="196"/>
      <c r="H150" s="196"/>
      <c r="I150" s="196"/>
      <c r="J150" s="196"/>
      <c r="K150" s="196">
        <v>0</v>
      </c>
      <c r="L150" s="194">
        <v>0</v>
      </c>
      <c r="M150" s="196">
        <v>0</v>
      </c>
      <c r="N150" s="196">
        <v>787.85</v>
      </c>
      <c r="O150" s="196">
        <v>1561539</v>
      </c>
      <c r="P150" s="201">
        <v>0</v>
      </c>
      <c r="Q150" s="196">
        <v>0</v>
      </c>
      <c r="R150" s="200">
        <v>0</v>
      </c>
      <c r="S150" s="196">
        <v>0</v>
      </c>
      <c r="T150" s="197">
        <v>0</v>
      </c>
      <c r="U150" s="288">
        <v>0</v>
      </c>
      <c r="V150" s="282">
        <f>C150-'часть 1'!L161</f>
        <v>0</v>
      </c>
      <c r="W150" s="282"/>
      <c r="X150" s="28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296"/>
    </row>
    <row r="151" spans="1:35">
      <c r="A151" s="198">
        <v>143</v>
      </c>
      <c r="B151" s="195" t="s">
        <v>294</v>
      </c>
      <c r="C151" s="196">
        <v>1421187</v>
      </c>
      <c r="D151" s="196"/>
      <c r="E151" s="196"/>
      <c r="F151" s="196"/>
      <c r="G151" s="196"/>
      <c r="H151" s="196"/>
      <c r="I151" s="196"/>
      <c r="J151" s="196"/>
      <c r="K151" s="196">
        <v>0</v>
      </c>
      <c r="L151" s="194">
        <v>0</v>
      </c>
      <c r="M151" s="196">
        <v>0</v>
      </c>
      <c r="N151" s="196">
        <v>687</v>
      </c>
      <c r="O151" s="199">
        <v>1421187</v>
      </c>
      <c r="P151" s="194">
        <v>0</v>
      </c>
      <c r="Q151" s="196">
        <v>0</v>
      </c>
      <c r="R151" s="200">
        <v>0</v>
      </c>
      <c r="S151" s="196">
        <v>0</v>
      </c>
      <c r="T151" s="197">
        <v>0</v>
      </c>
      <c r="U151" s="288">
        <v>0</v>
      </c>
      <c r="V151" s="282">
        <f>C151-'часть 1'!L162</f>
        <v>0</v>
      </c>
      <c r="W151" s="282"/>
      <c r="X151" s="28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296"/>
    </row>
    <row r="152" spans="1:35">
      <c r="A152" s="198">
        <v>144</v>
      </c>
      <c r="B152" s="195" t="s">
        <v>270</v>
      </c>
      <c r="C152" s="196">
        <v>2469740</v>
      </c>
      <c r="D152" s="196"/>
      <c r="E152" s="196"/>
      <c r="F152" s="196"/>
      <c r="G152" s="196"/>
      <c r="H152" s="196"/>
      <c r="I152" s="196"/>
      <c r="J152" s="196"/>
      <c r="K152" s="196">
        <v>757154</v>
      </c>
      <c r="L152" s="194">
        <v>0</v>
      </c>
      <c r="M152" s="196">
        <v>0</v>
      </c>
      <c r="N152" s="196">
        <v>868.1</v>
      </c>
      <c r="O152" s="196">
        <v>1712586</v>
      </c>
      <c r="P152" s="194">
        <v>0</v>
      </c>
      <c r="Q152" s="196">
        <v>0</v>
      </c>
      <c r="R152" s="197">
        <v>0</v>
      </c>
      <c r="S152" s="196">
        <v>0</v>
      </c>
      <c r="T152" s="197">
        <v>0</v>
      </c>
      <c r="U152" s="288">
        <v>0</v>
      </c>
      <c r="V152" s="282">
        <f>C152-'часть 1'!L163</f>
        <v>0</v>
      </c>
      <c r="W152" s="282"/>
      <c r="X152" s="28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296"/>
    </row>
    <row r="153" spans="1:35">
      <c r="A153" s="198">
        <v>145</v>
      </c>
      <c r="B153" s="195" t="s">
        <v>252</v>
      </c>
      <c r="C153" s="196">
        <v>1104857</v>
      </c>
      <c r="D153" s="196"/>
      <c r="E153" s="196"/>
      <c r="F153" s="196"/>
      <c r="G153" s="196"/>
      <c r="H153" s="196"/>
      <c r="I153" s="196"/>
      <c r="J153" s="196"/>
      <c r="K153" s="196">
        <v>0</v>
      </c>
      <c r="L153" s="194">
        <v>0</v>
      </c>
      <c r="M153" s="196">
        <v>0</v>
      </c>
      <c r="N153" s="196">
        <v>545.6</v>
      </c>
      <c r="O153" s="196">
        <v>1104857</v>
      </c>
      <c r="P153" s="194">
        <v>0</v>
      </c>
      <c r="Q153" s="196">
        <v>0</v>
      </c>
      <c r="R153" s="200">
        <v>0</v>
      </c>
      <c r="S153" s="196">
        <v>0</v>
      </c>
      <c r="T153" s="197">
        <v>0</v>
      </c>
      <c r="U153" s="288">
        <v>0</v>
      </c>
      <c r="V153" s="282">
        <f>C153-'часть 1'!L164</f>
        <v>0</v>
      </c>
      <c r="W153" s="282"/>
      <c r="X153" s="28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296"/>
    </row>
    <row r="154" spans="1:35">
      <c r="A154" s="198">
        <v>146</v>
      </c>
      <c r="B154" s="195" t="s">
        <v>304</v>
      </c>
      <c r="C154" s="196">
        <v>1877378</v>
      </c>
      <c r="D154" s="196"/>
      <c r="E154" s="196"/>
      <c r="F154" s="196"/>
      <c r="G154" s="196"/>
      <c r="H154" s="196"/>
      <c r="I154" s="196"/>
      <c r="J154" s="196"/>
      <c r="K154" s="196">
        <v>0</v>
      </c>
      <c r="L154" s="194">
        <v>1</v>
      </c>
      <c r="M154" s="199">
        <v>1877378</v>
      </c>
      <c r="N154" s="196">
        <v>0</v>
      </c>
      <c r="O154" s="196">
        <v>0</v>
      </c>
      <c r="P154" s="194">
        <v>0</v>
      </c>
      <c r="Q154" s="196">
        <v>0</v>
      </c>
      <c r="R154" s="197">
        <v>0</v>
      </c>
      <c r="S154" s="196">
        <v>0</v>
      </c>
      <c r="T154" s="197">
        <v>0</v>
      </c>
      <c r="U154" s="288">
        <v>0</v>
      </c>
      <c r="V154" s="282">
        <f>C154-'часть 1'!L165</f>
        <v>0</v>
      </c>
      <c r="W154" s="282"/>
      <c r="X154" s="28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296"/>
    </row>
    <row r="155" spans="1:35">
      <c r="A155" s="198">
        <v>147</v>
      </c>
      <c r="B155" s="195" t="s">
        <v>228</v>
      </c>
      <c r="C155" s="196">
        <v>2945836</v>
      </c>
      <c r="D155" s="196"/>
      <c r="E155" s="196"/>
      <c r="F155" s="196"/>
      <c r="G155" s="196"/>
      <c r="H155" s="196"/>
      <c r="I155" s="196"/>
      <c r="J155" s="196"/>
      <c r="K155" s="196" t="e">
        <f>#REF!</f>
        <v>#REF!</v>
      </c>
      <c r="L155" s="194">
        <v>0</v>
      </c>
      <c r="M155" s="196">
        <v>0</v>
      </c>
      <c r="N155" s="196">
        <v>0</v>
      </c>
      <c r="O155" s="196">
        <v>0</v>
      </c>
      <c r="P155" s="194">
        <v>0</v>
      </c>
      <c r="Q155" s="196">
        <v>0</v>
      </c>
      <c r="R155" s="197">
        <v>0</v>
      </c>
      <c r="S155" s="196">
        <v>0</v>
      </c>
      <c r="T155" s="197">
        <v>0</v>
      </c>
      <c r="U155" s="288">
        <v>0</v>
      </c>
      <c r="V155" s="282">
        <f>C155-'часть 1'!L166</f>
        <v>0</v>
      </c>
      <c r="W155" s="282"/>
      <c r="X155" s="282"/>
      <c r="Y155" s="12"/>
      <c r="Z155" s="12"/>
      <c r="AA155" s="12"/>
      <c r="AB155" s="274"/>
      <c r="AC155" s="12"/>
      <c r="AD155" s="12"/>
      <c r="AE155" s="12"/>
      <c r="AF155" s="274"/>
      <c r="AG155" s="12"/>
      <c r="AH155" s="12"/>
      <c r="AI155" s="296"/>
    </row>
    <row r="156" spans="1:35">
      <c r="A156" s="198">
        <v>148</v>
      </c>
      <c r="B156" s="195" t="s">
        <v>225</v>
      </c>
      <c r="C156" s="196">
        <v>1118494</v>
      </c>
      <c r="D156" s="196"/>
      <c r="E156" s="196"/>
      <c r="F156" s="196"/>
      <c r="G156" s="196"/>
      <c r="H156" s="196"/>
      <c r="I156" s="196"/>
      <c r="J156" s="196"/>
      <c r="K156" s="196">
        <v>1118494</v>
      </c>
      <c r="L156" s="194">
        <v>0</v>
      </c>
      <c r="M156" s="196">
        <v>0</v>
      </c>
      <c r="N156" s="199">
        <v>0</v>
      </c>
      <c r="O156" s="196">
        <v>0</v>
      </c>
      <c r="P156" s="194">
        <v>0</v>
      </c>
      <c r="Q156" s="196">
        <v>0</v>
      </c>
      <c r="R156" s="200">
        <v>0</v>
      </c>
      <c r="S156" s="196">
        <v>0</v>
      </c>
      <c r="T156" s="197">
        <v>0</v>
      </c>
      <c r="U156" s="288">
        <v>0</v>
      </c>
      <c r="V156" s="282">
        <f>C156-'часть 1'!L167</f>
        <v>0</v>
      </c>
      <c r="W156" s="282"/>
      <c r="X156" s="28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296"/>
    </row>
    <row r="157" spans="1:35">
      <c r="A157" s="198">
        <v>149</v>
      </c>
      <c r="B157" s="195" t="s">
        <v>232</v>
      </c>
      <c r="C157" s="196">
        <v>2540427</v>
      </c>
      <c r="D157" s="196"/>
      <c r="E157" s="196"/>
      <c r="F157" s="196"/>
      <c r="G157" s="196"/>
      <c r="H157" s="196"/>
      <c r="I157" s="196"/>
      <c r="J157" s="196"/>
      <c r="K157" s="196">
        <v>0</v>
      </c>
      <c r="L157" s="194">
        <v>0</v>
      </c>
      <c r="M157" s="196">
        <v>0</v>
      </c>
      <c r="N157" s="196">
        <v>592</v>
      </c>
      <c r="O157" s="196">
        <v>1201460</v>
      </c>
      <c r="P157" s="194">
        <v>0</v>
      </c>
      <c r="Q157" s="196">
        <v>0</v>
      </c>
      <c r="R157" s="196">
        <v>922</v>
      </c>
      <c r="S157" s="196">
        <v>1338967</v>
      </c>
      <c r="T157" s="197">
        <v>0</v>
      </c>
      <c r="U157" s="288">
        <v>0</v>
      </c>
      <c r="V157" s="282">
        <f>C157-'часть 1'!L168</f>
        <v>0</v>
      </c>
      <c r="W157" s="282"/>
      <c r="X157" s="28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296"/>
    </row>
    <row r="158" spans="1:35">
      <c r="A158" s="198">
        <v>150</v>
      </c>
      <c r="B158" s="195" t="s">
        <v>275</v>
      </c>
      <c r="C158" s="196">
        <v>2253297</v>
      </c>
      <c r="D158" s="196"/>
      <c r="E158" s="196"/>
      <c r="F158" s="196"/>
      <c r="G158" s="196"/>
      <c r="H158" s="196"/>
      <c r="I158" s="196"/>
      <c r="J158" s="196"/>
      <c r="K158" s="196">
        <v>0</v>
      </c>
      <c r="L158" s="194">
        <v>0</v>
      </c>
      <c r="M158" s="196">
        <v>0</v>
      </c>
      <c r="N158" s="196">
        <v>1126</v>
      </c>
      <c r="O158" s="196">
        <v>2253297</v>
      </c>
      <c r="P158" s="194">
        <v>0</v>
      </c>
      <c r="Q158" s="196">
        <v>0</v>
      </c>
      <c r="R158" s="197">
        <v>0</v>
      </c>
      <c r="S158" s="196">
        <v>0</v>
      </c>
      <c r="T158" s="197">
        <v>0</v>
      </c>
      <c r="U158" s="288">
        <v>0</v>
      </c>
      <c r="V158" s="282">
        <f>C158-'часть 1'!L169</f>
        <v>0</v>
      </c>
      <c r="W158" s="282"/>
      <c r="X158" s="28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296"/>
    </row>
    <row r="159" spans="1:35" s="278" customFormat="1">
      <c r="A159" s="194">
        <v>151</v>
      </c>
      <c r="B159" s="195" t="s">
        <v>286</v>
      </c>
      <c r="C159" s="196">
        <v>1390061</v>
      </c>
      <c r="D159" s="196"/>
      <c r="E159" s="196"/>
      <c r="F159" s="196"/>
      <c r="G159" s="196"/>
      <c r="H159" s="196"/>
      <c r="I159" s="196"/>
      <c r="J159" s="196"/>
      <c r="K159" s="196" t="e">
        <f>#REF!</f>
        <v>#REF!</v>
      </c>
      <c r="L159" s="194">
        <v>0</v>
      </c>
      <c r="M159" s="196">
        <v>0</v>
      </c>
      <c r="N159" s="196">
        <v>0</v>
      </c>
      <c r="O159" s="196">
        <v>0</v>
      </c>
      <c r="P159" s="194">
        <v>0</v>
      </c>
      <c r="Q159" s="196">
        <v>0</v>
      </c>
      <c r="R159" s="197">
        <v>0</v>
      </c>
      <c r="S159" s="196">
        <v>0</v>
      </c>
      <c r="T159" s="197">
        <v>0</v>
      </c>
      <c r="U159" s="288">
        <v>0</v>
      </c>
      <c r="V159" s="282">
        <f>C159-'часть 1'!L170</f>
        <v>0</v>
      </c>
      <c r="W159" s="282"/>
      <c r="X159" s="282"/>
      <c r="Y159" s="277"/>
      <c r="Z159" s="277"/>
      <c r="AA159" s="277"/>
      <c r="AB159" s="277"/>
      <c r="AC159" s="277"/>
      <c r="AD159" s="277"/>
      <c r="AE159" s="277"/>
      <c r="AF159" s="277"/>
      <c r="AG159" s="277"/>
      <c r="AH159" s="277"/>
      <c r="AI159" s="298"/>
    </row>
    <row r="160" spans="1:35" ht="27.6">
      <c r="A160" s="198">
        <v>152</v>
      </c>
      <c r="B160" s="195" t="s">
        <v>342</v>
      </c>
      <c r="C160" s="196">
        <v>3213804</v>
      </c>
      <c r="D160" s="196"/>
      <c r="E160" s="196"/>
      <c r="F160" s="196"/>
      <c r="G160" s="196"/>
      <c r="H160" s="196"/>
      <c r="I160" s="196"/>
      <c r="J160" s="196"/>
      <c r="K160" s="196">
        <v>846948</v>
      </c>
      <c r="L160" s="194">
        <v>0</v>
      </c>
      <c r="M160" s="196">
        <v>0</v>
      </c>
      <c r="N160" s="196">
        <v>1200</v>
      </c>
      <c r="O160" s="196">
        <v>2366856</v>
      </c>
      <c r="P160" s="194">
        <v>0</v>
      </c>
      <c r="Q160" s="196">
        <v>0</v>
      </c>
      <c r="R160" s="197">
        <v>0</v>
      </c>
      <c r="S160" s="196">
        <v>0</v>
      </c>
      <c r="T160" s="197">
        <v>0</v>
      </c>
      <c r="U160" s="288">
        <v>0</v>
      </c>
      <c r="V160" s="282">
        <f>C160-'часть 1'!L171</f>
        <v>0</v>
      </c>
      <c r="W160" s="282"/>
      <c r="X160" s="28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296"/>
    </row>
    <row r="161" spans="1:35">
      <c r="A161" s="198">
        <v>153</v>
      </c>
      <c r="B161" s="195" t="s">
        <v>298</v>
      </c>
      <c r="C161" s="196">
        <v>3202371</v>
      </c>
      <c r="D161" s="196"/>
      <c r="E161" s="196"/>
      <c r="F161" s="196"/>
      <c r="G161" s="196"/>
      <c r="H161" s="196"/>
      <c r="I161" s="196"/>
      <c r="J161" s="196"/>
      <c r="K161" s="196">
        <v>0</v>
      </c>
      <c r="L161" s="194">
        <v>0</v>
      </c>
      <c r="M161" s="196">
        <v>0</v>
      </c>
      <c r="N161" s="196">
        <v>0</v>
      </c>
      <c r="O161" s="196">
        <v>0</v>
      </c>
      <c r="P161" s="194">
        <v>0</v>
      </c>
      <c r="Q161" s="196">
        <v>0</v>
      </c>
      <c r="R161" s="196">
        <v>2220.83</v>
      </c>
      <c r="S161" s="196">
        <v>3202371</v>
      </c>
      <c r="T161" s="197">
        <v>0</v>
      </c>
      <c r="U161" s="288">
        <v>0</v>
      </c>
      <c r="V161" s="282">
        <f>C161-'часть 1'!L172</f>
        <v>0</v>
      </c>
      <c r="W161" s="282"/>
      <c r="X161" s="28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296"/>
    </row>
    <row r="162" spans="1:35">
      <c r="A162" s="198">
        <v>154</v>
      </c>
      <c r="B162" s="195" t="s">
        <v>253</v>
      </c>
      <c r="C162" s="196">
        <v>709022</v>
      </c>
      <c r="D162" s="196"/>
      <c r="E162" s="196"/>
      <c r="F162" s="196"/>
      <c r="G162" s="196"/>
      <c r="H162" s="196"/>
      <c r="I162" s="196"/>
      <c r="J162" s="196"/>
      <c r="K162" s="196">
        <v>0</v>
      </c>
      <c r="L162" s="194">
        <v>0</v>
      </c>
      <c r="M162" s="196">
        <v>0</v>
      </c>
      <c r="N162" s="196">
        <v>0</v>
      </c>
      <c r="O162" s="196">
        <v>0</v>
      </c>
      <c r="P162" s="194">
        <v>0</v>
      </c>
      <c r="Q162" s="196">
        <v>0</v>
      </c>
      <c r="R162" s="196">
        <v>486.6</v>
      </c>
      <c r="S162" s="199">
        <v>709022</v>
      </c>
      <c r="T162" s="197">
        <v>0</v>
      </c>
      <c r="U162" s="288">
        <v>0</v>
      </c>
      <c r="V162" s="282">
        <f>C162-'часть 1'!L173</f>
        <v>0</v>
      </c>
      <c r="W162" s="282"/>
      <c r="X162" s="28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296"/>
    </row>
    <row r="163" spans="1:35">
      <c r="A163" s="194">
        <v>155</v>
      </c>
      <c r="B163" s="195" t="s">
        <v>260</v>
      </c>
      <c r="C163" s="196">
        <v>1136930</v>
      </c>
      <c r="D163" s="196"/>
      <c r="E163" s="196"/>
      <c r="F163" s="196"/>
      <c r="G163" s="196"/>
      <c r="H163" s="196"/>
      <c r="I163" s="196"/>
      <c r="J163" s="196"/>
      <c r="K163" s="196">
        <v>0</v>
      </c>
      <c r="L163" s="194">
        <v>0</v>
      </c>
      <c r="M163" s="196">
        <v>0</v>
      </c>
      <c r="N163" s="196">
        <v>278</v>
      </c>
      <c r="O163" s="196">
        <v>570382</v>
      </c>
      <c r="P163" s="194">
        <v>0</v>
      </c>
      <c r="Q163" s="196">
        <v>0</v>
      </c>
      <c r="R163" s="196">
        <v>386.88</v>
      </c>
      <c r="S163" s="196">
        <v>566548</v>
      </c>
      <c r="T163" s="197">
        <v>0</v>
      </c>
      <c r="U163" s="288">
        <v>0</v>
      </c>
      <c r="V163" s="282">
        <f>C163-'часть 1'!L174</f>
        <v>0</v>
      </c>
      <c r="W163" s="282"/>
      <c r="X163" s="28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296"/>
    </row>
    <row r="164" spans="1:35">
      <c r="A164" s="198">
        <v>156</v>
      </c>
      <c r="B164" s="195" t="s">
        <v>349</v>
      </c>
      <c r="C164" s="196">
        <v>1320636</v>
      </c>
      <c r="D164" s="196"/>
      <c r="E164" s="196"/>
      <c r="F164" s="196"/>
      <c r="G164" s="196"/>
      <c r="H164" s="196"/>
      <c r="I164" s="196"/>
      <c r="J164" s="196"/>
      <c r="K164" s="196">
        <v>0</v>
      </c>
      <c r="L164" s="194">
        <v>0</v>
      </c>
      <c r="M164" s="196">
        <v>0</v>
      </c>
      <c r="N164" s="203">
        <v>662</v>
      </c>
      <c r="O164" s="199">
        <v>1320636</v>
      </c>
      <c r="P164" s="194">
        <v>0</v>
      </c>
      <c r="Q164" s="196">
        <v>0</v>
      </c>
      <c r="R164" s="197">
        <v>0</v>
      </c>
      <c r="S164" s="196">
        <v>0</v>
      </c>
      <c r="T164" s="197">
        <v>0</v>
      </c>
      <c r="U164" s="288">
        <v>0</v>
      </c>
      <c r="V164" s="282">
        <f>C164-'часть 1'!L175</f>
        <v>0</v>
      </c>
      <c r="W164" s="282"/>
      <c r="X164" s="28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296"/>
    </row>
    <row r="165" spans="1:35">
      <c r="A165" s="198">
        <v>157</v>
      </c>
      <c r="B165" s="195" t="s">
        <v>302</v>
      </c>
      <c r="C165" s="196">
        <v>4265098</v>
      </c>
      <c r="D165" s="196"/>
      <c r="E165" s="196"/>
      <c r="F165" s="196"/>
      <c r="G165" s="196"/>
      <c r="H165" s="196"/>
      <c r="I165" s="196"/>
      <c r="J165" s="196"/>
      <c r="K165" s="196">
        <v>0</v>
      </c>
      <c r="L165" s="194">
        <v>0</v>
      </c>
      <c r="M165" s="196">
        <v>0</v>
      </c>
      <c r="N165" s="196">
        <v>0</v>
      </c>
      <c r="O165" s="196">
        <v>0</v>
      </c>
      <c r="P165" s="194">
        <v>0</v>
      </c>
      <c r="Q165" s="196">
        <v>0</v>
      </c>
      <c r="R165" s="196">
        <v>2927.5</v>
      </c>
      <c r="S165" s="196">
        <v>4265098</v>
      </c>
      <c r="T165" s="197">
        <v>0</v>
      </c>
      <c r="U165" s="288">
        <v>0</v>
      </c>
      <c r="V165" s="282">
        <f>C165-'часть 1'!L176</f>
        <v>0</v>
      </c>
      <c r="W165" s="282"/>
      <c r="X165" s="28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296"/>
    </row>
    <row r="166" spans="1:35">
      <c r="A166" s="198">
        <v>158</v>
      </c>
      <c r="B166" s="195" t="s">
        <v>341</v>
      </c>
      <c r="C166" s="196">
        <v>2115890</v>
      </c>
      <c r="D166" s="196"/>
      <c r="E166" s="196"/>
      <c r="F166" s="196"/>
      <c r="G166" s="196"/>
      <c r="H166" s="196"/>
      <c r="I166" s="196"/>
      <c r="J166" s="196"/>
      <c r="K166" s="196">
        <v>2115890</v>
      </c>
      <c r="L166" s="194">
        <v>0</v>
      </c>
      <c r="M166" s="196">
        <v>0</v>
      </c>
      <c r="N166" s="196">
        <v>0</v>
      </c>
      <c r="O166" s="196">
        <v>0</v>
      </c>
      <c r="P166" s="194">
        <v>0</v>
      </c>
      <c r="Q166" s="196">
        <v>0</v>
      </c>
      <c r="R166" s="197">
        <v>0</v>
      </c>
      <c r="S166" s="196">
        <v>0</v>
      </c>
      <c r="T166" s="197">
        <v>0</v>
      </c>
      <c r="U166" s="288">
        <v>0</v>
      </c>
      <c r="V166" s="282">
        <f>C166-'часть 1'!L177</f>
        <v>0</v>
      </c>
      <c r="W166" s="282"/>
      <c r="X166" s="28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296"/>
    </row>
    <row r="167" spans="1:35">
      <c r="A167" s="198">
        <v>159</v>
      </c>
      <c r="B167" s="195" t="s">
        <v>242</v>
      </c>
      <c r="C167" s="196">
        <v>482251.51</v>
      </c>
      <c r="D167" s="196"/>
      <c r="E167" s="196"/>
      <c r="F167" s="196"/>
      <c r="G167" s="196"/>
      <c r="H167" s="196"/>
      <c r="I167" s="196"/>
      <c r="J167" s="196"/>
      <c r="K167" s="196">
        <v>482251.51</v>
      </c>
      <c r="L167" s="194">
        <v>0</v>
      </c>
      <c r="M167" s="196">
        <v>0</v>
      </c>
      <c r="N167" s="196">
        <v>0</v>
      </c>
      <c r="O167" s="196">
        <v>0</v>
      </c>
      <c r="P167" s="194">
        <v>0</v>
      </c>
      <c r="Q167" s="196">
        <v>0</v>
      </c>
      <c r="R167" s="197">
        <v>0</v>
      </c>
      <c r="S167" s="196">
        <v>0</v>
      </c>
      <c r="T167" s="197">
        <v>0</v>
      </c>
      <c r="U167" s="288">
        <v>0</v>
      </c>
      <c r="V167" s="282">
        <f>C167-'часть 1'!L178</f>
        <v>0</v>
      </c>
      <c r="W167" s="282"/>
      <c r="X167" s="28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296"/>
    </row>
    <row r="168" spans="1:35">
      <c r="A168" s="198">
        <v>160</v>
      </c>
      <c r="B168" s="195" t="s">
        <v>279</v>
      </c>
      <c r="C168" s="196">
        <v>1018040.92</v>
      </c>
      <c r="D168" s="196"/>
      <c r="E168" s="196"/>
      <c r="F168" s="196"/>
      <c r="G168" s="196"/>
      <c r="H168" s="196"/>
      <c r="I168" s="196"/>
      <c r="J168" s="196"/>
      <c r="K168" s="196">
        <v>0</v>
      </c>
      <c r="L168" s="194">
        <v>0</v>
      </c>
      <c r="M168" s="196">
        <v>0</v>
      </c>
      <c r="N168" s="196">
        <v>516.5</v>
      </c>
      <c r="O168" s="196">
        <v>1018040.92</v>
      </c>
      <c r="P168" s="194">
        <v>0</v>
      </c>
      <c r="Q168" s="196">
        <v>0</v>
      </c>
      <c r="R168" s="197">
        <v>0</v>
      </c>
      <c r="S168" s="196">
        <v>0</v>
      </c>
      <c r="T168" s="197">
        <v>0</v>
      </c>
      <c r="U168" s="288">
        <v>0</v>
      </c>
      <c r="V168" s="282">
        <f>C168-'часть 1'!L179</f>
        <v>0</v>
      </c>
      <c r="W168" s="282"/>
      <c r="X168" s="28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296"/>
    </row>
    <row r="169" spans="1:35">
      <c r="A169" s="198">
        <v>161</v>
      </c>
      <c r="B169" s="195" t="s">
        <v>262</v>
      </c>
      <c r="C169" s="196">
        <v>1871554</v>
      </c>
      <c r="D169" s="196"/>
      <c r="E169" s="196"/>
      <c r="F169" s="196"/>
      <c r="G169" s="196"/>
      <c r="H169" s="196"/>
      <c r="I169" s="196"/>
      <c r="J169" s="196"/>
      <c r="K169" s="196">
        <v>0</v>
      </c>
      <c r="L169" s="194">
        <v>1</v>
      </c>
      <c r="M169" s="196">
        <v>1871554</v>
      </c>
      <c r="N169" s="196">
        <v>0</v>
      </c>
      <c r="O169" s="196">
        <v>0</v>
      </c>
      <c r="P169" s="194">
        <v>0</v>
      </c>
      <c r="Q169" s="196">
        <v>0</v>
      </c>
      <c r="R169" s="197">
        <v>0</v>
      </c>
      <c r="S169" s="196">
        <v>0</v>
      </c>
      <c r="T169" s="197">
        <v>0</v>
      </c>
      <c r="U169" s="288">
        <v>0</v>
      </c>
      <c r="V169" s="282">
        <f>C169-'часть 1'!L180</f>
        <v>0</v>
      </c>
      <c r="W169" s="282"/>
      <c r="X169" s="28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296"/>
    </row>
    <row r="170" spans="1:35">
      <c r="A170" s="198">
        <v>162</v>
      </c>
      <c r="B170" s="195" t="s">
        <v>290</v>
      </c>
      <c r="C170" s="196">
        <v>2652530</v>
      </c>
      <c r="D170" s="196"/>
      <c r="E170" s="196"/>
      <c r="F170" s="196"/>
      <c r="G170" s="196"/>
      <c r="H170" s="196"/>
      <c r="I170" s="196"/>
      <c r="J170" s="196"/>
      <c r="K170" s="196">
        <v>2652530</v>
      </c>
      <c r="L170" s="194">
        <v>0</v>
      </c>
      <c r="M170" s="196">
        <v>0</v>
      </c>
      <c r="N170" s="199">
        <v>0</v>
      </c>
      <c r="O170" s="196">
        <v>0</v>
      </c>
      <c r="P170" s="194">
        <v>0</v>
      </c>
      <c r="Q170" s="196">
        <v>0</v>
      </c>
      <c r="R170" s="200">
        <v>0</v>
      </c>
      <c r="S170" s="196">
        <v>0</v>
      </c>
      <c r="T170" s="197">
        <v>0</v>
      </c>
      <c r="U170" s="288">
        <v>0</v>
      </c>
      <c r="V170" s="282">
        <f>C170-'часть 1'!L181</f>
        <v>0</v>
      </c>
      <c r="W170" s="282"/>
      <c r="X170" s="28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296"/>
    </row>
    <row r="171" spans="1:35">
      <c r="A171" s="198">
        <v>163</v>
      </c>
      <c r="B171" s="195" t="s">
        <v>356</v>
      </c>
      <c r="C171" s="196">
        <v>3645969</v>
      </c>
      <c r="D171" s="196"/>
      <c r="E171" s="196"/>
      <c r="F171" s="196"/>
      <c r="G171" s="196"/>
      <c r="H171" s="196"/>
      <c r="I171" s="196"/>
      <c r="J171" s="196"/>
      <c r="K171" s="196" t="e">
        <f>#REF!</f>
        <v>#REF!</v>
      </c>
      <c r="L171" s="194">
        <v>0</v>
      </c>
      <c r="M171" s="196">
        <v>0</v>
      </c>
      <c r="N171" s="196">
        <v>0</v>
      </c>
      <c r="O171" s="196">
        <v>0</v>
      </c>
      <c r="P171" s="194">
        <v>0</v>
      </c>
      <c r="Q171" s="196">
        <v>0</v>
      </c>
      <c r="R171" s="200">
        <v>0</v>
      </c>
      <c r="S171" s="196">
        <v>0</v>
      </c>
      <c r="T171" s="197">
        <v>0</v>
      </c>
      <c r="U171" s="288">
        <v>0</v>
      </c>
      <c r="V171" s="282">
        <f>C171-'часть 1'!L182</f>
        <v>0</v>
      </c>
      <c r="W171" s="282"/>
      <c r="X171" s="282"/>
      <c r="Y171" s="12"/>
      <c r="Z171" s="12"/>
      <c r="AA171" s="12"/>
      <c r="AB171" s="12"/>
      <c r="AC171" s="4"/>
      <c r="AD171" s="12"/>
      <c r="AE171" s="12"/>
      <c r="AF171" s="12"/>
      <c r="AG171" s="12"/>
      <c r="AH171" s="12"/>
      <c r="AI171" s="296"/>
    </row>
    <row r="172" spans="1:35">
      <c r="A172" s="198">
        <v>164</v>
      </c>
      <c r="B172" s="195" t="s">
        <v>354</v>
      </c>
      <c r="C172" s="196">
        <v>771330</v>
      </c>
      <c r="D172" s="196"/>
      <c r="E172" s="196"/>
      <c r="F172" s="196"/>
      <c r="G172" s="196"/>
      <c r="H172" s="196"/>
      <c r="I172" s="196"/>
      <c r="J172" s="196"/>
      <c r="K172" s="196">
        <v>0</v>
      </c>
      <c r="L172" s="194">
        <v>0</v>
      </c>
      <c r="M172" s="196">
        <v>0</v>
      </c>
      <c r="N172" s="196">
        <v>376</v>
      </c>
      <c r="O172" s="196">
        <v>771330</v>
      </c>
      <c r="P172" s="194">
        <v>0</v>
      </c>
      <c r="Q172" s="196">
        <v>0</v>
      </c>
      <c r="R172" s="197">
        <v>0</v>
      </c>
      <c r="S172" s="196">
        <v>0</v>
      </c>
      <c r="T172" s="197">
        <v>0</v>
      </c>
      <c r="U172" s="288">
        <v>0</v>
      </c>
      <c r="V172" s="282">
        <f>C172-'часть 1'!L183</f>
        <v>0</v>
      </c>
      <c r="W172" s="282"/>
      <c r="X172" s="28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296"/>
    </row>
    <row r="173" spans="1:35">
      <c r="A173" s="198">
        <v>165</v>
      </c>
      <c r="B173" s="195" t="s">
        <v>352</v>
      </c>
      <c r="C173" s="196">
        <v>1894719</v>
      </c>
      <c r="D173" s="196"/>
      <c r="E173" s="196"/>
      <c r="F173" s="196"/>
      <c r="G173" s="196"/>
      <c r="H173" s="196"/>
      <c r="I173" s="196"/>
      <c r="J173" s="196"/>
      <c r="K173" s="196">
        <v>0</v>
      </c>
      <c r="L173" s="194">
        <v>1</v>
      </c>
      <c r="M173" s="196">
        <v>1894719</v>
      </c>
      <c r="N173" s="196">
        <v>0</v>
      </c>
      <c r="O173" s="196">
        <v>0</v>
      </c>
      <c r="P173" s="194">
        <v>0</v>
      </c>
      <c r="Q173" s="196">
        <v>0</v>
      </c>
      <c r="R173" s="197">
        <v>0</v>
      </c>
      <c r="S173" s="196">
        <v>0</v>
      </c>
      <c r="T173" s="197">
        <v>0</v>
      </c>
      <c r="U173" s="288">
        <v>0</v>
      </c>
      <c r="V173" s="282">
        <f>C173-'часть 1'!L184</f>
        <v>0</v>
      </c>
      <c r="W173" s="282"/>
      <c r="X173" s="28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296"/>
    </row>
    <row r="174" spans="1:35">
      <c r="A174" s="198">
        <v>166</v>
      </c>
      <c r="B174" s="195" t="s">
        <v>355</v>
      </c>
      <c r="C174" s="196">
        <v>1492412</v>
      </c>
      <c r="D174" s="196"/>
      <c r="E174" s="196"/>
      <c r="F174" s="196"/>
      <c r="G174" s="196"/>
      <c r="H174" s="196"/>
      <c r="I174" s="196"/>
      <c r="J174" s="196"/>
      <c r="K174" s="196">
        <v>0</v>
      </c>
      <c r="L174" s="194">
        <v>0</v>
      </c>
      <c r="M174" s="196">
        <v>0</v>
      </c>
      <c r="N174" s="196">
        <v>752</v>
      </c>
      <c r="O174" s="196">
        <v>1492412</v>
      </c>
      <c r="P174" s="194">
        <v>0</v>
      </c>
      <c r="Q174" s="196">
        <v>0</v>
      </c>
      <c r="R174" s="197">
        <v>0</v>
      </c>
      <c r="S174" s="196">
        <v>0</v>
      </c>
      <c r="T174" s="197">
        <v>0</v>
      </c>
      <c r="U174" s="288">
        <v>0</v>
      </c>
      <c r="V174" s="282">
        <f>C174-'часть 1'!L185</f>
        <v>0</v>
      </c>
      <c r="W174" s="282"/>
      <c r="X174" s="28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296"/>
    </row>
    <row r="175" spans="1:35">
      <c r="A175" s="198">
        <v>167</v>
      </c>
      <c r="B175" s="195" t="s">
        <v>318</v>
      </c>
      <c r="C175" s="196">
        <v>651523.25</v>
      </c>
      <c r="D175" s="196"/>
      <c r="E175" s="196"/>
      <c r="F175" s="196"/>
      <c r="G175" s="196"/>
      <c r="H175" s="196"/>
      <c r="I175" s="196"/>
      <c r="J175" s="196"/>
      <c r="K175" s="196">
        <v>651523.25</v>
      </c>
      <c r="L175" s="194">
        <v>0</v>
      </c>
      <c r="M175" s="196">
        <v>0</v>
      </c>
      <c r="N175" s="199">
        <v>0</v>
      </c>
      <c r="O175" s="196">
        <v>0</v>
      </c>
      <c r="P175" s="194">
        <v>0</v>
      </c>
      <c r="Q175" s="196">
        <v>0</v>
      </c>
      <c r="R175" s="200">
        <v>0</v>
      </c>
      <c r="S175" s="196">
        <v>0</v>
      </c>
      <c r="T175" s="197">
        <v>0</v>
      </c>
      <c r="U175" s="288">
        <v>0</v>
      </c>
      <c r="V175" s="282">
        <f>C175-'часть 1'!L186</f>
        <v>0</v>
      </c>
      <c r="W175" s="282"/>
      <c r="X175" s="28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296"/>
    </row>
    <row r="176" spans="1:35" ht="15" thickBot="1">
      <c r="A176" s="198">
        <v>168</v>
      </c>
      <c r="B176" s="195" t="s">
        <v>353</v>
      </c>
      <c r="C176" s="196">
        <v>1221424.83</v>
      </c>
      <c r="D176" s="196"/>
      <c r="E176" s="196"/>
      <c r="F176" s="196"/>
      <c r="G176" s="196"/>
      <c r="H176" s="196"/>
      <c r="I176" s="196"/>
      <c r="J176" s="196"/>
      <c r="K176" s="196">
        <v>0</v>
      </c>
      <c r="L176" s="194">
        <v>0</v>
      </c>
      <c r="M176" s="196">
        <v>0</v>
      </c>
      <c r="N176" s="196">
        <v>640</v>
      </c>
      <c r="O176" s="196">
        <v>1221424.83</v>
      </c>
      <c r="P176" s="194">
        <v>0</v>
      </c>
      <c r="Q176" s="196">
        <v>0</v>
      </c>
      <c r="R176" s="200">
        <v>0</v>
      </c>
      <c r="S176" s="196">
        <v>0</v>
      </c>
      <c r="T176" s="197">
        <v>0</v>
      </c>
      <c r="U176" s="288">
        <v>0</v>
      </c>
      <c r="V176" s="282">
        <f>C176-'часть 1'!L187</f>
        <v>0</v>
      </c>
      <c r="W176" s="282"/>
      <c r="X176" s="282"/>
      <c r="Y176" s="65"/>
      <c r="Z176" s="12"/>
      <c r="AA176" s="65"/>
      <c r="AB176" s="12"/>
      <c r="AC176" s="65"/>
      <c r="AD176" s="12"/>
      <c r="AE176" s="65"/>
      <c r="AF176" s="12"/>
      <c r="AG176" s="65"/>
      <c r="AH176" s="12"/>
      <c r="AI176" s="299"/>
    </row>
    <row r="177" spans="1:24" ht="31.5" customHeight="1">
      <c r="A177" s="198"/>
      <c r="B177" s="195" t="s">
        <v>91</v>
      </c>
      <c r="C177" s="196">
        <f>C178+C179+C180+C181+C182+C183+C184+C185+C186+C187+C188+C189+C190+C191+C192+C193</f>
        <v>31255395.629999999</v>
      </c>
      <c r="D177" s="196">
        <f t="shared" ref="D177:V177" si="1">D178+D179+D180+D181+D182+D183+D184+D185+D186+D187+D188+D189+D190+D191+D192+D193</f>
        <v>0</v>
      </c>
      <c r="E177" s="196">
        <f t="shared" si="1"/>
        <v>0</v>
      </c>
      <c r="F177" s="196">
        <f t="shared" si="1"/>
        <v>0</v>
      </c>
      <c r="G177" s="196">
        <f t="shared" si="1"/>
        <v>0</v>
      </c>
      <c r="H177" s="196">
        <f t="shared" si="1"/>
        <v>0</v>
      </c>
      <c r="I177" s="196">
        <f t="shared" si="1"/>
        <v>0</v>
      </c>
      <c r="J177" s="196">
        <f t="shared" si="1"/>
        <v>0</v>
      </c>
      <c r="K177" s="196">
        <f t="shared" si="1"/>
        <v>0</v>
      </c>
      <c r="L177" s="196">
        <f t="shared" si="1"/>
        <v>0</v>
      </c>
      <c r="M177" s="196">
        <f t="shared" si="1"/>
        <v>0</v>
      </c>
      <c r="N177" s="196">
        <f t="shared" si="1"/>
        <v>9743.69</v>
      </c>
      <c r="O177" s="196">
        <f t="shared" si="1"/>
        <v>31255395.629999999</v>
      </c>
      <c r="P177" s="196">
        <f t="shared" si="1"/>
        <v>0</v>
      </c>
      <c r="Q177" s="196">
        <f t="shared" si="1"/>
        <v>0</v>
      </c>
      <c r="R177" s="196">
        <f t="shared" si="1"/>
        <v>0</v>
      </c>
      <c r="S177" s="196">
        <f t="shared" si="1"/>
        <v>0</v>
      </c>
      <c r="T177" s="196">
        <f t="shared" si="1"/>
        <v>0</v>
      </c>
      <c r="U177" s="196">
        <f t="shared" si="1"/>
        <v>0</v>
      </c>
      <c r="V177" s="196">
        <f t="shared" si="1"/>
        <v>0</v>
      </c>
      <c r="W177" s="282"/>
      <c r="X177" s="282"/>
    </row>
    <row r="178" spans="1:24" ht="15.6">
      <c r="A178" s="198">
        <v>1</v>
      </c>
      <c r="B178" s="941" t="s">
        <v>927</v>
      </c>
      <c r="C178" s="196">
        <f>'часть 1'!L189</f>
        <v>3615424</v>
      </c>
      <c r="D178" s="196">
        <v>0</v>
      </c>
      <c r="E178" s="196">
        <v>0</v>
      </c>
      <c r="F178" s="196">
        <v>0</v>
      </c>
      <c r="G178" s="196">
        <v>0</v>
      </c>
      <c r="H178" s="196">
        <v>0</v>
      </c>
      <c r="I178" s="196">
        <v>0</v>
      </c>
      <c r="J178" s="196">
        <v>0</v>
      </c>
      <c r="K178" s="196">
        <v>0</v>
      </c>
      <c r="L178" s="207">
        <v>0</v>
      </c>
      <c r="M178" s="199">
        <v>0</v>
      </c>
      <c r="N178" s="199">
        <v>1138</v>
      </c>
      <c r="O178" s="199">
        <f>C178</f>
        <v>3615424</v>
      </c>
      <c r="P178" s="208">
        <v>0</v>
      </c>
      <c r="Q178" s="199">
        <v>0</v>
      </c>
      <c r="R178" s="200">
        <v>0</v>
      </c>
      <c r="S178" s="209">
        <v>0</v>
      </c>
      <c r="T178" s="208">
        <v>0</v>
      </c>
      <c r="U178" s="289">
        <v>0</v>
      </c>
      <c r="V178" s="282"/>
      <c r="W178" s="282">
        <f>O178/N178</f>
        <v>3176.9982425307558</v>
      </c>
      <c r="X178" s="282"/>
    </row>
    <row r="179" spans="1:24" ht="15.6">
      <c r="A179" s="198">
        <v>2</v>
      </c>
      <c r="B179" s="941" t="s">
        <v>928</v>
      </c>
      <c r="C179" s="196">
        <f>'часть 1'!L190</f>
        <v>3435122.02</v>
      </c>
      <c r="D179" s="196">
        <v>0</v>
      </c>
      <c r="E179" s="196">
        <v>0</v>
      </c>
      <c r="F179" s="196">
        <v>0</v>
      </c>
      <c r="G179" s="196">
        <v>0</v>
      </c>
      <c r="H179" s="196">
        <v>0</v>
      </c>
      <c r="I179" s="196">
        <v>0</v>
      </c>
      <c r="J179" s="196">
        <v>0</v>
      </c>
      <c r="K179" s="196">
        <v>0</v>
      </c>
      <c r="L179" s="207">
        <v>0</v>
      </c>
      <c r="M179" s="199">
        <v>0</v>
      </c>
      <c r="N179" s="199">
        <v>1550</v>
      </c>
      <c r="O179" s="199">
        <f t="shared" ref="O179:O193" si="2">C179</f>
        <v>3435122.02</v>
      </c>
      <c r="P179" s="208">
        <v>0</v>
      </c>
      <c r="Q179" s="199">
        <v>0</v>
      </c>
      <c r="R179" s="200">
        <v>0</v>
      </c>
      <c r="S179" s="209">
        <v>0</v>
      </c>
      <c r="T179" s="208">
        <v>0</v>
      </c>
      <c r="U179" s="289">
        <v>0</v>
      </c>
      <c r="V179" s="282"/>
      <c r="W179" s="282">
        <f t="shared" ref="W179:W193" si="3">O179/N179</f>
        <v>2216.2077548387097</v>
      </c>
      <c r="X179" s="282"/>
    </row>
    <row r="180" spans="1:24" ht="15.6">
      <c r="A180" s="198">
        <v>3</v>
      </c>
      <c r="B180" s="941" t="s">
        <v>929</v>
      </c>
      <c r="C180" s="196">
        <f>'часть 1'!L191</f>
        <v>1525199</v>
      </c>
      <c r="D180" s="196">
        <v>0</v>
      </c>
      <c r="E180" s="196">
        <v>0</v>
      </c>
      <c r="F180" s="196">
        <v>0</v>
      </c>
      <c r="G180" s="196">
        <v>0</v>
      </c>
      <c r="H180" s="196">
        <v>0</v>
      </c>
      <c r="I180" s="196">
        <v>0</v>
      </c>
      <c r="J180" s="196">
        <v>0</v>
      </c>
      <c r="K180" s="196">
        <v>0</v>
      </c>
      <c r="L180" s="207">
        <v>0</v>
      </c>
      <c r="M180" s="199">
        <v>0</v>
      </c>
      <c r="N180" s="199">
        <v>483.1</v>
      </c>
      <c r="O180" s="199">
        <f t="shared" si="2"/>
        <v>1525199</v>
      </c>
      <c r="P180" s="208">
        <v>0</v>
      </c>
      <c r="Q180" s="199">
        <v>0</v>
      </c>
      <c r="R180" s="200">
        <v>0</v>
      </c>
      <c r="S180" s="209">
        <v>0</v>
      </c>
      <c r="T180" s="208">
        <v>0</v>
      </c>
      <c r="U180" s="289">
        <v>0</v>
      </c>
      <c r="V180" s="282"/>
      <c r="W180" s="282">
        <f t="shared" si="3"/>
        <v>3157.1082591595941</v>
      </c>
      <c r="X180" s="282"/>
    </row>
    <row r="181" spans="1:24" ht="15.6">
      <c r="A181" s="198">
        <v>4</v>
      </c>
      <c r="B181" s="941" t="s">
        <v>930</v>
      </c>
      <c r="C181" s="196">
        <f>'часть 1'!L192</f>
        <v>2379167.9900000002</v>
      </c>
      <c r="D181" s="196">
        <v>0</v>
      </c>
      <c r="E181" s="196">
        <v>0</v>
      </c>
      <c r="F181" s="196">
        <v>0</v>
      </c>
      <c r="G181" s="196">
        <v>0</v>
      </c>
      <c r="H181" s="196">
        <v>0</v>
      </c>
      <c r="I181" s="196">
        <v>0</v>
      </c>
      <c r="J181" s="196">
        <v>0</v>
      </c>
      <c r="K181" s="196">
        <v>0</v>
      </c>
      <c r="L181" s="207">
        <v>0</v>
      </c>
      <c r="M181" s="199">
        <v>0</v>
      </c>
      <c r="N181" s="199">
        <v>840</v>
      </c>
      <c r="O181" s="199">
        <f t="shared" si="2"/>
        <v>2379167.9900000002</v>
      </c>
      <c r="P181" s="208">
        <v>0</v>
      </c>
      <c r="Q181" s="199">
        <v>0</v>
      </c>
      <c r="R181" s="200">
        <v>0</v>
      </c>
      <c r="S181" s="209">
        <v>0</v>
      </c>
      <c r="T181" s="208">
        <v>0</v>
      </c>
      <c r="U181" s="289">
        <v>0</v>
      </c>
      <c r="V181" s="282"/>
      <c r="W181" s="282">
        <f t="shared" si="3"/>
        <v>2832.3428452380954</v>
      </c>
      <c r="X181" s="282"/>
    </row>
    <row r="182" spans="1:24" ht="15.6">
      <c r="A182" s="198">
        <v>5</v>
      </c>
      <c r="B182" s="941" t="s">
        <v>931</v>
      </c>
      <c r="C182" s="196">
        <f>'часть 1'!L193</f>
        <v>2435193</v>
      </c>
      <c r="D182" s="196">
        <v>0</v>
      </c>
      <c r="E182" s="196">
        <v>0</v>
      </c>
      <c r="F182" s="196">
        <v>0</v>
      </c>
      <c r="G182" s="196">
        <v>0</v>
      </c>
      <c r="H182" s="196">
        <v>0</v>
      </c>
      <c r="I182" s="196">
        <v>0</v>
      </c>
      <c r="J182" s="196">
        <v>0</v>
      </c>
      <c r="K182" s="196">
        <v>0</v>
      </c>
      <c r="L182" s="207">
        <v>0</v>
      </c>
      <c r="M182" s="199">
        <v>0</v>
      </c>
      <c r="N182" s="199">
        <v>770</v>
      </c>
      <c r="O182" s="199">
        <f t="shared" si="2"/>
        <v>2435193</v>
      </c>
      <c r="P182" s="208">
        <v>0</v>
      </c>
      <c r="Q182" s="199">
        <v>0</v>
      </c>
      <c r="R182" s="200">
        <v>0</v>
      </c>
      <c r="S182" s="209">
        <v>0</v>
      </c>
      <c r="T182" s="208">
        <v>0</v>
      </c>
      <c r="U182" s="289">
        <v>0</v>
      </c>
      <c r="V182" s="282"/>
      <c r="W182" s="282">
        <f t="shared" si="3"/>
        <v>3162.5883116883115</v>
      </c>
      <c r="X182" s="282"/>
    </row>
    <row r="183" spans="1:24" ht="15.6">
      <c r="A183" s="198">
        <v>6</v>
      </c>
      <c r="B183" s="941" t="s">
        <v>932</v>
      </c>
      <c r="C183" s="196">
        <f>'часть 1'!L194</f>
        <v>2705457.32</v>
      </c>
      <c r="D183" s="196">
        <v>0</v>
      </c>
      <c r="E183" s="196">
        <v>0</v>
      </c>
      <c r="F183" s="196">
        <v>0</v>
      </c>
      <c r="G183" s="196">
        <v>0</v>
      </c>
      <c r="H183" s="196">
        <v>0</v>
      </c>
      <c r="I183" s="196">
        <v>0</v>
      </c>
      <c r="J183" s="196">
        <v>0</v>
      </c>
      <c r="K183" s="196">
        <v>0</v>
      </c>
      <c r="L183" s="207">
        <v>0</v>
      </c>
      <c r="M183" s="199">
        <v>0</v>
      </c>
      <c r="N183" s="199"/>
      <c r="O183" s="199">
        <f t="shared" si="2"/>
        <v>2705457.32</v>
      </c>
      <c r="P183" s="208">
        <v>0</v>
      </c>
      <c r="Q183" s="199">
        <v>0</v>
      </c>
      <c r="R183" s="200">
        <v>0</v>
      </c>
      <c r="S183" s="209">
        <v>0</v>
      </c>
      <c r="T183" s="208">
        <v>0</v>
      </c>
      <c r="U183" s="289">
        <v>0</v>
      </c>
      <c r="V183" s="282"/>
      <c r="W183" s="282" t="e">
        <f t="shared" si="3"/>
        <v>#DIV/0!</v>
      </c>
      <c r="X183" s="282"/>
    </row>
    <row r="184" spans="1:24" ht="15.6">
      <c r="A184" s="198">
        <v>7</v>
      </c>
      <c r="B184" s="941" t="s">
        <v>933</v>
      </c>
      <c r="C184" s="196">
        <f>'часть 1'!L195</f>
        <v>954408.5</v>
      </c>
      <c r="D184" s="196">
        <v>0</v>
      </c>
      <c r="E184" s="196">
        <v>0</v>
      </c>
      <c r="F184" s="196">
        <v>0</v>
      </c>
      <c r="G184" s="196">
        <v>0</v>
      </c>
      <c r="H184" s="196">
        <v>0</v>
      </c>
      <c r="I184" s="196">
        <v>0</v>
      </c>
      <c r="J184" s="196">
        <v>0</v>
      </c>
      <c r="K184" s="196">
        <v>0</v>
      </c>
      <c r="L184" s="207">
        <v>0</v>
      </c>
      <c r="M184" s="199">
        <v>0</v>
      </c>
      <c r="N184" s="199">
        <v>451.2</v>
      </c>
      <c r="O184" s="199">
        <f t="shared" si="2"/>
        <v>954408.5</v>
      </c>
      <c r="P184" s="208">
        <v>0</v>
      </c>
      <c r="Q184" s="199">
        <v>0</v>
      </c>
      <c r="R184" s="200">
        <v>0</v>
      </c>
      <c r="S184" s="209">
        <v>0</v>
      </c>
      <c r="T184" s="208">
        <v>0</v>
      </c>
      <c r="U184" s="289">
        <v>0</v>
      </c>
      <c r="V184" s="282"/>
      <c r="W184" s="282">
        <f t="shared" si="3"/>
        <v>2115.2670656028367</v>
      </c>
      <c r="X184" s="282"/>
    </row>
    <row r="185" spans="1:24" ht="15.6">
      <c r="A185" s="198">
        <v>8</v>
      </c>
      <c r="B185" s="941" t="s">
        <v>934</v>
      </c>
      <c r="C185" s="196">
        <f>'часть 1'!L196</f>
        <v>2430125</v>
      </c>
      <c r="D185" s="196">
        <v>0</v>
      </c>
      <c r="E185" s="196">
        <v>0</v>
      </c>
      <c r="F185" s="196">
        <v>0</v>
      </c>
      <c r="G185" s="196">
        <v>0</v>
      </c>
      <c r="H185" s="196">
        <v>0</v>
      </c>
      <c r="I185" s="196">
        <v>0</v>
      </c>
      <c r="J185" s="196">
        <v>0</v>
      </c>
      <c r="K185" s="196">
        <v>0</v>
      </c>
      <c r="L185" s="207">
        <v>0</v>
      </c>
      <c r="M185" s="199">
        <v>0</v>
      </c>
      <c r="N185" s="199">
        <v>571.03</v>
      </c>
      <c r="O185" s="199">
        <f t="shared" si="2"/>
        <v>2430125</v>
      </c>
      <c r="P185" s="208">
        <v>0</v>
      </c>
      <c r="Q185" s="199">
        <v>0</v>
      </c>
      <c r="R185" s="200">
        <v>0</v>
      </c>
      <c r="S185" s="209">
        <v>0</v>
      </c>
      <c r="T185" s="208">
        <v>0</v>
      </c>
      <c r="U185" s="289">
        <v>0</v>
      </c>
      <c r="V185" s="282"/>
      <c r="W185" s="282">
        <f t="shared" si="3"/>
        <v>4255.687091746493</v>
      </c>
      <c r="X185" s="282"/>
    </row>
    <row r="186" spans="1:24" ht="15.6">
      <c r="A186" s="198">
        <v>9</v>
      </c>
      <c r="B186" s="941" t="s">
        <v>935</v>
      </c>
      <c r="C186" s="196">
        <f>'часть 1'!L197</f>
        <v>2505651</v>
      </c>
      <c r="D186" s="196">
        <v>0</v>
      </c>
      <c r="E186" s="196">
        <v>0</v>
      </c>
      <c r="F186" s="196">
        <v>0</v>
      </c>
      <c r="G186" s="196">
        <v>0</v>
      </c>
      <c r="H186" s="196">
        <v>0</v>
      </c>
      <c r="I186" s="196">
        <v>0</v>
      </c>
      <c r="J186" s="196">
        <v>0</v>
      </c>
      <c r="K186" s="196">
        <v>0</v>
      </c>
      <c r="L186" s="207">
        <v>0</v>
      </c>
      <c r="M186" s="199">
        <v>0</v>
      </c>
      <c r="N186" s="199">
        <v>792</v>
      </c>
      <c r="O186" s="199">
        <f t="shared" si="2"/>
        <v>2505651</v>
      </c>
      <c r="P186" s="208">
        <v>0</v>
      </c>
      <c r="Q186" s="199">
        <v>0</v>
      </c>
      <c r="R186" s="200">
        <v>0</v>
      </c>
      <c r="S186" s="209">
        <v>0</v>
      </c>
      <c r="T186" s="208">
        <v>0</v>
      </c>
      <c r="U186" s="289">
        <v>0</v>
      </c>
      <c r="V186" s="282"/>
      <c r="W186" s="282">
        <f t="shared" si="3"/>
        <v>3163.7007575757575</v>
      </c>
      <c r="X186" s="282"/>
    </row>
    <row r="187" spans="1:24" ht="15.6">
      <c r="A187" s="198">
        <v>10</v>
      </c>
      <c r="B187" s="941" t="s">
        <v>936</v>
      </c>
      <c r="C187" s="196">
        <f>'часть 1'!L198</f>
        <v>1546987</v>
      </c>
      <c r="D187" s="196">
        <v>0</v>
      </c>
      <c r="E187" s="196">
        <v>0</v>
      </c>
      <c r="F187" s="196">
        <v>0</v>
      </c>
      <c r="G187" s="196">
        <v>0</v>
      </c>
      <c r="H187" s="196">
        <v>0</v>
      </c>
      <c r="I187" s="196">
        <v>0</v>
      </c>
      <c r="J187" s="196">
        <v>0</v>
      </c>
      <c r="K187" s="196">
        <v>0</v>
      </c>
      <c r="L187" s="207">
        <v>0</v>
      </c>
      <c r="M187" s="199">
        <v>0</v>
      </c>
      <c r="N187" s="199">
        <v>485</v>
      </c>
      <c r="O187" s="199">
        <f t="shared" si="2"/>
        <v>1546987</v>
      </c>
      <c r="P187" s="208">
        <v>0</v>
      </c>
      <c r="Q187" s="199">
        <v>0</v>
      </c>
      <c r="R187" s="200">
        <v>0</v>
      </c>
      <c r="S187" s="209">
        <v>0</v>
      </c>
      <c r="T187" s="208">
        <v>0</v>
      </c>
      <c r="U187" s="289">
        <v>0</v>
      </c>
      <c r="V187" s="282"/>
      <c r="W187" s="282">
        <f t="shared" si="3"/>
        <v>3189.6639175257733</v>
      </c>
      <c r="X187" s="282"/>
    </row>
    <row r="188" spans="1:24" ht="15.6">
      <c r="A188" s="198">
        <v>11</v>
      </c>
      <c r="B188" s="941" t="s">
        <v>937</v>
      </c>
      <c r="C188" s="196">
        <f>'часть 1'!L199</f>
        <v>709600</v>
      </c>
      <c r="D188" s="196">
        <v>0</v>
      </c>
      <c r="E188" s="196">
        <v>0</v>
      </c>
      <c r="F188" s="196">
        <v>0</v>
      </c>
      <c r="G188" s="196">
        <v>0</v>
      </c>
      <c r="H188" s="196">
        <v>0</v>
      </c>
      <c r="I188" s="196">
        <v>0</v>
      </c>
      <c r="J188" s="196">
        <v>0</v>
      </c>
      <c r="K188" s="196">
        <v>0</v>
      </c>
      <c r="L188" s="207">
        <v>0</v>
      </c>
      <c r="M188" s="199">
        <v>0</v>
      </c>
      <c r="N188" s="199">
        <v>220.36</v>
      </c>
      <c r="O188" s="199">
        <f t="shared" si="2"/>
        <v>709600</v>
      </c>
      <c r="P188" s="208">
        <v>0</v>
      </c>
      <c r="Q188" s="199">
        <v>0</v>
      </c>
      <c r="R188" s="200">
        <v>0</v>
      </c>
      <c r="S188" s="209">
        <v>0</v>
      </c>
      <c r="T188" s="208">
        <v>0</v>
      </c>
      <c r="U188" s="289">
        <v>0</v>
      </c>
      <c r="V188" s="282"/>
      <c r="W188" s="282">
        <f t="shared" si="3"/>
        <v>3220.1851515701578</v>
      </c>
      <c r="X188" s="282"/>
    </row>
    <row r="189" spans="1:24" ht="15.6">
      <c r="A189" s="198">
        <v>12</v>
      </c>
      <c r="B189" s="941" t="s">
        <v>938</v>
      </c>
      <c r="C189" s="196">
        <f>'часть 1'!L200</f>
        <v>446509</v>
      </c>
      <c r="D189" s="196">
        <v>0</v>
      </c>
      <c r="E189" s="196">
        <v>0</v>
      </c>
      <c r="F189" s="196">
        <v>0</v>
      </c>
      <c r="G189" s="196">
        <v>0</v>
      </c>
      <c r="H189" s="196">
        <v>0</v>
      </c>
      <c r="I189" s="196">
        <v>0</v>
      </c>
      <c r="J189" s="196">
        <v>0</v>
      </c>
      <c r="K189" s="196">
        <v>0</v>
      </c>
      <c r="L189" s="207">
        <v>0</v>
      </c>
      <c r="M189" s="199">
        <v>0</v>
      </c>
      <c r="N189" s="199">
        <v>135.80000000000001</v>
      </c>
      <c r="O189" s="199">
        <f t="shared" si="2"/>
        <v>446509</v>
      </c>
      <c r="P189" s="208">
        <v>0</v>
      </c>
      <c r="Q189" s="199">
        <v>0</v>
      </c>
      <c r="R189" s="200">
        <v>0</v>
      </c>
      <c r="S189" s="209">
        <v>0</v>
      </c>
      <c r="T189" s="208">
        <v>0</v>
      </c>
      <c r="U189" s="289">
        <v>0</v>
      </c>
      <c r="V189" s="282"/>
      <c r="W189" s="282">
        <f t="shared" si="3"/>
        <v>3287.9896907216494</v>
      </c>
      <c r="X189" s="282"/>
    </row>
    <row r="190" spans="1:24" ht="15.6">
      <c r="A190" s="198">
        <v>13</v>
      </c>
      <c r="B190" s="941" t="s">
        <v>413</v>
      </c>
      <c r="C190" s="196">
        <f>'часть 1'!L201</f>
        <v>1205824</v>
      </c>
      <c r="D190" s="196">
        <v>0</v>
      </c>
      <c r="E190" s="196">
        <v>0</v>
      </c>
      <c r="F190" s="196">
        <v>0</v>
      </c>
      <c r="G190" s="196">
        <v>0</v>
      </c>
      <c r="H190" s="196">
        <v>0</v>
      </c>
      <c r="I190" s="196">
        <v>0</v>
      </c>
      <c r="J190" s="196">
        <v>0</v>
      </c>
      <c r="K190" s="196">
        <v>0</v>
      </c>
      <c r="L190" s="207">
        <v>0</v>
      </c>
      <c r="M190" s="199">
        <v>0</v>
      </c>
      <c r="N190" s="199">
        <v>380</v>
      </c>
      <c r="O190" s="199">
        <f t="shared" si="2"/>
        <v>1205824</v>
      </c>
      <c r="P190" s="208">
        <v>0</v>
      </c>
      <c r="Q190" s="199">
        <v>0</v>
      </c>
      <c r="R190" s="200">
        <v>0</v>
      </c>
      <c r="S190" s="209">
        <v>0</v>
      </c>
      <c r="T190" s="208">
        <v>0</v>
      </c>
      <c r="U190" s="289">
        <v>0</v>
      </c>
      <c r="V190" s="282"/>
      <c r="W190" s="282">
        <f t="shared" si="3"/>
        <v>3173.2210526315789</v>
      </c>
      <c r="X190" s="282"/>
    </row>
    <row r="191" spans="1:24" ht="15.6">
      <c r="A191" s="198">
        <v>14</v>
      </c>
      <c r="B191" s="941" t="s">
        <v>939</v>
      </c>
      <c r="C191" s="196">
        <f>'часть 1'!L202</f>
        <v>818595.8</v>
      </c>
      <c r="D191" s="196">
        <v>0</v>
      </c>
      <c r="E191" s="196">
        <v>0</v>
      </c>
      <c r="F191" s="196">
        <v>0</v>
      </c>
      <c r="G191" s="196">
        <v>0</v>
      </c>
      <c r="H191" s="196">
        <v>0</v>
      </c>
      <c r="I191" s="196">
        <v>0</v>
      </c>
      <c r="J191" s="196">
        <v>0</v>
      </c>
      <c r="K191" s="196">
        <v>0</v>
      </c>
      <c r="L191" s="207">
        <v>0</v>
      </c>
      <c r="M191" s="199">
        <v>0</v>
      </c>
      <c r="N191" s="199">
        <v>250</v>
      </c>
      <c r="O191" s="199">
        <f t="shared" si="2"/>
        <v>818595.8</v>
      </c>
      <c r="P191" s="208">
        <v>0</v>
      </c>
      <c r="Q191" s="199">
        <v>0</v>
      </c>
      <c r="R191" s="200">
        <v>0</v>
      </c>
      <c r="S191" s="209">
        <v>0</v>
      </c>
      <c r="T191" s="208">
        <v>0</v>
      </c>
      <c r="U191" s="289">
        <v>0</v>
      </c>
      <c r="V191" s="282"/>
      <c r="W191" s="282">
        <f t="shared" si="3"/>
        <v>3274.3832000000002</v>
      </c>
      <c r="X191" s="282"/>
    </row>
    <row r="192" spans="1:24" ht="22.95" customHeight="1">
      <c r="A192" s="198">
        <v>15</v>
      </c>
      <c r="B192" s="941" t="s">
        <v>940</v>
      </c>
      <c r="C192" s="196">
        <f>'часть 1'!L203</f>
        <v>2707283</v>
      </c>
      <c r="D192" s="196">
        <v>0</v>
      </c>
      <c r="E192" s="196">
        <v>0</v>
      </c>
      <c r="F192" s="196">
        <v>0</v>
      </c>
      <c r="G192" s="196">
        <v>0</v>
      </c>
      <c r="H192" s="196">
        <v>0</v>
      </c>
      <c r="I192" s="196">
        <v>0</v>
      </c>
      <c r="J192" s="196">
        <v>0</v>
      </c>
      <c r="K192" s="196">
        <v>0</v>
      </c>
      <c r="L192" s="207">
        <v>0</v>
      </c>
      <c r="M192" s="199">
        <v>0</v>
      </c>
      <c r="N192" s="199">
        <v>1095</v>
      </c>
      <c r="O192" s="199">
        <f t="shared" si="2"/>
        <v>2707283</v>
      </c>
      <c r="P192" s="208">
        <v>0</v>
      </c>
      <c r="Q192" s="199">
        <v>0</v>
      </c>
      <c r="R192" s="200">
        <v>0</v>
      </c>
      <c r="S192" s="209">
        <v>0</v>
      </c>
      <c r="T192" s="208">
        <v>0</v>
      </c>
      <c r="U192" s="289">
        <v>0</v>
      </c>
      <c r="V192" s="282"/>
      <c r="W192" s="282">
        <f t="shared" si="3"/>
        <v>2472.4045662100457</v>
      </c>
      <c r="X192" s="282"/>
    </row>
    <row r="193" spans="1:27" ht="21" customHeight="1">
      <c r="A193" s="198">
        <v>16</v>
      </c>
      <c r="B193" s="941" t="s">
        <v>941</v>
      </c>
      <c r="C193" s="196">
        <f>'часть 1'!L204</f>
        <v>1834849</v>
      </c>
      <c r="D193" s="196">
        <v>0</v>
      </c>
      <c r="E193" s="196">
        <v>0</v>
      </c>
      <c r="F193" s="196">
        <v>0</v>
      </c>
      <c r="G193" s="196">
        <v>0</v>
      </c>
      <c r="H193" s="196">
        <v>0</v>
      </c>
      <c r="I193" s="196">
        <v>0</v>
      </c>
      <c r="J193" s="196">
        <v>0</v>
      </c>
      <c r="K193" s="196">
        <v>0</v>
      </c>
      <c r="L193" s="207">
        <v>0</v>
      </c>
      <c r="M193" s="199">
        <v>0</v>
      </c>
      <c r="N193" s="199">
        <v>582.20000000000005</v>
      </c>
      <c r="O193" s="199">
        <f t="shared" si="2"/>
        <v>1834849</v>
      </c>
      <c r="P193" s="208">
        <v>0</v>
      </c>
      <c r="Q193" s="199">
        <v>0</v>
      </c>
      <c r="R193" s="200">
        <v>0</v>
      </c>
      <c r="S193" s="209">
        <v>0</v>
      </c>
      <c r="T193" s="208">
        <v>0</v>
      </c>
      <c r="U193" s="289">
        <v>0</v>
      </c>
      <c r="V193" s="282"/>
      <c r="W193" s="282">
        <f t="shared" si="3"/>
        <v>3151.5784953624184</v>
      </c>
      <c r="X193" s="282"/>
    </row>
    <row r="194" spans="1:27" ht="18.75" customHeight="1">
      <c r="A194" s="430"/>
      <c r="B194" s="467" t="s">
        <v>92</v>
      </c>
      <c r="C194" s="432">
        <f>C195</f>
        <v>366350</v>
      </c>
      <c r="D194" s="432">
        <f t="shared" ref="D194:U194" si="4">D195</f>
        <v>366350</v>
      </c>
      <c r="E194" s="432">
        <f t="shared" si="4"/>
        <v>0</v>
      </c>
      <c r="F194" s="432">
        <f t="shared" si="4"/>
        <v>366350</v>
      </c>
      <c r="G194" s="432">
        <f t="shared" si="4"/>
        <v>0</v>
      </c>
      <c r="H194" s="432">
        <f t="shared" si="4"/>
        <v>0</v>
      </c>
      <c r="I194" s="432">
        <f t="shared" si="4"/>
        <v>0</v>
      </c>
      <c r="J194" s="432">
        <f t="shared" si="4"/>
        <v>0</v>
      </c>
      <c r="K194" s="432">
        <f t="shared" si="4"/>
        <v>0</v>
      </c>
      <c r="L194" s="432">
        <f t="shared" si="4"/>
        <v>0</v>
      </c>
      <c r="M194" s="432">
        <f t="shared" si="4"/>
        <v>0</v>
      </c>
      <c r="N194" s="432">
        <f t="shared" si="4"/>
        <v>0</v>
      </c>
      <c r="O194" s="432">
        <f t="shared" si="4"/>
        <v>0</v>
      </c>
      <c r="P194" s="432">
        <f t="shared" si="4"/>
        <v>0</v>
      </c>
      <c r="Q194" s="432">
        <f t="shared" si="4"/>
        <v>0</v>
      </c>
      <c r="R194" s="432">
        <f t="shared" si="4"/>
        <v>0</v>
      </c>
      <c r="S194" s="432">
        <f t="shared" si="4"/>
        <v>0</v>
      </c>
      <c r="T194" s="432">
        <f t="shared" si="4"/>
        <v>0</v>
      </c>
      <c r="U194" s="432">
        <f t="shared" si="4"/>
        <v>0</v>
      </c>
      <c r="V194" s="282"/>
      <c r="W194" s="282"/>
      <c r="X194" s="282"/>
    </row>
    <row r="195" spans="1:27">
      <c r="A195" s="430">
        <v>177</v>
      </c>
      <c r="B195" s="467" t="s">
        <v>645</v>
      </c>
      <c r="C195" s="432">
        <f>'часть 1'!L206</f>
        <v>366350</v>
      </c>
      <c r="D195" s="432">
        <f>E195+F195+G195+H195+I195+J195+K195</f>
        <v>366350</v>
      </c>
      <c r="E195" s="432">
        <v>0</v>
      </c>
      <c r="F195" s="432">
        <v>366350</v>
      </c>
      <c r="G195" s="432">
        <v>0</v>
      </c>
      <c r="H195" s="432">
        <v>0</v>
      </c>
      <c r="I195" s="432">
        <v>0</v>
      </c>
      <c r="J195" s="432">
        <v>0</v>
      </c>
      <c r="K195" s="432">
        <v>0</v>
      </c>
      <c r="L195" s="463">
        <v>0</v>
      </c>
      <c r="M195" s="441">
        <v>0</v>
      </c>
      <c r="N195" s="556">
        <v>0</v>
      </c>
      <c r="O195" s="441">
        <v>0</v>
      </c>
      <c r="P195" s="482">
        <v>0</v>
      </c>
      <c r="Q195" s="441">
        <v>0</v>
      </c>
      <c r="R195" s="483">
        <v>0</v>
      </c>
      <c r="S195" s="484">
        <v>0</v>
      </c>
      <c r="T195" s="482">
        <v>0</v>
      </c>
      <c r="U195" s="902">
        <v>0</v>
      </c>
      <c r="V195" s="282"/>
      <c r="W195" s="282"/>
      <c r="X195" s="282"/>
      <c r="AA195" s="1">
        <f>F195/'часть 1'!I206</f>
        <v>923.26108870967744</v>
      </c>
    </row>
    <row r="196" spans="1:27" ht="18.75" customHeight="1">
      <c r="A196" s="430"/>
      <c r="B196" s="431" t="s">
        <v>93</v>
      </c>
      <c r="C196" s="432">
        <f>C197+C198+C199+C200+C201+C202+C203+C204+C205+C206+C207+C208</f>
        <v>31146002</v>
      </c>
      <c r="D196" s="432">
        <f t="shared" ref="D196:U196" si="5">D197+D198+D199+D200+D201+D202+D203+D204+D205+D206+D207+D208</f>
        <v>0</v>
      </c>
      <c r="E196" s="432">
        <f t="shared" si="5"/>
        <v>0</v>
      </c>
      <c r="F196" s="432">
        <f t="shared" si="5"/>
        <v>0</v>
      </c>
      <c r="G196" s="432">
        <f t="shared" si="5"/>
        <v>0</v>
      </c>
      <c r="H196" s="432">
        <f t="shared" si="5"/>
        <v>0</v>
      </c>
      <c r="I196" s="432">
        <f t="shared" si="5"/>
        <v>0</v>
      </c>
      <c r="J196" s="432">
        <f t="shared" si="5"/>
        <v>0</v>
      </c>
      <c r="K196" s="432">
        <f t="shared" si="5"/>
        <v>0</v>
      </c>
      <c r="L196" s="432">
        <f t="shared" si="5"/>
        <v>0</v>
      </c>
      <c r="M196" s="432">
        <f t="shared" si="5"/>
        <v>0</v>
      </c>
      <c r="N196" s="432">
        <f t="shared" si="5"/>
        <v>10349.570000000002</v>
      </c>
      <c r="O196" s="432">
        <f t="shared" si="5"/>
        <v>31146002</v>
      </c>
      <c r="P196" s="432">
        <f t="shared" si="5"/>
        <v>0</v>
      </c>
      <c r="Q196" s="432">
        <f t="shared" si="5"/>
        <v>0</v>
      </c>
      <c r="R196" s="432">
        <f t="shared" si="5"/>
        <v>0</v>
      </c>
      <c r="S196" s="432">
        <f t="shared" si="5"/>
        <v>0</v>
      </c>
      <c r="T196" s="432">
        <f t="shared" si="5"/>
        <v>0</v>
      </c>
      <c r="U196" s="432">
        <f t="shared" si="5"/>
        <v>0</v>
      </c>
      <c r="V196" s="282"/>
      <c r="W196" s="282"/>
      <c r="X196" s="282"/>
    </row>
    <row r="197" spans="1:27" s="23" customFormat="1">
      <c r="A197" s="430">
        <v>178</v>
      </c>
      <c r="B197" s="683" t="s">
        <v>778</v>
      </c>
      <c r="C197" s="439">
        <f>'часть 1'!L208</f>
        <v>2706084</v>
      </c>
      <c r="D197" s="439">
        <v>0</v>
      </c>
      <c r="E197" s="439">
        <v>0</v>
      </c>
      <c r="F197" s="439">
        <v>0</v>
      </c>
      <c r="G197" s="439">
        <v>0</v>
      </c>
      <c r="H197" s="439">
        <v>0</v>
      </c>
      <c r="I197" s="439">
        <v>0</v>
      </c>
      <c r="J197" s="439">
        <v>0</v>
      </c>
      <c r="K197" s="439">
        <v>0</v>
      </c>
      <c r="L197" s="440">
        <v>0</v>
      </c>
      <c r="M197" s="439">
        <v>0</v>
      </c>
      <c r="N197" s="439">
        <v>863.8</v>
      </c>
      <c r="O197" s="439">
        <v>2706084</v>
      </c>
      <c r="P197" s="440">
        <v>0</v>
      </c>
      <c r="Q197" s="439">
        <v>0</v>
      </c>
      <c r="R197" s="442">
        <v>0</v>
      </c>
      <c r="S197" s="439">
        <v>0</v>
      </c>
      <c r="T197" s="440">
        <v>0</v>
      </c>
      <c r="U197" s="443">
        <v>0</v>
      </c>
      <c r="V197" s="282"/>
      <c r="W197" s="282">
        <f>O197/N197</f>
        <v>3132.7668441768928</v>
      </c>
      <c r="X197" s="282"/>
    </row>
    <row r="198" spans="1:27" s="23" customFormat="1">
      <c r="A198" s="430">
        <v>179</v>
      </c>
      <c r="B198" s="683" t="s">
        <v>779</v>
      </c>
      <c r="C198" s="439">
        <f>'часть 1'!L209</f>
        <v>1419136</v>
      </c>
      <c r="D198" s="439">
        <v>0</v>
      </c>
      <c r="E198" s="439">
        <v>0</v>
      </c>
      <c r="F198" s="439">
        <v>0</v>
      </c>
      <c r="G198" s="439">
        <v>0</v>
      </c>
      <c r="H198" s="439">
        <v>0</v>
      </c>
      <c r="I198" s="439">
        <v>0</v>
      </c>
      <c r="J198" s="439">
        <v>0</v>
      </c>
      <c r="K198" s="439">
        <v>0</v>
      </c>
      <c r="L198" s="440">
        <v>0</v>
      </c>
      <c r="M198" s="439">
        <v>0</v>
      </c>
      <c r="N198" s="439">
        <v>448.92</v>
      </c>
      <c r="O198" s="439">
        <v>1419136</v>
      </c>
      <c r="P198" s="440">
        <v>0</v>
      </c>
      <c r="Q198" s="439">
        <v>0</v>
      </c>
      <c r="R198" s="442">
        <v>0</v>
      </c>
      <c r="S198" s="439">
        <v>0</v>
      </c>
      <c r="T198" s="440">
        <v>0</v>
      </c>
      <c r="U198" s="443">
        <v>0</v>
      </c>
      <c r="V198" s="282"/>
      <c r="W198" s="282">
        <f t="shared" ref="W198:W208" si="6">O198/N198</f>
        <v>3161.2224895304284</v>
      </c>
      <c r="X198" s="282"/>
    </row>
    <row r="199" spans="1:27" s="23" customFormat="1">
      <c r="A199" s="430">
        <v>180</v>
      </c>
      <c r="B199" s="683" t="s">
        <v>780</v>
      </c>
      <c r="C199" s="439">
        <f>'часть 1'!L210</f>
        <v>3552093</v>
      </c>
      <c r="D199" s="439">
        <v>0</v>
      </c>
      <c r="E199" s="439">
        <v>0</v>
      </c>
      <c r="F199" s="439">
        <v>0</v>
      </c>
      <c r="G199" s="439">
        <v>0</v>
      </c>
      <c r="H199" s="439">
        <v>0</v>
      </c>
      <c r="I199" s="439">
        <v>0</v>
      </c>
      <c r="J199" s="439">
        <v>0</v>
      </c>
      <c r="K199" s="439">
        <v>0</v>
      </c>
      <c r="L199" s="440">
        <v>0</v>
      </c>
      <c r="M199" s="439">
        <v>0</v>
      </c>
      <c r="N199" s="439">
        <v>1135</v>
      </c>
      <c r="O199" s="439">
        <v>3552093</v>
      </c>
      <c r="P199" s="440">
        <v>0</v>
      </c>
      <c r="Q199" s="439">
        <v>0</v>
      </c>
      <c r="R199" s="442">
        <v>0</v>
      </c>
      <c r="S199" s="439">
        <v>0</v>
      </c>
      <c r="T199" s="440">
        <v>0</v>
      </c>
      <c r="U199" s="443">
        <v>0</v>
      </c>
      <c r="V199" s="282"/>
      <c r="W199" s="282">
        <f t="shared" si="6"/>
        <v>3129.5973568281938</v>
      </c>
      <c r="X199" s="282"/>
    </row>
    <row r="200" spans="1:27" s="23" customFormat="1">
      <c r="A200" s="430">
        <v>181</v>
      </c>
      <c r="B200" s="683" t="s">
        <v>781</v>
      </c>
      <c r="C200" s="439">
        <f>'часть 1'!L211</f>
        <v>2154879</v>
      </c>
      <c r="D200" s="439">
        <v>0</v>
      </c>
      <c r="E200" s="439">
        <v>0</v>
      </c>
      <c r="F200" s="439">
        <v>0</v>
      </c>
      <c r="G200" s="439">
        <v>0</v>
      </c>
      <c r="H200" s="439">
        <v>0</v>
      </c>
      <c r="I200" s="439">
        <v>0</v>
      </c>
      <c r="J200" s="439">
        <v>0</v>
      </c>
      <c r="K200" s="439">
        <v>0</v>
      </c>
      <c r="L200" s="440">
        <v>0</v>
      </c>
      <c r="M200" s="439">
        <v>0</v>
      </c>
      <c r="N200" s="439">
        <v>682.5</v>
      </c>
      <c r="O200" s="439">
        <v>2154879</v>
      </c>
      <c r="P200" s="440">
        <v>0</v>
      </c>
      <c r="Q200" s="439">
        <v>0</v>
      </c>
      <c r="R200" s="442">
        <v>0</v>
      </c>
      <c r="S200" s="439">
        <v>0</v>
      </c>
      <c r="T200" s="440">
        <v>0</v>
      </c>
      <c r="U200" s="443">
        <v>0</v>
      </c>
      <c r="V200" s="282"/>
      <c r="W200" s="282">
        <f t="shared" si="6"/>
        <v>3157.3318681318683</v>
      </c>
      <c r="X200" s="282"/>
    </row>
    <row r="201" spans="1:27" s="23" customFormat="1">
      <c r="A201" s="430">
        <v>182</v>
      </c>
      <c r="B201" s="683" t="s">
        <v>782</v>
      </c>
      <c r="C201" s="439">
        <f>'часть 1'!L212</f>
        <v>4352566</v>
      </c>
      <c r="D201" s="439">
        <v>0</v>
      </c>
      <c r="E201" s="439">
        <v>0</v>
      </c>
      <c r="F201" s="439">
        <v>0</v>
      </c>
      <c r="G201" s="439">
        <v>0</v>
      </c>
      <c r="H201" s="439">
        <v>0</v>
      </c>
      <c r="I201" s="439">
        <v>0</v>
      </c>
      <c r="J201" s="439">
        <v>0</v>
      </c>
      <c r="K201" s="439">
        <v>0</v>
      </c>
      <c r="L201" s="440">
        <v>0</v>
      </c>
      <c r="M201" s="439">
        <v>0</v>
      </c>
      <c r="N201" s="439">
        <v>1394.5</v>
      </c>
      <c r="O201" s="439">
        <v>4352566</v>
      </c>
      <c r="P201" s="440">
        <v>0</v>
      </c>
      <c r="Q201" s="439">
        <v>0</v>
      </c>
      <c r="R201" s="442">
        <v>0</v>
      </c>
      <c r="S201" s="439">
        <v>0</v>
      </c>
      <c r="T201" s="440">
        <v>0</v>
      </c>
      <c r="U201" s="443">
        <v>0</v>
      </c>
      <c r="V201" s="282"/>
      <c r="W201" s="282">
        <f t="shared" si="6"/>
        <v>3121.2377196127645</v>
      </c>
      <c r="X201" s="282"/>
    </row>
    <row r="202" spans="1:27" s="23" customFormat="1">
      <c r="A202" s="430">
        <v>183</v>
      </c>
      <c r="B202" s="683" t="s">
        <v>783</v>
      </c>
      <c r="C202" s="439">
        <f>'часть 1'!L213</f>
        <v>1202127</v>
      </c>
      <c r="D202" s="439">
        <v>0</v>
      </c>
      <c r="E202" s="439">
        <v>0</v>
      </c>
      <c r="F202" s="439">
        <v>0</v>
      </c>
      <c r="G202" s="439">
        <v>0</v>
      </c>
      <c r="H202" s="439">
        <v>0</v>
      </c>
      <c r="I202" s="439">
        <v>0</v>
      </c>
      <c r="J202" s="439">
        <v>0</v>
      </c>
      <c r="K202" s="439">
        <v>0</v>
      </c>
      <c r="L202" s="440">
        <v>0</v>
      </c>
      <c r="M202" s="439">
        <v>0</v>
      </c>
      <c r="N202" s="439">
        <v>375.5</v>
      </c>
      <c r="O202" s="439">
        <v>1202127</v>
      </c>
      <c r="P202" s="440">
        <v>0</v>
      </c>
      <c r="Q202" s="439">
        <v>0</v>
      </c>
      <c r="R202" s="442">
        <v>0</v>
      </c>
      <c r="S202" s="439">
        <v>0</v>
      </c>
      <c r="T202" s="440">
        <v>0</v>
      </c>
      <c r="U202" s="443">
        <v>0</v>
      </c>
      <c r="V202" s="282"/>
      <c r="W202" s="282">
        <f t="shared" si="6"/>
        <v>3201.403462050599</v>
      </c>
      <c r="X202" s="282"/>
    </row>
    <row r="203" spans="1:27" s="23" customFormat="1">
      <c r="A203" s="430">
        <v>184</v>
      </c>
      <c r="B203" s="683" t="s">
        <v>775</v>
      </c>
      <c r="C203" s="439">
        <f>'часть 1'!L214</f>
        <v>3401733</v>
      </c>
      <c r="D203" s="439">
        <v>0</v>
      </c>
      <c r="E203" s="439">
        <v>0</v>
      </c>
      <c r="F203" s="439">
        <v>0</v>
      </c>
      <c r="G203" s="439">
        <v>0</v>
      </c>
      <c r="H203" s="439">
        <v>0</v>
      </c>
      <c r="I203" s="439">
        <v>0</v>
      </c>
      <c r="J203" s="439">
        <v>0</v>
      </c>
      <c r="K203" s="439">
        <v>0</v>
      </c>
      <c r="L203" s="440">
        <v>0</v>
      </c>
      <c r="M203" s="439">
        <v>0</v>
      </c>
      <c r="N203" s="439">
        <v>1068.5</v>
      </c>
      <c r="O203" s="439">
        <v>3401733</v>
      </c>
      <c r="P203" s="440">
        <v>0</v>
      </c>
      <c r="Q203" s="439">
        <v>0</v>
      </c>
      <c r="R203" s="442">
        <v>0</v>
      </c>
      <c r="S203" s="439">
        <v>0</v>
      </c>
      <c r="T203" s="440">
        <v>0</v>
      </c>
      <c r="U203" s="443">
        <v>0</v>
      </c>
      <c r="V203" s="282"/>
      <c r="W203" s="282">
        <f t="shared" si="6"/>
        <v>3183.6527842770238</v>
      </c>
      <c r="X203" s="282"/>
    </row>
    <row r="204" spans="1:27" s="23" customFormat="1">
      <c r="A204" s="430">
        <v>185</v>
      </c>
      <c r="B204" s="683" t="s">
        <v>784</v>
      </c>
      <c r="C204" s="439">
        <f>'часть 1'!L215</f>
        <v>1763431</v>
      </c>
      <c r="D204" s="439">
        <v>0</v>
      </c>
      <c r="E204" s="439">
        <v>0</v>
      </c>
      <c r="F204" s="439">
        <v>0</v>
      </c>
      <c r="G204" s="439">
        <v>0</v>
      </c>
      <c r="H204" s="439">
        <v>0</v>
      </c>
      <c r="I204" s="439">
        <v>0</v>
      </c>
      <c r="J204" s="439">
        <v>0</v>
      </c>
      <c r="K204" s="439">
        <v>0</v>
      </c>
      <c r="L204" s="440">
        <v>0</v>
      </c>
      <c r="M204" s="439">
        <v>0</v>
      </c>
      <c r="N204" s="439">
        <v>560</v>
      </c>
      <c r="O204" s="439">
        <v>1763431</v>
      </c>
      <c r="P204" s="440">
        <v>0</v>
      </c>
      <c r="Q204" s="439">
        <v>0</v>
      </c>
      <c r="R204" s="442">
        <v>0</v>
      </c>
      <c r="S204" s="439">
        <v>0</v>
      </c>
      <c r="T204" s="440">
        <v>0</v>
      </c>
      <c r="U204" s="443">
        <v>0</v>
      </c>
      <c r="V204" s="282"/>
      <c r="W204" s="282">
        <f t="shared" si="6"/>
        <v>3148.9839285714284</v>
      </c>
      <c r="X204" s="282"/>
    </row>
    <row r="205" spans="1:27" s="23" customFormat="1">
      <c r="A205" s="430">
        <v>186</v>
      </c>
      <c r="B205" s="683" t="s">
        <v>776</v>
      </c>
      <c r="C205" s="439">
        <f>'часть 1'!L216</f>
        <v>2572091</v>
      </c>
      <c r="D205" s="439">
        <v>0</v>
      </c>
      <c r="E205" s="439">
        <v>0</v>
      </c>
      <c r="F205" s="439">
        <v>0</v>
      </c>
      <c r="G205" s="439">
        <v>0</v>
      </c>
      <c r="H205" s="439">
        <v>0</v>
      </c>
      <c r="I205" s="439">
        <v>0</v>
      </c>
      <c r="J205" s="439">
        <v>0</v>
      </c>
      <c r="K205" s="439">
        <v>0</v>
      </c>
      <c r="L205" s="440">
        <v>0</v>
      </c>
      <c r="M205" s="439">
        <v>0</v>
      </c>
      <c r="N205" s="439">
        <v>1040</v>
      </c>
      <c r="O205" s="439">
        <v>2572091</v>
      </c>
      <c r="P205" s="440">
        <v>0</v>
      </c>
      <c r="Q205" s="439">
        <v>0</v>
      </c>
      <c r="R205" s="442">
        <v>0</v>
      </c>
      <c r="S205" s="439">
        <v>0</v>
      </c>
      <c r="T205" s="440">
        <v>0</v>
      </c>
      <c r="U205" s="443">
        <v>0</v>
      </c>
      <c r="V205" s="282"/>
      <c r="W205" s="282">
        <f t="shared" si="6"/>
        <v>2473.164423076923</v>
      </c>
      <c r="X205" s="282"/>
    </row>
    <row r="206" spans="1:27" s="23" customFormat="1">
      <c r="A206" s="430">
        <v>187</v>
      </c>
      <c r="B206" s="683" t="s">
        <v>785</v>
      </c>
      <c r="C206" s="439">
        <f>'часть 1'!L217</f>
        <v>2660626</v>
      </c>
      <c r="D206" s="439">
        <v>0</v>
      </c>
      <c r="E206" s="439">
        <v>0</v>
      </c>
      <c r="F206" s="439">
        <v>0</v>
      </c>
      <c r="G206" s="439">
        <v>0</v>
      </c>
      <c r="H206" s="439">
        <v>0</v>
      </c>
      <c r="I206" s="439">
        <v>0</v>
      </c>
      <c r="J206" s="439">
        <v>0</v>
      </c>
      <c r="K206" s="439">
        <v>0</v>
      </c>
      <c r="L206" s="440">
        <v>0</v>
      </c>
      <c r="M206" s="439">
        <v>0</v>
      </c>
      <c r="N206" s="439">
        <v>1076</v>
      </c>
      <c r="O206" s="439">
        <v>2660626</v>
      </c>
      <c r="P206" s="440">
        <v>0</v>
      </c>
      <c r="Q206" s="439">
        <v>0</v>
      </c>
      <c r="R206" s="442">
        <v>0</v>
      </c>
      <c r="S206" s="439">
        <v>0</v>
      </c>
      <c r="T206" s="440">
        <v>0</v>
      </c>
      <c r="U206" s="443">
        <v>0</v>
      </c>
      <c r="V206" s="282"/>
      <c r="W206" s="282">
        <f t="shared" si="6"/>
        <v>2472.7007434944239</v>
      </c>
      <c r="X206" s="282"/>
    </row>
    <row r="207" spans="1:27" s="23" customFormat="1">
      <c r="A207" s="430">
        <v>188</v>
      </c>
      <c r="B207" s="683" t="s">
        <v>786</v>
      </c>
      <c r="C207" s="439">
        <f>'часть 1'!L218</f>
        <v>1458499</v>
      </c>
      <c r="D207" s="439">
        <v>0</v>
      </c>
      <c r="E207" s="439">
        <v>0</v>
      </c>
      <c r="F207" s="439">
        <v>0</v>
      </c>
      <c r="G207" s="439">
        <v>0</v>
      </c>
      <c r="H207" s="439">
        <v>0</v>
      </c>
      <c r="I207" s="439">
        <v>0</v>
      </c>
      <c r="J207" s="439">
        <v>0</v>
      </c>
      <c r="K207" s="439">
        <v>0</v>
      </c>
      <c r="L207" s="440">
        <v>0</v>
      </c>
      <c r="M207" s="439">
        <v>0</v>
      </c>
      <c r="N207" s="439">
        <v>461.85</v>
      </c>
      <c r="O207" s="439">
        <v>1458499</v>
      </c>
      <c r="P207" s="440">
        <v>0</v>
      </c>
      <c r="Q207" s="439">
        <v>0</v>
      </c>
      <c r="R207" s="442">
        <v>0</v>
      </c>
      <c r="S207" s="439">
        <v>0</v>
      </c>
      <c r="T207" s="440">
        <v>0</v>
      </c>
      <c r="U207" s="443">
        <v>0</v>
      </c>
      <c r="V207" s="282"/>
      <c r="W207" s="282">
        <f t="shared" si="6"/>
        <v>3157.9495507199304</v>
      </c>
      <c r="X207" s="282"/>
    </row>
    <row r="208" spans="1:27" s="23" customFormat="1">
      <c r="A208" s="430">
        <v>189</v>
      </c>
      <c r="B208" s="683" t="s">
        <v>787</v>
      </c>
      <c r="C208" s="439">
        <f>'часть 1'!L219</f>
        <v>3902737</v>
      </c>
      <c r="D208" s="439">
        <v>0</v>
      </c>
      <c r="E208" s="439">
        <v>0</v>
      </c>
      <c r="F208" s="439">
        <v>0</v>
      </c>
      <c r="G208" s="439">
        <v>0</v>
      </c>
      <c r="H208" s="439">
        <v>0</v>
      </c>
      <c r="I208" s="439">
        <v>0</v>
      </c>
      <c r="J208" s="439">
        <v>0</v>
      </c>
      <c r="K208" s="439">
        <v>0</v>
      </c>
      <c r="L208" s="440">
        <v>0</v>
      </c>
      <c r="M208" s="439">
        <v>0</v>
      </c>
      <c r="N208" s="439">
        <v>1243</v>
      </c>
      <c r="O208" s="439">
        <v>3902737</v>
      </c>
      <c r="P208" s="440">
        <v>0</v>
      </c>
      <c r="Q208" s="439">
        <v>0</v>
      </c>
      <c r="R208" s="442">
        <v>0</v>
      </c>
      <c r="S208" s="439">
        <v>0</v>
      </c>
      <c r="T208" s="440">
        <v>0</v>
      </c>
      <c r="U208" s="443">
        <v>0</v>
      </c>
      <c r="V208" s="282"/>
      <c r="W208" s="282">
        <f t="shared" si="6"/>
        <v>3139.7723250201125</v>
      </c>
      <c r="X208" s="282"/>
    </row>
    <row r="209" spans="1:28" s="23" customFormat="1">
      <c r="A209" s="430"/>
      <c r="B209" s="683"/>
      <c r="C209" s="439"/>
      <c r="D209" s="439"/>
      <c r="E209" s="439"/>
      <c r="F209" s="439"/>
      <c r="G209" s="439"/>
      <c r="H209" s="439"/>
      <c r="I209" s="439"/>
      <c r="J209" s="439"/>
      <c r="K209" s="439"/>
      <c r="L209" s="440"/>
      <c r="M209" s="439"/>
      <c r="N209" s="439"/>
      <c r="O209" s="439"/>
      <c r="P209" s="440"/>
      <c r="Q209" s="439"/>
      <c r="R209" s="442"/>
      <c r="S209" s="439"/>
      <c r="T209" s="440"/>
      <c r="U209" s="443"/>
      <c r="V209" s="282"/>
      <c r="W209" s="282"/>
      <c r="X209" s="282"/>
    </row>
    <row r="210" spans="1:28" s="23" customFormat="1">
      <c r="A210" s="430"/>
      <c r="B210" s="683"/>
      <c r="C210" s="439"/>
      <c r="D210" s="439"/>
      <c r="E210" s="439"/>
      <c r="F210" s="439"/>
      <c r="G210" s="439"/>
      <c r="H210" s="439"/>
      <c r="I210" s="439"/>
      <c r="J210" s="439"/>
      <c r="K210" s="439"/>
      <c r="L210" s="440"/>
      <c r="M210" s="439"/>
      <c r="N210" s="439"/>
      <c r="O210" s="439"/>
      <c r="P210" s="440"/>
      <c r="Q210" s="439"/>
      <c r="R210" s="442"/>
      <c r="S210" s="439"/>
      <c r="T210" s="440"/>
      <c r="U210" s="443"/>
      <c r="V210" s="282"/>
      <c r="W210" s="282"/>
      <c r="X210" s="282"/>
    </row>
    <row r="211" spans="1:28" s="23" customFormat="1">
      <c r="A211" s="430"/>
      <c r="B211" s="683"/>
      <c r="C211" s="439"/>
      <c r="D211" s="439"/>
      <c r="E211" s="439"/>
      <c r="F211" s="439"/>
      <c r="G211" s="439"/>
      <c r="H211" s="439"/>
      <c r="I211" s="439"/>
      <c r="J211" s="439"/>
      <c r="K211" s="439"/>
      <c r="L211" s="440"/>
      <c r="M211" s="439"/>
      <c r="N211" s="439"/>
      <c r="O211" s="439"/>
      <c r="P211" s="440"/>
      <c r="Q211" s="439"/>
      <c r="R211" s="442"/>
      <c r="S211" s="439"/>
      <c r="T211" s="440"/>
      <c r="U211" s="443"/>
      <c r="V211" s="282"/>
      <c r="W211" s="282"/>
      <c r="X211" s="282"/>
    </row>
    <row r="212" spans="1:28" s="23" customFormat="1">
      <c r="A212" s="430"/>
      <c r="B212" s="683"/>
      <c r="C212" s="439"/>
      <c r="D212" s="439"/>
      <c r="E212" s="439"/>
      <c r="F212" s="439"/>
      <c r="G212" s="439"/>
      <c r="H212" s="439"/>
      <c r="I212" s="439"/>
      <c r="J212" s="439"/>
      <c r="K212" s="439"/>
      <c r="L212" s="440"/>
      <c r="M212" s="439"/>
      <c r="N212" s="439"/>
      <c r="O212" s="439"/>
      <c r="P212" s="440"/>
      <c r="Q212" s="439"/>
      <c r="R212" s="442"/>
      <c r="S212" s="439"/>
      <c r="T212" s="440"/>
      <c r="U212" s="443"/>
      <c r="V212" s="282"/>
      <c r="W212" s="282"/>
      <c r="X212" s="282"/>
    </row>
    <row r="213" spans="1:28" s="23" customFormat="1">
      <c r="A213" s="430"/>
      <c r="B213" s="683"/>
      <c r="C213" s="439"/>
      <c r="D213" s="439"/>
      <c r="E213" s="439"/>
      <c r="F213" s="439"/>
      <c r="G213" s="439"/>
      <c r="H213" s="439"/>
      <c r="I213" s="439"/>
      <c r="J213" s="439"/>
      <c r="K213" s="439"/>
      <c r="L213" s="440"/>
      <c r="M213" s="439"/>
      <c r="N213" s="439"/>
      <c r="O213" s="439"/>
      <c r="P213" s="440"/>
      <c r="Q213" s="439"/>
      <c r="R213" s="442"/>
      <c r="S213" s="439"/>
      <c r="T213" s="440"/>
      <c r="U213" s="443"/>
      <c r="V213" s="282"/>
      <c r="W213" s="282"/>
      <c r="X213" s="282"/>
    </row>
    <row r="214" spans="1:28" s="23" customFormat="1">
      <c r="A214" s="430"/>
      <c r="B214" s="683"/>
      <c r="C214" s="439"/>
      <c r="D214" s="439"/>
      <c r="E214" s="439"/>
      <c r="F214" s="439"/>
      <c r="G214" s="439"/>
      <c r="H214" s="439"/>
      <c r="I214" s="439"/>
      <c r="J214" s="439"/>
      <c r="K214" s="439"/>
      <c r="L214" s="440"/>
      <c r="M214" s="439"/>
      <c r="N214" s="439"/>
      <c r="O214" s="439"/>
      <c r="P214" s="440"/>
      <c r="Q214" s="439"/>
      <c r="R214" s="442"/>
      <c r="S214" s="439"/>
      <c r="T214" s="440"/>
      <c r="U214" s="443"/>
      <c r="V214" s="282"/>
      <c r="W214" s="282"/>
      <c r="X214" s="282"/>
    </row>
    <row r="215" spans="1:28" s="23" customFormat="1">
      <c r="A215" s="430"/>
      <c r="B215" s="683"/>
      <c r="C215" s="439"/>
      <c r="D215" s="439"/>
      <c r="E215" s="439"/>
      <c r="F215" s="439"/>
      <c r="G215" s="439"/>
      <c r="H215" s="439"/>
      <c r="I215" s="439"/>
      <c r="J215" s="439"/>
      <c r="K215" s="439"/>
      <c r="L215" s="440"/>
      <c r="M215" s="439"/>
      <c r="N215" s="439"/>
      <c r="O215" s="439"/>
      <c r="P215" s="440"/>
      <c r="Q215" s="439"/>
      <c r="R215" s="442"/>
      <c r="S215" s="439"/>
      <c r="T215" s="440"/>
      <c r="U215" s="443"/>
      <c r="V215" s="282"/>
      <c r="W215" s="282"/>
      <c r="X215" s="282"/>
    </row>
    <row r="216" spans="1:28" s="23" customFormat="1">
      <c r="A216" s="430"/>
      <c r="B216" s="683"/>
      <c r="C216" s="439"/>
      <c r="D216" s="439"/>
      <c r="E216" s="439"/>
      <c r="F216" s="439"/>
      <c r="G216" s="439"/>
      <c r="H216" s="439"/>
      <c r="I216" s="439"/>
      <c r="J216" s="439"/>
      <c r="K216" s="439"/>
      <c r="L216" s="440"/>
      <c r="M216" s="439"/>
      <c r="N216" s="439"/>
      <c r="O216" s="439"/>
      <c r="P216" s="440"/>
      <c r="Q216" s="439"/>
      <c r="R216" s="442"/>
      <c r="S216" s="439"/>
      <c r="T216" s="440"/>
      <c r="U216" s="443"/>
      <c r="V216" s="282"/>
      <c r="W216" s="282"/>
      <c r="X216" s="282"/>
    </row>
    <row r="217" spans="1:28" s="23" customFormat="1">
      <c r="A217" s="430"/>
      <c r="B217" s="683"/>
      <c r="C217" s="439"/>
      <c r="D217" s="439"/>
      <c r="E217" s="439"/>
      <c r="F217" s="439"/>
      <c r="G217" s="439"/>
      <c r="H217" s="439"/>
      <c r="I217" s="439"/>
      <c r="J217" s="439"/>
      <c r="K217" s="439"/>
      <c r="L217" s="440"/>
      <c r="M217" s="439"/>
      <c r="N217" s="439"/>
      <c r="O217" s="439"/>
      <c r="P217" s="440"/>
      <c r="Q217" s="439"/>
      <c r="R217" s="442"/>
      <c r="S217" s="439"/>
      <c r="T217" s="440"/>
      <c r="U217" s="443"/>
      <c r="V217" s="282"/>
      <c r="W217" s="282"/>
      <c r="X217" s="282"/>
    </row>
    <row r="218" spans="1:28" s="23" customFormat="1">
      <c r="A218" s="430"/>
      <c r="B218" s="683"/>
      <c r="C218" s="439"/>
      <c r="D218" s="439"/>
      <c r="E218" s="439"/>
      <c r="F218" s="439"/>
      <c r="G218" s="439"/>
      <c r="H218" s="439"/>
      <c r="I218" s="439"/>
      <c r="J218" s="439"/>
      <c r="K218" s="439"/>
      <c r="L218" s="440"/>
      <c r="M218" s="439"/>
      <c r="N218" s="439"/>
      <c r="O218" s="439"/>
      <c r="P218" s="440"/>
      <c r="Q218" s="439"/>
      <c r="R218" s="442"/>
      <c r="S218" s="439"/>
      <c r="T218" s="440"/>
      <c r="U218" s="443"/>
      <c r="V218" s="282"/>
      <c r="W218" s="282"/>
      <c r="X218" s="282"/>
    </row>
    <row r="219" spans="1:28" s="23" customFormat="1">
      <c r="A219" s="430"/>
      <c r="B219" s="683"/>
      <c r="C219" s="439"/>
      <c r="D219" s="439"/>
      <c r="E219" s="439"/>
      <c r="F219" s="439"/>
      <c r="G219" s="439"/>
      <c r="H219" s="439"/>
      <c r="I219" s="439"/>
      <c r="J219" s="439"/>
      <c r="K219" s="439"/>
      <c r="L219" s="440"/>
      <c r="M219" s="439"/>
      <c r="N219" s="439"/>
      <c r="O219" s="439"/>
      <c r="P219" s="440"/>
      <c r="Q219" s="439"/>
      <c r="R219" s="442"/>
      <c r="S219" s="439"/>
      <c r="T219" s="440"/>
      <c r="U219" s="443"/>
      <c r="V219" s="282"/>
      <c r="W219" s="282"/>
      <c r="X219" s="282"/>
    </row>
    <row r="220" spans="1:28" s="23" customFormat="1">
      <c r="A220" s="430"/>
      <c r="B220" s="683"/>
      <c r="C220" s="439"/>
      <c r="D220" s="439"/>
      <c r="E220" s="439"/>
      <c r="F220" s="439"/>
      <c r="G220" s="439"/>
      <c r="H220" s="439"/>
      <c r="I220" s="439"/>
      <c r="J220" s="439"/>
      <c r="K220" s="439"/>
      <c r="L220" s="440"/>
      <c r="M220" s="439"/>
      <c r="N220" s="439"/>
      <c r="O220" s="439"/>
      <c r="P220" s="440"/>
      <c r="Q220" s="439"/>
      <c r="R220" s="442"/>
      <c r="S220" s="439"/>
      <c r="T220" s="440"/>
      <c r="U220" s="443"/>
      <c r="V220" s="282"/>
      <c r="W220" s="282"/>
      <c r="X220" s="282"/>
    </row>
    <row r="221" spans="1:28" s="23" customFormat="1">
      <c r="A221" s="430"/>
      <c r="B221" s="683"/>
      <c r="C221" s="439"/>
      <c r="D221" s="439"/>
      <c r="E221" s="439"/>
      <c r="F221" s="439"/>
      <c r="G221" s="439"/>
      <c r="H221" s="439"/>
      <c r="I221" s="439"/>
      <c r="J221" s="439"/>
      <c r="K221" s="439"/>
      <c r="L221" s="440"/>
      <c r="M221" s="439"/>
      <c r="N221" s="439"/>
      <c r="O221" s="439"/>
      <c r="P221" s="440"/>
      <c r="Q221" s="439"/>
      <c r="R221" s="442"/>
      <c r="S221" s="439"/>
      <c r="T221" s="440"/>
      <c r="U221" s="443"/>
      <c r="V221" s="282"/>
      <c r="W221" s="282"/>
      <c r="X221" s="282"/>
    </row>
    <row r="222" spans="1:28" ht="18.75" customHeight="1">
      <c r="A222" s="198"/>
      <c r="B222" s="214" t="s">
        <v>94</v>
      </c>
      <c r="C222" s="211">
        <f>C223+C224+C225+C226+C227+C228+C229+C230+C231</f>
        <v>26467626</v>
      </c>
      <c r="D222" s="211">
        <f t="shared" ref="D222:U222" si="7">D223+D224+D225+D226+D227+D228+D229+D230+D231</f>
        <v>9623823</v>
      </c>
      <c r="E222" s="211">
        <f t="shared" si="7"/>
        <v>0</v>
      </c>
      <c r="F222" s="211">
        <f t="shared" si="7"/>
        <v>9623823</v>
      </c>
      <c r="G222" s="211">
        <f t="shared" si="7"/>
        <v>0</v>
      </c>
      <c r="H222" s="211">
        <f t="shared" si="7"/>
        <v>0</v>
      </c>
      <c r="I222" s="211">
        <f t="shared" si="7"/>
        <v>0</v>
      </c>
      <c r="J222" s="211">
        <f t="shared" si="7"/>
        <v>0</v>
      </c>
      <c r="K222" s="211">
        <f t="shared" si="7"/>
        <v>0</v>
      </c>
      <c r="L222" s="211">
        <f t="shared" si="7"/>
        <v>0</v>
      </c>
      <c r="M222" s="211">
        <f t="shared" si="7"/>
        <v>0</v>
      </c>
      <c r="N222" s="211">
        <f t="shared" si="7"/>
        <v>6095.2999999999993</v>
      </c>
      <c r="O222" s="211">
        <f t="shared" si="7"/>
        <v>16843803</v>
      </c>
      <c r="P222" s="211">
        <f t="shared" si="7"/>
        <v>0</v>
      </c>
      <c r="Q222" s="211">
        <f t="shared" si="7"/>
        <v>0</v>
      </c>
      <c r="R222" s="211">
        <f t="shared" si="7"/>
        <v>0</v>
      </c>
      <c r="S222" s="211">
        <f t="shared" si="7"/>
        <v>0</v>
      </c>
      <c r="T222" s="211">
        <f t="shared" si="7"/>
        <v>0</v>
      </c>
      <c r="U222" s="211">
        <f t="shared" si="7"/>
        <v>0</v>
      </c>
      <c r="V222" s="282"/>
      <c r="W222" s="282"/>
      <c r="X222" s="282"/>
      <c r="Y222" s="10"/>
      <c r="Z222" s="10"/>
      <c r="AA222" s="10"/>
      <c r="AB222" s="10"/>
    </row>
    <row r="223" spans="1:28" s="5" customFormat="1">
      <c r="A223" s="430">
        <v>203</v>
      </c>
      <c r="B223" s="446" t="s">
        <v>561</v>
      </c>
      <c r="C223" s="441">
        <f>'часть 1'!L232</f>
        <v>3993146</v>
      </c>
      <c r="D223" s="441">
        <f>E223+F223+G223+H223+I223+J223+K223</f>
        <v>0</v>
      </c>
      <c r="E223" s="441">
        <v>0</v>
      </c>
      <c r="F223" s="441">
        <v>0</v>
      </c>
      <c r="G223" s="441">
        <v>0</v>
      </c>
      <c r="H223" s="441">
        <v>0</v>
      </c>
      <c r="I223" s="441">
        <v>0</v>
      </c>
      <c r="J223" s="441">
        <v>0</v>
      </c>
      <c r="K223" s="441">
        <v>0</v>
      </c>
      <c r="L223" s="482">
        <v>0</v>
      </c>
      <c r="M223" s="441">
        <v>0</v>
      </c>
      <c r="N223" s="441">
        <v>1276.5999999999999</v>
      </c>
      <c r="O223" s="441">
        <v>3993146</v>
      </c>
      <c r="P223" s="482">
        <v>0</v>
      </c>
      <c r="Q223" s="441">
        <v>0</v>
      </c>
      <c r="R223" s="483">
        <v>0</v>
      </c>
      <c r="S223" s="484">
        <v>0</v>
      </c>
      <c r="T223" s="485">
        <v>0</v>
      </c>
      <c r="U223" s="486">
        <v>0</v>
      </c>
      <c r="V223" s="282"/>
      <c r="W223" s="282">
        <f>O223/N223</f>
        <v>3127.953940153533</v>
      </c>
      <c r="X223" s="282"/>
      <c r="Y223" s="24"/>
      <c r="Z223" s="24"/>
      <c r="AA223" s="8"/>
      <c r="AB223" s="8"/>
    </row>
    <row r="224" spans="1:28" s="5" customFormat="1">
      <c r="A224" s="430">
        <v>204</v>
      </c>
      <c r="B224" s="446" t="s">
        <v>562</v>
      </c>
      <c r="C224" s="441">
        <f>'часть 1'!L233</f>
        <v>2211975</v>
      </c>
      <c r="D224" s="441">
        <f t="shared" ref="D224:D231" si="8">E224+F224+G224+H224+I224+J224+K224</f>
        <v>0</v>
      </c>
      <c r="E224" s="441">
        <v>0</v>
      </c>
      <c r="F224" s="441">
        <v>0</v>
      </c>
      <c r="G224" s="441">
        <v>0</v>
      </c>
      <c r="H224" s="441">
        <v>0</v>
      </c>
      <c r="I224" s="441">
        <v>0</v>
      </c>
      <c r="J224" s="441">
        <v>0</v>
      </c>
      <c r="K224" s="441">
        <v>0</v>
      </c>
      <c r="L224" s="482">
        <v>0</v>
      </c>
      <c r="M224" s="441">
        <v>0</v>
      </c>
      <c r="N224" s="441">
        <v>893.8</v>
      </c>
      <c r="O224" s="441">
        <v>2211975</v>
      </c>
      <c r="P224" s="482">
        <v>0</v>
      </c>
      <c r="Q224" s="441">
        <v>0</v>
      </c>
      <c r="R224" s="483">
        <v>0</v>
      </c>
      <c r="S224" s="484">
        <v>0</v>
      </c>
      <c r="T224" s="485">
        <v>0</v>
      </c>
      <c r="U224" s="486">
        <v>0</v>
      </c>
      <c r="V224" s="282"/>
      <c r="W224" s="282">
        <f t="shared" ref="W224:W231" si="9">O224/N224</f>
        <v>2474.7986126650258</v>
      </c>
      <c r="X224" s="282"/>
      <c r="Y224" s="24"/>
      <c r="Z224" s="24"/>
      <c r="AA224" s="8"/>
      <c r="AB224" s="8"/>
    </row>
    <row r="225" spans="1:30" s="5" customFormat="1">
      <c r="A225" s="430">
        <v>205</v>
      </c>
      <c r="B225" s="446" t="s">
        <v>563</v>
      </c>
      <c r="C225" s="441">
        <f>'часть 1'!L234</f>
        <v>4161815</v>
      </c>
      <c r="D225" s="441">
        <f t="shared" si="8"/>
        <v>4161815</v>
      </c>
      <c r="E225" s="441">
        <v>0</v>
      </c>
      <c r="F225" s="441">
        <v>4161815</v>
      </c>
      <c r="G225" s="441">
        <v>0</v>
      </c>
      <c r="H225" s="441">
        <v>0</v>
      </c>
      <c r="I225" s="441">
        <v>0</v>
      </c>
      <c r="J225" s="441">
        <v>0</v>
      </c>
      <c r="K225" s="441">
        <v>0</v>
      </c>
      <c r="L225" s="482">
        <v>0</v>
      </c>
      <c r="M225" s="441">
        <v>0</v>
      </c>
      <c r="N225" s="441">
        <v>0</v>
      </c>
      <c r="O225" s="441">
        <v>0</v>
      </c>
      <c r="P225" s="482">
        <v>0</v>
      </c>
      <c r="Q225" s="441">
        <v>0</v>
      </c>
      <c r="R225" s="483">
        <v>0</v>
      </c>
      <c r="S225" s="484">
        <v>0</v>
      </c>
      <c r="T225" s="485">
        <v>0</v>
      </c>
      <c r="U225" s="486">
        <v>0</v>
      </c>
      <c r="V225" s="282"/>
      <c r="W225" s="282"/>
      <c r="X225" s="282"/>
      <c r="Y225" s="24"/>
      <c r="Z225" s="24"/>
      <c r="AA225" s="8">
        <f>F225/'часть 1'!I234</f>
        <v>961.55792246199348</v>
      </c>
      <c r="AB225" s="8"/>
    </row>
    <row r="226" spans="1:30" s="5" customFormat="1">
      <c r="A226" s="430">
        <v>206</v>
      </c>
      <c r="B226" s="447" t="s">
        <v>564</v>
      </c>
      <c r="C226" s="441">
        <f>'часть 1'!L235</f>
        <v>2678707</v>
      </c>
      <c r="D226" s="441">
        <f t="shared" si="8"/>
        <v>2678707</v>
      </c>
      <c r="E226" s="441">
        <v>0</v>
      </c>
      <c r="F226" s="441">
        <v>2678707</v>
      </c>
      <c r="G226" s="441">
        <v>0</v>
      </c>
      <c r="H226" s="441">
        <v>0</v>
      </c>
      <c r="I226" s="441">
        <v>0</v>
      </c>
      <c r="J226" s="441">
        <v>0</v>
      </c>
      <c r="K226" s="441">
        <v>0</v>
      </c>
      <c r="L226" s="482">
        <v>0</v>
      </c>
      <c r="M226" s="441">
        <v>0</v>
      </c>
      <c r="N226" s="441">
        <v>0</v>
      </c>
      <c r="O226" s="441">
        <v>0</v>
      </c>
      <c r="P226" s="482">
        <v>0</v>
      </c>
      <c r="Q226" s="441">
        <v>0</v>
      </c>
      <c r="R226" s="483">
        <v>0</v>
      </c>
      <c r="S226" s="484">
        <v>0</v>
      </c>
      <c r="T226" s="485">
        <v>0</v>
      </c>
      <c r="U226" s="486">
        <v>0</v>
      </c>
      <c r="V226" s="282"/>
      <c r="W226" s="282"/>
      <c r="X226" s="282"/>
      <c r="Y226" s="24"/>
      <c r="Z226" s="24"/>
      <c r="AA226" s="8">
        <f>F226/'часть 1'!I235</f>
        <v>993.40144631930275</v>
      </c>
      <c r="AB226" s="8"/>
    </row>
    <row r="227" spans="1:30" s="5" customFormat="1">
      <c r="A227" s="430">
        <v>207</v>
      </c>
      <c r="B227" s="446" t="s">
        <v>560</v>
      </c>
      <c r="C227" s="441">
        <f>'часть 1'!L236</f>
        <v>2783301</v>
      </c>
      <c r="D227" s="441">
        <f t="shared" si="8"/>
        <v>2783301</v>
      </c>
      <c r="E227" s="441">
        <v>0</v>
      </c>
      <c r="F227" s="441">
        <v>2783301</v>
      </c>
      <c r="G227" s="441">
        <v>0</v>
      </c>
      <c r="H227" s="441">
        <v>0</v>
      </c>
      <c r="I227" s="441">
        <v>0</v>
      </c>
      <c r="J227" s="441">
        <v>0</v>
      </c>
      <c r="K227" s="441">
        <v>0</v>
      </c>
      <c r="L227" s="482">
        <v>0</v>
      </c>
      <c r="M227" s="441">
        <v>0</v>
      </c>
      <c r="N227" s="439">
        <v>0</v>
      </c>
      <c r="O227" s="441">
        <v>0</v>
      </c>
      <c r="P227" s="482">
        <v>0</v>
      </c>
      <c r="Q227" s="441">
        <v>0</v>
      </c>
      <c r="R227" s="483">
        <v>0</v>
      </c>
      <c r="S227" s="484">
        <v>0</v>
      </c>
      <c r="T227" s="485">
        <v>0</v>
      </c>
      <c r="U227" s="486">
        <v>0</v>
      </c>
      <c r="V227" s="282"/>
      <c r="W227" s="282"/>
      <c r="X227" s="282"/>
      <c r="Y227" s="24"/>
      <c r="Z227" s="24"/>
      <c r="AA227" s="8">
        <f>F227/'часть 1'!I236</f>
        <v>988.49344745533972</v>
      </c>
      <c r="AB227" s="8"/>
    </row>
    <row r="228" spans="1:30" s="5" customFormat="1">
      <c r="A228" s="430">
        <v>208</v>
      </c>
      <c r="B228" s="446" t="s">
        <v>565</v>
      </c>
      <c r="C228" s="441">
        <f>'часть 1'!L237</f>
        <v>3450795</v>
      </c>
      <c r="D228" s="441">
        <f t="shared" si="8"/>
        <v>0</v>
      </c>
      <c r="E228" s="441">
        <v>0</v>
      </c>
      <c r="F228" s="441">
        <v>0</v>
      </c>
      <c r="G228" s="441">
        <v>0</v>
      </c>
      <c r="H228" s="441">
        <v>0</v>
      </c>
      <c r="I228" s="441">
        <v>0</v>
      </c>
      <c r="J228" s="441">
        <v>0</v>
      </c>
      <c r="K228" s="441">
        <v>0</v>
      </c>
      <c r="L228" s="482">
        <v>0</v>
      </c>
      <c r="M228" s="441">
        <v>0</v>
      </c>
      <c r="N228" s="441">
        <v>1097.9000000000001</v>
      </c>
      <c r="O228" s="441">
        <v>3450795</v>
      </c>
      <c r="P228" s="482">
        <v>0</v>
      </c>
      <c r="Q228" s="441">
        <v>0</v>
      </c>
      <c r="R228" s="483">
        <v>0</v>
      </c>
      <c r="S228" s="484">
        <v>0</v>
      </c>
      <c r="T228" s="485">
        <v>0</v>
      </c>
      <c r="U228" s="486">
        <v>0</v>
      </c>
      <c r="V228" s="282"/>
      <c r="W228" s="282">
        <f t="shared" si="9"/>
        <v>3143.0868020766916</v>
      </c>
      <c r="X228" s="282"/>
      <c r="Y228" s="24"/>
      <c r="Z228" s="24"/>
      <c r="AA228" s="8"/>
      <c r="AB228" s="8"/>
    </row>
    <row r="229" spans="1:30" s="5" customFormat="1">
      <c r="A229" s="430">
        <v>209</v>
      </c>
      <c r="B229" s="446" t="s">
        <v>566</v>
      </c>
      <c r="C229" s="441">
        <f>'часть 1'!L238</f>
        <v>919216</v>
      </c>
      <c r="D229" s="441">
        <f t="shared" si="8"/>
        <v>0</v>
      </c>
      <c r="E229" s="441">
        <v>0</v>
      </c>
      <c r="F229" s="441">
        <v>0</v>
      </c>
      <c r="G229" s="441">
        <v>0</v>
      </c>
      <c r="H229" s="441">
        <v>0</v>
      </c>
      <c r="I229" s="441">
        <v>0</v>
      </c>
      <c r="J229" s="441">
        <v>0</v>
      </c>
      <c r="K229" s="441">
        <v>0</v>
      </c>
      <c r="L229" s="482">
        <v>0</v>
      </c>
      <c r="M229" s="441">
        <v>0</v>
      </c>
      <c r="N229" s="441">
        <v>288</v>
      </c>
      <c r="O229" s="441">
        <v>919216</v>
      </c>
      <c r="P229" s="482">
        <v>0</v>
      </c>
      <c r="Q229" s="441">
        <v>0</v>
      </c>
      <c r="R229" s="483">
        <v>0</v>
      </c>
      <c r="S229" s="484">
        <v>0</v>
      </c>
      <c r="T229" s="485">
        <v>0</v>
      </c>
      <c r="U229" s="486">
        <v>0</v>
      </c>
      <c r="V229" s="282"/>
      <c r="W229" s="282">
        <f t="shared" si="9"/>
        <v>3191.7222222222222</v>
      </c>
      <c r="X229" s="282"/>
      <c r="Y229" s="24"/>
      <c r="Z229" s="24"/>
      <c r="AA229" s="8"/>
      <c r="AB229" s="8"/>
    </row>
    <row r="230" spans="1:30" s="5" customFormat="1">
      <c r="A230" s="430">
        <v>210</v>
      </c>
      <c r="B230" s="446" t="s">
        <v>567</v>
      </c>
      <c r="C230" s="441">
        <f>'часть 1'!L239</f>
        <v>2376610</v>
      </c>
      <c r="D230" s="441">
        <f t="shared" si="8"/>
        <v>0</v>
      </c>
      <c r="E230" s="441">
        <v>0</v>
      </c>
      <c r="F230" s="441">
        <v>0</v>
      </c>
      <c r="G230" s="441">
        <v>0</v>
      </c>
      <c r="H230" s="441">
        <v>0</v>
      </c>
      <c r="I230" s="441">
        <v>0</v>
      </c>
      <c r="J230" s="441">
        <v>0</v>
      </c>
      <c r="K230" s="441">
        <v>0</v>
      </c>
      <c r="L230" s="482">
        <v>0</v>
      </c>
      <c r="M230" s="441">
        <v>0</v>
      </c>
      <c r="N230" s="441">
        <v>960</v>
      </c>
      <c r="O230" s="441">
        <v>2376610</v>
      </c>
      <c r="P230" s="482">
        <v>0</v>
      </c>
      <c r="Q230" s="441">
        <v>0</v>
      </c>
      <c r="R230" s="483">
        <v>0</v>
      </c>
      <c r="S230" s="484">
        <v>0</v>
      </c>
      <c r="T230" s="485">
        <v>0</v>
      </c>
      <c r="U230" s="486">
        <v>0</v>
      </c>
      <c r="V230" s="282"/>
      <c r="W230" s="282">
        <f t="shared" si="9"/>
        <v>2475.6354166666665</v>
      </c>
      <c r="X230" s="282"/>
      <c r="Y230" s="24"/>
      <c r="Z230" s="24"/>
      <c r="AA230" s="8"/>
      <c r="AB230" s="8"/>
    </row>
    <row r="231" spans="1:30" s="5" customFormat="1">
      <c r="A231" s="430">
        <v>211</v>
      </c>
      <c r="B231" s="446" t="s">
        <v>568</v>
      </c>
      <c r="C231" s="441">
        <f>'часть 1'!L240</f>
        <v>3892061</v>
      </c>
      <c r="D231" s="441">
        <f t="shared" si="8"/>
        <v>0</v>
      </c>
      <c r="E231" s="441">
        <v>0</v>
      </c>
      <c r="F231" s="441">
        <v>0</v>
      </c>
      <c r="G231" s="441">
        <v>0</v>
      </c>
      <c r="H231" s="441">
        <v>0</v>
      </c>
      <c r="I231" s="441">
        <v>0</v>
      </c>
      <c r="J231" s="441">
        <v>0</v>
      </c>
      <c r="K231" s="441">
        <v>0</v>
      </c>
      <c r="L231" s="482">
        <v>0</v>
      </c>
      <c r="M231" s="441">
        <v>0</v>
      </c>
      <c r="N231" s="441">
        <v>1579</v>
      </c>
      <c r="O231" s="441">
        <v>3892061</v>
      </c>
      <c r="P231" s="482">
        <v>0</v>
      </c>
      <c r="Q231" s="441">
        <v>0</v>
      </c>
      <c r="R231" s="483">
        <v>0</v>
      </c>
      <c r="S231" s="484">
        <v>0</v>
      </c>
      <c r="T231" s="485">
        <v>0</v>
      </c>
      <c r="U231" s="486">
        <v>0</v>
      </c>
      <c r="V231" s="282"/>
      <c r="W231" s="282">
        <f t="shared" si="9"/>
        <v>2464.8898036732107</v>
      </c>
      <c r="X231" s="282"/>
      <c r="Y231" s="6"/>
      <c r="Z231" s="6"/>
      <c r="AA231" s="7"/>
      <c r="AB231" s="7"/>
    </row>
    <row r="232" spans="1:30" s="5" customFormat="1">
      <c r="A232" s="430"/>
      <c r="B232" s="438"/>
      <c r="C232" s="441"/>
      <c r="D232" s="441"/>
      <c r="E232" s="441"/>
      <c r="F232" s="441"/>
      <c r="G232" s="441"/>
      <c r="H232" s="441"/>
      <c r="I232" s="441"/>
      <c r="J232" s="441"/>
      <c r="K232" s="441"/>
      <c r="L232" s="482"/>
      <c r="M232" s="441"/>
      <c r="N232" s="441"/>
      <c r="O232" s="441"/>
      <c r="P232" s="482"/>
      <c r="Q232" s="441"/>
      <c r="R232" s="483"/>
      <c r="S232" s="484"/>
      <c r="T232" s="485"/>
      <c r="U232" s="486"/>
      <c r="V232" s="282"/>
      <c r="W232" s="282"/>
      <c r="X232" s="282"/>
      <c r="Y232" s="24"/>
      <c r="Z232" s="24"/>
      <c r="AA232" s="8"/>
      <c r="AB232" s="8"/>
    </row>
    <row r="233" spans="1:30" s="5" customFormat="1">
      <c r="A233" s="430"/>
      <c r="B233" s="438"/>
      <c r="C233" s="441"/>
      <c r="D233" s="441"/>
      <c r="E233" s="441"/>
      <c r="F233" s="441"/>
      <c r="G233" s="441"/>
      <c r="H233" s="441"/>
      <c r="I233" s="441"/>
      <c r="J233" s="441"/>
      <c r="K233" s="441"/>
      <c r="L233" s="482"/>
      <c r="M233" s="441"/>
      <c r="N233" s="441"/>
      <c r="O233" s="441"/>
      <c r="P233" s="482"/>
      <c r="Q233" s="441"/>
      <c r="R233" s="483"/>
      <c r="S233" s="484"/>
      <c r="T233" s="485"/>
      <c r="U233" s="486"/>
      <c r="V233" s="282"/>
      <c r="W233" s="282"/>
      <c r="X233" s="282"/>
      <c r="Y233" s="24"/>
      <c r="Z233" s="24"/>
      <c r="AA233" s="8"/>
      <c r="AB233" s="8"/>
    </row>
    <row r="234" spans="1:30" s="5" customFormat="1">
      <c r="A234" s="430"/>
      <c r="B234" s="448"/>
      <c r="C234" s="441"/>
      <c r="D234" s="441"/>
      <c r="E234" s="441"/>
      <c r="F234" s="441"/>
      <c r="G234" s="441"/>
      <c r="H234" s="441"/>
      <c r="I234" s="441"/>
      <c r="J234" s="441"/>
      <c r="K234" s="441"/>
      <c r="L234" s="482"/>
      <c r="M234" s="441"/>
      <c r="N234" s="441"/>
      <c r="O234" s="441"/>
      <c r="P234" s="482"/>
      <c r="Q234" s="441"/>
      <c r="R234" s="483"/>
      <c r="S234" s="484"/>
      <c r="T234" s="485"/>
      <c r="U234" s="486"/>
      <c r="V234" s="282"/>
      <c r="W234" s="282"/>
      <c r="X234" s="282"/>
      <c r="Y234" s="24"/>
      <c r="Z234" s="24"/>
      <c r="AA234" s="8"/>
      <c r="AB234" s="8"/>
    </row>
    <row r="235" spans="1:30" ht="18.75" customHeight="1">
      <c r="A235" s="430"/>
      <c r="B235" s="431" t="s">
        <v>123</v>
      </c>
      <c r="C235" s="432">
        <f>C236+C237+C238+C239+C240</f>
        <v>11767484</v>
      </c>
      <c r="D235" s="432">
        <f t="shared" ref="D235:V235" si="10">D236+D237+D238+D239+D240</f>
        <v>3530005</v>
      </c>
      <c r="E235" s="432">
        <f t="shared" si="10"/>
        <v>0</v>
      </c>
      <c r="F235" s="432">
        <f t="shared" si="10"/>
        <v>0</v>
      </c>
      <c r="G235" s="432">
        <f t="shared" si="10"/>
        <v>0</v>
      </c>
      <c r="H235" s="432">
        <f t="shared" si="10"/>
        <v>0</v>
      </c>
      <c r="I235" s="432">
        <f t="shared" si="10"/>
        <v>0</v>
      </c>
      <c r="J235" s="432">
        <f t="shared" si="10"/>
        <v>3530005</v>
      </c>
      <c r="K235" s="432">
        <f t="shared" si="10"/>
        <v>0</v>
      </c>
      <c r="L235" s="432">
        <f t="shared" si="10"/>
        <v>0</v>
      </c>
      <c r="M235" s="432">
        <f t="shared" si="10"/>
        <v>0</v>
      </c>
      <c r="N235" s="432">
        <f t="shared" si="10"/>
        <v>3330.7000000000003</v>
      </c>
      <c r="O235" s="432">
        <f t="shared" si="10"/>
        <v>8237479</v>
      </c>
      <c r="P235" s="432">
        <f t="shared" si="10"/>
        <v>0</v>
      </c>
      <c r="Q235" s="432">
        <f t="shared" si="10"/>
        <v>0</v>
      </c>
      <c r="R235" s="432">
        <f t="shared" si="10"/>
        <v>0</v>
      </c>
      <c r="S235" s="432">
        <f t="shared" si="10"/>
        <v>0</v>
      </c>
      <c r="T235" s="432">
        <f t="shared" si="10"/>
        <v>0</v>
      </c>
      <c r="U235" s="432">
        <f t="shared" si="10"/>
        <v>0</v>
      </c>
      <c r="V235" s="432">
        <f t="shared" si="10"/>
        <v>0</v>
      </c>
      <c r="W235" s="282"/>
      <c r="X235" s="282"/>
    </row>
    <row r="236" spans="1:30">
      <c r="A236" s="430">
        <v>215</v>
      </c>
      <c r="B236" s="464" t="s">
        <v>732</v>
      </c>
      <c r="C236" s="432">
        <f>'часть 1'!L245</f>
        <v>3438972</v>
      </c>
      <c r="D236" s="432">
        <f>E236+F236+G236+H236+I236+J236+K236</f>
        <v>0</v>
      </c>
      <c r="E236" s="432">
        <v>0</v>
      </c>
      <c r="F236" s="432">
        <v>0</v>
      </c>
      <c r="G236" s="432">
        <v>0</v>
      </c>
      <c r="H236" s="432">
        <v>0</v>
      </c>
      <c r="I236" s="432">
        <v>0</v>
      </c>
      <c r="J236" s="432">
        <v>0</v>
      </c>
      <c r="K236" s="556">
        <v>0</v>
      </c>
      <c r="L236" s="647">
        <v>0</v>
      </c>
      <c r="M236" s="435">
        <v>0</v>
      </c>
      <c r="N236" s="435">
        <v>1392.8</v>
      </c>
      <c r="O236" s="435">
        <v>3438972</v>
      </c>
      <c r="P236" s="647">
        <v>0</v>
      </c>
      <c r="Q236" s="435">
        <v>0</v>
      </c>
      <c r="R236" s="648">
        <v>0</v>
      </c>
      <c r="S236" s="435">
        <v>0</v>
      </c>
      <c r="T236" s="647">
        <v>0</v>
      </c>
      <c r="U236" s="486">
        <v>0</v>
      </c>
      <c r="V236" s="282"/>
      <c r="W236" s="282">
        <f>O236/N236</f>
        <v>2469.1068351522113</v>
      </c>
      <c r="X236" s="282"/>
    </row>
    <row r="237" spans="1:30">
      <c r="A237" s="430">
        <v>216</v>
      </c>
      <c r="B237" s="464" t="s">
        <v>363</v>
      </c>
      <c r="C237" s="432">
        <f>'часть 1'!L246</f>
        <v>2804575</v>
      </c>
      <c r="D237" s="432">
        <f t="shared" ref="D237:D240" si="11">E237+F237+G237+H237+I237+J237+K237</f>
        <v>0</v>
      </c>
      <c r="E237" s="432">
        <v>0</v>
      </c>
      <c r="F237" s="432">
        <v>0</v>
      </c>
      <c r="G237" s="432">
        <v>0</v>
      </c>
      <c r="H237" s="432">
        <v>0</v>
      </c>
      <c r="I237" s="432">
        <v>0</v>
      </c>
      <c r="J237" s="432">
        <v>0</v>
      </c>
      <c r="K237" s="556">
        <v>0</v>
      </c>
      <c r="L237" s="647">
        <v>0</v>
      </c>
      <c r="M237" s="435">
        <v>0</v>
      </c>
      <c r="N237" s="435">
        <v>1134</v>
      </c>
      <c r="O237" s="435">
        <v>2804575</v>
      </c>
      <c r="P237" s="647">
        <v>0</v>
      </c>
      <c r="Q237" s="435">
        <v>0</v>
      </c>
      <c r="R237" s="648">
        <v>0</v>
      </c>
      <c r="S237" s="435">
        <v>0</v>
      </c>
      <c r="T237" s="647">
        <v>0</v>
      </c>
      <c r="U237" s="486">
        <v>0</v>
      </c>
      <c r="V237" s="282"/>
      <c r="W237" s="282">
        <f>O237/N237</f>
        <v>2473.1701940035273</v>
      </c>
      <c r="X237" s="282"/>
    </row>
    <row r="238" spans="1:30">
      <c r="A238" s="430">
        <v>217</v>
      </c>
      <c r="B238" s="464" t="s">
        <v>733</v>
      </c>
      <c r="C238" s="432">
        <f>'часть 1'!L247</f>
        <v>1993932</v>
      </c>
      <c r="D238" s="432">
        <f t="shared" si="11"/>
        <v>0</v>
      </c>
      <c r="E238" s="432">
        <v>0</v>
      </c>
      <c r="F238" s="432">
        <v>0</v>
      </c>
      <c r="G238" s="432">
        <v>0</v>
      </c>
      <c r="H238" s="432">
        <v>0</v>
      </c>
      <c r="I238" s="432">
        <v>0</v>
      </c>
      <c r="J238" s="432">
        <v>0</v>
      </c>
      <c r="K238" s="432">
        <v>0</v>
      </c>
      <c r="L238" s="647">
        <v>0</v>
      </c>
      <c r="M238" s="435">
        <v>0</v>
      </c>
      <c r="N238" s="435">
        <v>803.9</v>
      </c>
      <c r="O238" s="435">
        <v>1993932</v>
      </c>
      <c r="P238" s="647">
        <v>0</v>
      </c>
      <c r="Q238" s="435">
        <v>0</v>
      </c>
      <c r="R238" s="648">
        <v>0</v>
      </c>
      <c r="S238" s="435">
        <v>0</v>
      </c>
      <c r="T238" s="647">
        <v>0</v>
      </c>
      <c r="U238" s="486">
        <v>0</v>
      </c>
      <c r="V238" s="282"/>
      <c r="W238" s="282">
        <f>O238/N238</f>
        <v>2480.3234233113571</v>
      </c>
      <c r="X238" s="282"/>
    </row>
    <row r="239" spans="1:30">
      <c r="A239" s="430">
        <v>218</v>
      </c>
      <c r="B239" s="464" t="s">
        <v>942</v>
      </c>
      <c r="C239" s="432">
        <f>'часть 1'!L248</f>
        <v>1656223</v>
      </c>
      <c r="D239" s="432">
        <f t="shared" si="11"/>
        <v>1656223</v>
      </c>
      <c r="E239" s="432">
        <v>0</v>
      </c>
      <c r="F239" s="432">
        <v>0</v>
      </c>
      <c r="G239" s="432">
        <v>0</v>
      </c>
      <c r="H239" s="432">
        <v>0</v>
      </c>
      <c r="I239" s="432">
        <v>0</v>
      </c>
      <c r="J239" s="432">
        <v>1656223</v>
      </c>
      <c r="K239" s="556">
        <v>0</v>
      </c>
      <c r="L239" s="647">
        <v>0</v>
      </c>
      <c r="M239" s="435">
        <v>0</v>
      </c>
      <c r="N239" s="435">
        <v>0</v>
      </c>
      <c r="O239" s="435">
        <v>0</v>
      </c>
      <c r="P239" s="647">
        <v>0</v>
      </c>
      <c r="Q239" s="435">
        <v>0</v>
      </c>
      <c r="R239" s="648">
        <v>0</v>
      </c>
      <c r="S239" s="435">
        <v>0</v>
      </c>
      <c r="T239" s="647">
        <v>0</v>
      </c>
      <c r="U239" s="486">
        <v>0</v>
      </c>
      <c r="V239" s="282"/>
      <c r="W239" s="282"/>
      <c r="X239" s="282"/>
      <c r="AD239" s="1">
        <f>J239/'часть 1'!I248</f>
        <v>464.30517787558523</v>
      </c>
    </row>
    <row r="240" spans="1:30">
      <c r="A240" s="430">
        <v>219</v>
      </c>
      <c r="B240" s="464" t="s">
        <v>357</v>
      </c>
      <c r="C240" s="432">
        <f>'часть 1'!L249</f>
        <v>1873782</v>
      </c>
      <c r="D240" s="432">
        <f t="shared" si="11"/>
        <v>1873782</v>
      </c>
      <c r="E240" s="432">
        <v>0</v>
      </c>
      <c r="F240" s="432">
        <v>0</v>
      </c>
      <c r="G240" s="432">
        <v>0</v>
      </c>
      <c r="H240" s="432">
        <v>0</v>
      </c>
      <c r="I240" s="432">
        <v>0</v>
      </c>
      <c r="J240" s="432">
        <v>1873782</v>
      </c>
      <c r="K240" s="432">
        <v>0</v>
      </c>
      <c r="L240" s="647">
        <v>0</v>
      </c>
      <c r="M240" s="435">
        <v>0</v>
      </c>
      <c r="N240" s="435">
        <v>0</v>
      </c>
      <c r="O240" s="435">
        <v>0</v>
      </c>
      <c r="P240" s="647">
        <v>0</v>
      </c>
      <c r="Q240" s="435">
        <v>0</v>
      </c>
      <c r="R240" s="648">
        <v>0</v>
      </c>
      <c r="S240" s="435">
        <v>0</v>
      </c>
      <c r="T240" s="647">
        <v>0</v>
      </c>
      <c r="U240" s="486">
        <v>0</v>
      </c>
      <c r="V240" s="282"/>
      <c r="W240" s="282"/>
      <c r="X240" s="282"/>
      <c r="AD240" s="1">
        <f>J240/'часть 1'!I249</f>
        <v>556.51381051381054</v>
      </c>
    </row>
    <row r="241" spans="1:25">
      <c r="A241" s="430"/>
      <c r="B241" s="464"/>
      <c r="C241" s="432"/>
      <c r="D241" s="432"/>
      <c r="E241" s="432"/>
      <c r="F241" s="432"/>
      <c r="G241" s="432"/>
      <c r="H241" s="432"/>
      <c r="I241" s="432"/>
      <c r="J241" s="432"/>
      <c r="K241" s="556"/>
      <c r="L241" s="647"/>
      <c r="M241" s="435"/>
      <c r="N241" s="435"/>
      <c r="O241" s="435"/>
      <c r="P241" s="647"/>
      <c r="Q241" s="435"/>
      <c r="R241" s="648"/>
      <c r="S241" s="435"/>
      <c r="T241" s="647"/>
      <c r="U241" s="486"/>
      <c r="V241" s="282"/>
      <c r="W241" s="282"/>
      <c r="X241" s="282"/>
    </row>
    <row r="242" spans="1:25">
      <c r="A242" s="430"/>
      <c r="B242" s="464"/>
      <c r="C242" s="432"/>
      <c r="D242" s="432"/>
      <c r="E242" s="432"/>
      <c r="F242" s="432"/>
      <c r="G242" s="432"/>
      <c r="H242" s="432"/>
      <c r="I242" s="432"/>
      <c r="J242" s="432"/>
      <c r="K242" s="432"/>
      <c r="L242" s="647"/>
      <c r="M242" s="435"/>
      <c r="N242" s="435"/>
      <c r="O242" s="435"/>
      <c r="P242" s="647"/>
      <c r="Q242" s="435"/>
      <c r="R242" s="648"/>
      <c r="S242" s="435"/>
      <c r="T242" s="647"/>
      <c r="U242" s="486"/>
      <c r="V242" s="282"/>
      <c r="W242" s="282"/>
      <c r="X242" s="282"/>
    </row>
    <row r="243" spans="1:25">
      <c r="A243" s="430"/>
      <c r="B243" s="464"/>
      <c r="C243" s="432"/>
      <c r="D243" s="432"/>
      <c r="E243" s="432"/>
      <c r="F243" s="432"/>
      <c r="G243" s="432"/>
      <c r="H243" s="432"/>
      <c r="I243" s="432"/>
      <c r="J243" s="432"/>
      <c r="K243" s="432"/>
      <c r="L243" s="647"/>
      <c r="M243" s="435"/>
      <c r="N243" s="435"/>
      <c r="O243" s="435"/>
      <c r="P243" s="647"/>
      <c r="Q243" s="435"/>
      <c r="R243" s="648"/>
      <c r="S243" s="435"/>
      <c r="T243" s="647"/>
      <c r="U243" s="486"/>
      <c r="V243" s="282"/>
      <c r="W243" s="282"/>
      <c r="X243" s="282"/>
    </row>
    <row r="244" spans="1:25">
      <c r="A244" s="430"/>
      <c r="B244" s="464"/>
      <c r="C244" s="432"/>
      <c r="D244" s="432"/>
      <c r="E244" s="432"/>
      <c r="F244" s="432"/>
      <c r="G244" s="432"/>
      <c r="H244" s="432"/>
      <c r="I244" s="432"/>
      <c r="J244" s="432"/>
      <c r="K244" s="556"/>
      <c r="L244" s="647"/>
      <c r="M244" s="435"/>
      <c r="N244" s="435"/>
      <c r="O244" s="435"/>
      <c r="P244" s="647"/>
      <c r="Q244" s="435"/>
      <c r="R244" s="648"/>
      <c r="S244" s="435"/>
      <c r="T244" s="647"/>
      <c r="U244" s="486"/>
      <c r="V244" s="282"/>
      <c r="W244" s="282"/>
      <c r="X244" s="282"/>
    </row>
    <row r="245" spans="1:25">
      <c r="A245" s="430"/>
      <c r="B245" s="464"/>
      <c r="C245" s="432"/>
      <c r="D245" s="432"/>
      <c r="E245" s="432"/>
      <c r="F245" s="432"/>
      <c r="G245" s="432"/>
      <c r="H245" s="432"/>
      <c r="I245" s="432"/>
      <c r="J245" s="432"/>
      <c r="K245" s="556"/>
      <c r="L245" s="647"/>
      <c r="M245" s="435"/>
      <c r="N245" s="435"/>
      <c r="O245" s="435"/>
      <c r="P245" s="647"/>
      <c r="Q245" s="435"/>
      <c r="R245" s="648"/>
      <c r="S245" s="435"/>
      <c r="T245" s="647"/>
      <c r="U245" s="486"/>
      <c r="V245" s="282"/>
      <c r="W245" s="282"/>
      <c r="X245" s="282"/>
    </row>
    <row r="246" spans="1:25">
      <c r="A246" s="430"/>
      <c r="B246" s="464"/>
      <c r="C246" s="432"/>
      <c r="D246" s="432"/>
      <c r="E246" s="432"/>
      <c r="F246" s="432"/>
      <c r="G246" s="432"/>
      <c r="H246" s="432"/>
      <c r="I246" s="432"/>
      <c r="J246" s="432"/>
      <c r="K246" s="556"/>
      <c r="L246" s="647"/>
      <c r="M246" s="435"/>
      <c r="N246" s="435"/>
      <c r="O246" s="435"/>
      <c r="P246" s="647"/>
      <c r="Q246" s="435"/>
      <c r="R246" s="648"/>
      <c r="S246" s="435"/>
      <c r="T246" s="647"/>
      <c r="U246" s="486"/>
      <c r="V246" s="282"/>
      <c r="W246" s="282"/>
      <c r="X246" s="282"/>
    </row>
    <row r="247" spans="1:25">
      <c r="A247" s="430"/>
      <c r="B247" s="464"/>
      <c r="C247" s="432"/>
      <c r="D247" s="432"/>
      <c r="E247" s="432"/>
      <c r="F247" s="432"/>
      <c r="G247" s="432"/>
      <c r="H247" s="432"/>
      <c r="I247" s="432"/>
      <c r="J247" s="432"/>
      <c r="K247" s="556"/>
      <c r="L247" s="647"/>
      <c r="M247" s="435"/>
      <c r="N247" s="435"/>
      <c r="O247" s="435"/>
      <c r="P247" s="647"/>
      <c r="Q247" s="435"/>
      <c r="R247" s="648"/>
      <c r="S247" s="435"/>
      <c r="T247" s="647"/>
      <c r="U247" s="486"/>
      <c r="V247" s="282"/>
      <c r="W247" s="282"/>
      <c r="X247" s="282"/>
    </row>
    <row r="248" spans="1:25" ht="21.6" customHeight="1">
      <c r="A248" s="430"/>
      <c r="B248" s="464" t="s">
        <v>864</v>
      </c>
      <c r="C248" s="432">
        <f>C249+C250</f>
        <v>2812692</v>
      </c>
      <c r="D248" s="432">
        <f t="shared" ref="D248:V248" si="12">D249+D250</f>
        <v>1007609</v>
      </c>
      <c r="E248" s="432">
        <f t="shared" si="12"/>
        <v>1007609</v>
      </c>
      <c r="F248" s="432">
        <f t="shared" si="12"/>
        <v>0</v>
      </c>
      <c r="G248" s="432">
        <f t="shared" si="12"/>
        <v>0</v>
      </c>
      <c r="H248" s="432">
        <f t="shared" si="12"/>
        <v>0</v>
      </c>
      <c r="I248" s="432">
        <f t="shared" si="12"/>
        <v>0</v>
      </c>
      <c r="J248" s="432">
        <f t="shared" si="12"/>
        <v>0</v>
      </c>
      <c r="K248" s="432">
        <f t="shared" si="12"/>
        <v>0</v>
      </c>
      <c r="L248" s="432">
        <f t="shared" si="12"/>
        <v>0</v>
      </c>
      <c r="M248" s="432">
        <f t="shared" si="12"/>
        <v>0</v>
      </c>
      <c r="N248" s="432">
        <f t="shared" si="12"/>
        <v>0</v>
      </c>
      <c r="O248" s="432">
        <f t="shared" si="12"/>
        <v>0</v>
      </c>
      <c r="P248" s="432">
        <f t="shared" si="12"/>
        <v>0</v>
      </c>
      <c r="Q248" s="432">
        <f t="shared" si="12"/>
        <v>0</v>
      </c>
      <c r="R248" s="432">
        <f t="shared" si="12"/>
        <v>1180.3</v>
      </c>
      <c r="S248" s="432">
        <f t="shared" si="12"/>
        <v>1805083</v>
      </c>
      <c r="T248" s="432">
        <f t="shared" si="12"/>
        <v>0</v>
      </c>
      <c r="U248" s="432">
        <f t="shared" si="12"/>
        <v>0</v>
      </c>
      <c r="V248" s="196">
        <f t="shared" si="12"/>
        <v>0</v>
      </c>
      <c r="W248" s="282"/>
      <c r="X248" s="282"/>
    </row>
    <row r="249" spans="1:25" ht="24" customHeight="1">
      <c r="A249" s="430"/>
      <c r="B249" s="464" t="s">
        <v>865</v>
      </c>
      <c r="C249" s="432">
        <f>'часть 1'!L258</f>
        <v>1914360</v>
      </c>
      <c r="D249" s="432">
        <f>E249+F249+G249+H249+I249+J249+K249</f>
        <v>1007609</v>
      </c>
      <c r="E249" s="432">
        <v>1007609</v>
      </c>
      <c r="F249" s="432">
        <v>0</v>
      </c>
      <c r="G249" s="432">
        <v>0</v>
      </c>
      <c r="H249" s="432">
        <v>0</v>
      </c>
      <c r="I249" s="432">
        <v>0</v>
      </c>
      <c r="J249" s="432">
        <v>0</v>
      </c>
      <c r="K249" s="556">
        <v>0</v>
      </c>
      <c r="L249" s="647">
        <v>0</v>
      </c>
      <c r="M249" s="435">
        <v>0</v>
      </c>
      <c r="N249" s="556">
        <v>0</v>
      </c>
      <c r="O249" s="556">
        <v>0</v>
      </c>
      <c r="P249" s="647">
        <v>0</v>
      </c>
      <c r="Q249" s="435">
        <v>0</v>
      </c>
      <c r="R249" s="924">
        <v>593</v>
      </c>
      <c r="S249" s="435">
        <v>906751</v>
      </c>
      <c r="T249" s="647">
        <v>0</v>
      </c>
      <c r="U249" s="486">
        <v>0</v>
      </c>
      <c r="V249" s="282"/>
      <c r="W249" s="282"/>
      <c r="X249" s="282">
        <f>S249/R249</f>
        <v>1529.0910623946038</v>
      </c>
      <c r="Y249" s="18">
        <f>E249/'часть 1'!I258</f>
        <v>666.18776859504135</v>
      </c>
    </row>
    <row r="250" spans="1:25" ht="18.600000000000001" customHeight="1">
      <c r="A250" s="430"/>
      <c r="B250" s="464" t="s">
        <v>866</v>
      </c>
      <c r="C250" s="432">
        <f>'часть 1'!L259</f>
        <v>898332</v>
      </c>
      <c r="D250" s="432">
        <f>E250+F250+G250+H250+I250+J250+K250</f>
        <v>0</v>
      </c>
      <c r="E250" s="432">
        <v>0</v>
      </c>
      <c r="F250" s="432">
        <v>0</v>
      </c>
      <c r="G250" s="432">
        <v>0</v>
      </c>
      <c r="H250" s="432">
        <v>0</v>
      </c>
      <c r="I250" s="432">
        <v>0</v>
      </c>
      <c r="J250" s="432">
        <v>0</v>
      </c>
      <c r="K250" s="556">
        <v>0</v>
      </c>
      <c r="L250" s="647">
        <v>0</v>
      </c>
      <c r="M250" s="435">
        <v>0</v>
      </c>
      <c r="N250" s="556">
        <v>0</v>
      </c>
      <c r="O250" s="556">
        <v>0</v>
      </c>
      <c r="P250" s="647">
        <v>0</v>
      </c>
      <c r="Q250" s="435">
        <v>0</v>
      </c>
      <c r="R250" s="924">
        <v>587.29999999999995</v>
      </c>
      <c r="S250" s="435">
        <v>898332</v>
      </c>
      <c r="T250" s="647">
        <v>0</v>
      </c>
      <c r="U250" s="486">
        <v>0</v>
      </c>
      <c r="V250" s="282"/>
      <c r="W250" s="282"/>
      <c r="X250" s="282">
        <f>S250/R250</f>
        <v>1529.5964583688065</v>
      </c>
    </row>
    <row r="251" spans="1:25" ht="18.75" customHeight="1">
      <c r="A251" s="430"/>
      <c r="B251" s="438" t="s">
        <v>72</v>
      </c>
      <c r="C251" s="432">
        <f>C252</f>
        <v>5868972</v>
      </c>
      <c r="D251" s="432">
        <f t="shared" ref="D251:U251" si="13">D252</f>
        <v>0</v>
      </c>
      <c r="E251" s="432">
        <f t="shared" si="13"/>
        <v>0</v>
      </c>
      <c r="F251" s="432">
        <f t="shared" si="13"/>
        <v>0</v>
      </c>
      <c r="G251" s="432">
        <f t="shared" si="13"/>
        <v>0</v>
      </c>
      <c r="H251" s="432">
        <f t="shared" si="13"/>
        <v>0</v>
      </c>
      <c r="I251" s="432">
        <f t="shared" si="13"/>
        <v>0</v>
      </c>
      <c r="J251" s="432">
        <f t="shared" si="13"/>
        <v>0</v>
      </c>
      <c r="K251" s="432">
        <f t="shared" si="13"/>
        <v>0</v>
      </c>
      <c r="L251" s="432">
        <f t="shared" si="13"/>
        <v>0</v>
      </c>
      <c r="M251" s="432">
        <f t="shared" si="13"/>
        <v>0</v>
      </c>
      <c r="N251" s="432">
        <f t="shared" si="13"/>
        <v>480</v>
      </c>
      <c r="O251" s="432">
        <f t="shared" si="13"/>
        <v>1516786</v>
      </c>
      <c r="P251" s="432">
        <f t="shared" si="13"/>
        <v>0</v>
      </c>
      <c r="Q251" s="432">
        <f t="shared" si="13"/>
        <v>0</v>
      </c>
      <c r="R251" s="432">
        <f t="shared" si="13"/>
        <v>2861</v>
      </c>
      <c r="S251" s="432">
        <f t="shared" si="13"/>
        <v>4352186</v>
      </c>
      <c r="T251" s="432">
        <f t="shared" si="13"/>
        <v>0</v>
      </c>
      <c r="U251" s="432">
        <f t="shared" si="13"/>
        <v>0</v>
      </c>
      <c r="V251" s="282"/>
      <c r="W251" s="282"/>
      <c r="X251" s="282"/>
    </row>
    <row r="252" spans="1:25" ht="30.75" customHeight="1">
      <c r="A252" s="430"/>
      <c r="B252" s="438" t="s">
        <v>95</v>
      </c>
      <c r="C252" s="432">
        <f>C253+C254+C255+C256+C257+C258+C259</f>
        <v>5868972</v>
      </c>
      <c r="D252" s="432">
        <f t="shared" ref="D252:V252" si="14">D253+D254+D255+D256+D257+D258+D259</f>
        <v>0</v>
      </c>
      <c r="E252" s="432">
        <f t="shared" si="14"/>
        <v>0</v>
      </c>
      <c r="F252" s="432">
        <f t="shared" si="14"/>
        <v>0</v>
      </c>
      <c r="G252" s="432">
        <f t="shared" si="14"/>
        <v>0</v>
      </c>
      <c r="H252" s="432">
        <f t="shared" si="14"/>
        <v>0</v>
      </c>
      <c r="I252" s="432">
        <f t="shared" si="14"/>
        <v>0</v>
      </c>
      <c r="J252" s="432">
        <f t="shared" si="14"/>
        <v>0</v>
      </c>
      <c r="K252" s="432">
        <f t="shared" si="14"/>
        <v>0</v>
      </c>
      <c r="L252" s="432">
        <f t="shared" si="14"/>
        <v>0</v>
      </c>
      <c r="M252" s="432">
        <f t="shared" si="14"/>
        <v>0</v>
      </c>
      <c r="N252" s="432">
        <f t="shared" si="14"/>
        <v>480</v>
      </c>
      <c r="O252" s="432">
        <f t="shared" si="14"/>
        <v>1516786</v>
      </c>
      <c r="P252" s="432">
        <f t="shared" si="14"/>
        <v>0</v>
      </c>
      <c r="Q252" s="432">
        <f t="shared" si="14"/>
        <v>0</v>
      </c>
      <c r="R252" s="432">
        <f t="shared" si="14"/>
        <v>2861</v>
      </c>
      <c r="S252" s="432">
        <f t="shared" si="14"/>
        <v>4352186</v>
      </c>
      <c r="T252" s="432">
        <f t="shared" si="14"/>
        <v>0</v>
      </c>
      <c r="U252" s="432">
        <f t="shared" si="14"/>
        <v>0</v>
      </c>
      <c r="V252" s="196">
        <f t="shared" si="14"/>
        <v>0</v>
      </c>
      <c r="W252" s="282"/>
      <c r="X252" s="282"/>
    </row>
    <row r="253" spans="1:25">
      <c r="A253" s="430">
        <v>1</v>
      </c>
      <c r="B253" s="467" t="s">
        <v>619</v>
      </c>
      <c r="C253" s="432">
        <f>'часть 1'!L262</f>
        <v>620394</v>
      </c>
      <c r="D253" s="432">
        <v>0</v>
      </c>
      <c r="E253" s="432">
        <v>0</v>
      </c>
      <c r="F253" s="432">
        <v>0</v>
      </c>
      <c r="G253" s="432">
        <v>0</v>
      </c>
      <c r="H253" s="432">
        <v>0</v>
      </c>
      <c r="I253" s="432">
        <v>0</v>
      </c>
      <c r="J253" s="432">
        <v>0</v>
      </c>
      <c r="K253" s="432">
        <v>0</v>
      </c>
      <c r="L253" s="463">
        <v>0</v>
      </c>
      <c r="M253" s="822">
        <v>0</v>
      </c>
      <c r="N253" s="441">
        <v>0</v>
      </c>
      <c r="O253" s="432">
        <v>0</v>
      </c>
      <c r="P253" s="463">
        <v>0</v>
      </c>
      <c r="Q253" s="432">
        <v>0</v>
      </c>
      <c r="R253" s="433">
        <v>408</v>
      </c>
      <c r="S253" s="432">
        <v>620394</v>
      </c>
      <c r="T253" s="463">
        <v>0</v>
      </c>
      <c r="U253" s="823">
        <v>0</v>
      </c>
      <c r="V253" s="282"/>
      <c r="W253" s="282"/>
      <c r="X253" s="282">
        <f>S253/R253</f>
        <v>1520.5735294117646</v>
      </c>
    </row>
    <row r="254" spans="1:25">
      <c r="A254" s="430">
        <v>2</v>
      </c>
      <c r="B254" s="467" t="s">
        <v>620</v>
      </c>
      <c r="C254" s="432">
        <f>'часть 1'!L263</f>
        <v>620324</v>
      </c>
      <c r="D254" s="432">
        <v>0</v>
      </c>
      <c r="E254" s="432">
        <v>0</v>
      </c>
      <c r="F254" s="432">
        <v>0</v>
      </c>
      <c r="G254" s="432">
        <v>0</v>
      </c>
      <c r="H254" s="432">
        <v>0</v>
      </c>
      <c r="I254" s="432">
        <v>0</v>
      </c>
      <c r="J254" s="432">
        <v>0</v>
      </c>
      <c r="K254" s="432">
        <v>0</v>
      </c>
      <c r="L254" s="463">
        <v>0</v>
      </c>
      <c r="M254" s="822">
        <v>0</v>
      </c>
      <c r="N254" s="441">
        <v>0</v>
      </c>
      <c r="O254" s="432">
        <v>0</v>
      </c>
      <c r="P254" s="463">
        <v>0</v>
      </c>
      <c r="Q254" s="432">
        <v>0</v>
      </c>
      <c r="R254" s="433">
        <v>408</v>
      </c>
      <c r="S254" s="432">
        <v>620324</v>
      </c>
      <c r="T254" s="463">
        <v>0</v>
      </c>
      <c r="U254" s="823">
        <v>0</v>
      </c>
      <c r="V254" s="282"/>
      <c r="W254" s="282"/>
      <c r="X254" s="282">
        <f t="shared" ref="X254:X259" si="15">S254/R254</f>
        <v>1520.4019607843138</v>
      </c>
    </row>
    <row r="255" spans="1:25">
      <c r="A255" s="430">
        <v>3</v>
      </c>
      <c r="B255" s="467" t="s">
        <v>621</v>
      </c>
      <c r="C255" s="432">
        <f>'часть 1'!L264</f>
        <v>626838</v>
      </c>
      <c r="D255" s="432">
        <v>0</v>
      </c>
      <c r="E255" s="432">
        <v>0</v>
      </c>
      <c r="F255" s="432">
        <v>0</v>
      </c>
      <c r="G255" s="432">
        <v>0</v>
      </c>
      <c r="H255" s="432">
        <v>0</v>
      </c>
      <c r="I255" s="432">
        <v>0</v>
      </c>
      <c r="J255" s="432">
        <v>0</v>
      </c>
      <c r="K255" s="432">
        <v>0</v>
      </c>
      <c r="L255" s="463">
        <v>0</v>
      </c>
      <c r="M255" s="822">
        <v>0</v>
      </c>
      <c r="N255" s="441">
        <v>0</v>
      </c>
      <c r="O255" s="432">
        <v>0</v>
      </c>
      <c r="P255" s="463">
        <v>0</v>
      </c>
      <c r="Q255" s="432">
        <v>0</v>
      </c>
      <c r="R255" s="433">
        <v>412</v>
      </c>
      <c r="S255" s="432">
        <v>626838</v>
      </c>
      <c r="T255" s="463">
        <v>0</v>
      </c>
      <c r="U255" s="823">
        <v>0</v>
      </c>
      <c r="V255" s="282"/>
      <c r="W255" s="282"/>
      <c r="X255" s="282">
        <f t="shared" si="15"/>
        <v>1521.4514563106795</v>
      </c>
    </row>
    <row r="256" spans="1:25">
      <c r="A256" s="430">
        <v>4</v>
      </c>
      <c r="B256" s="467" t="s">
        <v>622</v>
      </c>
      <c r="C256" s="432">
        <f>'часть 1'!L265</f>
        <v>2055193</v>
      </c>
      <c r="D256" s="432">
        <v>0</v>
      </c>
      <c r="E256" s="432">
        <v>0</v>
      </c>
      <c r="F256" s="432">
        <v>0</v>
      </c>
      <c r="G256" s="432">
        <v>0</v>
      </c>
      <c r="H256" s="432">
        <v>0</v>
      </c>
      <c r="I256" s="432">
        <v>0</v>
      </c>
      <c r="J256" s="432">
        <v>0</v>
      </c>
      <c r="K256" s="432">
        <v>0</v>
      </c>
      <c r="L256" s="463">
        <v>0</v>
      </c>
      <c r="M256" s="822">
        <v>0</v>
      </c>
      <c r="N256" s="441">
        <v>480</v>
      </c>
      <c r="O256" s="432">
        <v>1516786</v>
      </c>
      <c r="P256" s="463">
        <v>0</v>
      </c>
      <c r="Q256" s="432">
        <v>0</v>
      </c>
      <c r="R256" s="433">
        <v>352</v>
      </c>
      <c r="S256" s="432">
        <v>538407</v>
      </c>
      <c r="T256" s="463">
        <v>0</v>
      </c>
      <c r="U256" s="823">
        <v>0</v>
      </c>
      <c r="V256" s="282"/>
      <c r="W256" s="282">
        <f>O256/N256</f>
        <v>3159.9708333333333</v>
      </c>
      <c r="X256" s="282">
        <f t="shared" si="15"/>
        <v>1529.565340909091</v>
      </c>
    </row>
    <row r="257" spans="1:30">
      <c r="A257" s="430">
        <v>5</v>
      </c>
      <c r="B257" s="467" t="s">
        <v>392</v>
      </c>
      <c r="C257" s="432">
        <f>'часть 1'!L266</f>
        <v>626290</v>
      </c>
      <c r="D257" s="432">
        <v>0</v>
      </c>
      <c r="E257" s="432">
        <v>0</v>
      </c>
      <c r="F257" s="432">
        <v>0</v>
      </c>
      <c r="G257" s="432">
        <v>0</v>
      </c>
      <c r="H257" s="432">
        <v>0</v>
      </c>
      <c r="I257" s="432">
        <v>0</v>
      </c>
      <c r="J257" s="432">
        <v>0</v>
      </c>
      <c r="K257" s="432">
        <v>0</v>
      </c>
      <c r="L257" s="463">
        <v>0</v>
      </c>
      <c r="M257" s="822">
        <v>0</v>
      </c>
      <c r="N257" s="441">
        <v>0</v>
      </c>
      <c r="O257" s="432">
        <v>0</v>
      </c>
      <c r="P257" s="463">
        <v>0</v>
      </c>
      <c r="Q257" s="432">
        <v>0</v>
      </c>
      <c r="R257" s="433">
        <v>412</v>
      </c>
      <c r="S257" s="432">
        <v>626290</v>
      </c>
      <c r="T257" s="463">
        <v>0</v>
      </c>
      <c r="U257" s="823">
        <v>0</v>
      </c>
      <c r="V257" s="282"/>
      <c r="W257" s="282"/>
      <c r="X257" s="282">
        <f t="shared" si="15"/>
        <v>1520.1213592233009</v>
      </c>
    </row>
    <row r="258" spans="1:30">
      <c r="A258" s="430">
        <v>6</v>
      </c>
      <c r="B258" s="467" t="s">
        <v>623</v>
      </c>
      <c r="C258" s="432">
        <f>'часть 1'!L267</f>
        <v>555216</v>
      </c>
      <c r="D258" s="432">
        <v>0</v>
      </c>
      <c r="E258" s="432">
        <v>0</v>
      </c>
      <c r="F258" s="432">
        <v>0</v>
      </c>
      <c r="G258" s="432">
        <v>0</v>
      </c>
      <c r="H258" s="432">
        <v>0</v>
      </c>
      <c r="I258" s="432">
        <v>0</v>
      </c>
      <c r="J258" s="432">
        <v>0</v>
      </c>
      <c r="K258" s="432">
        <v>0</v>
      </c>
      <c r="L258" s="463">
        <v>0</v>
      </c>
      <c r="M258" s="822">
        <v>0</v>
      </c>
      <c r="N258" s="441">
        <v>0</v>
      </c>
      <c r="O258" s="432">
        <v>0</v>
      </c>
      <c r="P258" s="463">
        <v>0</v>
      </c>
      <c r="Q258" s="432">
        <v>0</v>
      </c>
      <c r="R258" s="433">
        <v>364</v>
      </c>
      <c r="S258" s="432">
        <v>555216</v>
      </c>
      <c r="T258" s="463">
        <v>0</v>
      </c>
      <c r="U258" s="823">
        <v>0</v>
      </c>
      <c r="V258" s="282"/>
      <c r="W258" s="282"/>
      <c r="X258" s="282">
        <f t="shared" si="15"/>
        <v>1525.3186813186812</v>
      </c>
    </row>
    <row r="259" spans="1:30">
      <c r="A259" s="430">
        <v>7</v>
      </c>
      <c r="B259" s="438" t="s">
        <v>628</v>
      </c>
      <c r="C259" s="432">
        <f>'часть 1'!L268</f>
        <v>764717</v>
      </c>
      <c r="D259" s="432">
        <v>0</v>
      </c>
      <c r="E259" s="432">
        <v>0</v>
      </c>
      <c r="F259" s="432">
        <v>0</v>
      </c>
      <c r="G259" s="432">
        <v>0</v>
      </c>
      <c r="H259" s="432">
        <v>0</v>
      </c>
      <c r="I259" s="432">
        <v>0</v>
      </c>
      <c r="J259" s="432">
        <v>0</v>
      </c>
      <c r="K259" s="432">
        <v>0</v>
      </c>
      <c r="L259" s="463">
        <v>0</v>
      </c>
      <c r="M259" s="822">
        <v>0</v>
      </c>
      <c r="N259" s="441">
        <v>0</v>
      </c>
      <c r="O259" s="432">
        <v>0</v>
      </c>
      <c r="P259" s="463">
        <v>0</v>
      </c>
      <c r="Q259" s="432">
        <v>0</v>
      </c>
      <c r="R259" s="433">
        <v>505</v>
      </c>
      <c r="S259" s="432">
        <v>764717</v>
      </c>
      <c r="T259" s="463"/>
      <c r="U259" s="823"/>
      <c r="V259" s="282"/>
      <c r="W259" s="282"/>
      <c r="X259" s="282">
        <f t="shared" si="15"/>
        <v>1514.2910891089109</v>
      </c>
    </row>
    <row r="260" spans="1:30">
      <c r="A260" s="198"/>
      <c r="B260" s="217" t="s">
        <v>41</v>
      </c>
      <c r="C260" s="192">
        <v>12161074</v>
      </c>
      <c r="D260" s="192"/>
      <c r="E260" s="192"/>
      <c r="F260" s="192"/>
      <c r="G260" s="192"/>
      <c r="H260" s="192"/>
      <c r="I260" s="192"/>
      <c r="J260" s="192"/>
      <c r="K260" s="192">
        <v>297717</v>
      </c>
      <c r="L260" s="205">
        <v>3</v>
      </c>
      <c r="M260" s="192">
        <v>5600526</v>
      </c>
      <c r="N260" s="192">
        <f>N261</f>
        <v>5180.68</v>
      </c>
      <c r="O260" s="192">
        <v>6262831</v>
      </c>
      <c r="P260" s="205">
        <v>0</v>
      </c>
      <c r="Q260" s="192">
        <v>0</v>
      </c>
      <c r="R260" s="193">
        <v>0</v>
      </c>
      <c r="S260" s="192">
        <v>0</v>
      </c>
      <c r="T260" s="205">
        <v>0</v>
      </c>
      <c r="U260" s="287">
        <v>0</v>
      </c>
      <c r="V260" s="282"/>
      <c r="W260" s="282"/>
      <c r="X260" s="282"/>
    </row>
    <row r="261" spans="1:30" ht="27.6">
      <c r="A261" s="198"/>
      <c r="B261" s="195" t="s">
        <v>96</v>
      </c>
      <c r="C261" s="196">
        <f>C262+C263+C264+C265+C266+C267+C268+C269+C270+C271</f>
        <v>22562280</v>
      </c>
      <c r="D261" s="196">
        <f t="shared" ref="D261:V261" si="16">D262+D263+D264+D265+D266+D267+D268+D269+D270+D271</f>
        <v>4389647</v>
      </c>
      <c r="E261" s="196">
        <f t="shared" si="16"/>
        <v>2047085</v>
      </c>
      <c r="F261" s="196">
        <f t="shared" si="16"/>
        <v>0</v>
      </c>
      <c r="G261" s="196">
        <f t="shared" si="16"/>
        <v>0</v>
      </c>
      <c r="H261" s="196">
        <f t="shared" si="16"/>
        <v>1420247</v>
      </c>
      <c r="I261" s="196">
        <f t="shared" si="16"/>
        <v>0</v>
      </c>
      <c r="J261" s="196">
        <f t="shared" si="16"/>
        <v>922315</v>
      </c>
      <c r="K261" s="196">
        <f t="shared" si="16"/>
        <v>0</v>
      </c>
      <c r="L261" s="196">
        <f t="shared" si="16"/>
        <v>0</v>
      </c>
      <c r="M261" s="196">
        <f t="shared" si="16"/>
        <v>0</v>
      </c>
      <c r="N261" s="196">
        <f t="shared" si="16"/>
        <v>5180.68</v>
      </c>
      <c r="O261" s="196">
        <f t="shared" si="16"/>
        <v>14270951</v>
      </c>
      <c r="P261" s="196">
        <f t="shared" si="16"/>
        <v>0</v>
      </c>
      <c r="Q261" s="196">
        <f t="shared" si="16"/>
        <v>0</v>
      </c>
      <c r="R261" s="196">
        <f t="shared" si="16"/>
        <v>2585.2599999999998</v>
      </c>
      <c r="S261" s="196">
        <f t="shared" si="16"/>
        <v>3901682</v>
      </c>
      <c r="T261" s="196">
        <f t="shared" si="16"/>
        <v>0</v>
      </c>
      <c r="U261" s="196">
        <f t="shared" si="16"/>
        <v>0</v>
      </c>
      <c r="V261" s="196">
        <f t="shared" si="16"/>
        <v>0</v>
      </c>
      <c r="W261" s="282"/>
      <c r="X261" s="282"/>
    </row>
    <row r="262" spans="1:30" ht="28.2">
      <c r="A262" s="198">
        <v>1</v>
      </c>
      <c r="B262" s="762" t="s">
        <v>813</v>
      </c>
      <c r="C262" s="196">
        <f>'часть 1'!L271</f>
        <v>2342562</v>
      </c>
      <c r="D262" s="196">
        <f>E262+F262+G262+H262+I262+J262+K262</f>
        <v>2342562</v>
      </c>
      <c r="E262" s="196">
        <v>0</v>
      </c>
      <c r="F262" s="196">
        <v>0</v>
      </c>
      <c r="G262" s="196">
        <v>0</v>
      </c>
      <c r="H262" s="196">
        <v>1420247</v>
      </c>
      <c r="I262" s="196">
        <v>0</v>
      </c>
      <c r="J262" s="196">
        <v>922315</v>
      </c>
      <c r="K262" s="196">
        <v>0</v>
      </c>
      <c r="L262" s="204">
        <v>0</v>
      </c>
      <c r="M262" s="199">
        <v>0</v>
      </c>
      <c r="N262" s="199">
        <v>0</v>
      </c>
      <c r="O262" s="196">
        <v>0</v>
      </c>
      <c r="P262" s="193">
        <v>0</v>
      </c>
      <c r="Q262" s="192">
        <v>0</v>
      </c>
      <c r="R262" s="193">
        <v>0</v>
      </c>
      <c r="S262" s="192">
        <v>0</v>
      </c>
      <c r="T262" s="205">
        <v>0</v>
      </c>
      <c r="U262" s="287">
        <v>0</v>
      </c>
      <c r="V262" s="282"/>
      <c r="W262" s="282"/>
      <c r="X262" s="282"/>
      <c r="AB262" s="1">
        <f>H262/'часть 1'!I271</f>
        <v>883.62284576619174</v>
      </c>
      <c r="AD262" s="1">
        <f>J262/'часть 1'!I271</f>
        <v>573.8287811858396</v>
      </c>
    </row>
    <row r="263" spans="1:30" ht="28.2">
      <c r="A263" s="198">
        <v>2</v>
      </c>
      <c r="B263" s="762" t="s">
        <v>814</v>
      </c>
      <c r="C263" s="196">
        <f>'часть 1'!L272</f>
        <v>2815415</v>
      </c>
      <c r="D263" s="196">
        <f t="shared" ref="D263:D271" si="17">E263+F263+G263+H263+I263+J263+K263</f>
        <v>0</v>
      </c>
      <c r="E263" s="196">
        <v>0</v>
      </c>
      <c r="F263" s="196">
        <v>0</v>
      </c>
      <c r="G263" s="196">
        <v>0</v>
      </c>
      <c r="H263" s="196">
        <v>0</v>
      </c>
      <c r="I263" s="196">
        <v>0</v>
      </c>
      <c r="J263" s="196">
        <v>0</v>
      </c>
      <c r="K263" s="196">
        <v>0</v>
      </c>
      <c r="L263" s="204">
        <v>0</v>
      </c>
      <c r="M263" s="199">
        <v>0</v>
      </c>
      <c r="N263" s="199">
        <v>892.68</v>
      </c>
      <c r="O263" s="196">
        <v>2815415</v>
      </c>
      <c r="P263" s="193">
        <v>0</v>
      </c>
      <c r="Q263" s="192">
        <v>0</v>
      </c>
      <c r="R263" s="193">
        <v>0</v>
      </c>
      <c r="S263" s="192">
        <v>0</v>
      </c>
      <c r="T263" s="205">
        <v>0</v>
      </c>
      <c r="U263" s="287">
        <v>0</v>
      </c>
      <c r="V263" s="282"/>
      <c r="W263" s="282">
        <f>O263/N263</f>
        <v>3153.8905318815255</v>
      </c>
      <c r="X263" s="282"/>
    </row>
    <row r="264" spans="1:30" ht="28.2">
      <c r="A264" s="198">
        <v>3</v>
      </c>
      <c r="B264" s="762" t="s">
        <v>815</v>
      </c>
      <c r="C264" s="196">
        <f>'часть 1'!L273</f>
        <v>3917668</v>
      </c>
      <c r="D264" s="196">
        <f t="shared" si="17"/>
        <v>0</v>
      </c>
      <c r="E264" s="196">
        <v>0</v>
      </c>
      <c r="F264" s="196">
        <v>0</v>
      </c>
      <c r="G264" s="196">
        <v>0</v>
      </c>
      <c r="H264" s="196">
        <v>0</v>
      </c>
      <c r="I264" s="196">
        <v>0</v>
      </c>
      <c r="J264" s="196">
        <v>0</v>
      </c>
      <c r="K264" s="196">
        <v>0</v>
      </c>
      <c r="L264" s="204">
        <v>0</v>
      </c>
      <c r="M264" s="199">
        <v>0</v>
      </c>
      <c r="N264" s="199">
        <v>1235</v>
      </c>
      <c r="O264" s="196">
        <v>3917668</v>
      </c>
      <c r="P264" s="193">
        <v>0</v>
      </c>
      <c r="Q264" s="192">
        <v>0</v>
      </c>
      <c r="R264" s="193">
        <v>0</v>
      </c>
      <c r="S264" s="192">
        <v>0</v>
      </c>
      <c r="T264" s="205">
        <v>0</v>
      </c>
      <c r="U264" s="287">
        <v>0</v>
      </c>
      <c r="V264" s="282"/>
      <c r="W264" s="282">
        <f>O264/N264</f>
        <v>3172.200809716599</v>
      </c>
      <c r="X264" s="282"/>
    </row>
    <row r="265" spans="1:30">
      <c r="A265" s="198">
        <v>4</v>
      </c>
      <c r="B265" s="762" t="s">
        <v>816</v>
      </c>
      <c r="C265" s="196">
        <f>'часть 1'!L274</f>
        <v>3136577</v>
      </c>
      <c r="D265" s="196">
        <f t="shared" si="17"/>
        <v>0</v>
      </c>
      <c r="E265" s="196">
        <v>0</v>
      </c>
      <c r="F265" s="196">
        <v>0</v>
      </c>
      <c r="G265" s="196">
        <v>0</v>
      </c>
      <c r="H265" s="196">
        <v>0</v>
      </c>
      <c r="I265" s="196">
        <v>0</v>
      </c>
      <c r="J265" s="196">
        <v>0</v>
      </c>
      <c r="K265" s="196">
        <v>0</v>
      </c>
      <c r="L265" s="204">
        <v>0</v>
      </c>
      <c r="M265" s="199">
        <v>0</v>
      </c>
      <c r="N265" s="199">
        <v>1270</v>
      </c>
      <c r="O265" s="196">
        <v>3136577</v>
      </c>
      <c r="P265" s="193">
        <v>0</v>
      </c>
      <c r="Q265" s="192">
        <v>0</v>
      </c>
      <c r="R265" s="193">
        <v>0</v>
      </c>
      <c r="S265" s="192">
        <v>0</v>
      </c>
      <c r="T265" s="205">
        <v>0</v>
      </c>
      <c r="U265" s="287">
        <v>0</v>
      </c>
      <c r="V265" s="282"/>
      <c r="W265" s="282">
        <f>O265/N265</f>
        <v>2469.7456692913388</v>
      </c>
      <c r="X265" s="282"/>
    </row>
    <row r="266" spans="1:30" ht="28.2">
      <c r="A266" s="198">
        <v>5</v>
      </c>
      <c r="B266" s="762" t="s">
        <v>817</v>
      </c>
      <c r="C266" s="196">
        <f>'часть 1'!L275</f>
        <v>1046329</v>
      </c>
      <c r="D266" s="196">
        <f t="shared" si="17"/>
        <v>0</v>
      </c>
      <c r="E266" s="196">
        <v>0</v>
      </c>
      <c r="F266" s="196">
        <v>0</v>
      </c>
      <c r="G266" s="196">
        <v>0</v>
      </c>
      <c r="H266" s="196">
        <v>0</v>
      </c>
      <c r="I266" s="196">
        <v>0</v>
      </c>
      <c r="J266" s="196">
        <v>0</v>
      </c>
      <c r="K266" s="196">
        <v>0</v>
      </c>
      <c r="L266" s="204">
        <v>0</v>
      </c>
      <c r="M266" s="199">
        <v>0</v>
      </c>
      <c r="N266" s="199">
        <v>424</v>
      </c>
      <c r="O266" s="196">
        <v>1046329</v>
      </c>
      <c r="P266" s="193">
        <v>0</v>
      </c>
      <c r="Q266" s="192">
        <v>0</v>
      </c>
      <c r="R266" s="193">
        <v>0</v>
      </c>
      <c r="S266" s="192">
        <v>0</v>
      </c>
      <c r="T266" s="205">
        <v>0</v>
      </c>
      <c r="U266" s="287">
        <v>0</v>
      </c>
      <c r="V266" s="282"/>
      <c r="W266" s="282">
        <f>O266/N266</f>
        <v>2467.757075471698</v>
      </c>
      <c r="X266" s="282"/>
    </row>
    <row r="267" spans="1:30">
      <c r="A267" s="198">
        <v>6</v>
      </c>
      <c r="B267" s="762" t="s">
        <v>818</v>
      </c>
      <c r="C267" s="196">
        <f>'часть 1'!L276</f>
        <v>2290833</v>
      </c>
      <c r="D267" s="196">
        <f t="shared" si="17"/>
        <v>717172</v>
      </c>
      <c r="E267" s="196">
        <v>717172</v>
      </c>
      <c r="F267" s="196">
        <v>0</v>
      </c>
      <c r="G267" s="196">
        <v>0</v>
      </c>
      <c r="H267" s="196">
        <v>0</v>
      </c>
      <c r="I267" s="196">
        <v>0</v>
      </c>
      <c r="J267" s="196">
        <v>0</v>
      </c>
      <c r="K267" s="196">
        <v>0</v>
      </c>
      <c r="L267" s="204">
        <v>0</v>
      </c>
      <c r="M267" s="199">
        <v>0</v>
      </c>
      <c r="N267" s="199">
        <v>0</v>
      </c>
      <c r="O267" s="196">
        <v>0</v>
      </c>
      <c r="P267" s="193">
        <v>0</v>
      </c>
      <c r="Q267" s="192">
        <v>0</v>
      </c>
      <c r="R267" s="193">
        <v>1043.7</v>
      </c>
      <c r="S267" s="192">
        <v>1573661</v>
      </c>
      <c r="T267" s="205">
        <v>0</v>
      </c>
      <c r="U267" s="287">
        <v>0</v>
      </c>
      <c r="V267" s="282"/>
      <c r="W267" s="282"/>
      <c r="X267" s="282">
        <f>S267/R267</f>
        <v>1507.7713902462392</v>
      </c>
    </row>
    <row r="268" spans="1:30">
      <c r="A268" s="198">
        <v>7</v>
      </c>
      <c r="B268" s="762" t="s">
        <v>819</v>
      </c>
      <c r="C268" s="196">
        <f>'часть 1'!L277</f>
        <v>1932078</v>
      </c>
      <c r="D268" s="196">
        <f t="shared" si="17"/>
        <v>625139</v>
      </c>
      <c r="E268" s="196">
        <v>625139</v>
      </c>
      <c r="F268" s="196">
        <v>0</v>
      </c>
      <c r="G268" s="196">
        <v>0</v>
      </c>
      <c r="H268" s="196">
        <v>0</v>
      </c>
      <c r="I268" s="196">
        <v>0</v>
      </c>
      <c r="J268" s="196">
        <v>0</v>
      </c>
      <c r="K268" s="196">
        <v>0</v>
      </c>
      <c r="L268" s="204">
        <v>0</v>
      </c>
      <c r="M268" s="199">
        <v>0</v>
      </c>
      <c r="N268" s="199">
        <v>0</v>
      </c>
      <c r="O268" s="196">
        <v>0</v>
      </c>
      <c r="P268" s="193">
        <v>0</v>
      </c>
      <c r="Q268" s="192">
        <v>0</v>
      </c>
      <c r="R268" s="193">
        <v>864.4</v>
      </c>
      <c r="S268" s="192">
        <v>1306939</v>
      </c>
      <c r="T268" s="205">
        <v>0</v>
      </c>
      <c r="U268" s="287">
        <v>0</v>
      </c>
      <c r="V268" s="282"/>
      <c r="W268" s="282"/>
      <c r="X268" s="282">
        <f>S268/R268</f>
        <v>1511.9608977325313</v>
      </c>
    </row>
    <row r="269" spans="1:30">
      <c r="A269" s="198">
        <v>8</v>
      </c>
      <c r="B269" s="762" t="s">
        <v>820</v>
      </c>
      <c r="C269" s="196">
        <f>'часть 1'!L278</f>
        <v>3354962</v>
      </c>
      <c r="D269" s="196">
        <f t="shared" si="17"/>
        <v>0</v>
      </c>
      <c r="E269" s="196">
        <v>0</v>
      </c>
      <c r="F269" s="196">
        <v>0</v>
      </c>
      <c r="G269" s="196">
        <v>0</v>
      </c>
      <c r="H269" s="196">
        <v>0</v>
      </c>
      <c r="I269" s="196">
        <v>0</v>
      </c>
      <c r="J269" s="196">
        <v>0</v>
      </c>
      <c r="K269" s="196">
        <v>0</v>
      </c>
      <c r="L269" s="204">
        <v>0</v>
      </c>
      <c r="M269" s="199">
        <v>0</v>
      </c>
      <c r="N269" s="199">
        <v>1359</v>
      </c>
      <c r="O269" s="196">
        <v>3354962</v>
      </c>
      <c r="P269" s="193">
        <v>0</v>
      </c>
      <c r="Q269" s="192">
        <v>0</v>
      </c>
      <c r="R269" s="193">
        <v>0</v>
      </c>
      <c r="S269" s="192">
        <v>0</v>
      </c>
      <c r="T269" s="205">
        <v>0</v>
      </c>
      <c r="U269" s="287">
        <v>0</v>
      </c>
      <c r="V269" s="282"/>
      <c r="W269" s="282">
        <f>O269/N269</f>
        <v>2468.6990434142754</v>
      </c>
      <c r="X269" s="282"/>
    </row>
    <row r="270" spans="1:30" ht="28.2">
      <c r="A270" s="198">
        <v>9</v>
      </c>
      <c r="B270" s="762" t="s">
        <v>821</v>
      </c>
      <c r="C270" s="196">
        <f>'часть 1'!L279</f>
        <v>280050</v>
      </c>
      <c r="D270" s="196">
        <f t="shared" si="17"/>
        <v>280050</v>
      </c>
      <c r="E270" s="196">
        <v>280050</v>
      </c>
      <c r="F270" s="196">
        <v>0</v>
      </c>
      <c r="G270" s="196">
        <v>0</v>
      </c>
      <c r="H270" s="196">
        <v>0</v>
      </c>
      <c r="I270" s="196">
        <v>0</v>
      </c>
      <c r="J270" s="196">
        <v>0</v>
      </c>
      <c r="K270" s="196">
        <v>0</v>
      </c>
      <c r="L270" s="204">
        <v>0</v>
      </c>
      <c r="M270" s="199">
        <v>0</v>
      </c>
      <c r="N270" s="192">
        <v>0</v>
      </c>
      <c r="O270" s="192">
        <v>0</v>
      </c>
      <c r="P270" s="193">
        <v>0</v>
      </c>
      <c r="Q270" s="192">
        <v>0</v>
      </c>
      <c r="R270" s="193">
        <v>0</v>
      </c>
      <c r="S270" s="192">
        <v>0</v>
      </c>
      <c r="T270" s="205">
        <v>0</v>
      </c>
      <c r="U270" s="287">
        <v>0</v>
      </c>
      <c r="V270" s="282"/>
      <c r="W270" s="282"/>
      <c r="X270" s="282"/>
      <c r="Y270" s="1">
        <f>E270/'часть 1'!I279</f>
        <v>767.13416972552454</v>
      </c>
    </row>
    <row r="271" spans="1:30" ht="27.6">
      <c r="A271" s="198">
        <v>10</v>
      </c>
      <c r="B271" s="763" t="s">
        <v>822</v>
      </c>
      <c r="C271" s="196">
        <f>'часть 1'!L280</f>
        <v>1445806</v>
      </c>
      <c r="D271" s="196">
        <f t="shared" si="17"/>
        <v>424724</v>
      </c>
      <c r="E271" s="196">
        <v>424724</v>
      </c>
      <c r="F271" s="196">
        <v>0</v>
      </c>
      <c r="G271" s="196">
        <v>0</v>
      </c>
      <c r="H271" s="196">
        <v>0</v>
      </c>
      <c r="I271" s="196">
        <v>0</v>
      </c>
      <c r="J271" s="196">
        <v>0</v>
      </c>
      <c r="K271" s="196">
        <v>0</v>
      </c>
      <c r="L271" s="204">
        <v>0</v>
      </c>
      <c r="M271" s="199">
        <v>0</v>
      </c>
      <c r="N271" s="199">
        <v>0</v>
      </c>
      <c r="O271" s="196">
        <v>0</v>
      </c>
      <c r="P271" s="193">
        <v>0</v>
      </c>
      <c r="Q271" s="211">
        <v>0</v>
      </c>
      <c r="R271" s="213">
        <v>677.16</v>
      </c>
      <c r="S271" s="211">
        <v>1021082</v>
      </c>
      <c r="T271" s="212">
        <v>0</v>
      </c>
      <c r="U271" s="290">
        <v>0</v>
      </c>
      <c r="V271" s="282"/>
      <c r="W271" s="282"/>
      <c r="X271" s="282">
        <f>S271/R271</f>
        <v>1507.8888298186544</v>
      </c>
      <c r="Y271" s="1">
        <f>E271/'часть 1'!I280</f>
        <v>677.17474489795916</v>
      </c>
    </row>
    <row r="272" spans="1:30">
      <c r="A272" s="198"/>
      <c r="B272" s="218" t="s">
        <v>68</v>
      </c>
      <c r="C272" s="196">
        <f>C273</f>
        <v>241114</v>
      </c>
      <c r="D272" s="196">
        <f t="shared" ref="D272:U272" si="18">D273</f>
        <v>0</v>
      </c>
      <c r="E272" s="196">
        <f t="shared" si="18"/>
        <v>241114</v>
      </c>
      <c r="F272" s="196">
        <f t="shared" si="18"/>
        <v>0</v>
      </c>
      <c r="G272" s="196">
        <f t="shared" si="18"/>
        <v>0</v>
      </c>
      <c r="H272" s="196">
        <f t="shared" si="18"/>
        <v>0</v>
      </c>
      <c r="I272" s="196">
        <f t="shared" si="18"/>
        <v>0</v>
      </c>
      <c r="J272" s="196">
        <f t="shared" si="18"/>
        <v>0</v>
      </c>
      <c r="K272" s="196">
        <f t="shared" si="18"/>
        <v>0</v>
      </c>
      <c r="L272" s="196">
        <f t="shared" si="18"/>
        <v>0</v>
      </c>
      <c r="M272" s="196">
        <f t="shared" si="18"/>
        <v>0</v>
      </c>
      <c r="N272" s="196">
        <f t="shared" si="18"/>
        <v>0</v>
      </c>
      <c r="O272" s="196">
        <f t="shared" si="18"/>
        <v>0</v>
      </c>
      <c r="P272" s="196">
        <f t="shared" si="18"/>
        <v>0</v>
      </c>
      <c r="Q272" s="196">
        <f t="shared" si="18"/>
        <v>0</v>
      </c>
      <c r="R272" s="196">
        <f t="shared" si="18"/>
        <v>0</v>
      </c>
      <c r="S272" s="196">
        <f t="shared" si="18"/>
        <v>0</v>
      </c>
      <c r="T272" s="196">
        <f t="shared" si="18"/>
        <v>0</v>
      </c>
      <c r="U272" s="196">
        <f t="shared" si="18"/>
        <v>0</v>
      </c>
      <c r="V272" s="282"/>
      <c r="W272" s="282"/>
      <c r="X272" s="282"/>
    </row>
    <row r="273" spans="1:35" ht="27.6">
      <c r="A273" s="430"/>
      <c r="B273" s="431" t="s">
        <v>97</v>
      </c>
      <c r="C273" s="432">
        <v>241114</v>
      </c>
      <c r="D273" s="432">
        <v>0</v>
      </c>
      <c r="E273" s="432">
        <v>241114</v>
      </c>
      <c r="F273" s="432">
        <v>0</v>
      </c>
      <c r="G273" s="432">
        <v>0</v>
      </c>
      <c r="H273" s="432">
        <v>0</v>
      </c>
      <c r="I273" s="432">
        <v>0</v>
      </c>
      <c r="J273" s="432">
        <v>0</v>
      </c>
      <c r="K273" s="432">
        <v>0</v>
      </c>
      <c r="L273" s="463">
        <v>0</v>
      </c>
      <c r="M273" s="432">
        <v>0</v>
      </c>
      <c r="N273" s="432">
        <v>0</v>
      </c>
      <c r="O273" s="432">
        <v>0</v>
      </c>
      <c r="P273" s="433">
        <v>0</v>
      </c>
      <c r="Q273" s="432">
        <v>0</v>
      </c>
      <c r="R273" s="433">
        <v>0</v>
      </c>
      <c r="S273" s="432">
        <v>0</v>
      </c>
      <c r="T273" s="463">
        <v>0</v>
      </c>
      <c r="U273" s="434">
        <v>0</v>
      </c>
      <c r="V273" s="282"/>
      <c r="W273" s="282"/>
      <c r="X273" s="282"/>
    </row>
    <row r="274" spans="1:35">
      <c r="A274" s="430"/>
      <c r="B274" s="464" t="s">
        <v>505</v>
      </c>
      <c r="C274" s="439">
        <v>241114</v>
      </c>
      <c r="D274" s="439">
        <v>0</v>
      </c>
      <c r="E274" s="439">
        <v>241114</v>
      </c>
      <c r="F274" s="439">
        <v>0</v>
      </c>
      <c r="G274" s="439">
        <v>0</v>
      </c>
      <c r="H274" s="439">
        <v>0</v>
      </c>
      <c r="I274" s="439">
        <v>0</v>
      </c>
      <c r="J274" s="439">
        <v>0</v>
      </c>
      <c r="K274" s="439">
        <v>0</v>
      </c>
      <c r="L274" s="440">
        <v>0</v>
      </c>
      <c r="M274" s="439">
        <v>0</v>
      </c>
      <c r="N274" s="439">
        <v>0</v>
      </c>
      <c r="O274" s="439">
        <v>0</v>
      </c>
      <c r="P274" s="442">
        <v>0</v>
      </c>
      <c r="Q274" s="439">
        <v>0</v>
      </c>
      <c r="R274" s="442">
        <v>0</v>
      </c>
      <c r="S274" s="439">
        <v>0</v>
      </c>
      <c r="T274" s="440">
        <v>0</v>
      </c>
      <c r="U274" s="443">
        <v>0</v>
      </c>
      <c r="V274" s="282"/>
      <c r="W274" s="282"/>
      <c r="X274" s="282"/>
      <c r="Y274" s="278">
        <f>E273/'часть 1'!I283</f>
        <v>974.591754244139</v>
      </c>
    </row>
    <row r="275" spans="1:35" s="18" customFormat="1">
      <c r="A275" s="198"/>
      <c r="B275" s="216" t="s">
        <v>43</v>
      </c>
      <c r="C275" s="211">
        <v>23032470</v>
      </c>
      <c r="D275" s="211"/>
      <c r="E275" s="211"/>
      <c r="F275" s="211"/>
      <c r="G275" s="211"/>
      <c r="H275" s="211"/>
      <c r="I275" s="211"/>
      <c r="J275" s="211"/>
      <c r="K275" s="211">
        <v>0</v>
      </c>
      <c r="L275" s="213">
        <v>0</v>
      </c>
      <c r="M275" s="211">
        <v>0</v>
      </c>
      <c r="N275" s="211">
        <v>11598.699999999999</v>
      </c>
      <c r="O275" s="211">
        <v>23032470</v>
      </c>
      <c r="P275" s="213">
        <v>0</v>
      </c>
      <c r="Q275" s="211">
        <v>0</v>
      </c>
      <c r="R275" s="213">
        <v>0</v>
      </c>
      <c r="S275" s="211">
        <v>0</v>
      </c>
      <c r="T275" s="213">
        <v>0</v>
      </c>
      <c r="U275" s="290">
        <v>0</v>
      </c>
      <c r="V275" s="282"/>
      <c r="W275" s="282"/>
      <c r="X275" s="282"/>
    </row>
    <row r="276" spans="1:35" ht="27.6">
      <c r="A276" s="198"/>
      <c r="B276" s="214" t="s">
        <v>125</v>
      </c>
      <c r="C276" s="211">
        <v>20696312</v>
      </c>
      <c r="D276" s="211"/>
      <c r="E276" s="211"/>
      <c r="F276" s="211"/>
      <c r="G276" s="211"/>
      <c r="H276" s="211"/>
      <c r="I276" s="211"/>
      <c r="J276" s="211"/>
      <c r="K276" s="211">
        <v>0</v>
      </c>
      <c r="L276" s="212">
        <v>0</v>
      </c>
      <c r="M276" s="211">
        <v>0</v>
      </c>
      <c r="N276" s="211">
        <v>10402.699999999999</v>
      </c>
      <c r="O276" s="211">
        <v>20696312</v>
      </c>
      <c r="P276" s="213">
        <v>0</v>
      </c>
      <c r="Q276" s="211">
        <v>0</v>
      </c>
      <c r="R276" s="213">
        <v>0</v>
      </c>
      <c r="S276" s="211">
        <v>0</v>
      </c>
      <c r="T276" s="212">
        <v>0</v>
      </c>
      <c r="U276" s="290">
        <v>0</v>
      </c>
      <c r="V276" s="282"/>
      <c r="W276" s="282"/>
      <c r="X276" s="282"/>
    </row>
    <row r="277" spans="1:35" s="46" customFormat="1">
      <c r="A277" s="198">
        <v>244</v>
      </c>
      <c r="B277" s="219" t="s">
        <v>405</v>
      </c>
      <c r="C277" s="220">
        <v>2301804</v>
      </c>
      <c r="D277" s="220"/>
      <c r="E277" s="220"/>
      <c r="F277" s="220"/>
      <c r="G277" s="220"/>
      <c r="H277" s="220"/>
      <c r="I277" s="220"/>
      <c r="J277" s="220"/>
      <c r="K277" s="221">
        <v>0</v>
      </c>
      <c r="L277" s="222">
        <v>0</v>
      </c>
      <c r="M277" s="221">
        <v>0</v>
      </c>
      <c r="N277" s="223">
        <v>1167</v>
      </c>
      <c r="O277" s="224">
        <v>2301804</v>
      </c>
      <c r="P277" s="225">
        <v>0</v>
      </c>
      <c r="Q277" s="221">
        <v>0</v>
      </c>
      <c r="R277" s="225">
        <v>0</v>
      </c>
      <c r="S277" s="221">
        <v>0</v>
      </c>
      <c r="T277" s="226">
        <v>0</v>
      </c>
      <c r="U277" s="291">
        <v>0</v>
      </c>
      <c r="V277" s="282"/>
      <c r="W277" s="282"/>
      <c r="X277" s="282"/>
    </row>
    <row r="278" spans="1:35" s="90" customFormat="1">
      <c r="A278" s="198">
        <v>245</v>
      </c>
      <c r="B278" s="219" t="s">
        <v>393</v>
      </c>
      <c r="C278" s="220">
        <v>1743478</v>
      </c>
      <c r="D278" s="220"/>
      <c r="E278" s="220"/>
      <c r="F278" s="220"/>
      <c r="G278" s="220"/>
      <c r="H278" s="220"/>
      <c r="I278" s="220"/>
      <c r="J278" s="220"/>
      <c r="K278" s="227">
        <v>0</v>
      </c>
      <c r="L278" s="208">
        <v>0</v>
      </c>
      <c r="M278" s="227">
        <v>0</v>
      </c>
      <c r="N278" s="228">
        <v>880</v>
      </c>
      <c r="O278" s="224">
        <v>1743478</v>
      </c>
      <c r="P278" s="225">
        <v>0</v>
      </c>
      <c r="Q278" s="221">
        <v>0</v>
      </c>
      <c r="R278" s="225">
        <v>0</v>
      </c>
      <c r="S278" s="221">
        <v>0</v>
      </c>
      <c r="T278" s="226">
        <v>0</v>
      </c>
      <c r="U278" s="291">
        <v>0</v>
      </c>
      <c r="V278" s="282"/>
      <c r="W278" s="282"/>
      <c r="X278" s="282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</row>
    <row r="279" spans="1:35" s="90" customFormat="1">
      <c r="A279" s="198">
        <v>246</v>
      </c>
      <c r="B279" s="219" t="s">
        <v>406</v>
      </c>
      <c r="C279" s="220">
        <v>2485001</v>
      </c>
      <c r="D279" s="220"/>
      <c r="E279" s="220"/>
      <c r="F279" s="220"/>
      <c r="G279" s="220"/>
      <c r="H279" s="220"/>
      <c r="I279" s="220"/>
      <c r="J279" s="220"/>
      <c r="K279" s="221">
        <v>0</v>
      </c>
      <c r="L279" s="222">
        <v>0</v>
      </c>
      <c r="M279" s="221">
        <v>0</v>
      </c>
      <c r="N279" s="229">
        <v>1268.4000000000001</v>
      </c>
      <c r="O279" s="224">
        <v>2485001</v>
      </c>
      <c r="P279" s="225">
        <v>0</v>
      </c>
      <c r="Q279" s="221">
        <v>0</v>
      </c>
      <c r="R279" s="225">
        <v>0</v>
      </c>
      <c r="S279" s="221">
        <v>0</v>
      </c>
      <c r="T279" s="226">
        <v>0</v>
      </c>
      <c r="U279" s="291">
        <v>0</v>
      </c>
      <c r="V279" s="282"/>
      <c r="W279" s="282"/>
      <c r="X279" s="282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</row>
    <row r="280" spans="1:35" s="46" customFormat="1">
      <c r="A280" s="198">
        <v>247</v>
      </c>
      <c r="B280" s="219" t="s">
        <v>402</v>
      </c>
      <c r="C280" s="220">
        <v>1237591</v>
      </c>
      <c r="D280" s="220"/>
      <c r="E280" s="220"/>
      <c r="F280" s="220"/>
      <c r="G280" s="220"/>
      <c r="H280" s="220"/>
      <c r="I280" s="220"/>
      <c r="J280" s="220"/>
      <c r="K280" s="221">
        <v>0</v>
      </c>
      <c r="L280" s="222">
        <v>0</v>
      </c>
      <c r="M280" s="221">
        <v>0</v>
      </c>
      <c r="N280" s="223">
        <v>620</v>
      </c>
      <c r="O280" s="224">
        <v>1237591</v>
      </c>
      <c r="P280" s="225">
        <v>0</v>
      </c>
      <c r="Q280" s="221">
        <v>0</v>
      </c>
      <c r="R280" s="225">
        <v>0</v>
      </c>
      <c r="S280" s="221">
        <v>0</v>
      </c>
      <c r="T280" s="226">
        <v>0</v>
      </c>
      <c r="U280" s="291">
        <v>0</v>
      </c>
      <c r="V280" s="282"/>
      <c r="W280" s="282"/>
      <c r="X280" s="282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</row>
    <row r="281" spans="1:35" s="42" customFormat="1">
      <c r="A281" s="198">
        <v>248</v>
      </c>
      <c r="B281" s="219" t="s">
        <v>397</v>
      </c>
      <c r="C281" s="220">
        <v>1448078</v>
      </c>
      <c r="D281" s="220"/>
      <c r="E281" s="220"/>
      <c r="F281" s="220"/>
      <c r="G281" s="220"/>
      <c r="H281" s="220"/>
      <c r="I281" s="220"/>
      <c r="J281" s="220"/>
      <c r="K281" s="221">
        <v>0</v>
      </c>
      <c r="L281" s="222">
        <v>0</v>
      </c>
      <c r="M281" s="221">
        <v>0</v>
      </c>
      <c r="N281" s="229">
        <v>729</v>
      </c>
      <c r="O281" s="224">
        <v>1448078</v>
      </c>
      <c r="P281" s="225">
        <v>0</v>
      </c>
      <c r="Q281" s="221">
        <v>0</v>
      </c>
      <c r="R281" s="225">
        <v>0</v>
      </c>
      <c r="S281" s="221">
        <v>0</v>
      </c>
      <c r="T281" s="226">
        <v>0</v>
      </c>
      <c r="U281" s="291">
        <v>0</v>
      </c>
      <c r="V281" s="282"/>
      <c r="W281" s="282"/>
      <c r="X281" s="282"/>
    </row>
    <row r="282" spans="1:35" s="46" customFormat="1">
      <c r="A282" s="198">
        <v>249</v>
      </c>
      <c r="B282" s="219" t="s">
        <v>398</v>
      </c>
      <c r="C282" s="220">
        <v>1963797</v>
      </c>
      <c r="D282" s="220"/>
      <c r="E282" s="220"/>
      <c r="F282" s="220"/>
      <c r="G282" s="220"/>
      <c r="H282" s="220"/>
      <c r="I282" s="220"/>
      <c r="J282" s="220"/>
      <c r="K282" s="221">
        <v>0</v>
      </c>
      <c r="L282" s="222">
        <v>0</v>
      </c>
      <c r="M282" s="221">
        <v>0</v>
      </c>
      <c r="N282" s="223">
        <v>991.4</v>
      </c>
      <c r="O282" s="224">
        <v>1963797</v>
      </c>
      <c r="P282" s="225">
        <v>0</v>
      </c>
      <c r="Q282" s="221">
        <v>0</v>
      </c>
      <c r="R282" s="225">
        <v>0</v>
      </c>
      <c r="S282" s="221">
        <v>0</v>
      </c>
      <c r="T282" s="226">
        <v>0</v>
      </c>
      <c r="U282" s="291">
        <v>0</v>
      </c>
      <c r="V282" s="282"/>
      <c r="W282" s="282"/>
      <c r="X282" s="282"/>
    </row>
    <row r="283" spans="1:35" s="46" customFormat="1">
      <c r="A283" s="198">
        <v>250</v>
      </c>
      <c r="B283" s="219" t="s">
        <v>399</v>
      </c>
      <c r="C283" s="220">
        <v>2119530</v>
      </c>
      <c r="D283" s="220"/>
      <c r="E283" s="220"/>
      <c r="F283" s="220"/>
      <c r="G283" s="220"/>
      <c r="H283" s="220"/>
      <c r="I283" s="220"/>
      <c r="J283" s="220"/>
      <c r="K283" s="221">
        <v>0</v>
      </c>
      <c r="L283" s="222">
        <v>0</v>
      </c>
      <c r="M283" s="221">
        <v>0</v>
      </c>
      <c r="N283" s="223">
        <v>1054.5</v>
      </c>
      <c r="O283" s="224">
        <v>2119530</v>
      </c>
      <c r="P283" s="225">
        <v>0</v>
      </c>
      <c r="Q283" s="221">
        <v>0</v>
      </c>
      <c r="R283" s="225">
        <v>0</v>
      </c>
      <c r="S283" s="221">
        <v>0</v>
      </c>
      <c r="T283" s="226">
        <v>0</v>
      </c>
      <c r="U283" s="291">
        <v>0</v>
      </c>
      <c r="V283" s="282"/>
      <c r="W283" s="282"/>
      <c r="X283" s="282"/>
    </row>
    <row r="284" spans="1:35" s="46" customFormat="1">
      <c r="A284" s="198">
        <v>251</v>
      </c>
      <c r="B284" s="219" t="s">
        <v>403</v>
      </c>
      <c r="C284" s="220">
        <v>1098163</v>
      </c>
      <c r="D284" s="220"/>
      <c r="E284" s="220"/>
      <c r="F284" s="220"/>
      <c r="G284" s="220"/>
      <c r="H284" s="220"/>
      <c r="I284" s="220"/>
      <c r="J284" s="220"/>
      <c r="K284" s="221">
        <v>0</v>
      </c>
      <c r="L284" s="222">
        <v>0</v>
      </c>
      <c r="M284" s="221">
        <v>0</v>
      </c>
      <c r="N284" s="223">
        <v>548</v>
      </c>
      <c r="O284" s="224">
        <v>1098163</v>
      </c>
      <c r="P284" s="225">
        <v>0</v>
      </c>
      <c r="Q284" s="221">
        <v>0</v>
      </c>
      <c r="R284" s="225">
        <v>0</v>
      </c>
      <c r="S284" s="221">
        <v>0</v>
      </c>
      <c r="T284" s="226">
        <v>0</v>
      </c>
      <c r="U284" s="291">
        <v>0</v>
      </c>
      <c r="V284" s="282"/>
      <c r="W284" s="282"/>
      <c r="X284" s="282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</row>
    <row r="285" spans="1:35" s="46" customFormat="1">
      <c r="A285" s="198">
        <v>252</v>
      </c>
      <c r="B285" s="219" t="s">
        <v>404</v>
      </c>
      <c r="C285" s="220">
        <v>1241309</v>
      </c>
      <c r="D285" s="220"/>
      <c r="E285" s="220"/>
      <c r="F285" s="220"/>
      <c r="G285" s="220"/>
      <c r="H285" s="220"/>
      <c r="I285" s="220"/>
      <c r="J285" s="220"/>
      <c r="K285" s="221">
        <v>0</v>
      </c>
      <c r="L285" s="222">
        <v>0</v>
      </c>
      <c r="M285" s="221">
        <v>0</v>
      </c>
      <c r="N285" s="223">
        <v>622</v>
      </c>
      <c r="O285" s="224">
        <v>1241309</v>
      </c>
      <c r="P285" s="225">
        <v>0</v>
      </c>
      <c r="Q285" s="221">
        <v>0</v>
      </c>
      <c r="R285" s="225">
        <v>0</v>
      </c>
      <c r="S285" s="221">
        <v>0</v>
      </c>
      <c r="T285" s="226">
        <v>0</v>
      </c>
      <c r="U285" s="291">
        <v>0</v>
      </c>
      <c r="V285" s="282"/>
      <c r="W285" s="282"/>
      <c r="X285" s="282"/>
    </row>
    <row r="286" spans="1:35" s="43" customFormat="1">
      <c r="A286" s="198">
        <v>253</v>
      </c>
      <c r="B286" s="219" t="s">
        <v>400</v>
      </c>
      <c r="C286" s="220">
        <v>1041360</v>
      </c>
      <c r="D286" s="220"/>
      <c r="E286" s="220"/>
      <c r="F286" s="220"/>
      <c r="G286" s="220"/>
      <c r="H286" s="220"/>
      <c r="I286" s="220"/>
      <c r="J286" s="220"/>
      <c r="K286" s="221">
        <v>0</v>
      </c>
      <c r="L286" s="222">
        <v>0</v>
      </c>
      <c r="M286" s="221">
        <v>0</v>
      </c>
      <c r="N286" s="223">
        <v>520</v>
      </c>
      <c r="O286" s="224">
        <v>1041360</v>
      </c>
      <c r="P286" s="225">
        <v>0</v>
      </c>
      <c r="Q286" s="221">
        <v>0</v>
      </c>
      <c r="R286" s="225">
        <v>0</v>
      </c>
      <c r="S286" s="221">
        <v>0</v>
      </c>
      <c r="T286" s="226">
        <v>0</v>
      </c>
      <c r="U286" s="291">
        <v>0</v>
      </c>
      <c r="V286" s="282"/>
      <c r="W286" s="282"/>
      <c r="X286" s="282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</row>
    <row r="287" spans="1:35" s="43" customFormat="1">
      <c r="A287" s="198">
        <v>254</v>
      </c>
      <c r="B287" s="219" t="s">
        <v>401</v>
      </c>
      <c r="C287" s="220">
        <v>1138866</v>
      </c>
      <c r="D287" s="220"/>
      <c r="E287" s="220"/>
      <c r="F287" s="220"/>
      <c r="G287" s="220"/>
      <c r="H287" s="220"/>
      <c r="I287" s="220"/>
      <c r="J287" s="220"/>
      <c r="K287" s="221">
        <v>0</v>
      </c>
      <c r="L287" s="222">
        <v>0</v>
      </c>
      <c r="M287" s="221">
        <v>0</v>
      </c>
      <c r="N287" s="223">
        <v>570</v>
      </c>
      <c r="O287" s="224">
        <v>1138866</v>
      </c>
      <c r="P287" s="225">
        <v>0</v>
      </c>
      <c r="Q287" s="221">
        <v>0</v>
      </c>
      <c r="R287" s="225">
        <v>0</v>
      </c>
      <c r="S287" s="221">
        <v>0</v>
      </c>
      <c r="T287" s="226">
        <v>0</v>
      </c>
      <c r="U287" s="291">
        <v>0</v>
      </c>
      <c r="V287" s="282"/>
      <c r="W287" s="282"/>
      <c r="X287" s="282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</row>
    <row r="288" spans="1:35" s="46" customFormat="1">
      <c r="A288" s="198">
        <v>255</v>
      </c>
      <c r="B288" s="219" t="s">
        <v>394</v>
      </c>
      <c r="C288" s="220">
        <v>848546</v>
      </c>
      <c r="D288" s="220"/>
      <c r="E288" s="220"/>
      <c r="F288" s="220"/>
      <c r="G288" s="220"/>
      <c r="H288" s="220"/>
      <c r="I288" s="220"/>
      <c r="J288" s="220"/>
      <c r="K288" s="221">
        <v>0</v>
      </c>
      <c r="L288" s="222">
        <v>0</v>
      </c>
      <c r="M288" s="221">
        <v>0</v>
      </c>
      <c r="N288" s="229">
        <v>421.2</v>
      </c>
      <c r="O288" s="224">
        <v>848546</v>
      </c>
      <c r="P288" s="225">
        <v>0</v>
      </c>
      <c r="Q288" s="221">
        <v>0</v>
      </c>
      <c r="R288" s="225">
        <v>0</v>
      </c>
      <c r="S288" s="221">
        <v>0</v>
      </c>
      <c r="T288" s="226">
        <v>0</v>
      </c>
      <c r="U288" s="291">
        <v>0</v>
      </c>
      <c r="V288" s="282"/>
      <c r="W288" s="282"/>
      <c r="X288" s="282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</row>
    <row r="289" spans="1:35" s="46" customFormat="1">
      <c r="A289" s="198">
        <v>256</v>
      </c>
      <c r="B289" s="219" t="s">
        <v>395</v>
      </c>
      <c r="C289" s="220">
        <v>848706</v>
      </c>
      <c r="D289" s="220"/>
      <c r="E289" s="220"/>
      <c r="F289" s="220"/>
      <c r="G289" s="220"/>
      <c r="H289" s="220"/>
      <c r="I289" s="220"/>
      <c r="J289" s="220"/>
      <c r="K289" s="221">
        <v>0</v>
      </c>
      <c r="L289" s="222">
        <v>0</v>
      </c>
      <c r="M289" s="221">
        <v>0</v>
      </c>
      <c r="N289" s="229">
        <v>421.2</v>
      </c>
      <c r="O289" s="224">
        <v>848706</v>
      </c>
      <c r="P289" s="225">
        <v>0</v>
      </c>
      <c r="Q289" s="221">
        <v>0</v>
      </c>
      <c r="R289" s="225">
        <v>0</v>
      </c>
      <c r="S289" s="221">
        <v>0</v>
      </c>
      <c r="T289" s="226">
        <v>0</v>
      </c>
      <c r="U289" s="291">
        <v>0</v>
      </c>
      <c r="V289" s="282"/>
      <c r="W289" s="282"/>
      <c r="X289" s="282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90"/>
    </row>
    <row r="290" spans="1:35" s="46" customFormat="1">
      <c r="A290" s="198">
        <v>257</v>
      </c>
      <c r="B290" s="219" t="s">
        <v>396</v>
      </c>
      <c r="C290" s="220">
        <v>1180083</v>
      </c>
      <c r="D290" s="220"/>
      <c r="E290" s="220"/>
      <c r="F290" s="220"/>
      <c r="G290" s="220"/>
      <c r="H290" s="220"/>
      <c r="I290" s="220"/>
      <c r="J290" s="220"/>
      <c r="K290" s="221">
        <v>0</v>
      </c>
      <c r="L290" s="222">
        <v>0</v>
      </c>
      <c r="M290" s="221">
        <v>0</v>
      </c>
      <c r="N290" s="229">
        <v>590</v>
      </c>
      <c r="O290" s="224">
        <v>1180083</v>
      </c>
      <c r="P290" s="225">
        <v>0</v>
      </c>
      <c r="Q290" s="221">
        <v>0</v>
      </c>
      <c r="R290" s="225">
        <v>0</v>
      </c>
      <c r="S290" s="221">
        <v>0</v>
      </c>
      <c r="T290" s="226">
        <v>0</v>
      </c>
      <c r="U290" s="291">
        <v>0</v>
      </c>
      <c r="V290" s="282"/>
      <c r="W290" s="282"/>
      <c r="X290" s="282"/>
    </row>
    <row r="291" spans="1:35" s="46" customFormat="1" ht="27.6">
      <c r="A291" s="198"/>
      <c r="B291" s="214" t="s">
        <v>210</v>
      </c>
      <c r="C291" s="220">
        <v>2336158</v>
      </c>
      <c r="D291" s="220"/>
      <c r="E291" s="220"/>
      <c r="F291" s="220"/>
      <c r="G291" s="220"/>
      <c r="H291" s="220"/>
      <c r="I291" s="220"/>
      <c r="J291" s="220"/>
      <c r="K291" s="220">
        <v>0</v>
      </c>
      <c r="L291" s="222">
        <v>0</v>
      </c>
      <c r="M291" s="220">
        <v>0</v>
      </c>
      <c r="N291" s="220">
        <v>1196</v>
      </c>
      <c r="O291" s="220">
        <v>2336158</v>
      </c>
      <c r="P291" s="230">
        <v>0</v>
      </c>
      <c r="Q291" s="220">
        <v>0</v>
      </c>
      <c r="R291" s="230">
        <v>0</v>
      </c>
      <c r="S291" s="220">
        <v>0</v>
      </c>
      <c r="T291" s="222">
        <v>0</v>
      </c>
      <c r="U291" s="292">
        <v>0</v>
      </c>
      <c r="V291" s="282"/>
      <c r="W291" s="282"/>
      <c r="X291" s="282"/>
    </row>
    <row r="292" spans="1:35" s="46" customFormat="1">
      <c r="A292" s="198">
        <v>258</v>
      </c>
      <c r="B292" s="231" t="s">
        <v>407</v>
      </c>
      <c r="C292" s="220">
        <v>1168079</v>
      </c>
      <c r="D292" s="220"/>
      <c r="E292" s="220"/>
      <c r="F292" s="220"/>
      <c r="G292" s="220"/>
      <c r="H292" s="220"/>
      <c r="I292" s="220"/>
      <c r="J292" s="220"/>
      <c r="K292" s="221">
        <v>0</v>
      </c>
      <c r="L292" s="222">
        <v>0</v>
      </c>
      <c r="M292" s="221">
        <v>0</v>
      </c>
      <c r="N292" s="229">
        <v>598</v>
      </c>
      <c r="O292" s="224">
        <v>1168079</v>
      </c>
      <c r="P292" s="230">
        <v>0</v>
      </c>
      <c r="Q292" s="221">
        <v>0</v>
      </c>
      <c r="R292" s="230">
        <v>0</v>
      </c>
      <c r="S292" s="221">
        <v>0</v>
      </c>
      <c r="T292" s="222">
        <v>0</v>
      </c>
      <c r="U292" s="291">
        <v>0</v>
      </c>
      <c r="V292" s="282"/>
      <c r="W292" s="282"/>
      <c r="X292" s="282"/>
    </row>
    <row r="293" spans="1:35" s="46" customFormat="1">
      <c r="A293" s="198">
        <v>259</v>
      </c>
      <c r="B293" s="231" t="s">
        <v>408</v>
      </c>
      <c r="C293" s="220">
        <v>1168079</v>
      </c>
      <c r="D293" s="220"/>
      <c r="E293" s="220"/>
      <c r="F293" s="220"/>
      <c r="G293" s="220"/>
      <c r="H293" s="220"/>
      <c r="I293" s="220"/>
      <c r="J293" s="220"/>
      <c r="K293" s="221">
        <v>0</v>
      </c>
      <c r="L293" s="222">
        <v>0</v>
      </c>
      <c r="M293" s="221">
        <v>0</v>
      </c>
      <c r="N293" s="229">
        <v>598</v>
      </c>
      <c r="O293" s="224">
        <v>1168079</v>
      </c>
      <c r="P293" s="230">
        <v>0</v>
      </c>
      <c r="Q293" s="221">
        <v>0</v>
      </c>
      <c r="R293" s="230">
        <v>0</v>
      </c>
      <c r="S293" s="221">
        <v>0</v>
      </c>
      <c r="T293" s="222">
        <v>0</v>
      </c>
      <c r="U293" s="291">
        <v>0</v>
      </c>
      <c r="V293" s="282"/>
      <c r="W293" s="282"/>
      <c r="X293" s="282"/>
    </row>
    <row r="294" spans="1:35" s="18" customFormat="1">
      <c r="A294" s="198"/>
      <c r="B294" s="216" t="s">
        <v>44</v>
      </c>
      <c r="C294" s="211">
        <v>4547180</v>
      </c>
      <c r="D294" s="211"/>
      <c r="E294" s="211"/>
      <c r="F294" s="211"/>
      <c r="G294" s="211"/>
      <c r="H294" s="211"/>
      <c r="I294" s="211"/>
      <c r="J294" s="211"/>
      <c r="K294" s="211">
        <v>0</v>
      </c>
      <c r="L294" s="212">
        <v>0</v>
      </c>
      <c r="M294" s="211">
        <v>0</v>
      </c>
      <c r="N294" s="211">
        <v>2270</v>
      </c>
      <c r="O294" s="211">
        <v>4547180</v>
      </c>
      <c r="P294" s="213">
        <v>0</v>
      </c>
      <c r="Q294" s="211">
        <v>0</v>
      </c>
      <c r="R294" s="213">
        <v>0</v>
      </c>
      <c r="S294" s="211">
        <v>0</v>
      </c>
      <c r="T294" s="212">
        <v>0</v>
      </c>
      <c r="U294" s="290">
        <v>0</v>
      </c>
      <c r="V294" s="282"/>
      <c r="W294" s="282"/>
      <c r="X294" s="282"/>
    </row>
    <row r="295" spans="1:35" ht="27.6">
      <c r="A295" s="198"/>
      <c r="B295" s="214" t="s">
        <v>435</v>
      </c>
      <c r="C295" s="211">
        <f>C296+C297</f>
        <v>2561132</v>
      </c>
      <c r="D295" s="211">
        <f t="shared" ref="D295:V295" si="19">D296+D297</f>
        <v>0</v>
      </c>
      <c r="E295" s="211">
        <f t="shared" si="19"/>
        <v>0</v>
      </c>
      <c r="F295" s="211">
        <f t="shared" si="19"/>
        <v>0</v>
      </c>
      <c r="G295" s="211">
        <f t="shared" si="19"/>
        <v>0</v>
      </c>
      <c r="H295" s="211">
        <f t="shared" si="19"/>
        <v>0</v>
      </c>
      <c r="I295" s="211">
        <f t="shared" si="19"/>
        <v>0</v>
      </c>
      <c r="J295" s="211">
        <f t="shared" si="19"/>
        <v>0</v>
      </c>
      <c r="K295" s="211">
        <f t="shared" si="19"/>
        <v>0</v>
      </c>
      <c r="L295" s="211">
        <f t="shared" si="19"/>
        <v>0</v>
      </c>
      <c r="M295" s="211">
        <f t="shared" si="19"/>
        <v>0</v>
      </c>
      <c r="N295" s="211">
        <f t="shared" si="19"/>
        <v>823.2</v>
      </c>
      <c r="O295" s="211">
        <f t="shared" si="19"/>
        <v>2219234</v>
      </c>
      <c r="P295" s="211">
        <f t="shared" si="19"/>
        <v>0</v>
      </c>
      <c r="Q295" s="211">
        <f t="shared" si="19"/>
        <v>0</v>
      </c>
      <c r="R295" s="211">
        <f t="shared" si="19"/>
        <v>220</v>
      </c>
      <c r="S295" s="211">
        <f t="shared" si="19"/>
        <v>341898</v>
      </c>
      <c r="T295" s="211">
        <f t="shared" si="19"/>
        <v>0</v>
      </c>
      <c r="U295" s="211">
        <f t="shared" si="19"/>
        <v>0</v>
      </c>
      <c r="V295" s="211">
        <f t="shared" si="19"/>
        <v>0</v>
      </c>
      <c r="W295" s="211"/>
      <c r="X295" s="211"/>
      <c r="Y295" s="211"/>
      <c r="Z295" s="211"/>
      <c r="AA295" s="211"/>
      <c r="AB295" s="211"/>
      <c r="AC295" s="211"/>
      <c r="AD295" s="211"/>
      <c r="AE295" s="211"/>
      <c r="AF295" s="211"/>
      <c r="AG295" s="211"/>
      <c r="AH295" s="211"/>
      <c r="AI295" s="211"/>
    </row>
    <row r="296" spans="1:35">
      <c r="A296" s="430">
        <v>260</v>
      </c>
      <c r="B296" s="438" t="s">
        <v>503</v>
      </c>
      <c r="C296" s="439">
        <v>1416533</v>
      </c>
      <c r="D296" s="439">
        <v>0</v>
      </c>
      <c r="E296" s="439">
        <v>0</v>
      </c>
      <c r="F296" s="439">
        <v>0</v>
      </c>
      <c r="G296" s="439">
        <v>0</v>
      </c>
      <c r="H296" s="439">
        <v>0</v>
      </c>
      <c r="I296" s="439">
        <v>0</v>
      </c>
      <c r="J296" s="439">
        <v>0</v>
      </c>
      <c r="K296" s="439">
        <v>0</v>
      </c>
      <c r="L296" s="440">
        <v>0</v>
      </c>
      <c r="M296" s="439">
        <v>0</v>
      </c>
      <c r="N296" s="441">
        <v>573.20000000000005</v>
      </c>
      <c r="O296" s="439">
        <v>1416533</v>
      </c>
      <c r="P296" s="442">
        <v>0</v>
      </c>
      <c r="Q296" s="439">
        <v>0</v>
      </c>
      <c r="R296" s="442">
        <v>0</v>
      </c>
      <c r="S296" s="439">
        <v>0</v>
      </c>
      <c r="T296" s="440">
        <v>0</v>
      </c>
      <c r="U296" s="443">
        <v>0</v>
      </c>
      <c r="V296" s="282"/>
      <c r="W296" s="282">
        <f>O296/N296</f>
        <v>2471.2718073970691</v>
      </c>
      <c r="X296" s="282"/>
    </row>
    <row r="297" spans="1:35">
      <c r="A297" s="430">
        <v>261</v>
      </c>
      <c r="B297" s="438" t="s">
        <v>504</v>
      </c>
      <c r="C297" s="439">
        <v>1144599</v>
      </c>
      <c r="D297" s="439">
        <v>0</v>
      </c>
      <c r="E297" s="439">
        <v>0</v>
      </c>
      <c r="F297" s="439">
        <v>0</v>
      </c>
      <c r="G297" s="439">
        <v>0</v>
      </c>
      <c r="H297" s="439">
        <v>0</v>
      </c>
      <c r="I297" s="439">
        <v>0</v>
      </c>
      <c r="J297" s="439">
        <v>0</v>
      </c>
      <c r="K297" s="439">
        <v>0</v>
      </c>
      <c r="L297" s="440">
        <v>0</v>
      </c>
      <c r="M297" s="439">
        <v>0</v>
      </c>
      <c r="N297" s="441">
        <v>250</v>
      </c>
      <c r="O297" s="439">
        <v>802701</v>
      </c>
      <c r="P297" s="442">
        <v>0</v>
      </c>
      <c r="Q297" s="439">
        <v>0</v>
      </c>
      <c r="R297" s="442">
        <v>220</v>
      </c>
      <c r="S297" s="439">
        <v>341898</v>
      </c>
      <c r="T297" s="440">
        <v>0</v>
      </c>
      <c r="U297" s="443">
        <v>0</v>
      </c>
      <c r="V297" s="282"/>
      <c r="W297" s="282">
        <f>O297/N297</f>
        <v>3210.8040000000001</v>
      </c>
      <c r="X297" s="282">
        <f>S297/R297</f>
        <v>1554.0818181818181</v>
      </c>
    </row>
    <row r="298" spans="1:35" ht="18.600000000000001" customHeight="1">
      <c r="A298" s="198"/>
      <c r="B298" s="216" t="s">
        <v>45</v>
      </c>
      <c r="C298" s="211">
        <f>C299+C301+C303+C305+C307+C308+C309</f>
        <v>9578601</v>
      </c>
      <c r="D298" s="211">
        <f t="shared" ref="D298:V298" si="20">D299+D301+D303+D305+D307+D308+D309</f>
        <v>0</v>
      </c>
      <c r="E298" s="211">
        <f t="shared" si="20"/>
        <v>0</v>
      </c>
      <c r="F298" s="211">
        <f t="shared" si="20"/>
        <v>0</v>
      </c>
      <c r="G298" s="211">
        <f t="shared" si="20"/>
        <v>0</v>
      </c>
      <c r="H298" s="211">
        <f t="shared" si="20"/>
        <v>0</v>
      </c>
      <c r="I298" s="211">
        <f t="shared" si="20"/>
        <v>0</v>
      </c>
      <c r="J298" s="211">
        <f t="shared" si="20"/>
        <v>0</v>
      </c>
      <c r="K298" s="211">
        <f t="shared" si="20"/>
        <v>0</v>
      </c>
      <c r="L298" s="211">
        <f t="shared" si="20"/>
        <v>0</v>
      </c>
      <c r="M298" s="211">
        <f t="shared" si="20"/>
        <v>0</v>
      </c>
      <c r="N298" s="211">
        <f t="shared" si="20"/>
        <v>3657.1600000000003</v>
      </c>
      <c r="O298" s="211">
        <f t="shared" si="20"/>
        <v>9578601</v>
      </c>
      <c r="P298" s="211">
        <f t="shared" si="20"/>
        <v>0</v>
      </c>
      <c r="Q298" s="211">
        <f t="shared" si="20"/>
        <v>0</v>
      </c>
      <c r="R298" s="211">
        <f t="shared" si="20"/>
        <v>0</v>
      </c>
      <c r="S298" s="211">
        <f t="shared" si="20"/>
        <v>0</v>
      </c>
      <c r="T298" s="211">
        <f t="shared" si="20"/>
        <v>0</v>
      </c>
      <c r="U298" s="211">
        <f t="shared" si="20"/>
        <v>0</v>
      </c>
      <c r="V298" s="211">
        <f t="shared" si="20"/>
        <v>0</v>
      </c>
      <c r="W298" s="282"/>
      <c r="X298" s="282"/>
    </row>
    <row r="299" spans="1:35" ht="27.6">
      <c r="A299" s="430"/>
      <c r="B299" s="438" t="s">
        <v>98</v>
      </c>
      <c r="C299" s="439">
        <f>C300</f>
        <v>2256851</v>
      </c>
      <c r="D299" s="439">
        <f t="shared" ref="D299:U299" si="21">D300</f>
        <v>0</v>
      </c>
      <c r="E299" s="439">
        <f t="shared" si="21"/>
        <v>0</v>
      </c>
      <c r="F299" s="439">
        <f t="shared" si="21"/>
        <v>0</v>
      </c>
      <c r="G299" s="439">
        <f t="shared" si="21"/>
        <v>0</v>
      </c>
      <c r="H299" s="439">
        <f t="shared" si="21"/>
        <v>0</v>
      </c>
      <c r="I299" s="439">
        <f t="shared" si="21"/>
        <v>0</v>
      </c>
      <c r="J299" s="439">
        <f t="shared" si="21"/>
        <v>0</v>
      </c>
      <c r="K299" s="439">
        <f t="shared" si="21"/>
        <v>0</v>
      </c>
      <c r="L299" s="439">
        <f t="shared" si="21"/>
        <v>0</v>
      </c>
      <c r="M299" s="439">
        <f t="shared" si="21"/>
        <v>0</v>
      </c>
      <c r="N299" s="439">
        <f t="shared" si="21"/>
        <v>911.86</v>
      </c>
      <c r="O299" s="439">
        <f t="shared" si="21"/>
        <v>2256851</v>
      </c>
      <c r="P299" s="439">
        <f t="shared" si="21"/>
        <v>0</v>
      </c>
      <c r="Q299" s="439">
        <f t="shared" si="21"/>
        <v>0</v>
      </c>
      <c r="R299" s="439">
        <f t="shared" si="21"/>
        <v>0</v>
      </c>
      <c r="S299" s="439">
        <f t="shared" si="21"/>
        <v>0</v>
      </c>
      <c r="T299" s="439">
        <f t="shared" si="21"/>
        <v>0</v>
      </c>
      <c r="U299" s="439">
        <f t="shared" si="21"/>
        <v>0</v>
      </c>
      <c r="V299" s="282"/>
      <c r="W299" s="282">
        <f>O299/N299</f>
        <v>2474.9972583510626</v>
      </c>
      <c r="X299" s="282"/>
    </row>
    <row r="300" spans="1:35">
      <c r="A300" s="430">
        <v>262</v>
      </c>
      <c r="B300" s="438" t="s">
        <v>794</v>
      </c>
      <c r="C300" s="439">
        <f>'часть 1'!L309</f>
        <v>2256851</v>
      </c>
      <c r="D300" s="439">
        <v>0</v>
      </c>
      <c r="E300" s="439">
        <v>0</v>
      </c>
      <c r="F300" s="439">
        <v>0</v>
      </c>
      <c r="G300" s="439">
        <v>0</v>
      </c>
      <c r="H300" s="439">
        <v>0</v>
      </c>
      <c r="I300" s="439">
        <v>0</v>
      </c>
      <c r="J300" s="439">
        <v>0</v>
      </c>
      <c r="K300" s="439">
        <v>0</v>
      </c>
      <c r="L300" s="440">
        <v>0</v>
      </c>
      <c r="M300" s="439">
        <v>0</v>
      </c>
      <c r="N300" s="441">
        <v>911.86</v>
      </c>
      <c r="O300" s="439">
        <v>2256851</v>
      </c>
      <c r="P300" s="442">
        <v>0</v>
      </c>
      <c r="Q300" s="439">
        <v>0</v>
      </c>
      <c r="R300" s="442">
        <v>0</v>
      </c>
      <c r="S300" s="439">
        <v>0</v>
      </c>
      <c r="T300" s="440">
        <v>0</v>
      </c>
      <c r="U300" s="443">
        <v>0</v>
      </c>
      <c r="V300" s="282"/>
      <c r="W300" s="282">
        <f t="shared" ref="W300:W310" si="22">O300/N300</f>
        <v>2474.9972583510626</v>
      </c>
      <c r="X300" s="282"/>
    </row>
    <row r="301" spans="1:35" ht="27.6">
      <c r="A301" s="430"/>
      <c r="B301" s="438" t="s">
        <v>688</v>
      </c>
      <c r="C301" s="439">
        <f>C302</f>
        <v>1826091</v>
      </c>
      <c r="D301" s="439">
        <f t="shared" ref="D301:V301" si="23">D302</f>
        <v>0</v>
      </c>
      <c r="E301" s="439">
        <f t="shared" si="23"/>
        <v>0</v>
      </c>
      <c r="F301" s="439">
        <f t="shared" si="23"/>
        <v>0</v>
      </c>
      <c r="G301" s="439">
        <f t="shared" si="23"/>
        <v>0</v>
      </c>
      <c r="H301" s="439">
        <f t="shared" si="23"/>
        <v>0</v>
      </c>
      <c r="I301" s="439">
        <f t="shared" si="23"/>
        <v>0</v>
      </c>
      <c r="J301" s="439">
        <f t="shared" si="23"/>
        <v>0</v>
      </c>
      <c r="K301" s="439">
        <f t="shared" si="23"/>
        <v>0</v>
      </c>
      <c r="L301" s="439">
        <f t="shared" si="23"/>
        <v>0</v>
      </c>
      <c r="M301" s="439">
        <f t="shared" si="23"/>
        <v>0</v>
      </c>
      <c r="N301" s="439">
        <f t="shared" si="23"/>
        <v>741</v>
      </c>
      <c r="O301" s="439">
        <f t="shared" si="23"/>
        <v>1826091</v>
      </c>
      <c r="P301" s="439">
        <f t="shared" si="23"/>
        <v>0</v>
      </c>
      <c r="Q301" s="439">
        <f t="shared" si="23"/>
        <v>0</v>
      </c>
      <c r="R301" s="439">
        <f t="shared" si="23"/>
        <v>0</v>
      </c>
      <c r="S301" s="439">
        <f t="shared" si="23"/>
        <v>0</v>
      </c>
      <c r="T301" s="439">
        <f t="shared" si="23"/>
        <v>0</v>
      </c>
      <c r="U301" s="439">
        <f t="shared" si="23"/>
        <v>0</v>
      </c>
      <c r="V301" s="439">
        <f t="shared" si="23"/>
        <v>0</v>
      </c>
      <c r="W301" s="282">
        <f t="shared" si="22"/>
        <v>2464.3603238866399</v>
      </c>
      <c r="X301" s="282"/>
    </row>
    <row r="302" spans="1:35" ht="27.6">
      <c r="A302" s="430"/>
      <c r="B302" s="438" t="s">
        <v>689</v>
      </c>
      <c r="C302" s="439">
        <f>'часть 1'!L311</f>
        <v>1826091</v>
      </c>
      <c r="D302" s="439">
        <v>0</v>
      </c>
      <c r="E302" s="439">
        <v>0</v>
      </c>
      <c r="F302" s="439">
        <v>0</v>
      </c>
      <c r="G302" s="439">
        <v>0</v>
      </c>
      <c r="H302" s="439">
        <v>0</v>
      </c>
      <c r="I302" s="439">
        <v>0</v>
      </c>
      <c r="J302" s="439">
        <v>0</v>
      </c>
      <c r="K302" s="439">
        <v>0</v>
      </c>
      <c r="L302" s="440">
        <v>0</v>
      </c>
      <c r="M302" s="439">
        <v>0</v>
      </c>
      <c r="N302" s="441">
        <v>741</v>
      </c>
      <c r="O302" s="439">
        <v>1826091</v>
      </c>
      <c r="P302" s="442">
        <v>0</v>
      </c>
      <c r="Q302" s="439">
        <v>0</v>
      </c>
      <c r="R302" s="442">
        <v>0</v>
      </c>
      <c r="S302" s="439">
        <v>0</v>
      </c>
      <c r="T302" s="440">
        <v>0</v>
      </c>
      <c r="U302" s="443">
        <v>0</v>
      </c>
      <c r="V302" s="282"/>
      <c r="W302" s="282">
        <f t="shared" si="22"/>
        <v>2464.3603238866399</v>
      </c>
      <c r="X302" s="282"/>
    </row>
    <row r="303" spans="1:35" ht="27.6">
      <c r="A303" s="430"/>
      <c r="B303" s="438" t="s">
        <v>99</v>
      </c>
      <c r="C303" s="439">
        <f>C304</f>
        <v>1602324</v>
      </c>
      <c r="D303" s="439">
        <f t="shared" ref="D303:V303" si="24">D304</f>
        <v>0</v>
      </c>
      <c r="E303" s="439">
        <f t="shared" si="24"/>
        <v>0</v>
      </c>
      <c r="F303" s="439">
        <f t="shared" si="24"/>
        <v>0</v>
      </c>
      <c r="G303" s="439">
        <f t="shared" si="24"/>
        <v>0</v>
      </c>
      <c r="H303" s="439">
        <f t="shared" si="24"/>
        <v>0</v>
      </c>
      <c r="I303" s="439">
        <f t="shared" si="24"/>
        <v>0</v>
      </c>
      <c r="J303" s="439">
        <f t="shared" si="24"/>
        <v>0</v>
      </c>
      <c r="K303" s="439">
        <f t="shared" si="24"/>
        <v>0</v>
      </c>
      <c r="L303" s="439">
        <f t="shared" si="24"/>
        <v>0</v>
      </c>
      <c r="M303" s="439">
        <f t="shared" si="24"/>
        <v>0</v>
      </c>
      <c r="N303" s="439">
        <f t="shared" si="24"/>
        <v>506.8</v>
      </c>
      <c r="O303" s="439">
        <f t="shared" si="24"/>
        <v>1602324</v>
      </c>
      <c r="P303" s="439">
        <f t="shared" si="24"/>
        <v>0</v>
      </c>
      <c r="Q303" s="439">
        <f t="shared" si="24"/>
        <v>0</v>
      </c>
      <c r="R303" s="439">
        <f t="shared" si="24"/>
        <v>0</v>
      </c>
      <c r="S303" s="439">
        <f t="shared" si="24"/>
        <v>0</v>
      </c>
      <c r="T303" s="439">
        <f t="shared" si="24"/>
        <v>0</v>
      </c>
      <c r="U303" s="439">
        <f t="shared" si="24"/>
        <v>0</v>
      </c>
      <c r="V303" s="211">
        <f t="shared" si="24"/>
        <v>0</v>
      </c>
      <c r="W303" s="282">
        <f t="shared" si="22"/>
        <v>3161.6495659037096</v>
      </c>
      <c r="X303" s="282"/>
    </row>
    <row r="304" spans="1:35" ht="27.6">
      <c r="A304" s="430">
        <v>265</v>
      </c>
      <c r="B304" s="438" t="s">
        <v>806</v>
      </c>
      <c r="C304" s="439">
        <f>'часть 1'!L313</f>
        <v>1602324</v>
      </c>
      <c r="D304" s="439">
        <v>0</v>
      </c>
      <c r="E304" s="439">
        <v>0</v>
      </c>
      <c r="F304" s="439">
        <v>0</v>
      </c>
      <c r="G304" s="439">
        <v>0</v>
      </c>
      <c r="H304" s="439">
        <v>0</v>
      </c>
      <c r="I304" s="439">
        <v>0</v>
      </c>
      <c r="J304" s="439">
        <v>0</v>
      </c>
      <c r="K304" s="439">
        <v>0</v>
      </c>
      <c r="L304" s="440">
        <v>0</v>
      </c>
      <c r="M304" s="439">
        <v>0</v>
      </c>
      <c r="N304" s="556">
        <v>506.8</v>
      </c>
      <c r="O304" s="439">
        <v>1602324</v>
      </c>
      <c r="P304" s="442">
        <v>0</v>
      </c>
      <c r="Q304" s="439">
        <v>0</v>
      </c>
      <c r="R304" s="442">
        <v>0</v>
      </c>
      <c r="S304" s="439">
        <v>0</v>
      </c>
      <c r="T304" s="440">
        <v>0</v>
      </c>
      <c r="U304" s="443">
        <v>0</v>
      </c>
      <c r="V304" s="282"/>
      <c r="W304" s="282">
        <f t="shared" si="22"/>
        <v>3161.6495659037096</v>
      </c>
      <c r="X304" s="282"/>
    </row>
    <row r="305" spans="1:24" ht="27.6">
      <c r="A305" s="430"/>
      <c r="B305" s="438" t="s">
        <v>100</v>
      </c>
      <c r="C305" s="439">
        <f>C306</f>
        <v>1986648</v>
      </c>
      <c r="D305" s="439">
        <f t="shared" ref="D305:V305" si="25">D306</f>
        <v>0</v>
      </c>
      <c r="E305" s="439">
        <f t="shared" si="25"/>
        <v>0</v>
      </c>
      <c r="F305" s="439">
        <f t="shared" si="25"/>
        <v>0</v>
      </c>
      <c r="G305" s="439">
        <f t="shared" si="25"/>
        <v>0</v>
      </c>
      <c r="H305" s="439">
        <f t="shared" si="25"/>
        <v>0</v>
      </c>
      <c r="I305" s="439">
        <f t="shared" si="25"/>
        <v>0</v>
      </c>
      <c r="J305" s="439">
        <f t="shared" si="25"/>
        <v>0</v>
      </c>
      <c r="K305" s="439">
        <f t="shared" si="25"/>
        <v>0</v>
      </c>
      <c r="L305" s="439">
        <f t="shared" si="25"/>
        <v>0</v>
      </c>
      <c r="M305" s="439">
        <f t="shared" si="25"/>
        <v>0</v>
      </c>
      <c r="N305" s="439">
        <f t="shared" si="25"/>
        <v>801</v>
      </c>
      <c r="O305" s="439">
        <f t="shared" si="25"/>
        <v>1986648</v>
      </c>
      <c r="P305" s="439">
        <f t="shared" si="25"/>
        <v>0</v>
      </c>
      <c r="Q305" s="439">
        <f t="shared" si="25"/>
        <v>0</v>
      </c>
      <c r="R305" s="439">
        <f t="shared" si="25"/>
        <v>0</v>
      </c>
      <c r="S305" s="439">
        <f t="shared" si="25"/>
        <v>0</v>
      </c>
      <c r="T305" s="439">
        <f t="shared" si="25"/>
        <v>0</v>
      </c>
      <c r="U305" s="439">
        <f t="shared" si="25"/>
        <v>0</v>
      </c>
      <c r="V305" s="439">
        <f t="shared" si="25"/>
        <v>0</v>
      </c>
      <c r="W305" s="282">
        <f t="shared" si="22"/>
        <v>2480.2097378277153</v>
      </c>
      <c r="X305" s="282"/>
    </row>
    <row r="306" spans="1:24" ht="28.2">
      <c r="A306" s="430">
        <v>267</v>
      </c>
      <c r="B306" s="438" t="s">
        <v>695</v>
      </c>
      <c r="C306" s="439">
        <v>1986648</v>
      </c>
      <c r="D306" s="439">
        <v>0</v>
      </c>
      <c r="E306" s="439">
        <v>0</v>
      </c>
      <c r="F306" s="439">
        <v>0</v>
      </c>
      <c r="G306" s="439">
        <v>0</v>
      </c>
      <c r="H306" s="439">
        <v>0</v>
      </c>
      <c r="I306" s="439">
        <v>0</v>
      </c>
      <c r="J306" s="439">
        <v>0</v>
      </c>
      <c r="K306" s="439">
        <v>0</v>
      </c>
      <c r="L306" s="440">
        <v>0</v>
      </c>
      <c r="M306" s="439">
        <v>0</v>
      </c>
      <c r="N306" s="441">
        <v>801</v>
      </c>
      <c r="O306" s="439">
        <v>1986648</v>
      </c>
      <c r="P306" s="442">
        <v>0</v>
      </c>
      <c r="Q306" s="439">
        <v>0</v>
      </c>
      <c r="R306" s="442">
        <v>0</v>
      </c>
      <c r="S306" s="439">
        <v>0</v>
      </c>
      <c r="T306" s="440">
        <v>0</v>
      </c>
      <c r="U306" s="443">
        <v>0</v>
      </c>
      <c r="V306" s="282"/>
      <c r="W306" s="282">
        <f t="shared" si="22"/>
        <v>2480.2097378277153</v>
      </c>
      <c r="X306" s="282"/>
    </row>
    <row r="307" spans="1:24" ht="27.6">
      <c r="A307" s="430"/>
      <c r="B307" s="438" t="s">
        <v>101</v>
      </c>
      <c r="C307" s="439">
        <v>0</v>
      </c>
      <c r="D307" s="439">
        <v>0</v>
      </c>
      <c r="E307" s="439">
        <v>0</v>
      </c>
      <c r="F307" s="439">
        <v>0</v>
      </c>
      <c r="G307" s="439">
        <v>0</v>
      </c>
      <c r="H307" s="439">
        <v>0</v>
      </c>
      <c r="I307" s="439">
        <v>0</v>
      </c>
      <c r="J307" s="439">
        <v>0</v>
      </c>
      <c r="K307" s="439">
        <v>0</v>
      </c>
      <c r="L307" s="440">
        <v>0</v>
      </c>
      <c r="M307" s="439">
        <v>0</v>
      </c>
      <c r="N307" s="439">
        <v>0</v>
      </c>
      <c r="O307" s="439">
        <v>0</v>
      </c>
      <c r="P307" s="442">
        <v>0</v>
      </c>
      <c r="Q307" s="439">
        <v>0</v>
      </c>
      <c r="R307" s="442">
        <v>0</v>
      </c>
      <c r="S307" s="439">
        <v>0</v>
      </c>
      <c r="T307" s="440">
        <v>0</v>
      </c>
      <c r="U307" s="443">
        <v>0</v>
      </c>
      <c r="V307" s="282"/>
      <c r="W307" s="282"/>
      <c r="X307" s="282"/>
    </row>
    <row r="308" spans="1:24" ht="27.6">
      <c r="A308" s="430"/>
      <c r="B308" s="438" t="s">
        <v>126</v>
      </c>
      <c r="C308" s="439">
        <v>0</v>
      </c>
      <c r="D308" s="439">
        <v>0</v>
      </c>
      <c r="E308" s="439">
        <v>0</v>
      </c>
      <c r="F308" s="439">
        <v>0</v>
      </c>
      <c r="G308" s="439">
        <v>0</v>
      </c>
      <c r="H308" s="439">
        <v>0</v>
      </c>
      <c r="I308" s="439">
        <v>0</v>
      </c>
      <c r="J308" s="439">
        <v>0</v>
      </c>
      <c r="K308" s="439">
        <v>0</v>
      </c>
      <c r="L308" s="439">
        <v>0</v>
      </c>
      <c r="M308" s="439">
        <v>0</v>
      </c>
      <c r="N308" s="439">
        <v>0</v>
      </c>
      <c r="O308" s="439">
        <v>0</v>
      </c>
      <c r="P308" s="439">
        <v>0</v>
      </c>
      <c r="Q308" s="439">
        <v>0</v>
      </c>
      <c r="R308" s="439">
        <v>0</v>
      </c>
      <c r="S308" s="439">
        <v>0</v>
      </c>
      <c r="T308" s="439">
        <v>0</v>
      </c>
      <c r="U308" s="439">
        <v>0</v>
      </c>
      <c r="V308" s="282"/>
      <c r="W308" s="282"/>
      <c r="X308" s="282"/>
    </row>
    <row r="309" spans="1:24" ht="37.200000000000003" customHeight="1">
      <c r="A309" s="430"/>
      <c r="B309" s="438" t="s">
        <v>861</v>
      </c>
      <c r="C309" s="439">
        <f>C310</f>
        <v>1906687</v>
      </c>
      <c r="D309" s="439">
        <f t="shared" ref="D309:U309" si="26">D310</f>
        <v>0</v>
      </c>
      <c r="E309" s="439">
        <f t="shared" si="26"/>
        <v>0</v>
      </c>
      <c r="F309" s="439">
        <f t="shared" si="26"/>
        <v>0</v>
      </c>
      <c r="G309" s="439">
        <f t="shared" si="26"/>
        <v>0</v>
      </c>
      <c r="H309" s="439">
        <f t="shared" si="26"/>
        <v>0</v>
      </c>
      <c r="I309" s="439">
        <f t="shared" si="26"/>
        <v>0</v>
      </c>
      <c r="J309" s="439">
        <f t="shared" si="26"/>
        <v>0</v>
      </c>
      <c r="K309" s="439">
        <f t="shared" si="26"/>
        <v>0</v>
      </c>
      <c r="L309" s="439">
        <f t="shared" si="26"/>
        <v>0</v>
      </c>
      <c r="M309" s="439">
        <f t="shared" si="26"/>
        <v>0</v>
      </c>
      <c r="N309" s="439">
        <f t="shared" si="26"/>
        <v>696.5</v>
      </c>
      <c r="O309" s="439">
        <f t="shared" si="26"/>
        <v>1906687</v>
      </c>
      <c r="P309" s="439">
        <f t="shared" si="26"/>
        <v>0</v>
      </c>
      <c r="Q309" s="439">
        <f t="shared" si="26"/>
        <v>0</v>
      </c>
      <c r="R309" s="439">
        <f t="shared" si="26"/>
        <v>0</v>
      </c>
      <c r="S309" s="439">
        <f t="shared" si="26"/>
        <v>0</v>
      </c>
      <c r="T309" s="439">
        <f t="shared" si="26"/>
        <v>0</v>
      </c>
      <c r="U309" s="439">
        <f t="shared" si="26"/>
        <v>0</v>
      </c>
      <c r="V309" s="282"/>
      <c r="W309" s="282">
        <f t="shared" si="22"/>
        <v>2737.5262024407753</v>
      </c>
      <c r="X309" s="282"/>
    </row>
    <row r="310" spans="1:24" ht="25.95" customHeight="1">
      <c r="A310" s="430"/>
      <c r="B310" s="438" t="s">
        <v>862</v>
      </c>
      <c r="C310" s="439">
        <f>'часть 1'!L319</f>
        <v>1906687</v>
      </c>
      <c r="D310" s="439">
        <v>0</v>
      </c>
      <c r="E310" s="439">
        <v>0</v>
      </c>
      <c r="F310" s="439">
        <v>0</v>
      </c>
      <c r="G310" s="439">
        <v>0</v>
      </c>
      <c r="H310" s="439">
        <v>0</v>
      </c>
      <c r="I310" s="439">
        <v>0</v>
      </c>
      <c r="J310" s="439">
        <v>0</v>
      </c>
      <c r="K310" s="439">
        <v>0</v>
      </c>
      <c r="L310" s="440">
        <v>0</v>
      </c>
      <c r="M310" s="439">
        <v>0</v>
      </c>
      <c r="N310" s="439">
        <v>696.5</v>
      </c>
      <c r="O310" s="439">
        <v>1906687</v>
      </c>
      <c r="P310" s="442">
        <v>0</v>
      </c>
      <c r="Q310" s="439">
        <v>0</v>
      </c>
      <c r="R310" s="442">
        <v>0</v>
      </c>
      <c r="S310" s="439">
        <v>0</v>
      </c>
      <c r="T310" s="440">
        <v>0</v>
      </c>
      <c r="U310" s="443">
        <v>0</v>
      </c>
      <c r="V310" s="282"/>
      <c r="W310" s="282">
        <f t="shared" si="22"/>
        <v>2737.5262024407753</v>
      </c>
      <c r="X310" s="282"/>
    </row>
    <row r="311" spans="1:24">
      <c r="A311" s="198"/>
      <c r="B311" s="216" t="s">
        <v>46</v>
      </c>
      <c r="C311" s="211">
        <f>C312</f>
        <v>1415265</v>
      </c>
      <c r="D311" s="211">
        <f t="shared" ref="D311:U311" si="27">D312</f>
        <v>0</v>
      </c>
      <c r="E311" s="211">
        <f t="shared" si="27"/>
        <v>0</v>
      </c>
      <c r="F311" s="211">
        <f t="shared" si="27"/>
        <v>0</v>
      </c>
      <c r="G311" s="211">
        <f t="shared" si="27"/>
        <v>0</v>
      </c>
      <c r="H311" s="211">
        <f t="shared" si="27"/>
        <v>0</v>
      </c>
      <c r="I311" s="211">
        <f t="shared" si="27"/>
        <v>0</v>
      </c>
      <c r="J311" s="211">
        <f t="shared" si="27"/>
        <v>0</v>
      </c>
      <c r="K311" s="211">
        <f t="shared" si="27"/>
        <v>0</v>
      </c>
      <c r="L311" s="211">
        <f t="shared" si="27"/>
        <v>0</v>
      </c>
      <c r="M311" s="211">
        <f t="shared" si="27"/>
        <v>0</v>
      </c>
      <c r="N311" s="211">
        <f t="shared" si="27"/>
        <v>457</v>
      </c>
      <c r="O311" s="211">
        <f t="shared" si="27"/>
        <v>1415265</v>
      </c>
      <c r="P311" s="211">
        <f t="shared" si="27"/>
        <v>0</v>
      </c>
      <c r="Q311" s="211">
        <f t="shared" si="27"/>
        <v>0</v>
      </c>
      <c r="R311" s="211">
        <f t="shared" si="27"/>
        <v>0</v>
      </c>
      <c r="S311" s="211">
        <f t="shared" si="27"/>
        <v>0</v>
      </c>
      <c r="T311" s="211">
        <f t="shared" si="27"/>
        <v>0</v>
      </c>
      <c r="U311" s="211">
        <f t="shared" si="27"/>
        <v>0</v>
      </c>
      <c r="V311" s="282"/>
      <c r="W311" s="282"/>
      <c r="X311" s="282"/>
    </row>
    <row r="312" spans="1:24" ht="27.6">
      <c r="A312" s="194"/>
      <c r="B312" s="214" t="s">
        <v>102</v>
      </c>
      <c r="C312" s="211">
        <f>C313</f>
        <v>1415265</v>
      </c>
      <c r="D312" s="211">
        <f t="shared" ref="D312:U312" si="28">D313</f>
        <v>0</v>
      </c>
      <c r="E312" s="211">
        <f t="shared" si="28"/>
        <v>0</v>
      </c>
      <c r="F312" s="211">
        <f t="shared" si="28"/>
        <v>0</v>
      </c>
      <c r="G312" s="211">
        <f t="shared" si="28"/>
        <v>0</v>
      </c>
      <c r="H312" s="211">
        <f t="shared" si="28"/>
        <v>0</v>
      </c>
      <c r="I312" s="211">
        <f t="shared" si="28"/>
        <v>0</v>
      </c>
      <c r="J312" s="211">
        <f t="shared" si="28"/>
        <v>0</v>
      </c>
      <c r="K312" s="211">
        <f t="shared" si="28"/>
        <v>0</v>
      </c>
      <c r="L312" s="211">
        <f t="shared" si="28"/>
        <v>0</v>
      </c>
      <c r="M312" s="211">
        <f t="shared" si="28"/>
        <v>0</v>
      </c>
      <c r="N312" s="211">
        <f t="shared" si="28"/>
        <v>457</v>
      </c>
      <c r="O312" s="211">
        <f t="shared" si="28"/>
        <v>1415265</v>
      </c>
      <c r="P312" s="211">
        <f t="shared" si="28"/>
        <v>0</v>
      </c>
      <c r="Q312" s="211">
        <f t="shared" si="28"/>
        <v>0</v>
      </c>
      <c r="R312" s="211">
        <f t="shared" si="28"/>
        <v>0</v>
      </c>
      <c r="S312" s="211">
        <f t="shared" si="28"/>
        <v>0</v>
      </c>
      <c r="T312" s="211">
        <f t="shared" si="28"/>
        <v>0</v>
      </c>
      <c r="U312" s="211">
        <f t="shared" si="28"/>
        <v>0</v>
      </c>
      <c r="V312" s="282"/>
      <c r="W312" s="282"/>
      <c r="X312" s="282"/>
    </row>
    <row r="313" spans="1:24">
      <c r="A313" s="430">
        <v>271</v>
      </c>
      <c r="B313" s="438" t="s">
        <v>485</v>
      </c>
      <c r="C313" s="439">
        <v>1415265</v>
      </c>
      <c r="D313" s="439">
        <v>0</v>
      </c>
      <c r="E313" s="439">
        <v>0</v>
      </c>
      <c r="F313" s="439">
        <v>0</v>
      </c>
      <c r="G313" s="439">
        <v>0</v>
      </c>
      <c r="H313" s="439">
        <v>0</v>
      </c>
      <c r="I313" s="439">
        <v>0</v>
      </c>
      <c r="J313" s="439">
        <v>0</v>
      </c>
      <c r="K313" s="439">
        <v>0</v>
      </c>
      <c r="L313" s="440">
        <v>0</v>
      </c>
      <c r="M313" s="439">
        <v>0</v>
      </c>
      <c r="N313" s="432">
        <v>457</v>
      </c>
      <c r="O313" s="439">
        <v>1415265</v>
      </c>
      <c r="P313" s="442">
        <v>0</v>
      </c>
      <c r="Q313" s="439">
        <v>0</v>
      </c>
      <c r="R313" s="442">
        <v>0</v>
      </c>
      <c r="S313" s="439">
        <v>0</v>
      </c>
      <c r="T313" s="440">
        <v>0</v>
      </c>
      <c r="U313" s="443">
        <v>0</v>
      </c>
      <c r="V313" s="282"/>
      <c r="W313" s="282">
        <f>O313/N313</f>
        <v>3096.8599562363238</v>
      </c>
      <c r="X313" s="282"/>
    </row>
    <row r="314" spans="1:24">
      <c r="A314" s="430"/>
      <c r="B314" s="438"/>
      <c r="C314" s="439"/>
      <c r="D314" s="439"/>
      <c r="E314" s="439"/>
      <c r="F314" s="439"/>
      <c r="G314" s="439"/>
      <c r="H314" s="439"/>
      <c r="I314" s="439"/>
      <c r="J314" s="439"/>
      <c r="K314" s="439"/>
      <c r="L314" s="440"/>
      <c r="M314" s="439"/>
      <c r="N314" s="439"/>
      <c r="O314" s="439"/>
      <c r="P314" s="442"/>
      <c r="Q314" s="439"/>
      <c r="R314" s="442"/>
      <c r="S314" s="439"/>
      <c r="T314" s="440"/>
      <c r="U314" s="443"/>
      <c r="V314" s="282"/>
      <c r="W314" s="282"/>
      <c r="X314" s="282"/>
    </row>
    <row r="315" spans="1:24" s="18" customFormat="1" ht="28.2" customHeight="1">
      <c r="A315" s="198"/>
      <c r="B315" s="216" t="s">
        <v>47</v>
      </c>
      <c r="C315" s="211">
        <f>C316</f>
        <v>6592116</v>
      </c>
      <c r="D315" s="211">
        <f t="shared" ref="D315:U315" si="29">D316</f>
        <v>0</v>
      </c>
      <c r="E315" s="211">
        <f t="shared" si="29"/>
        <v>0</v>
      </c>
      <c r="F315" s="211">
        <f t="shared" si="29"/>
        <v>0</v>
      </c>
      <c r="G315" s="211">
        <f t="shared" si="29"/>
        <v>0</v>
      </c>
      <c r="H315" s="211">
        <f t="shared" si="29"/>
        <v>0</v>
      </c>
      <c r="I315" s="211">
        <f t="shared" si="29"/>
        <v>0</v>
      </c>
      <c r="J315" s="211">
        <f t="shared" si="29"/>
        <v>0</v>
      </c>
      <c r="K315" s="211">
        <f t="shared" si="29"/>
        <v>0</v>
      </c>
      <c r="L315" s="211">
        <f t="shared" si="29"/>
        <v>0</v>
      </c>
      <c r="M315" s="211">
        <f t="shared" si="29"/>
        <v>0</v>
      </c>
      <c r="N315" s="211">
        <f t="shared" si="29"/>
        <v>2228.25</v>
      </c>
      <c r="O315" s="211">
        <f t="shared" si="29"/>
        <v>6592116</v>
      </c>
      <c r="P315" s="211">
        <f t="shared" si="29"/>
        <v>0</v>
      </c>
      <c r="Q315" s="211">
        <f t="shared" si="29"/>
        <v>0</v>
      </c>
      <c r="R315" s="211">
        <f t="shared" si="29"/>
        <v>0</v>
      </c>
      <c r="S315" s="211">
        <f t="shared" si="29"/>
        <v>0</v>
      </c>
      <c r="T315" s="211">
        <f t="shared" si="29"/>
        <v>0</v>
      </c>
      <c r="U315" s="211">
        <f t="shared" si="29"/>
        <v>0</v>
      </c>
      <c r="V315" s="282"/>
      <c r="W315" s="282"/>
      <c r="X315" s="282"/>
    </row>
    <row r="316" spans="1:24" ht="27.6">
      <c r="A316" s="430"/>
      <c r="B316" s="438" t="s">
        <v>103</v>
      </c>
      <c r="C316" s="439">
        <f>C317+C318+C319+C320+C321</f>
        <v>6592116</v>
      </c>
      <c r="D316" s="439">
        <f t="shared" ref="D316:U316" si="30">D317+D318+D319+D320+D321</f>
        <v>0</v>
      </c>
      <c r="E316" s="439">
        <f t="shared" si="30"/>
        <v>0</v>
      </c>
      <c r="F316" s="439">
        <f t="shared" si="30"/>
        <v>0</v>
      </c>
      <c r="G316" s="439">
        <f t="shared" si="30"/>
        <v>0</v>
      </c>
      <c r="H316" s="439">
        <f t="shared" si="30"/>
        <v>0</v>
      </c>
      <c r="I316" s="439">
        <f t="shared" si="30"/>
        <v>0</v>
      </c>
      <c r="J316" s="439">
        <f t="shared" si="30"/>
        <v>0</v>
      </c>
      <c r="K316" s="439">
        <f t="shared" si="30"/>
        <v>0</v>
      </c>
      <c r="L316" s="439">
        <f t="shared" si="30"/>
        <v>0</v>
      </c>
      <c r="M316" s="439">
        <f t="shared" si="30"/>
        <v>0</v>
      </c>
      <c r="N316" s="439">
        <f t="shared" si="30"/>
        <v>2228.25</v>
      </c>
      <c r="O316" s="439">
        <f t="shared" si="30"/>
        <v>6592116</v>
      </c>
      <c r="P316" s="439">
        <f t="shared" si="30"/>
        <v>0</v>
      </c>
      <c r="Q316" s="439">
        <f t="shared" si="30"/>
        <v>0</v>
      </c>
      <c r="R316" s="439">
        <f t="shared" si="30"/>
        <v>0</v>
      </c>
      <c r="S316" s="439">
        <f t="shared" si="30"/>
        <v>0</v>
      </c>
      <c r="T316" s="439">
        <f t="shared" si="30"/>
        <v>0</v>
      </c>
      <c r="U316" s="439">
        <f t="shared" si="30"/>
        <v>0</v>
      </c>
      <c r="V316" s="282"/>
      <c r="W316" s="282"/>
      <c r="X316" s="282"/>
    </row>
    <row r="317" spans="1:24" ht="15.6">
      <c r="A317" s="430">
        <v>273</v>
      </c>
      <c r="B317" s="936" t="s">
        <v>723</v>
      </c>
      <c r="C317" s="439">
        <f>'часть 1'!L326</f>
        <v>1682684</v>
      </c>
      <c r="D317" s="439">
        <v>0</v>
      </c>
      <c r="E317" s="439">
        <v>0</v>
      </c>
      <c r="F317" s="439">
        <v>0</v>
      </c>
      <c r="G317" s="439">
        <v>0</v>
      </c>
      <c r="H317" s="439">
        <v>0</v>
      </c>
      <c r="I317" s="439">
        <v>0</v>
      </c>
      <c r="J317" s="439">
        <v>0</v>
      </c>
      <c r="K317" s="439">
        <v>0</v>
      </c>
      <c r="L317" s="440">
        <v>0</v>
      </c>
      <c r="M317" s="439">
        <v>0</v>
      </c>
      <c r="N317" s="439">
        <v>680</v>
      </c>
      <c r="O317" s="439">
        <v>1682684</v>
      </c>
      <c r="P317" s="442">
        <v>0</v>
      </c>
      <c r="Q317" s="439">
        <v>0</v>
      </c>
      <c r="R317" s="442">
        <v>0</v>
      </c>
      <c r="S317" s="439">
        <v>0</v>
      </c>
      <c r="T317" s="440">
        <v>0</v>
      </c>
      <c r="U317" s="443">
        <v>0</v>
      </c>
      <c r="V317" s="282"/>
      <c r="W317" s="282">
        <f>O317/N317</f>
        <v>2474.535294117647</v>
      </c>
      <c r="X317" s="282"/>
    </row>
    <row r="318" spans="1:24" ht="15.6">
      <c r="A318" s="430">
        <v>274</v>
      </c>
      <c r="B318" s="936" t="s">
        <v>870</v>
      </c>
      <c r="C318" s="439">
        <f>'часть 1'!L327</f>
        <v>1227835</v>
      </c>
      <c r="D318" s="439">
        <v>0</v>
      </c>
      <c r="E318" s="439">
        <v>0</v>
      </c>
      <c r="F318" s="439">
        <v>0</v>
      </c>
      <c r="G318" s="439">
        <v>0</v>
      </c>
      <c r="H318" s="439">
        <v>0</v>
      </c>
      <c r="I318" s="439">
        <v>0</v>
      </c>
      <c r="J318" s="439">
        <v>0</v>
      </c>
      <c r="K318" s="439">
        <v>0</v>
      </c>
      <c r="L318" s="440">
        <v>0</v>
      </c>
      <c r="M318" s="439">
        <v>0</v>
      </c>
      <c r="N318" s="439">
        <v>387.2</v>
      </c>
      <c r="O318" s="439">
        <v>1227835</v>
      </c>
      <c r="P318" s="442">
        <v>0</v>
      </c>
      <c r="Q318" s="439">
        <v>0</v>
      </c>
      <c r="R318" s="442">
        <v>0</v>
      </c>
      <c r="S318" s="439">
        <v>0</v>
      </c>
      <c r="T318" s="440">
        <v>0</v>
      </c>
      <c r="U318" s="443">
        <v>0</v>
      </c>
      <c r="V318" s="282"/>
      <c r="W318" s="282">
        <f t="shared" ref="W318:W321" si="31">O318/N318</f>
        <v>3171.0614669421489</v>
      </c>
      <c r="X318" s="282"/>
    </row>
    <row r="319" spans="1:24" ht="15.6">
      <c r="A319" s="430">
        <v>275</v>
      </c>
      <c r="B319" s="936" t="s">
        <v>871</v>
      </c>
      <c r="C319" s="439">
        <f>'часть 1'!L328</f>
        <v>1562951</v>
      </c>
      <c r="D319" s="439">
        <v>0</v>
      </c>
      <c r="E319" s="439">
        <v>0</v>
      </c>
      <c r="F319" s="439">
        <v>0</v>
      </c>
      <c r="G319" s="439">
        <v>0</v>
      </c>
      <c r="H319" s="439">
        <v>0</v>
      </c>
      <c r="I319" s="439">
        <v>0</v>
      </c>
      <c r="J319" s="439">
        <v>0</v>
      </c>
      <c r="K319" s="439">
        <v>0</v>
      </c>
      <c r="L319" s="440">
        <v>0</v>
      </c>
      <c r="M319" s="439">
        <v>0</v>
      </c>
      <c r="N319" s="439">
        <v>495.05</v>
      </c>
      <c r="O319" s="439">
        <v>1562951</v>
      </c>
      <c r="P319" s="442">
        <v>0</v>
      </c>
      <c r="Q319" s="439">
        <v>0</v>
      </c>
      <c r="R319" s="442">
        <v>0</v>
      </c>
      <c r="S319" s="439">
        <v>0</v>
      </c>
      <c r="T319" s="440">
        <v>0</v>
      </c>
      <c r="U319" s="443">
        <v>0</v>
      </c>
      <c r="V319" s="282"/>
      <c r="W319" s="282">
        <f t="shared" si="31"/>
        <v>3157.1578628421371</v>
      </c>
      <c r="X319" s="282"/>
    </row>
    <row r="320" spans="1:24" ht="15.6">
      <c r="A320" s="430">
        <v>276</v>
      </c>
      <c r="B320" s="936" t="s">
        <v>872</v>
      </c>
      <c r="C320" s="439">
        <f>'часть 1'!L329</f>
        <v>974952</v>
      </c>
      <c r="D320" s="439">
        <v>0</v>
      </c>
      <c r="E320" s="439">
        <v>0</v>
      </c>
      <c r="F320" s="439">
        <v>0</v>
      </c>
      <c r="G320" s="439">
        <v>0</v>
      </c>
      <c r="H320" s="439">
        <v>0</v>
      </c>
      <c r="I320" s="439">
        <v>0</v>
      </c>
      <c r="J320" s="439">
        <v>0</v>
      </c>
      <c r="K320" s="439">
        <v>0</v>
      </c>
      <c r="L320" s="440">
        <v>0</v>
      </c>
      <c r="M320" s="439">
        <v>0</v>
      </c>
      <c r="N320" s="439">
        <v>306</v>
      </c>
      <c r="O320" s="439">
        <v>974952</v>
      </c>
      <c r="P320" s="442">
        <v>0</v>
      </c>
      <c r="Q320" s="439">
        <v>0</v>
      </c>
      <c r="R320" s="442">
        <v>0</v>
      </c>
      <c r="S320" s="439">
        <v>0</v>
      </c>
      <c r="T320" s="440">
        <v>0</v>
      </c>
      <c r="U320" s="443">
        <v>0</v>
      </c>
      <c r="V320" s="282"/>
      <c r="W320" s="282">
        <f t="shared" si="31"/>
        <v>3186.1176470588234</v>
      </c>
      <c r="X320" s="282"/>
    </row>
    <row r="321" spans="1:26" ht="15.6">
      <c r="A321" s="430">
        <v>276</v>
      </c>
      <c r="B321" s="936" t="s">
        <v>873</v>
      </c>
      <c r="C321" s="439">
        <f>'часть 1'!L330</f>
        <v>1143694</v>
      </c>
      <c r="D321" s="439">
        <v>0</v>
      </c>
      <c r="E321" s="439">
        <v>0</v>
      </c>
      <c r="F321" s="439">
        <v>0</v>
      </c>
      <c r="G321" s="439">
        <v>0</v>
      </c>
      <c r="H321" s="439">
        <v>0</v>
      </c>
      <c r="I321" s="439">
        <v>0</v>
      </c>
      <c r="J321" s="439">
        <v>0</v>
      </c>
      <c r="K321" s="439">
        <v>0</v>
      </c>
      <c r="L321" s="440">
        <v>0</v>
      </c>
      <c r="M321" s="439">
        <v>0</v>
      </c>
      <c r="N321" s="439">
        <v>360</v>
      </c>
      <c r="O321" s="439">
        <v>1143694</v>
      </c>
      <c r="P321" s="442">
        <v>0</v>
      </c>
      <c r="Q321" s="439">
        <v>0</v>
      </c>
      <c r="R321" s="442">
        <v>0</v>
      </c>
      <c r="S321" s="439">
        <v>0</v>
      </c>
      <c r="T321" s="440">
        <v>0</v>
      </c>
      <c r="U321" s="443">
        <v>0</v>
      </c>
      <c r="V321" s="282"/>
      <c r="W321" s="282">
        <f t="shared" si="31"/>
        <v>3176.9277777777779</v>
      </c>
      <c r="X321" s="282"/>
    </row>
    <row r="322" spans="1:26" s="91" customFormat="1">
      <c r="A322" s="198"/>
      <c r="B322" s="216" t="s">
        <v>48</v>
      </c>
      <c r="C322" s="211">
        <v>3947863</v>
      </c>
      <c r="D322" s="211"/>
      <c r="E322" s="211"/>
      <c r="F322" s="211"/>
      <c r="G322" s="211"/>
      <c r="H322" s="211"/>
      <c r="I322" s="211"/>
      <c r="J322" s="211"/>
      <c r="K322" s="211">
        <v>163315</v>
      </c>
      <c r="L322" s="212">
        <v>0</v>
      </c>
      <c r="M322" s="211">
        <v>0</v>
      </c>
      <c r="N322" s="211">
        <v>1314.93</v>
      </c>
      <c r="O322" s="211">
        <v>2673179</v>
      </c>
      <c r="P322" s="213">
        <v>0</v>
      </c>
      <c r="Q322" s="211">
        <v>0</v>
      </c>
      <c r="R322" s="211">
        <v>759.4</v>
      </c>
      <c r="S322" s="211">
        <v>1111369</v>
      </c>
      <c r="T322" s="212">
        <v>0</v>
      </c>
      <c r="U322" s="290">
        <v>0</v>
      </c>
      <c r="V322" s="282"/>
      <c r="W322" s="282"/>
      <c r="X322" s="282"/>
    </row>
    <row r="323" spans="1:26" ht="27.6">
      <c r="A323" s="430"/>
      <c r="B323" s="438" t="s">
        <v>107</v>
      </c>
      <c r="C323" s="439">
        <f>C324+C325</f>
        <v>3145909</v>
      </c>
      <c r="D323" s="439">
        <f t="shared" ref="D323:V323" si="32">D324+D325</f>
        <v>0</v>
      </c>
      <c r="E323" s="439">
        <f t="shared" si="32"/>
        <v>0</v>
      </c>
      <c r="F323" s="439">
        <f t="shared" si="32"/>
        <v>0</v>
      </c>
      <c r="G323" s="439">
        <f t="shared" si="32"/>
        <v>0</v>
      </c>
      <c r="H323" s="439">
        <f t="shared" si="32"/>
        <v>0</v>
      </c>
      <c r="I323" s="439">
        <f t="shared" si="32"/>
        <v>0</v>
      </c>
      <c r="J323" s="439">
        <f t="shared" si="32"/>
        <v>0</v>
      </c>
      <c r="K323" s="439">
        <f t="shared" si="32"/>
        <v>0</v>
      </c>
      <c r="L323" s="439">
        <f t="shared" si="32"/>
        <v>0</v>
      </c>
      <c r="M323" s="439">
        <f t="shared" si="32"/>
        <v>0</v>
      </c>
      <c r="N323" s="439">
        <f t="shared" si="32"/>
        <v>997.02</v>
      </c>
      <c r="O323" s="439">
        <f t="shared" si="32"/>
        <v>3145909</v>
      </c>
      <c r="P323" s="439">
        <f t="shared" si="32"/>
        <v>0</v>
      </c>
      <c r="Q323" s="439">
        <f t="shared" si="32"/>
        <v>0</v>
      </c>
      <c r="R323" s="439">
        <f t="shared" si="32"/>
        <v>0</v>
      </c>
      <c r="S323" s="439">
        <f t="shared" si="32"/>
        <v>0</v>
      </c>
      <c r="T323" s="439">
        <f t="shared" si="32"/>
        <v>0</v>
      </c>
      <c r="U323" s="439">
        <f t="shared" si="32"/>
        <v>0</v>
      </c>
      <c r="V323" s="439">
        <f t="shared" si="32"/>
        <v>0</v>
      </c>
      <c r="W323" s="282"/>
      <c r="X323" s="282"/>
    </row>
    <row r="324" spans="1:26">
      <c r="A324" s="430">
        <v>277</v>
      </c>
      <c r="B324" s="438" t="s">
        <v>770</v>
      </c>
      <c r="C324" s="439">
        <f>'часть 1'!L333</f>
        <v>1590271</v>
      </c>
      <c r="D324" s="439">
        <v>0</v>
      </c>
      <c r="E324" s="439">
        <v>0</v>
      </c>
      <c r="F324" s="439">
        <v>0</v>
      </c>
      <c r="G324" s="439">
        <v>0</v>
      </c>
      <c r="H324" s="439">
        <v>0</v>
      </c>
      <c r="I324" s="439">
        <v>0</v>
      </c>
      <c r="J324" s="439">
        <v>0</v>
      </c>
      <c r="K324" s="435">
        <v>0</v>
      </c>
      <c r="L324" s="485">
        <v>0</v>
      </c>
      <c r="M324" s="435">
        <v>0</v>
      </c>
      <c r="N324" s="435">
        <v>504</v>
      </c>
      <c r="O324" s="468">
        <v>1590271</v>
      </c>
      <c r="P324" s="573">
        <v>0</v>
      </c>
      <c r="Q324" s="435">
        <v>0</v>
      </c>
      <c r="R324" s="435">
        <v>0</v>
      </c>
      <c r="S324" s="435">
        <v>0</v>
      </c>
      <c r="T324" s="485">
        <v>0</v>
      </c>
      <c r="U324" s="486">
        <v>0</v>
      </c>
      <c r="V324" s="282"/>
      <c r="W324" s="282">
        <f>O324/N324</f>
        <v>3155.2996031746034</v>
      </c>
      <c r="X324" s="282"/>
      <c r="Y324" s="25"/>
      <c r="Z324" s="25"/>
    </row>
    <row r="325" spans="1:26">
      <c r="A325" s="430">
        <v>278</v>
      </c>
      <c r="B325" s="438" t="s">
        <v>771</v>
      </c>
      <c r="C325" s="439">
        <f>'часть 1'!L334</f>
        <v>1555638</v>
      </c>
      <c r="D325" s="439">
        <v>0</v>
      </c>
      <c r="E325" s="439">
        <v>0</v>
      </c>
      <c r="F325" s="439">
        <v>0</v>
      </c>
      <c r="G325" s="439">
        <v>0</v>
      </c>
      <c r="H325" s="439">
        <v>0</v>
      </c>
      <c r="I325" s="439">
        <v>0</v>
      </c>
      <c r="J325" s="439">
        <v>0</v>
      </c>
      <c r="K325" s="435">
        <v>0</v>
      </c>
      <c r="L325" s="440">
        <v>0</v>
      </c>
      <c r="M325" s="439">
        <v>0</v>
      </c>
      <c r="N325" s="435">
        <v>493.02</v>
      </c>
      <c r="O325" s="468">
        <v>1555638</v>
      </c>
      <c r="P325" s="442">
        <v>0</v>
      </c>
      <c r="Q325" s="439">
        <v>0</v>
      </c>
      <c r="R325" s="435">
        <v>0</v>
      </c>
      <c r="S325" s="435">
        <v>0</v>
      </c>
      <c r="T325" s="440">
        <v>0</v>
      </c>
      <c r="U325" s="443">
        <v>0</v>
      </c>
      <c r="V325" s="282"/>
      <c r="W325" s="282">
        <f>O325/N325</f>
        <v>3155.3243276134845</v>
      </c>
      <c r="X325" s="282"/>
      <c r="Y325" s="25"/>
      <c r="Z325" s="25"/>
    </row>
    <row r="326" spans="1:26" ht="27.6">
      <c r="A326" s="198"/>
      <c r="B326" s="214" t="s">
        <v>104</v>
      </c>
      <c r="C326" s="211">
        <v>553839</v>
      </c>
      <c r="D326" s="211"/>
      <c r="E326" s="211"/>
      <c r="F326" s="211"/>
      <c r="G326" s="211"/>
      <c r="H326" s="211"/>
      <c r="I326" s="211"/>
      <c r="J326" s="211"/>
      <c r="K326" s="211">
        <v>0</v>
      </c>
      <c r="L326" s="212">
        <v>0</v>
      </c>
      <c r="M326" s="211">
        <v>0</v>
      </c>
      <c r="N326" s="211">
        <v>270.93</v>
      </c>
      <c r="O326" s="211">
        <v>553839</v>
      </c>
      <c r="P326" s="213">
        <v>0</v>
      </c>
      <c r="Q326" s="211">
        <v>0</v>
      </c>
      <c r="R326" s="213">
        <v>0</v>
      </c>
      <c r="S326" s="211">
        <v>0</v>
      </c>
      <c r="T326" s="212">
        <v>0</v>
      </c>
      <c r="U326" s="290">
        <v>0</v>
      </c>
      <c r="V326" s="282"/>
      <c r="W326" s="282"/>
      <c r="X326" s="282"/>
    </row>
    <row r="327" spans="1:26" ht="27.6">
      <c r="A327" s="198">
        <v>280</v>
      </c>
      <c r="B327" s="214" t="s">
        <v>452</v>
      </c>
      <c r="C327" s="211">
        <v>553839</v>
      </c>
      <c r="D327" s="211"/>
      <c r="E327" s="211"/>
      <c r="F327" s="211"/>
      <c r="G327" s="211"/>
      <c r="H327" s="211"/>
      <c r="I327" s="211"/>
      <c r="J327" s="211"/>
      <c r="K327" s="211">
        <v>0</v>
      </c>
      <c r="L327" s="212">
        <v>0</v>
      </c>
      <c r="M327" s="211">
        <v>0</v>
      </c>
      <c r="N327" s="199">
        <v>270.93</v>
      </c>
      <c r="O327" s="211">
        <v>553839</v>
      </c>
      <c r="P327" s="213">
        <v>0</v>
      </c>
      <c r="Q327" s="211">
        <v>0</v>
      </c>
      <c r="R327" s="213">
        <v>0</v>
      </c>
      <c r="S327" s="211">
        <v>0</v>
      </c>
      <c r="T327" s="212">
        <v>0</v>
      </c>
      <c r="U327" s="290">
        <v>0</v>
      </c>
      <c r="V327" s="282"/>
      <c r="W327" s="282"/>
      <c r="X327" s="282"/>
    </row>
    <row r="328" spans="1:26">
      <c r="A328" s="198"/>
      <c r="B328" s="216" t="s">
        <v>49</v>
      </c>
      <c r="C328" s="211">
        <v>8949722</v>
      </c>
      <c r="D328" s="211"/>
      <c r="E328" s="211"/>
      <c r="F328" s="211"/>
      <c r="G328" s="211"/>
      <c r="H328" s="211"/>
      <c r="I328" s="211"/>
      <c r="J328" s="211"/>
      <c r="K328" s="211">
        <v>0</v>
      </c>
      <c r="L328" s="212">
        <v>0</v>
      </c>
      <c r="M328" s="211">
        <v>0</v>
      </c>
      <c r="N328" s="211">
        <v>3313.5</v>
      </c>
      <c r="O328" s="211">
        <v>6652861</v>
      </c>
      <c r="P328" s="213">
        <v>0</v>
      </c>
      <c r="Q328" s="211">
        <v>0</v>
      </c>
      <c r="R328" s="211">
        <v>1589</v>
      </c>
      <c r="S328" s="211">
        <v>2296861</v>
      </c>
      <c r="T328" s="212">
        <v>0</v>
      </c>
      <c r="U328" s="290">
        <v>0</v>
      </c>
      <c r="V328" s="282"/>
      <c r="W328" s="282"/>
      <c r="X328" s="282"/>
    </row>
    <row r="329" spans="1:26" ht="27.6">
      <c r="A329" s="198"/>
      <c r="B329" s="214" t="s">
        <v>105</v>
      </c>
      <c r="C329" s="211">
        <f>C330</f>
        <v>1505603</v>
      </c>
      <c r="D329" s="211">
        <f t="shared" ref="D329:U329" si="33">D330</f>
        <v>0</v>
      </c>
      <c r="E329" s="211">
        <f t="shared" si="33"/>
        <v>0</v>
      </c>
      <c r="F329" s="211">
        <f t="shared" si="33"/>
        <v>0</v>
      </c>
      <c r="G329" s="211">
        <f t="shared" si="33"/>
        <v>0</v>
      </c>
      <c r="H329" s="211">
        <f t="shared" si="33"/>
        <v>0</v>
      </c>
      <c r="I329" s="211">
        <f t="shared" si="33"/>
        <v>0</v>
      </c>
      <c r="J329" s="211">
        <f t="shared" si="33"/>
        <v>0</v>
      </c>
      <c r="K329" s="211">
        <f t="shared" si="33"/>
        <v>0</v>
      </c>
      <c r="L329" s="211">
        <f t="shared" si="33"/>
        <v>0</v>
      </c>
      <c r="M329" s="211">
        <f t="shared" si="33"/>
        <v>0</v>
      </c>
      <c r="N329" s="211">
        <f t="shared" si="33"/>
        <v>476.3</v>
      </c>
      <c r="O329" s="211">
        <f t="shared" si="33"/>
        <v>1505603</v>
      </c>
      <c r="P329" s="211">
        <f t="shared" si="33"/>
        <v>0</v>
      </c>
      <c r="Q329" s="211">
        <f t="shared" si="33"/>
        <v>0</v>
      </c>
      <c r="R329" s="211">
        <f t="shared" si="33"/>
        <v>0</v>
      </c>
      <c r="S329" s="211">
        <f t="shared" si="33"/>
        <v>0</v>
      </c>
      <c r="T329" s="211">
        <f t="shared" si="33"/>
        <v>0</v>
      </c>
      <c r="U329" s="211">
        <f t="shared" si="33"/>
        <v>0</v>
      </c>
      <c r="V329" s="282"/>
      <c r="W329" s="282"/>
      <c r="X329" s="282"/>
    </row>
    <row r="330" spans="1:26" s="18" customFormat="1">
      <c r="A330" s="430">
        <v>281</v>
      </c>
      <c r="B330" s="464" t="s">
        <v>481</v>
      </c>
      <c r="C330" s="439">
        <v>1505603</v>
      </c>
      <c r="D330" s="439">
        <v>0</v>
      </c>
      <c r="E330" s="439">
        <v>0</v>
      </c>
      <c r="F330" s="439">
        <v>0</v>
      </c>
      <c r="G330" s="439">
        <v>0</v>
      </c>
      <c r="H330" s="439">
        <v>0</v>
      </c>
      <c r="I330" s="439">
        <v>0</v>
      </c>
      <c r="J330" s="439">
        <v>0</v>
      </c>
      <c r="K330" s="439">
        <v>0</v>
      </c>
      <c r="L330" s="440">
        <v>0</v>
      </c>
      <c r="M330" s="439">
        <v>0</v>
      </c>
      <c r="N330" s="439">
        <v>476.3</v>
      </c>
      <c r="O330" s="439">
        <v>1505603</v>
      </c>
      <c r="P330" s="442">
        <v>0</v>
      </c>
      <c r="Q330" s="439">
        <v>0</v>
      </c>
      <c r="R330" s="442">
        <v>0</v>
      </c>
      <c r="S330" s="439">
        <v>0</v>
      </c>
      <c r="T330" s="440">
        <v>0</v>
      </c>
      <c r="U330" s="443">
        <v>0</v>
      </c>
      <c r="V330" s="282"/>
      <c r="W330" s="282">
        <f>O330/N330</f>
        <v>3161.039260969977</v>
      </c>
      <c r="X330" s="282"/>
    </row>
    <row r="331" spans="1:26" s="18" customFormat="1" ht="27.6">
      <c r="A331" s="194"/>
      <c r="B331" s="214" t="s">
        <v>985</v>
      </c>
      <c r="C331" s="211">
        <f>C332+C333</f>
        <v>7561422.5999999996</v>
      </c>
      <c r="D331" s="211">
        <f t="shared" ref="D331:V331" si="34">D332+D333</f>
        <v>0</v>
      </c>
      <c r="E331" s="211">
        <f t="shared" si="34"/>
        <v>0</v>
      </c>
      <c r="F331" s="211">
        <f t="shared" si="34"/>
        <v>0</v>
      </c>
      <c r="G331" s="211">
        <f t="shared" si="34"/>
        <v>0</v>
      </c>
      <c r="H331" s="211">
        <f t="shared" si="34"/>
        <v>0</v>
      </c>
      <c r="I331" s="211">
        <f t="shared" si="34"/>
        <v>0</v>
      </c>
      <c r="J331" s="211">
        <f t="shared" si="34"/>
        <v>0</v>
      </c>
      <c r="K331" s="211">
        <f t="shared" si="34"/>
        <v>0</v>
      </c>
      <c r="L331" s="211">
        <f t="shared" si="34"/>
        <v>0</v>
      </c>
      <c r="M331" s="211">
        <f t="shared" si="34"/>
        <v>0</v>
      </c>
      <c r="N331" s="211">
        <f t="shared" si="34"/>
        <v>1800</v>
      </c>
      <c r="O331" s="211">
        <f t="shared" si="34"/>
        <v>5463000</v>
      </c>
      <c r="P331" s="211">
        <f t="shared" si="34"/>
        <v>0</v>
      </c>
      <c r="Q331" s="211">
        <f t="shared" si="34"/>
        <v>0</v>
      </c>
      <c r="R331" s="211">
        <f t="shared" si="34"/>
        <v>1444.2</v>
      </c>
      <c r="S331" s="211">
        <f t="shared" si="34"/>
        <v>2098422</v>
      </c>
      <c r="T331" s="211">
        <f t="shared" si="34"/>
        <v>0</v>
      </c>
      <c r="U331" s="211">
        <f t="shared" si="34"/>
        <v>0</v>
      </c>
      <c r="V331" s="211">
        <f t="shared" si="34"/>
        <v>0</v>
      </c>
      <c r="W331" s="282"/>
      <c r="X331" s="282"/>
    </row>
    <row r="332" spans="1:26" s="18" customFormat="1" ht="19.95" customHeight="1">
      <c r="A332" s="194"/>
      <c r="B332" s="567" t="s">
        <v>986</v>
      </c>
      <c r="C332" s="211">
        <f>'часть 1'!L342</f>
        <v>3779403.6</v>
      </c>
      <c r="D332" s="211">
        <v>0</v>
      </c>
      <c r="E332" s="211">
        <v>0</v>
      </c>
      <c r="F332" s="211">
        <v>0</v>
      </c>
      <c r="G332" s="211">
        <v>0</v>
      </c>
      <c r="H332" s="211">
        <v>0</v>
      </c>
      <c r="I332" s="211">
        <v>0</v>
      </c>
      <c r="J332" s="211">
        <v>0</v>
      </c>
      <c r="K332" s="211">
        <v>0</v>
      </c>
      <c r="L332" s="212">
        <v>0</v>
      </c>
      <c r="M332" s="211">
        <v>0</v>
      </c>
      <c r="N332" s="211">
        <v>900</v>
      </c>
      <c r="O332" s="211">
        <v>2731500</v>
      </c>
      <c r="P332" s="213">
        <v>0</v>
      </c>
      <c r="Q332" s="211">
        <v>0</v>
      </c>
      <c r="R332" s="213">
        <v>721.2</v>
      </c>
      <c r="S332" s="211">
        <v>1047903</v>
      </c>
      <c r="T332" s="212">
        <v>0</v>
      </c>
      <c r="U332" s="290">
        <v>0</v>
      </c>
      <c r="V332" s="282"/>
      <c r="W332" s="282">
        <f>O332/N332</f>
        <v>3035</v>
      </c>
      <c r="X332" s="282">
        <f>S332/R332</f>
        <v>1452.9991680532446</v>
      </c>
    </row>
    <row r="333" spans="1:26" s="18" customFormat="1" ht="24" customHeight="1">
      <c r="A333" s="194"/>
      <c r="B333" s="567" t="s">
        <v>987</v>
      </c>
      <c r="C333" s="211">
        <f>'часть 1'!L343</f>
        <v>3782019</v>
      </c>
      <c r="D333" s="211">
        <v>0</v>
      </c>
      <c r="E333" s="211">
        <v>0</v>
      </c>
      <c r="F333" s="211">
        <v>0</v>
      </c>
      <c r="G333" s="211">
        <v>0</v>
      </c>
      <c r="H333" s="211">
        <v>0</v>
      </c>
      <c r="I333" s="211">
        <v>0</v>
      </c>
      <c r="J333" s="211">
        <v>0</v>
      </c>
      <c r="K333" s="211">
        <v>0</v>
      </c>
      <c r="L333" s="212">
        <v>0</v>
      </c>
      <c r="M333" s="211">
        <v>0</v>
      </c>
      <c r="N333" s="211">
        <v>900</v>
      </c>
      <c r="O333" s="211">
        <v>2731500</v>
      </c>
      <c r="P333" s="213">
        <v>0</v>
      </c>
      <c r="Q333" s="211">
        <v>0</v>
      </c>
      <c r="R333" s="213">
        <v>723</v>
      </c>
      <c r="S333" s="211">
        <v>1050519</v>
      </c>
      <c r="T333" s="212">
        <v>0</v>
      </c>
      <c r="U333" s="290">
        <v>0</v>
      </c>
      <c r="V333" s="282"/>
      <c r="W333" s="282">
        <f>O333/N333</f>
        <v>3035</v>
      </c>
      <c r="X333" s="282">
        <f>S333/R333</f>
        <v>1453</v>
      </c>
    </row>
    <row r="334" spans="1:26" s="18" customFormat="1" ht="27.6">
      <c r="A334" s="198"/>
      <c r="B334" s="214" t="s">
        <v>188</v>
      </c>
      <c r="C334" s="211">
        <v>1905804</v>
      </c>
      <c r="D334" s="211"/>
      <c r="E334" s="211"/>
      <c r="F334" s="211"/>
      <c r="G334" s="211"/>
      <c r="H334" s="211"/>
      <c r="I334" s="211"/>
      <c r="J334" s="211"/>
      <c r="K334" s="211">
        <v>0</v>
      </c>
      <c r="L334" s="212">
        <v>0</v>
      </c>
      <c r="M334" s="211">
        <v>0</v>
      </c>
      <c r="N334" s="211">
        <v>968.7</v>
      </c>
      <c r="O334" s="211">
        <v>1905804</v>
      </c>
      <c r="P334" s="213">
        <v>0</v>
      </c>
      <c r="Q334" s="211">
        <v>0</v>
      </c>
      <c r="R334" s="213">
        <v>0</v>
      </c>
      <c r="S334" s="211">
        <v>0</v>
      </c>
      <c r="T334" s="212">
        <v>0</v>
      </c>
      <c r="U334" s="290">
        <v>0</v>
      </c>
      <c r="V334" s="282"/>
      <c r="W334" s="282"/>
      <c r="X334" s="282"/>
    </row>
    <row r="335" spans="1:26" s="18" customFormat="1">
      <c r="A335" s="198">
        <v>283</v>
      </c>
      <c r="B335" s="214" t="s">
        <v>410</v>
      </c>
      <c r="C335" s="211">
        <v>958459</v>
      </c>
      <c r="D335" s="211"/>
      <c r="E335" s="211"/>
      <c r="F335" s="211"/>
      <c r="G335" s="211"/>
      <c r="H335" s="211"/>
      <c r="I335" s="211"/>
      <c r="J335" s="211"/>
      <c r="K335" s="211">
        <v>0</v>
      </c>
      <c r="L335" s="212">
        <v>0</v>
      </c>
      <c r="M335" s="211">
        <v>0</v>
      </c>
      <c r="N335" s="211">
        <v>487.2</v>
      </c>
      <c r="O335" s="211">
        <v>958459</v>
      </c>
      <c r="P335" s="213">
        <v>0</v>
      </c>
      <c r="Q335" s="211">
        <v>0</v>
      </c>
      <c r="R335" s="213">
        <v>0</v>
      </c>
      <c r="S335" s="211">
        <v>0</v>
      </c>
      <c r="T335" s="212">
        <v>0</v>
      </c>
      <c r="U335" s="290">
        <v>0</v>
      </c>
      <c r="V335" s="282"/>
      <c r="W335" s="282"/>
      <c r="X335" s="282"/>
    </row>
    <row r="336" spans="1:26" s="18" customFormat="1">
      <c r="A336" s="198">
        <v>284</v>
      </c>
      <c r="B336" s="214" t="s">
        <v>411</v>
      </c>
      <c r="C336" s="211">
        <v>947345</v>
      </c>
      <c r="D336" s="211"/>
      <c r="E336" s="211"/>
      <c r="F336" s="211"/>
      <c r="G336" s="211"/>
      <c r="H336" s="211"/>
      <c r="I336" s="211"/>
      <c r="J336" s="211"/>
      <c r="K336" s="211">
        <v>0</v>
      </c>
      <c r="L336" s="212">
        <v>0</v>
      </c>
      <c r="M336" s="211">
        <v>0</v>
      </c>
      <c r="N336" s="211">
        <v>481.5</v>
      </c>
      <c r="O336" s="211">
        <v>947345</v>
      </c>
      <c r="P336" s="213">
        <v>0</v>
      </c>
      <c r="Q336" s="211">
        <v>0</v>
      </c>
      <c r="R336" s="213">
        <v>0</v>
      </c>
      <c r="S336" s="211">
        <v>0</v>
      </c>
      <c r="T336" s="212">
        <v>0</v>
      </c>
      <c r="U336" s="290">
        <v>0</v>
      </c>
      <c r="V336" s="282"/>
      <c r="W336" s="282"/>
      <c r="X336" s="282"/>
    </row>
    <row r="337" spans="1:24" s="18" customFormat="1" ht="27.6">
      <c r="A337" s="198"/>
      <c r="B337" s="214" t="s">
        <v>189</v>
      </c>
      <c r="C337" s="211">
        <v>820660</v>
      </c>
      <c r="D337" s="211"/>
      <c r="E337" s="211"/>
      <c r="F337" s="211"/>
      <c r="G337" s="211"/>
      <c r="H337" s="211"/>
      <c r="I337" s="211"/>
      <c r="J337" s="211"/>
      <c r="K337" s="211">
        <v>0</v>
      </c>
      <c r="L337" s="212">
        <v>0</v>
      </c>
      <c r="M337" s="211">
        <v>0</v>
      </c>
      <c r="N337" s="211">
        <v>406.8</v>
      </c>
      <c r="O337" s="211">
        <v>820660</v>
      </c>
      <c r="P337" s="213">
        <v>0</v>
      </c>
      <c r="Q337" s="211">
        <v>0</v>
      </c>
      <c r="R337" s="213">
        <v>0</v>
      </c>
      <c r="S337" s="211">
        <v>0</v>
      </c>
      <c r="T337" s="212">
        <v>0</v>
      </c>
      <c r="U337" s="290">
        <v>0</v>
      </c>
      <c r="V337" s="282"/>
      <c r="W337" s="282"/>
      <c r="X337" s="282"/>
    </row>
    <row r="338" spans="1:24" s="18" customFormat="1">
      <c r="A338" s="198">
        <v>285</v>
      </c>
      <c r="B338" s="214" t="s">
        <v>412</v>
      </c>
      <c r="C338" s="211">
        <v>820660</v>
      </c>
      <c r="D338" s="211"/>
      <c r="E338" s="211"/>
      <c r="F338" s="211"/>
      <c r="G338" s="211"/>
      <c r="H338" s="211"/>
      <c r="I338" s="211"/>
      <c r="J338" s="211"/>
      <c r="K338" s="211">
        <v>0</v>
      </c>
      <c r="L338" s="212">
        <v>0</v>
      </c>
      <c r="M338" s="211">
        <v>0</v>
      </c>
      <c r="N338" s="211">
        <v>406.8</v>
      </c>
      <c r="O338" s="211">
        <v>820660</v>
      </c>
      <c r="P338" s="213">
        <v>0</v>
      </c>
      <c r="Q338" s="211">
        <v>0</v>
      </c>
      <c r="R338" s="213">
        <v>0</v>
      </c>
      <c r="S338" s="211">
        <v>0</v>
      </c>
      <c r="T338" s="212">
        <v>0</v>
      </c>
      <c r="U338" s="290">
        <v>0</v>
      </c>
      <c r="V338" s="282"/>
      <c r="W338" s="282"/>
      <c r="X338" s="282"/>
    </row>
    <row r="339" spans="1:24" s="18" customFormat="1" ht="27.6">
      <c r="A339" s="198"/>
      <c r="B339" s="214" t="s">
        <v>131</v>
      </c>
      <c r="C339" s="211">
        <f>C340</f>
        <v>2888385</v>
      </c>
      <c r="D339" s="211">
        <f t="shared" ref="D339:U339" si="35">D340</f>
        <v>0</v>
      </c>
      <c r="E339" s="211">
        <f t="shared" si="35"/>
        <v>0</v>
      </c>
      <c r="F339" s="211">
        <f t="shared" si="35"/>
        <v>0</v>
      </c>
      <c r="G339" s="211">
        <f t="shared" si="35"/>
        <v>0</v>
      </c>
      <c r="H339" s="211">
        <f t="shared" si="35"/>
        <v>0</v>
      </c>
      <c r="I339" s="211">
        <f t="shared" si="35"/>
        <v>0</v>
      </c>
      <c r="J339" s="211">
        <f t="shared" si="35"/>
        <v>0</v>
      </c>
      <c r="K339" s="211">
        <f t="shared" si="35"/>
        <v>0</v>
      </c>
      <c r="L339" s="211">
        <f t="shared" si="35"/>
        <v>0</v>
      </c>
      <c r="M339" s="211">
        <f t="shared" si="35"/>
        <v>0</v>
      </c>
      <c r="N339" s="211">
        <f t="shared" si="35"/>
        <v>1205</v>
      </c>
      <c r="O339" s="211">
        <f t="shared" si="35"/>
        <v>2888285</v>
      </c>
      <c r="P339" s="211">
        <f t="shared" si="35"/>
        <v>0</v>
      </c>
      <c r="Q339" s="211">
        <f t="shared" si="35"/>
        <v>0</v>
      </c>
      <c r="R339" s="211">
        <f t="shared" si="35"/>
        <v>0</v>
      </c>
      <c r="S339" s="211">
        <f t="shared" si="35"/>
        <v>0</v>
      </c>
      <c r="T339" s="211">
        <f t="shared" si="35"/>
        <v>0</v>
      </c>
      <c r="U339" s="211">
        <f t="shared" si="35"/>
        <v>0</v>
      </c>
      <c r="V339" s="282"/>
      <c r="W339" s="282"/>
      <c r="X339" s="282"/>
    </row>
    <row r="340" spans="1:24" s="18" customFormat="1" ht="23.4" customHeight="1">
      <c r="A340" s="198">
        <v>286</v>
      </c>
      <c r="B340" s="214" t="s">
        <v>659</v>
      </c>
      <c r="C340" s="211">
        <v>2888385</v>
      </c>
      <c r="D340" s="211">
        <v>0</v>
      </c>
      <c r="E340" s="211">
        <v>0</v>
      </c>
      <c r="F340" s="211">
        <v>0</v>
      </c>
      <c r="G340" s="211">
        <v>0</v>
      </c>
      <c r="H340" s="211">
        <v>0</v>
      </c>
      <c r="I340" s="211">
        <v>0</v>
      </c>
      <c r="J340" s="211">
        <v>0</v>
      </c>
      <c r="K340" s="211">
        <v>0</v>
      </c>
      <c r="L340" s="212">
        <v>0</v>
      </c>
      <c r="M340" s="211">
        <v>0</v>
      </c>
      <c r="N340" s="233">
        <v>1205</v>
      </c>
      <c r="O340" s="211">
        <v>2888285</v>
      </c>
      <c r="P340" s="213">
        <v>0</v>
      </c>
      <c r="Q340" s="211">
        <v>0</v>
      </c>
      <c r="R340" s="213">
        <v>0</v>
      </c>
      <c r="S340" s="211">
        <v>0</v>
      </c>
      <c r="T340" s="212">
        <v>0</v>
      </c>
      <c r="U340" s="290">
        <v>0</v>
      </c>
      <c r="V340" s="282"/>
      <c r="W340" s="282">
        <f>O340/N340</f>
        <v>2396.9170124481329</v>
      </c>
      <c r="X340" s="282"/>
    </row>
    <row r="341" spans="1:24" s="18" customFormat="1">
      <c r="A341" s="198"/>
      <c r="B341" s="214"/>
      <c r="C341" s="211"/>
      <c r="D341" s="211"/>
      <c r="E341" s="211"/>
      <c r="F341" s="211"/>
      <c r="G341" s="211"/>
      <c r="H341" s="211"/>
      <c r="I341" s="211"/>
      <c r="J341" s="211"/>
      <c r="K341" s="211"/>
      <c r="L341" s="212"/>
      <c r="M341" s="211"/>
      <c r="N341" s="211"/>
      <c r="O341" s="211"/>
      <c r="P341" s="213"/>
      <c r="Q341" s="211"/>
      <c r="R341" s="215"/>
      <c r="S341" s="211"/>
      <c r="T341" s="212"/>
      <c r="U341" s="290"/>
      <c r="V341" s="282"/>
      <c r="W341" s="282"/>
      <c r="X341" s="282"/>
    </row>
    <row r="342" spans="1:24" s="17" customFormat="1">
      <c r="A342" s="198"/>
      <c r="B342" s="216" t="s">
        <v>50</v>
      </c>
      <c r="C342" s="211">
        <f>C343</f>
        <v>14213854</v>
      </c>
      <c r="D342" s="211">
        <f t="shared" ref="D342:U342" si="36">D343</f>
        <v>0</v>
      </c>
      <c r="E342" s="211">
        <f t="shared" si="36"/>
        <v>0</v>
      </c>
      <c r="F342" s="211">
        <f t="shared" si="36"/>
        <v>0</v>
      </c>
      <c r="G342" s="211">
        <f t="shared" si="36"/>
        <v>0</v>
      </c>
      <c r="H342" s="211">
        <f t="shared" si="36"/>
        <v>0</v>
      </c>
      <c r="I342" s="211">
        <f t="shared" si="36"/>
        <v>0</v>
      </c>
      <c r="J342" s="211">
        <f t="shared" si="36"/>
        <v>0</v>
      </c>
      <c r="K342" s="211">
        <f t="shared" si="36"/>
        <v>0</v>
      </c>
      <c r="L342" s="211">
        <f t="shared" si="36"/>
        <v>0</v>
      </c>
      <c r="M342" s="211">
        <f t="shared" si="36"/>
        <v>0</v>
      </c>
      <c r="N342" s="211">
        <f t="shared" si="36"/>
        <v>4604</v>
      </c>
      <c r="O342" s="211">
        <f t="shared" si="36"/>
        <v>14213854</v>
      </c>
      <c r="P342" s="211">
        <f t="shared" si="36"/>
        <v>0</v>
      </c>
      <c r="Q342" s="211">
        <f t="shared" si="36"/>
        <v>0</v>
      </c>
      <c r="R342" s="211">
        <f t="shared" si="36"/>
        <v>0</v>
      </c>
      <c r="S342" s="211">
        <f t="shared" si="36"/>
        <v>0</v>
      </c>
      <c r="T342" s="211">
        <f t="shared" si="36"/>
        <v>0</v>
      </c>
      <c r="U342" s="211">
        <f t="shared" si="36"/>
        <v>0</v>
      </c>
      <c r="V342" s="282"/>
      <c r="W342" s="282"/>
      <c r="X342" s="282"/>
    </row>
    <row r="343" spans="1:24" ht="27.6">
      <c r="A343" s="198"/>
      <c r="B343" s="214" t="s">
        <v>106</v>
      </c>
      <c r="C343" s="211">
        <f>C344+C345+C346+C347+C348+C349+C350+C351+C352</f>
        <v>14213854</v>
      </c>
      <c r="D343" s="211">
        <f t="shared" ref="D343:U343" si="37">D344+D345+D346+D347+D348+D349+D350+D351+D352</f>
        <v>0</v>
      </c>
      <c r="E343" s="211">
        <f t="shared" si="37"/>
        <v>0</v>
      </c>
      <c r="F343" s="211">
        <f t="shared" si="37"/>
        <v>0</v>
      </c>
      <c r="G343" s="211">
        <f t="shared" si="37"/>
        <v>0</v>
      </c>
      <c r="H343" s="211">
        <f t="shared" si="37"/>
        <v>0</v>
      </c>
      <c r="I343" s="211">
        <f t="shared" si="37"/>
        <v>0</v>
      </c>
      <c r="J343" s="211">
        <f t="shared" si="37"/>
        <v>0</v>
      </c>
      <c r="K343" s="211">
        <f t="shared" si="37"/>
        <v>0</v>
      </c>
      <c r="L343" s="211">
        <f t="shared" si="37"/>
        <v>0</v>
      </c>
      <c r="M343" s="211">
        <f t="shared" si="37"/>
        <v>0</v>
      </c>
      <c r="N343" s="211">
        <f t="shared" si="37"/>
        <v>4604</v>
      </c>
      <c r="O343" s="211">
        <f t="shared" si="37"/>
        <v>14213854</v>
      </c>
      <c r="P343" s="211">
        <f t="shared" si="37"/>
        <v>0</v>
      </c>
      <c r="Q343" s="211">
        <f t="shared" si="37"/>
        <v>0</v>
      </c>
      <c r="R343" s="211">
        <f t="shared" si="37"/>
        <v>0</v>
      </c>
      <c r="S343" s="211">
        <f t="shared" si="37"/>
        <v>0</v>
      </c>
      <c r="T343" s="211">
        <f t="shared" si="37"/>
        <v>0</v>
      </c>
      <c r="U343" s="211">
        <f t="shared" si="37"/>
        <v>0</v>
      </c>
      <c r="V343" s="282"/>
      <c r="W343" s="282"/>
      <c r="X343" s="282"/>
    </row>
    <row r="344" spans="1:24" ht="15.6">
      <c r="A344" s="198">
        <v>288</v>
      </c>
      <c r="B344" s="165" t="s">
        <v>836</v>
      </c>
      <c r="C344" s="211">
        <f>'часть 1'!L354</f>
        <v>1666855</v>
      </c>
      <c r="D344" s="211">
        <v>0</v>
      </c>
      <c r="E344" s="211">
        <v>0</v>
      </c>
      <c r="F344" s="211">
        <v>0</v>
      </c>
      <c r="G344" s="211">
        <v>0</v>
      </c>
      <c r="H344" s="211">
        <v>0</v>
      </c>
      <c r="I344" s="211">
        <v>0</v>
      </c>
      <c r="J344" s="211">
        <v>0</v>
      </c>
      <c r="K344" s="211">
        <v>0</v>
      </c>
      <c r="L344" s="212">
        <v>0</v>
      </c>
      <c r="M344" s="211">
        <v>0</v>
      </c>
      <c r="N344" s="234">
        <v>528.6</v>
      </c>
      <c r="O344" s="211">
        <v>1666855</v>
      </c>
      <c r="P344" s="213">
        <v>0</v>
      </c>
      <c r="Q344" s="211">
        <v>0</v>
      </c>
      <c r="R344" s="213">
        <v>0</v>
      </c>
      <c r="S344" s="211">
        <v>0</v>
      </c>
      <c r="T344" s="212">
        <v>0</v>
      </c>
      <c r="U344" s="290">
        <v>0</v>
      </c>
      <c r="V344" s="282"/>
      <c r="W344" s="282">
        <f>O344/N344</f>
        <v>3153.3390087022321</v>
      </c>
      <c r="X344" s="282"/>
    </row>
    <row r="345" spans="1:24" ht="15.6">
      <c r="A345" s="198">
        <v>289</v>
      </c>
      <c r="B345" s="165" t="s">
        <v>837</v>
      </c>
      <c r="C345" s="211">
        <f>'часть 1'!L355</f>
        <v>2505131</v>
      </c>
      <c r="D345" s="211">
        <v>0</v>
      </c>
      <c r="E345" s="211">
        <v>0</v>
      </c>
      <c r="F345" s="211">
        <v>0</v>
      </c>
      <c r="G345" s="211">
        <v>0</v>
      </c>
      <c r="H345" s="211">
        <v>0</v>
      </c>
      <c r="I345" s="211">
        <v>0</v>
      </c>
      <c r="J345" s="211">
        <v>0</v>
      </c>
      <c r="K345" s="211">
        <v>0</v>
      </c>
      <c r="L345" s="212">
        <v>0</v>
      </c>
      <c r="M345" s="211">
        <v>0</v>
      </c>
      <c r="N345" s="234">
        <v>798</v>
      </c>
      <c r="O345" s="211">
        <v>2505131</v>
      </c>
      <c r="P345" s="213">
        <v>0</v>
      </c>
      <c r="Q345" s="211">
        <v>0</v>
      </c>
      <c r="R345" s="213">
        <v>0</v>
      </c>
      <c r="S345" s="211">
        <v>0</v>
      </c>
      <c r="T345" s="212">
        <v>0</v>
      </c>
      <c r="U345" s="290">
        <v>0</v>
      </c>
      <c r="V345" s="282"/>
      <c r="W345" s="282">
        <f t="shared" ref="W345:W352" si="38">O345/N345</f>
        <v>3139.2619047619046</v>
      </c>
      <c r="X345" s="282"/>
    </row>
    <row r="346" spans="1:24" ht="15.6">
      <c r="A346" s="198">
        <v>290</v>
      </c>
      <c r="B346" s="165" t="s">
        <v>838</v>
      </c>
      <c r="C346" s="211">
        <f>'часть 1'!L356</f>
        <v>2532008</v>
      </c>
      <c r="D346" s="211">
        <v>0</v>
      </c>
      <c r="E346" s="211">
        <v>0</v>
      </c>
      <c r="F346" s="211">
        <v>0</v>
      </c>
      <c r="G346" s="211">
        <v>0</v>
      </c>
      <c r="H346" s="211">
        <v>0</v>
      </c>
      <c r="I346" s="211">
        <v>0</v>
      </c>
      <c r="J346" s="211">
        <v>0</v>
      </c>
      <c r="K346" s="211">
        <v>0</v>
      </c>
      <c r="L346" s="212">
        <v>0</v>
      </c>
      <c r="M346" s="211">
        <v>0</v>
      </c>
      <c r="N346" s="234">
        <v>808</v>
      </c>
      <c r="O346" s="211">
        <v>2532008</v>
      </c>
      <c r="P346" s="213">
        <v>0</v>
      </c>
      <c r="Q346" s="211">
        <v>0</v>
      </c>
      <c r="R346" s="213">
        <v>0</v>
      </c>
      <c r="S346" s="211">
        <v>0</v>
      </c>
      <c r="T346" s="212">
        <v>0</v>
      </c>
      <c r="U346" s="290">
        <v>0</v>
      </c>
      <c r="V346" s="282"/>
      <c r="W346" s="282">
        <f t="shared" si="38"/>
        <v>3133.6732673267325</v>
      </c>
      <c r="X346" s="282"/>
    </row>
    <row r="347" spans="1:24" ht="15.6">
      <c r="A347" s="198">
        <v>291</v>
      </c>
      <c r="B347" s="165" t="s">
        <v>839</v>
      </c>
      <c r="C347" s="211">
        <f>'часть 1'!L357</f>
        <v>1684781</v>
      </c>
      <c r="D347" s="211">
        <v>0</v>
      </c>
      <c r="E347" s="211">
        <v>0</v>
      </c>
      <c r="F347" s="211">
        <v>0</v>
      </c>
      <c r="G347" s="211">
        <v>0</v>
      </c>
      <c r="H347" s="211">
        <v>0</v>
      </c>
      <c r="I347" s="211">
        <v>0</v>
      </c>
      <c r="J347" s="211">
        <v>0</v>
      </c>
      <c r="K347" s="211">
        <v>0</v>
      </c>
      <c r="L347" s="212">
        <v>0</v>
      </c>
      <c r="M347" s="211">
        <v>0</v>
      </c>
      <c r="N347" s="234">
        <v>534.4</v>
      </c>
      <c r="O347" s="211">
        <v>1684781</v>
      </c>
      <c r="P347" s="213">
        <v>0</v>
      </c>
      <c r="Q347" s="211">
        <v>0</v>
      </c>
      <c r="R347" s="213">
        <v>0</v>
      </c>
      <c r="S347" s="211">
        <v>0</v>
      </c>
      <c r="T347" s="212">
        <v>0</v>
      </c>
      <c r="U347" s="290">
        <v>0</v>
      </c>
      <c r="V347" s="282"/>
      <c r="W347" s="282">
        <f t="shared" si="38"/>
        <v>3152.6590568862275</v>
      </c>
      <c r="X347" s="282"/>
    </row>
    <row r="348" spans="1:24" ht="15.6">
      <c r="A348" s="198">
        <v>292</v>
      </c>
      <c r="B348" s="165" t="s">
        <v>840</v>
      </c>
      <c r="C348" s="211">
        <f>'часть 1'!L358</f>
        <v>1111881</v>
      </c>
      <c r="D348" s="211">
        <v>0</v>
      </c>
      <c r="E348" s="211">
        <v>0</v>
      </c>
      <c r="F348" s="211">
        <v>0</v>
      </c>
      <c r="G348" s="211">
        <v>0</v>
      </c>
      <c r="H348" s="211">
        <v>0</v>
      </c>
      <c r="I348" s="211">
        <v>0</v>
      </c>
      <c r="J348" s="211">
        <v>0</v>
      </c>
      <c r="K348" s="211">
        <v>0</v>
      </c>
      <c r="L348" s="212">
        <v>0</v>
      </c>
      <c r="M348" s="211">
        <v>0</v>
      </c>
      <c r="N348" s="234">
        <v>350</v>
      </c>
      <c r="O348" s="211">
        <v>1111881</v>
      </c>
      <c r="P348" s="213">
        <v>0</v>
      </c>
      <c r="Q348" s="211">
        <v>0</v>
      </c>
      <c r="R348" s="213">
        <v>0</v>
      </c>
      <c r="S348" s="211">
        <v>0</v>
      </c>
      <c r="T348" s="212">
        <v>0</v>
      </c>
      <c r="U348" s="290">
        <v>0</v>
      </c>
      <c r="V348" s="282"/>
      <c r="W348" s="282">
        <f t="shared" si="38"/>
        <v>3176.8028571428572</v>
      </c>
      <c r="X348" s="282"/>
    </row>
    <row r="349" spans="1:24" ht="15.6">
      <c r="A349" s="198">
        <v>293</v>
      </c>
      <c r="B349" s="165" t="s">
        <v>841</v>
      </c>
      <c r="C349" s="211">
        <f>'часть 1'!L359</f>
        <v>1500589</v>
      </c>
      <c r="D349" s="211">
        <v>0</v>
      </c>
      <c r="E349" s="211">
        <v>0</v>
      </c>
      <c r="F349" s="211">
        <v>0</v>
      </c>
      <c r="G349" s="211">
        <v>0</v>
      </c>
      <c r="H349" s="211">
        <v>0</v>
      </c>
      <c r="I349" s="211">
        <v>0</v>
      </c>
      <c r="J349" s="211">
        <v>0</v>
      </c>
      <c r="K349" s="211">
        <v>0</v>
      </c>
      <c r="L349" s="212">
        <v>0</v>
      </c>
      <c r="M349" s="211">
        <v>0</v>
      </c>
      <c r="N349" s="234">
        <v>475</v>
      </c>
      <c r="O349" s="211">
        <v>1500589</v>
      </c>
      <c r="P349" s="213">
        <v>0</v>
      </c>
      <c r="Q349" s="211">
        <v>0</v>
      </c>
      <c r="R349" s="213">
        <v>0</v>
      </c>
      <c r="S349" s="211">
        <v>0</v>
      </c>
      <c r="T349" s="212">
        <v>0</v>
      </c>
      <c r="U349" s="290">
        <v>0</v>
      </c>
      <c r="V349" s="282"/>
      <c r="W349" s="282">
        <f t="shared" si="38"/>
        <v>3159.1347368421052</v>
      </c>
      <c r="X349" s="282"/>
    </row>
    <row r="350" spans="1:24" ht="15.6">
      <c r="A350" s="198">
        <v>294</v>
      </c>
      <c r="B350" s="165" t="s">
        <v>842</v>
      </c>
      <c r="C350" s="211">
        <f>'часть 1'!L360</f>
        <v>1161775</v>
      </c>
      <c r="D350" s="211">
        <v>0</v>
      </c>
      <c r="E350" s="211">
        <v>0</v>
      </c>
      <c r="F350" s="211">
        <v>0</v>
      </c>
      <c r="G350" s="211">
        <v>0</v>
      </c>
      <c r="H350" s="211">
        <v>0</v>
      </c>
      <c r="I350" s="211">
        <v>0</v>
      </c>
      <c r="J350" s="211">
        <v>0</v>
      </c>
      <c r="K350" s="211">
        <v>0</v>
      </c>
      <c r="L350" s="212">
        <v>0</v>
      </c>
      <c r="M350" s="211">
        <v>0</v>
      </c>
      <c r="N350" s="234">
        <v>465</v>
      </c>
      <c r="O350" s="211">
        <v>1161775</v>
      </c>
      <c r="P350" s="213">
        <v>0</v>
      </c>
      <c r="Q350" s="211">
        <v>0</v>
      </c>
      <c r="R350" s="213">
        <v>0</v>
      </c>
      <c r="S350" s="211">
        <v>0</v>
      </c>
      <c r="T350" s="212">
        <v>0</v>
      </c>
      <c r="U350" s="290">
        <v>0</v>
      </c>
      <c r="V350" s="282"/>
      <c r="W350" s="282">
        <f t="shared" si="38"/>
        <v>2498.4408602150538</v>
      </c>
      <c r="X350" s="282"/>
    </row>
    <row r="351" spans="1:24" ht="15.6">
      <c r="A351" s="198">
        <v>295</v>
      </c>
      <c r="B351" s="165" t="s">
        <v>846</v>
      </c>
      <c r="C351" s="211">
        <f>'часть 1'!L361</f>
        <v>537007</v>
      </c>
      <c r="D351" s="211">
        <v>0</v>
      </c>
      <c r="E351" s="211">
        <v>0</v>
      </c>
      <c r="F351" s="211">
        <v>0</v>
      </c>
      <c r="G351" s="211">
        <v>0</v>
      </c>
      <c r="H351" s="211">
        <v>0</v>
      </c>
      <c r="I351" s="211">
        <v>0</v>
      </c>
      <c r="J351" s="211">
        <v>0</v>
      </c>
      <c r="K351" s="211">
        <v>0</v>
      </c>
      <c r="L351" s="212">
        <v>0</v>
      </c>
      <c r="M351" s="211">
        <v>0</v>
      </c>
      <c r="N351" s="234">
        <v>165</v>
      </c>
      <c r="O351" s="211">
        <v>537007</v>
      </c>
      <c r="P351" s="213">
        <v>0</v>
      </c>
      <c r="Q351" s="211">
        <v>0</v>
      </c>
      <c r="R351" s="213">
        <v>0</v>
      </c>
      <c r="S351" s="211">
        <v>0</v>
      </c>
      <c r="T351" s="212">
        <v>0</v>
      </c>
      <c r="U351" s="290">
        <v>0</v>
      </c>
      <c r="V351" s="282"/>
      <c r="W351" s="282">
        <f t="shared" si="38"/>
        <v>3254.5878787878787</v>
      </c>
      <c r="X351" s="282"/>
    </row>
    <row r="352" spans="1:24" ht="15.6">
      <c r="A352" s="198">
        <v>296</v>
      </c>
      <c r="B352" s="165" t="s">
        <v>845</v>
      </c>
      <c r="C352" s="211">
        <f>'часть 1'!L362</f>
        <v>1513827</v>
      </c>
      <c r="D352" s="211">
        <v>0</v>
      </c>
      <c r="E352" s="211">
        <v>0</v>
      </c>
      <c r="F352" s="211">
        <v>0</v>
      </c>
      <c r="G352" s="211">
        <v>0</v>
      </c>
      <c r="H352" s="211">
        <v>0</v>
      </c>
      <c r="I352" s="211">
        <v>0</v>
      </c>
      <c r="J352" s="211">
        <v>0</v>
      </c>
      <c r="K352" s="211">
        <v>0</v>
      </c>
      <c r="L352" s="212">
        <v>0</v>
      </c>
      <c r="M352" s="211">
        <v>0</v>
      </c>
      <c r="N352" s="234">
        <v>480</v>
      </c>
      <c r="O352" s="211">
        <v>1513827</v>
      </c>
      <c r="P352" s="213">
        <v>0</v>
      </c>
      <c r="Q352" s="211">
        <v>0</v>
      </c>
      <c r="R352" s="213">
        <v>0</v>
      </c>
      <c r="S352" s="211">
        <v>0</v>
      </c>
      <c r="T352" s="212">
        <v>0</v>
      </c>
      <c r="U352" s="290">
        <v>0</v>
      </c>
      <c r="V352" s="282"/>
      <c r="W352" s="282">
        <f t="shared" si="38"/>
        <v>3153.8062500000001</v>
      </c>
      <c r="X352" s="282"/>
    </row>
    <row r="353" spans="1:24">
      <c r="A353" s="198"/>
      <c r="B353" s="216" t="s">
        <v>51</v>
      </c>
      <c r="C353" s="211">
        <v>13321832</v>
      </c>
      <c r="D353" s="211"/>
      <c r="E353" s="211"/>
      <c r="F353" s="211"/>
      <c r="G353" s="211"/>
      <c r="H353" s="211"/>
      <c r="I353" s="211"/>
      <c r="J353" s="211"/>
      <c r="K353" s="211">
        <v>148073</v>
      </c>
      <c r="L353" s="212">
        <v>0</v>
      </c>
      <c r="M353" s="211">
        <v>0</v>
      </c>
      <c r="N353" s="211">
        <v>6258.7000000000007</v>
      </c>
      <c r="O353" s="211">
        <v>12532204</v>
      </c>
      <c r="P353" s="213">
        <v>0</v>
      </c>
      <c r="Q353" s="211">
        <v>0</v>
      </c>
      <c r="R353" s="211">
        <v>440.1</v>
      </c>
      <c r="S353" s="211">
        <v>641555</v>
      </c>
      <c r="T353" s="212">
        <v>0</v>
      </c>
      <c r="U353" s="290">
        <v>0</v>
      </c>
      <c r="V353" s="282"/>
      <c r="W353" s="282"/>
      <c r="X353" s="282"/>
    </row>
    <row r="354" spans="1:24" ht="27.6">
      <c r="A354" s="198"/>
      <c r="B354" s="214" t="s">
        <v>108</v>
      </c>
      <c r="C354" s="211">
        <f>C355+C356+C357+C358+C359+C360+C361+C362</f>
        <v>11379869</v>
      </c>
      <c r="D354" s="211">
        <f t="shared" ref="D354:U354" si="39">D355+D356+D357+D358+D359+D360+D361+D362</f>
        <v>0</v>
      </c>
      <c r="E354" s="211">
        <f t="shared" si="39"/>
        <v>0</v>
      </c>
      <c r="F354" s="211">
        <f t="shared" si="39"/>
        <v>0</v>
      </c>
      <c r="G354" s="211">
        <f t="shared" si="39"/>
        <v>0</v>
      </c>
      <c r="H354" s="211">
        <f t="shared" si="39"/>
        <v>0</v>
      </c>
      <c r="I354" s="211">
        <f t="shared" si="39"/>
        <v>0</v>
      </c>
      <c r="J354" s="211">
        <f t="shared" si="39"/>
        <v>0</v>
      </c>
      <c r="K354" s="211">
        <f t="shared" si="39"/>
        <v>0</v>
      </c>
      <c r="L354" s="211">
        <f t="shared" si="39"/>
        <v>0</v>
      </c>
      <c r="M354" s="211">
        <f t="shared" si="39"/>
        <v>0</v>
      </c>
      <c r="N354" s="211">
        <f t="shared" si="39"/>
        <v>3962.8</v>
      </c>
      <c r="O354" s="211">
        <f t="shared" si="39"/>
        <v>11379869</v>
      </c>
      <c r="P354" s="211">
        <f t="shared" si="39"/>
        <v>0</v>
      </c>
      <c r="Q354" s="211">
        <f t="shared" si="39"/>
        <v>0</v>
      </c>
      <c r="R354" s="211">
        <f t="shared" si="39"/>
        <v>0</v>
      </c>
      <c r="S354" s="211">
        <f t="shared" si="39"/>
        <v>0</v>
      </c>
      <c r="T354" s="211">
        <f t="shared" si="39"/>
        <v>0</v>
      </c>
      <c r="U354" s="211">
        <f t="shared" si="39"/>
        <v>0</v>
      </c>
      <c r="V354" s="282"/>
      <c r="W354" s="282"/>
      <c r="X354" s="282"/>
    </row>
    <row r="355" spans="1:24" ht="15.6">
      <c r="A355" s="198">
        <v>298</v>
      </c>
      <c r="B355" s="947" t="s">
        <v>998</v>
      </c>
      <c r="C355" s="211">
        <f>'часть 1'!L365</f>
        <v>957124</v>
      </c>
      <c r="D355" s="211">
        <v>0</v>
      </c>
      <c r="E355" s="211">
        <v>0</v>
      </c>
      <c r="F355" s="211">
        <v>0</v>
      </c>
      <c r="G355" s="211">
        <v>0</v>
      </c>
      <c r="H355" s="211">
        <v>0</v>
      </c>
      <c r="I355" s="211">
        <v>0</v>
      </c>
      <c r="J355" s="211">
        <v>0</v>
      </c>
      <c r="K355" s="211">
        <v>0</v>
      </c>
      <c r="L355" s="212">
        <v>0</v>
      </c>
      <c r="M355" s="211">
        <v>0</v>
      </c>
      <c r="N355" s="211">
        <v>303</v>
      </c>
      <c r="O355" s="211">
        <f>'часть 1'!L365</f>
        <v>957124</v>
      </c>
      <c r="P355" s="213">
        <v>0</v>
      </c>
      <c r="Q355" s="211">
        <v>0</v>
      </c>
      <c r="R355" s="213">
        <v>0</v>
      </c>
      <c r="S355" s="211">
        <v>0</v>
      </c>
      <c r="T355" s="212">
        <v>0</v>
      </c>
      <c r="U355" s="290">
        <v>0</v>
      </c>
      <c r="V355" s="282"/>
      <c r="W355" s="282">
        <f>O355/N355</f>
        <v>3158.8250825082509</v>
      </c>
      <c r="X355" s="282"/>
    </row>
    <row r="356" spans="1:24" ht="15.6">
      <c r="A356" s="198">
        <v>299</v>
      </c>
      <c r="B356" s="947" t="s">
        <v>999</v>
      </c>
      <c r="C356" s="211">
        <f>'часть 1'!L366</f>
        <v>1382612</v>
      </c>
      <c r="D356" s="211">
        <v>0</v>
      </c>
      <c r="E356" s="211">
        <v>0</v>
      </c>
      <c r="F356" s="211">
        <v>0</v>
      </c>
      <c r="G356" s="211">
        <v>0</v>
      </c>
      <c r="H356" s="211">
        <v>0</v>
      </c>
      <c r="I356" s="211">
        <v>0</v>
      </c>
      <c r="J356" s="211">
        <v>0</v>
      </c>
      <c r="K356" s="211">
        <v>0</v>
      </c>
      <c r="L356" s="212">
        <v>0</v>
      </c>
      <c r="M356" s="211">
        <v>0</v>
      </c>
      <c r="N356" s="211">
        <v>437.1</v>
      </c>
      <c r="O356" s="211">
        <v>1382612</v>
      </c>
      <c r="P356" s="213">
        <v>0</v>
      </c>
      <c r="Q356" s="211">
        <v>0</v>
      </c>
      <c r="R356" s="213">
        <v>0</v>
      </c>
      <c r="S356" s="211">
        <v>0</v>
      </c>
      <c r="T356" s="212">
        <v>0</v>
      </c>
      <c r="U356" s="290">
        <v>0</v>
      </c>
      <c r="V356" s="282"/>
      <c r="W356" s="282">
        <f t="shared" ref="W356:W362" si="40">O356/N356</f>
        <v>3163.1480210478148</v>
      </c>
      <c r="X356" s="282"/>
    </row>
    <row r="357" spans="1:24" ht="15.6">
      <c r="A357" s="198">
        <v>300</v>
      </c>
      <c r="B357" s="947" t="s">
        <v>1000</v>
      </c>
      <c r="C357" s="211">
        <f>'часть 1'!L367</f>
        <v>2008170</v>
      </c>
      <c r="D357" s="211">
        <v>0</v>
      </c>
      <c r="E357" s="211">
        <v>0</v>
      </c>
      <c r="F357" s="211">
        <v>0</v>
      </c>
      <c r="G357" s="211">
        <v>0</v>
      </c>
      <c r="H357" s="211">
        <v>0</v>
      </c>
      <c r="I357" s="211">
        <v>0</v>
      </c>
      <c r="J357" s="211">
        <v>0</v>
      </c>
      <c r="K357" s="211">
        <v>0</v>
      </c>
      <c r="L357" s="212">
        <v>0</v>
      </c>
      <c r="M357" s="211">
        <v>0</v>
      </c>
      <c r="N357" s="211">
        <v>812.7</v>
      </c>
      <c r="O357" s="211">
        <f>'часть 1'!L367</f>
        <v>2008170</v>
      </c>
      <c r="P357" s="213">
        <v>0</v>
      </c>
      <c r="Q357" s="211">
        <v>0</v>
      </c>
      <c r="R357" s="213">
        <v>0</v>
      </c>
      <c r="S357" s="211">
        <v>0</v>
      </c>
      <c r="T357" s="212">
        <v>0</v>
      </c>
      <c r="U357" s="290">
        <v>0</v>
      </c>
      <c r="V357" s="282"/>
      <c r="W357" s="282">
        <f>O357/N357</f>
        <v>2470.9856035437429</v>
      </c>
      <c r="X357" s="282"/>
    </row>
    <row r="358" spans="1:24" ht="15.6">
      <c r="A358" s="198">
        <v>301</v>
      </c>
      <c r="B358" s="171" t="s">
        <v>1001</v>
      </c>
      <c r="C358" s="211">
        <f>'часть 1'!L368</f>
        <v>1551693</v>
      </c>
      <c r="D358" s="211">
        <v>0</v>
      </c>
      <c r="E358" s="211">
        <v>0</v>
      </c>
      <c r="F358" s="211">
        <v>0</v>
      </c>
      <c r="G358" s="211">
        <v>0</v>
      </c>
      <c r="H358" s="211">
        <v>0</v>
      </c>
      <c r="I358" s="211">
        <v>0</v>
      </c>
      <c r="J358" s="211">
        <v>0</v>
      </c>
      <c r="K358" s="211">
        <v>0</v>
      </c>
      <c r="L358" s="212">
        <v>0</v>
      </c>
      <c r="M358" s="211">
        <v>0</v>
      </c>
      <c r="N358" s="211">
        <v>491.5</v>
      </c>
      <c r="O358" s="211">
        <f>'часть 1'!L368</f>
        <v>1551693</v>
      </c>
      <c r="P358" s="213">
        <v>0</v>
      </c>
      <c r="Q358" s="211">
        <v>0</v>
      </c>
      <c r="R358" s="213">
        <v>0</v>
      </c>
      <c r="S358" s="211">
        <v>0</v>
      </c>
      <c r="T358" s="212">
        <v>0</v>
      </c>
      <c r="U358" s="290">
        <v>0</v>
      </c>
      <c r="V358" s="282"/>
      <c r="W358" s="282">
        <f t="shared" si="40"/>
        <v>3157.055951169888</v>
      </c>
      <c r="X358" s="282"/>
    </row>
    <row r="359" spans="1:24" ht="15.6">
      <c r="A359" s="198">
        <v>302</v>
      </c>
      <c r="B359" s="947" t="s">
        <v>1002</v>
      </c>
      <c r="C359" s="211">
        <f>'часть 1'!L369</f>
        <v>1404334</v>
      </c>
      <c r="D359" s="211">
        <v>0</v>
      </c>
      <c r="E359" s="211">
        <v>0</v>
      </c>
      <c r="F359" s="211">
        <v>0</v>
      </c>
      <c r="G359" s="211">
        <v>0</v>
      </c>
      <c r="H359" s="211">
        <v>0</v>
      </c>
      <c r="I359" s="211">
        <v>0</v>
      </c>
      <c r="J359" s="211">
        <v>0</v>
      </c>
      <c r="K359" s="211">
        <v>0</v>
      </c>
      <c r="L359" s="212">
        <v>0</v>
      </c>
      <c r="M359" s="211">
        <v>0</v>
      </c>
      <c r="N359" s="211">
        <v>444.1</v>
      </c>
      <c r="O359" s="211">
        <f>'часть 1'!L369</f>
        <v>1404334</v>
      </c>
      <c r="P359" s="213">
        <v>0</v>
      </c>
      <c r="Q359" s="211">
        <v>0</v>
      </c>
      <c r="R359" s="213">
        <v>0</v>
      </c>
      <c r="S359" s="211">
        <v>0</v>
      </c>
      <c r="T359" s="212">
        <v>0</v>
      </c>
      <c r="U359" s="290">
        <v>0</v>
      </c>
      <c r="V359" s="282"/>
      <c r="W359" s="282">
        <f t="shared" si="40"/>
        <v>3162.2022067102002</v>
      </c>
      <c r="X359" s="282"/>
    </row>
    <row r="360" spans="1:24" ht="15.6">
      <c r="A360" s="198">
        <v>303</v>
      </c>
      <c r="B360" s="567" t="s">
        <v>1003</v>
      </c>
      <c r="C360" s="211">
        <f>'часть 1'!L370</f>
        <v>1321007</v>
      </c>
      <c r="D360" s="211">
        <v>0</v>
      </c>
      <c r="E360" s="211">
        <v>0</v>
      </c>
      <c r="F360" s="211">
        <v>0</v>
      </c>
      <c r="G360" s="211">
        <v>0</v>
      </c>
      <c r="H360" s="211">
        <v>0</v>
      </c>
      <c r="I360" s="211">
        <v>0</v>
      </c>
      <c r="J360" s="211">
        <v>0</v>
      </c>
      <c r="K360" s="211">
        <v>0</v>
      </c>
      <c r="L360" s="212">
        <v>0</v>
      </c>
      <c r="M360" s="211">
        <v>0</v>
      </c>
      <c r="N360" s="211">
        <v>417.4</v>
      </c>
      <c r="O360" s="211">
        <f>'часть 1'!L370</f>
        <v>1321007</v>
      </c>
      <c r="P360" s="213">
        <v>0</v>
      </c>
      <c r="Q360" s="211">
        <v>0</v>
      </c>
      <c r="R360" s="213">
        <v>0</v>
      </c>
      <c r="S360" s="211">
        <v>0</v>
      </c>
      <c r="T360" s="212">
        <v>0</v>
      </c>
      <c r="U360" s="290">
        <v>0</v>
      </c>
      <c r="V360" s="282"/>
      <c r="W360" s="282">
        <f t="shared" si="40"/>
        <v>3164.8466698610446</v>
      </c>
      <c r="X360" s="282"/>
    </row>
    <row r="361" spans="1:24" ht="15.6">
      <c r="A361" s="198">
        <v>304</v>
      </c>
      <c r="B361" s="947" t="s">
        <v>1004</v>
      </c>
      <c r="C361" s="211">
        <f>'часть 1'!L371</f>
        <v>576885</v>
      </c>
      <c r="D361" s="211">
        <v>0</v>
      </c>
      <c r="E361" s="211">
        <v>0</v>
      </c>
      <c r="F361" s="211">
        <v>0</v>
      </c>
      <c r="G361" s="211">
        <v>0</v>
      </c>
      <c r="H361" s="211">
        <v>0</v>
      </c>
      <c r="I361" s="211">
        <v>0</v>
      </c>
      <c r="J361" s="211">
        <v>0</v>
      </c>
      <c r="K361" s="211">
        <v>0</v>
      </c>
      <c r="L361" s="212">
        <v>0</v>
      </c>
      <c r="M361" s="211">
        <v>0</v>
      </c>
      <c r="N361" s="211">
        <v>177.9</v>
      </c>
      <c r="O361" s="211">
        <f>'часть 1'!L371</f>
        <v>576885</v>
      </c>
      <c r="P361" s="213">
        <v>0</v>
      </c>
      <c r="Q361" s="211">
        <v>0</v>
      </c>
      <c r="R361" s="213">
        <v>0</v>
      </c>
      <c r="S361" s="211">
        <v>0</v>
      </c>
      <c r="T361" s="212">
        <v>0</v>
      </c>
      <c r="U361" s="290">
        <v>0</v>
      </c>
      <c r="V361" s="282"/>
      <c r="W361" s="282">
        <f t="shared" si="40"/>
        <v>3242.7487352445191</v>
      </c>
      <c r="X361" s="282"/>
    </row>
    <row r="362" spans="1:24" ht="15.6">
      <c r="A362" s="198">
        <v>305</v>
      </c>
      <c r="B362" s="947" t="s">
        <v>1005</v>
      </c>
      <c r="C362" s="211">
        <f>'часть 1'!L372</f>
        <v>2178044</v>
      </c>
      <c r="D362" s="211">
        <v>0</v>
      </c>
      <c r="E362" s="211">
        <v>0</v>
      </c>
      <c r="F362" s="211">
        <v>0</v>
      </c>
      <c r="G362" s="211">
        <v>0</v>
      </c>
      <c r="H362" s="211">
        <v>0</v>
      </c>
      <c r="I362" s="211">
        <v>0</v>
      </c>
      <c r="J362" s="211">
        <v>0</v>
      </c>
      <c r="K362" s="211">
        <v>0</v>
      </c>
      <c r="L362" s="212">
        <v>0</v>
      </c>
      <c r="M362" s="211">
        <v>0</v>
      </c>
      <c r="N362" s="211">
        <v>879.1</v>
      </c>
      <c r="O362" s="211">
        <f>'часть 1'!L372</f>
        <v>2178044</v>
      </c>
      <c r="P362" s="213">
        <v>0</v>
      </c>
      <c r="Q362" s="211">
        <v>0</v>
      </c>
      <c r="R362" s="213">
        <v>0</v>
      </c>
      <c r="S362" s="211">
        <v>0</v>
      </c>
      <c r="T362" s="212">
        <v>0</v>
      </c>
      <c r="U362" s="290">
        <v>0</v>
      </c>
      <c r="V362" s="282"/>
      <c r="W362" s="282">
        <f t="shared" si="40"/>
        <v>2477.5838926174497</v>
      </c>
      <c r="X362" s="282"/>
    </row>
    <row r="363" spans="1:24" ht="27.6">
      <c r="A363" s="430"/>
      <c r="B363" s="438" t="s">
        <v>882</v>
      </c>
      <c r="C363" s="439">
        <f>C364+C365</f>
        <v>2903743</v>
      </c>
      <c r="D363" s="439">
        <f t="shared" ref="D363:U363" si="41">D364+D365</f>
        <v>0</v>
      </c>
      <c r="E363" s="439">
        <f t="shared" si="41"/>
        <v>0</v>
      </c>
      <c r="F363" s="439">
        <f t="shared" si="41"/>
        <v>0</v>
      </c>
      <c r="G363" s="439">
        <f t="shared" si="41"/>
        <v>0</v>
      </c>
      <c r="H363" s="439">
        <f t="shared" si="41"/>
        <v>0</v>
      </c>
      <c r="I363" s="439">
        <f t="shared" si="41"/>
        <v>0</v>
      </c>
      <c r="J363" s="439">
        <f t="shared" si="41"/>
        <v>0</v>
      </c>
      <c r="K363" s="439">
        <f t="shared" si="41"/>
        <v>0</v>
      </c>
      <c r="L363" s="439">
        <f t="shared" si="41"/>
        <v>0</v>
      </c>
      <c r="M363" s="439">
        <f t="shared" si="41"/>
        <v>0</v>
      </c>
      <c r="N363" s="439">
        <f t="shared" si="41"/>
        <v>918.8</v>
      </c>
      <c r="O363" s="439">
        <f t="shared" si="41"/>
        <v>2903743</v>
      </c>
      <c r="P363" s="439">
        <f t="shared" si="41"/>
        <v>0</v>
      </c>
      <c r="Q363" s="439">
        <f t="shared" si="41"/>
        <v>0</v>
      </c>
      <c r="R363" s="439">
        <f t="shared" si="41"/>
        <v>0</v>
      </c>
      <c r="S363" s="439">
        <f t="shared" si="41"/>
        <v>0</v>
      </c>
      <c r="T363" s="439">
        <f t="shared" si="41"/>
        <v>0</v>
      </c>
      <c r="U363" s="439">
        <f t="shared" si="41"/>
        <v>0</v>
      </c>
      <c r="V363" s="282"/>
      <c r="W363" s="282"/>
      <c r="X363" s="282"/>
    </row>
    <row r="364" spans="1:24" ht="27.6">
      <c r="A364" s="430"/>
      <c r="B364" s="438" t="s">
        <v>883</v>
      </c>
      <c r="C364" s="439">
        <f>'часть 1'!L374</f>
        <v>1605412</v>
      </c>
      <c r="D364" s="439">
        <v>0</v>
      </c>
      <c r="E364" s="439">
        <v>0</v>
      </c>
      <c r="F364" s="439">
        <v>0</v>
      </c>
      <c r="G364" s="439">
        <v>0</v>
      </c>
      <c r="H364" s="439">
        <v>0</v>
      </c>
      <c r="I364" s="439">
        <v>0</v>
      </c>
      <c r="J364" s="439">
        <v>0</v>
      </c>
      <c r="K364" s="439">
        <v>0</v>
      </c>
      <c r="L364" s="440">
        <v>0</v>
      </c>
      <c r="M364" s="439">
        <v>0</v>
      </c>
      <c r="N364" s="439">
        <v>508.8</v>
      </c>
      <c r="O364" s="439">
        <v>1605412</v>
      </c>
      <c r="P364" s="442">
        <v>0</v>
      </c>
      <c r="Q364" s="439">
        <v>0</v>
      </c>
      <c r="R364" s="439">
        <v>0</v>
      </c>
      <c r="S364" s="439">
        <v>0</v>
      </c>
      <c r="T364" s="440">
        <v>0</v>
      </c>
      <c r="U364" s="443">
        <v>0</v>
      </c>
      <c r="V364" s="282"/>
      <c r="W364" s="282">
        <f>O364/N364</f>
        <v>3155.2908805031448</v>
      </c>
      <c r="X364" s="282"/>
    </row>
    <row r="365" spans="1:24" ht="28.2" customHeight="1">
      <c r="A365" s="430"/>
      <c r="B365" s="438" t="s">
        <v>884</v>
      </c>
      <c r="C365" s="439">
        <f>'часть 1'!L375</f>
        <v>1298331</v>
      </c>
      <c r="D365" s="439">
        <v>0</v>
      </c>
      <c r="E365" s="439">
        <v>0</v>
      </c>
      <c r="F365" s="439">
        <v>0</v>
      </c>
      <c r="G365" s="439">
        <v>0</v>
      </c>
      <c r="H365" s="439">
        <v>0</v>
      </c>
      <c r="I365" s="439">
        <v>0</v>
      </c>
      <c r="J365" s="439">
        <v>0</v>
      </c>
      <c r="K365" s="439">
        <v>0</v>
      </c>
      <c r="L365" s="440">
        <v>0</v>
      </c>
      <c r="M365" s="439">
        <v>0</v>
      </c>
      <c r="N365" s="439">
        <v>410</v>
      </c>
      <c r="O365" s="439">
        <v>1298331</v>
      </c>
      <c r="P365" s="442">
        <v>0</v>
      </c>
      <c r="Q365" s="439">
        <v>0</v>
      </c>
      <c r="R365" s="439">
        <v>0</v>
      </c>
      <c r="S365" s="439">
        <v>0</v>
      </c>
      <c r="T365" s="440">
        <v>0</v>
      </c>
      <c r="U365" s="443">
        <v>0</v>
      </c>
      <c r="V365" s="282"/>
      <c r="W365" s="282">
        <f>O365/N365</f>
        <v>3166.660975609756</v>
      </c>
      <c r="X365" s="282"/>
    </row>
    <row r="366" spans="1:24" s="17" customFormat="1">
      <c r="A366" s="198"/>
      <c r="B366" s="216" t="s">
        <v>52</v>
      </c>
      <c r="C366" s="211">
        <v>3908951</v>
      </c>
      <c r="D366" s="211"/>
      <c r="E366" s="211"/>
      <c r="F366" s="211"/>
      <c r="G366" s="211"/>
      <c r="H366" s="211"/>
      <c r="I366" s="211"/>
      <c r="J366" s="211"/>
      <c r="K366" s="211">
        <v>201010</v>
      </c>
      <c r="L366" s="212">
        <v>0</v>
      </c>
      <c r="M366" s="211">
        <v>0</v>
      </c>
      <c r="N366" s="211">
        <v>1869.42</v>
      </c>
      <c r="O366" s="211">
        <v>3707941</v>
      </c>
      <c r="P366" s="213">
        <v>0</v>
      </c>
      <c r="Q366" s="211">
        <v>0</v>
      </c>
      <c r="R366" s="213">
        <v>0</v>
      </c>
      <c r="S366" s="211">
        <v>0</v>
      </c>
      <c r="T366" s="212">
        <v>0</v>
      </c>
      <c r="U366" s="290">
        <v>0</v>
      </c>
      <c r="V366" s="282"/>
      <c r="W366" s="282"/>
      <c r="X366" s="282"/>
    </row>
    <row r="367" spans="1:24" s="18" customFormat="1" ht="27.6">
      <c r="A367" s="430"/>
      <c r="B367" s="438" t="s">
        <v>130</v>
      </c>
      <c r="C367" s="439">
        <f>C368</f>
        <v>1828731</v>
      </c>
      <c r="D367" s="439">
        <f t="shared" ref="D367:V367" si="42">D368</f>
        <v>0</v>
      </c>
      <c r="E367" s="439">
        <f t="shared" si="42"/>
        <v>0</v>
      </c>
      <c r="F367" s="439">
        <f t="shared" si="42"/>
        <v>0</v>
      </c>
      <c r="G367" s="439">
        <f t="shared" si="42"/>
        <v>0</v>
      </c>
      <c r="H367" s="439">
        <f t="shared" si="42"/>
        <v>0</v>
      </c>
      <c r="I367" s="439">
        <f t="shared" si="42"/>
        <v>0</v>
      </c>
      <c r="J367" s="439">
        <f t="shared" si="42"/>
        <v>0</v>
      </c>
      <c r="K367" s="439">
        <f t="shared" si="42"/>
        <v>0</v>
      </c>
      <c r="L367" s="439">
        <f t="shared" si="42"/>
        <v>0</v>
      </c>
      <c r="M367" s="439">
        <f t="shared" si="42"/>
        <v>0</v>
      </c>
      <c r="N367" s="439">
        <f t="shared" si="42"/>
        <v>581</v>
      </c>
      <c r="O367" s="439">
        <f t="shared" si="42"/>
        <v>1828731</v>
      </c>
      <c r="P367" s="439">
        <f t="shared" si="42"/>
        <v>0</v>
      </c>
      <c r="Q367" s="439">
        <f t="shared" si="42"/>
        <v>0</v>
      </c>
      <c r="R367" s="439">
        <f t="shared" si="42"/>
        <v>0</v>
      </c>
      <c r="S367" s="439">
        <f t="shared" si="42"/>
        <v>0</v>
      </c>
      <c r="T367" s="439">
        <f t="shared" si="42"/>
        <v>0</v>
      </c>
      <c r="U367" s="439">
        <f t="shared" si="42"/>
        <v>0</v>
      </c>
      <c r="V367" s="211">
        <f t="shared" si="42"/>
        <v>0</v>
      </c>
      <c r="W367" s="282"/>
      <c r="X367" s="282"/>
    </row>
    <row r="368" spans="1:24" s="17" customFormat="1">
      <c r="A368" s="430">
        <v>312</v>
      </c>
      <c r="B368" s="438" t="s">
        <v>672</v>
      </c>
      <c r="C368" s="439">
        <v>1828731</v>
      </c>
      <c r="D368" s="439">
        <v>0</v>
      </c>
      <c r="E368" s="439">
        <v>0</v>
      </c>
      <c r="F368" s="439">
        <v>0</v>
      </c>
      <c r="G368" s="439">
        <v>0</v>
      </c>
      <c r="H368" s="439">
        <v>0</v>
      </c>
      <c r="I368" s="439">
        <v>0</v>
      </c>
      <c r="J368" s="439">
        <v>0</v>
      </c>
      <c r="K368" s="439">
        <v>0</v>
      </c>
      <c r="L368" s="442">
        <v>0</v>
      </c>
      <c r="M368" s="439">
        <v>0</v>
      </c>
      <c r="N368" s="441">
        <v>581</v>
      </c>
      <c r="O368" s="439">
        <v>1828731</v>
      </c>
      <c r="P368" s="442">
        <v>0</v>
      </c>
      <c r="Q368" s="439">
        <v>0</v>
      </c>
      <c r="R368" s="442">
        <v>0</v>
      </c>
      <c r="S368" s="439">
        <v>0</v>
      </c>
      <c r="T368" s="442">
        <v>0</v>
      </c>
      <c r="U368" s="443">
        <v>0</v>
      </c>
      <c r="V368" s="282"/>
      <c r="W368" s="282">
        <f>O368/N368</f>
        <v>3147.5576592082616</v>
      </c>
      <c r="X368" s="282"/>
    </row>
    <row r="369" spans="1:32" s="17" customFormat="1">
      <c r="A369" s="430"/>
      <c r="B369" s="438"/>
      <c r="C369" s="439"/>
      <c r="D369" s="439"/>
      <c r="E369" s="439"/>
      <c r="F369" s="439"/>
      <c r="G369" s="439"/>
      <c r="H369" s="439"/>
      <c r="I369" s="439"/>
      <c r="J369" s="439"/>
      <c r="K369" s="439"/>
      <c r="L369" s="442"/>
      <c r="M369" s="439"/>
      <c r="N369" s="441"/>
      <c r="O369" s="439"/>
      <c r="P369" s="442"/>
      <c r="Q369" s="439"/>
      <c r="R369" s="442"/>
      <c r="S369" s="439"/>
      <c r="T369" s="442"/>
      <c r="U369" s="443"/>
      <c r="V369" s="282"/>
      <c r="W369" s="282"/>
      <c r="X369" s="282"/>
    </row>
    <row r="370" spans="1:32" ht="27.6">
      <c r="A370" s="198"/>
      <c r="B370" s="214" t="s">
        <v>109</v>
      </c>
      <c r="C370" s="211">
        <v>201010</v>
      </c>
      <c r="D370" s="211"/>
      <c r="E370" s="211"/>
      <c r="F370" s="211"/>
      <c r="G370" s="211"/>
      <c r="H370" s="211"/>
      <c r="I370" s="211"/>
      <c r="J370" s="211"/>
      <c r="K370" s="211">
        <v>201010</v>
      </c>
      <c r="L370" s="212">
        <v>0</v>
      </c>
      <c r="M370" s="211">
        <v>0</v>
      </c>
      <c r="N370" s="211">
        <v>0</v>
      </c>
      <c r="O370" s="211">
        <v>0</v>
      </c>
      <c r="P370" s="213">
        <v>0</v>
      </c>
      <c r="Q370" s="211">
        <v>0</v>
      </c>
      <c r="R370" s="213">
        <v>0</v>
      </c>
      <c r="S370" s="211">
        <v>0</v>
      </c>
      <c r="T370" s="212">
        <v>0</v>
      </c>
      <c r="U370" s="290">
        <v>0</v>
      </c>
      <c r="V370" s="282"/>
      <c r="W370" s="282"/>
      <c r="X370" s="282"/>
    </row>
    <row r="371" spans="1:32">
      <c r="A371" s="198">
        <v>314</v>
      </c>
      <c r="B371" s="216" t="s">
        <v>414</v>
      </c>
      <c r="C371" s="211">
        <v>201010</v>
      </c>
      <c r="D371" s="211"/>
      <c r="E371" s="211"/>
      <c r="F371" s="211"/>
      <c r="G371" s="211"/>
      <c r="H371" s="211"/>
      <c r="I371" s="211"/>
      <c r="J371" s="211"/>
      <c r="K371" s="211">
        <v>201010</v>
      </c>
      <c r="L371" s="212">
        <v>0</v>
      </c>
      <c r="M371" s="211">
        <v>0</v>
      </c>
      <c r="N371" s="211">
        <v>0</v>
      </c>
      <c r="O371" s="211">
        <v>0</v>
      </c>
      <c r="P371" s="213">
        <v>0</v>
      </c>
      <c r="Q371" s="211">
        <v>0</v>
      </c>
      <c r="R371" s="213">
        <v>0</v>
      </c>
      <c r="S371" s="211">
        <v>0</v>
      </c>
      <c r="T371" s="212">
        <v>0</v>
      </c>
      <c r="U371" s="290">
        <v>0</v>
      </c>
      <c r="V371" s="282"/>
      <c r="W371" s="282"/>
      <c r="X371" s="282"/>
    </row>
    <row r="372" spans="1:32" ht="27.6">
      <c r="A372" s="198"/>
      <c r="B372" s="214" t="s">
        <v>198</v>
      </c>
      <c r="C372" s="211">
        <v>1091336</v>
      </c>
      <c r="D372" s="211"/>
      <c r="E372" s="211"/>
      <c r="F372" s="211"/>
      <c r="G372" s="211"/>
      <c r="H372" s="211"/>
      <c r="I372" s="211"/>
      <c r="J372" s="211"/>
      <c r="K372" s="211">
        <v>0</v>
      </c>
      <c r="L372" s="212">
        <v>0</v>
      </c>
      <c r="M372" s="211">
        <v>0</v>
      </c>
      <c r="N372" s="211">
        <v>554.41999999999996</v>
      </c>
      <c r="O372" s="211">
        <v>1091336</v>
      </c>
      <c r="P372" s="213">
        <v>0</v>
      </c>
      <c r="Q372" s="211">
        <v>0</v>
      </c>
      <c r="R372" s="213">
        <v>0</v>
      </c>
      <c r="S372" s="211">
        <v>0</v>
      </c>
      <c r="T372" s="212">
        <v>0</v>
      </c>
      <c r="U372" s="290">
        <v>0</v>
      </c>
      <c r="V372" s="282"/>
      <c r="W372" s="282"/>
      <c r="X372" s="282"/>
    </row>
    <row r="373" spans="1:32" ht="28.2">
      <c r="A373" s="198">
        <v>315</v>
      </c>
      <c r="B373" s="214" t="s">
        <v>444</v>
      </c>
      <c r="C373" s="211">
        <v>1091336</v>
      </c>
      <c r="D373" s="211"/>
      <c r="E373" s="211"/>
      <c r="F373" s="211"/>
      <c r="G373" s="211"/>
      <c r="H373" s="211"/>
      <c r="I373" s="211"/>
      <c r="J373" s="211"/>
      <c r="K373" s="211">
        <v>0</v>
      </c>
      <c r="L373" s="212">
        <v>0</v>
      </c>
      <c r="M373" s="211">
        <v>0</v>
      </c>
      <c r="N373" s="211">
        <v>554.41999999999996</v>
      </c>
      <c r="O373" s="211">
        <v>1091336</v>
      </c>
      <c r="P373" s="213">
        <v>0</v>
      </c>
      <c r="Q373" s="211">
        <v>0</v>
      </c>
      <c r="R373" s="213">
        <v>0</v>
      </c>
      <c r="S373" s="211">
        <v>0</v>
      </c>
      <c r="T373" s="212">
        <v>0</v>
      </c>
      <c r="U373" s="290">
        <v>0</v>
      </c>
      <c r="V373" s="282"/>
      <c r="W373" s="282"/>
      <c r="X373" s="282"/>
    </row>
    <row r="374" spans="1:32" s="17" customFormat="1">
      <c r="A374" s="198"/>
      <c r="B374" s="216" t="s">
        <v>53</v>
      </c>
      <c r="C374" s="211">
        <v>51240898.530000001</v>
      </c>
      <c r="D374" s="211"/>
      <c r="E374" s="211"/>
      <c r="F374" s="211"/>
      <c r="G374" s="211"/>
      <c r="H374" s="211"/>
      <c r="I374" s="211"/>
      <c r="J374" s="211"/>
      <c r="K374" s="211">
        <v>1666943.13</v>
      </c>
      <c r="L374" s="212">
        <v>16</v>
      </c>
      <c r="M374" s="211">
        <f>M375+M395+M397+M400+M410+M412+M414</f>
        <v>19456700</v>
      </c>
      <c r="N374" s="211">
        <f>N375+N395+N397+N400+N410+N412+N414</f>
        <v>12350.9</v>
      </c>
      <c r="O374" s="211">
        <f>O375+O395+O397+O400+O410+O412+O414</f>
        <v>30465500.920000002</v>
      </c>
      <c r="P374" s="213">
        <v>0</v>
      </c>
      <c r="Q374" s="211">
        <v>0</v>
      </c>
      <c r="R374" s="211">
        <v>3776.66</v>
      </c>
      <c r="S374" s="211">
        <v>2073719.84</v>
      </c>
      <c r="T374" s="213">
        <v>0</v>
      </c>
      <c r="U374" s="290">
        <v>0</v>
      </c>
      <c r="V374" s="282"/>
      <c r="W374" s="282"/>
      <c r="X374" s="282"/>
    </row>
    <row r="375" spans="1:32" ht="27.6">
      <c r="A375" s="430"/>
      <c r="B375" s="438" t="s">
        <v>88</v>
      </c>
      <c r="C375" s="439">
        <f>C376+C377+C378+C379+C380+C381+C382+C383+C384+C385</f>
        <v>31676745</v>
      </c>
      <c r="D375" s="439">
        <f t="shared" ref="D375:V375" si="43">D376+D377+D378+D379+D380+D381+D382+D383+D384+D385</f>
        <v>0</v>
      </c>
      <c r="E375" s="439">
        <f t="shared" si="43"/>
        <v>0</v>
      </c>
      <c r="F375" s="439">
        <f t="shared" si="43"/>
        <v>0</v>
      </c>
      <c r="G375" s="439">
        <f t="shared" si="43"/>
        <v>0</v>
      </c>
      <c r="H375" s="439">
        <f t="shared" si="43"/>
        <v>0</v>
      </c>
      <c r="I375" s="439">
        <f t="shared" si="43"/>
        <v>0</v>
      </c>
      <c r="J375" s="439">
        <f t="shared" si="43"/>
        <v>0</v>
      </c>
      <c r="K375" s="439">
        <f t="shared" si="43"/>
        <v>0</v>
      </c>
      <c r="L375" s="439">
        <f t="shared" si="43"/>
        <v>10</v>
      </c>
      <c r="M375" s="439">
        <f t="shared" si="43"/>
        <v>19456700</v>
      </c>
      <c r="N375" s="439">
        <f t="shared" si="43"/>
        <v>4937</v>
      </c>
      <c r="O375" s="439">
        <f t="shared" si="43"/>
        <v>12220045</v>
      </c>
      <c r="P375" s="439">
        <f t="shared" si="43"/>
        <v>0</v>
      </c>
      <c r="Q375" s="439">
        <f t="shared" si="43"/>
        <v>0</v>
      </c>
      <c r="R375" s="439">
        <f t="shared" si="43"/>
        <v>0</v>
      </c>
      <c r="S375" s="439">
        <f t="shared" si="43"/>
        <v>0</v>
      </c>
      <c r="T375" s="439">
        <f t="shared" si="43"/>
        <v>0</v>
      </c>
      <c r="U375" s="439">
        <f t="shared" si="43"/>
        <v>0</v>
      </c>
      <c r="V375" s="211">
        <f t="shared" si="43"/>
        <v>0</v>
      </c>
      <c r="W375" s="282"/>
      <c r="X375" s="282"/>
      <c r="Y375" s="10"/>
      <c r="Z375" s="10"/>
      <c r="AA375" s="10"/>
      <c r="AB375" s="10"/>
    </row>
    <row r="376" spans="1:32" s="19" customFormat="1" ht="15.6">
      <c r="A376" s="430">
        <v>1</v>
      </c>
      <c r="B376" s="549" t="s">
        <v>416</v>
      </c>
      <c r="C376" s="439">
        <f>'часть 1'!L386</f>
        <v>3883714</v>
      </c>
      <c r="D376" s="439">
        <v>0</v>
      </c>
      <c r="E376" s="439">
        <v>0</v>
      </c>
      <c r="F376" s="439">
        <v>0</v>
      </c>
      <c r="G376" s="439">
        <v>0</v>
      </c>
      <c r="H376" s="439">
        <v>0</v>
      </c>
      <c r="I376" s="439">
        <v>0</v>
      </c>
      <c r="J376" s="439">
        <v>0</v>
      </c>
      <c r="K376" s="439">
        <v>0</v>
      </c>
      <c r="L376" s="440">
        <v>2</v>
      </c>
      <c r="M376" s="439">
        <v>3883714</v>
      </c>
      <c r="N376" s="439">
        <v>0</v>
      </c>
      <c r="O376" s="439">
        <v>0</v>
      </c>
      <c r="P376" s="442">
        <v>0</v>
      </c>
      <c r="Q376" s="439">
        <v>0</v>
      </c>
      <c r="R376" s="442">
        <v>0</v>
      </c>
      <c r="S376" s="439">
        <v>0</v>
      </c>
      <c r="T376" s="440">
        <v>0</v>
      </c>
      <c r="U376" s="443">
        <v>0</v>
      </c>
      <c r="V376" s="282"/>
      <c r="W376" s="282"/>
      <c r="X376" s="282"/>
      <c r="Y376" s="27"/>
      <c r="Z376" s="27"/>
      <c r="AA376" s="27"/>
      <c r="AB376" s="27"/>
      <c r="AF376" s="84">
        <f>M376/L376</f>
        <v>1941857</v>
      </c>
    </row>
    <row r="377" spans="1:32" s="19" customFormat="1" ht="15.6">
      <c r="A377" s="430">
        <v>2</v>
      </c>
      <c r="B377" s="549" t="s">
        <v>743</v>
      </c>
      <c r="C377" s="439">
        <f>'часть 1'!L387</f>
        <v>3894862</v>
      </c>
      <c r="D377" s="439">
        <v>0</v>
      </c>
      <c r="E377" s="439">
        <v>0</v>
      </c>
      <c r="F377" s="439">
        <v>0</v>
      </c>
      <c r="G377" s="439">
        <v>0</v>
      </c>
      <c r="H377" s="439">
        <v>0</v>
      </c>
      <c r="I377" s="439">
        <v>0</v>
      </c>
      <c r="J377" s="439">
        <v>0</v>
      </c>
      <c r="K377" s="439">
        <v>0</v>
      </c>
      <c r="L377" s="440">
        <v>2</v>
      </c>
      <c r="M377" s="439">
        <v>3894862</v>
      </c>
      <c r="N377" s="439">
        <v>0</v>
      </c>
      <c r="O377" s="439">
        <v>0</v>
      </c>
      <c r="P377" s="442">
        <v>0</v>
      </c>
      <c r="Q377" s="439">
        <v>0</v>
      </c>
      <c r="R377" s="442">
        <v>0</v>
      </c>
      <c r="S377" s="439">
        <v>0</v>
      </c>
      <c r="T377" s="440">
        <v>0</v>
      </c>
      <c r="U377" s="443">
        <v>0</v>
      </c>
      <c r="V377" s="282"/>
      <c r="W377" s="282"/>
      <c r="X377" s="282"/>
      <c r="Y377" s="27"/>
      <c r="Z377" s="27"/>
      <c r="AA377" s="27"/>
      <c r="AB377" s="27"/>
      <c r="AF377" s="84">
        <f t="shared" ref="AF377:AF378" si="44">M377/L377</f>
        <v>1947431</v>
      </c>
    </row>
    <row r="378" spans="1:32" s="19" customFormat="1" ht="15.6">
      <c r="A378" s="430">
        <v>3</v>
      </c>
      <c r="B378" s="549" t="s">
        <v>417</v>
      </c>
      <c r="C378" s="439">
        <f>'часть 1'!L388</f>
        <v>3877521</v>
      </c>
      <c r="D378" s="468">
        <v>0</v>
      </c>
      <c r="E378" s="468">
        <v>0</v>
      </c>
      <c r="F378" s="468">
        <v>0</v>
      </c>
      <c r="G378" s="468">
        <v>0</v>
      </c>
      <c r="H378" s="468">
        <v>0</v>
      </c>
      <c r="I378" s="468">
        <v>0</v>
      </c>
      <c r="J378" s="468">
        <v>0</v>
      </c>
      <c r="K378" s="864">
        <v>0</v>
      </c>
      <c r="L378" s="440">
        <v>2</v>
      </c>
      <c r="M378" s="439">
        <v>3877521</v>
      </c>
      <c r="N378" s="468">
        <v>0</v>
      </c>
      <c r="O378" s="468">
        <v>0</v>
      </c>
      <c r="P378" s="442">
        <v>0</v>
      </c>
      <c r="Q378" s="439">
        <v>0</v>
      </c>
      <c r="R378" s="442">
        <v>0</v>
      </c>
      <c r="S378" s="439">
        <v>0</v>
      </c>
      <c r="T378" s="440">
        <v>0</v>
      </c>
      <c r="U378" s="443">
        <v>0</v>
      </c>
      <c r="V378" s="282"/>
      <c r="W378" s="282"/>
      <c r="X378" s="282"/>
      <c r="Y378" s="27"/>
      <c r="Z378" s="27"/>
      <c r="AA378" s="27"/>
      <c r="AB378" s="27"/>
      <c r="AF378" s="84">
        <f t="shared" si="44"/>
        <v>1938760.5</v>
      </c>
    </row>
    <row r="379" spans="1:32" s="19" customFormat="1" ht="15.6">
      <c r="A379" s="430">
        <v>4</v>
      </c>
      <c r="B379" s="549" t="s">
        <v>418</v>
      </c>
      <c r="C379" s="439">
        <f>'часть 1'!L389</f>
        <v>1943688</v>
      </c>
      <c r="D379" s="439">
        <v>0</v>
      </c>
      <c r="E379" s="439">
        <v>0</v>
      </c>
      <c r="F379" s="439">
        <v>0</v>
      </c>
      <c r="G379" s="439">
        <v>0</v>
      </c>
      <c r="H379" s="439">
        <v>0</v>
      </c>
      <c r="I379" s="439">
        <v>0</v>
      </c>
      <c r="J379" s="439">
        <v>0</v>
      </c>
      <c r="K379" s="439">
        <v>0</v>
      </c>
      <c r="L379" s="440">
        <v>1</v>
      </c>
      <c r="M379" s="439">
        <v>1943688</v>
      </c>
      <c r="N379" s="439">
        <v>0</v>
      </c>
      <c r="O379" s="439">
        <v>0</v>
      </c>
      <c r="P379" s="442">
        <v>0</v>
      </c>
      <c r="Q379" s="439">
        <v>0</v>
      </c>
      <c r="R379" s="439">
        <v>0</v>
      </c>
      <c r="S379" s="439">
        <v>0</v>
      </c>
      <c r="T379" s="440">
        <v>0</v>
      </c>
      <c r="U379" s="443">
        <v>0</v>
      </c>
      <c r="V379" s="282"/>
      <c r="W379" s="282"/>
      <c r="X379" s="282"/>
      <c r="Y379" s="27"/>
      <c r="Z379" s="27"/>
      <c r="AA379" s="27"/>
      <c r="AB379" s="27"/>
      <c r="AF379" s="84">
        <f>M379/L379</f>
        <v>1943688</v>
      </c>
    </row>
    <row r="380" spans="1:32" s="19" customFormat="1" ht="15.6">
      <c r="A380" s="430">
        <v>5</v>
      </c>
      <c r="B380" s="549" t="s">
        <v>757</v>
      </c>
      <c r="C380" s="439">
        <f>'часть 1'!L390</f>
        <v>2656189</v>
      </c>
      <c r="D380" s="468">
        <v>0</v>
      </c>
      <c r="E380" s="468">
        <v>0</v>
      </c>
      <c r="F380" s="468">
        <v>0</v>
      </c>
      <c r="G380" s="468">
        <v>0</v>
      </c>
      <c r="H380" s="468">
        <v>0</v>
      </c>
      <c r="I380" s="468">
        <v>0</v>
      </c>
      <c r="J380" s="468">
        <v>0</v>
      </c>
      <c r="K380" s="435">
        <v>0</v>
      </c>
      <c r="L380" s="485">
        <v>0</v>
      </c>
      <c r="M380" s="468">
        <v>0</v>
      </c>
      <c r="N380" s="439">
        <v>1077</v>
      </c>
      <c r="O380" s="439">
        <v>2656189</v>
      </c>
      <c r="P380" s="442">
        <v>0</v>
      </c>
      <c r="Q380" s="439">
        <v>0</v>
      </c>
      <c r="R380" s="442">
        <v>0</v>
      </c>
      <c r="S380" s="439">
        <v>0</v>
      </c>
      <c r="T380" s="440">
        <v>0</v>
      </c>
      <c r="U380" s="443">
        <v>0</v>
      </c>
      <c r="V380" s="282"/>
      <c r="W380" s="282">
        <f>O380/N380</f>
        <v>2466.2850510677808</v>
      </c>
      <c r="X380" s="282"/>
      <c r="Y380" s="6"/>
      <c r="Z380" s="6"/>
      <c r="AA380" s="26"/>
      <c r="AB380" s="26"/>
    </row>
    <row r="381" spans="1:32" s="19" customFormat="1" ht="15.6">
      <c r="A381" s="430">
        <v>6</v>
      </c>
      <c r="B381" s="549" t="s">
        <v>758</v>
      </c>
      <c r="C381" s="439">
        <f>'часть 1'!L391</f>
        <v>2621402</v>
      </c>
      <c r="D381" s="468">
        <v>0</v>
      </c>
      <c r="E381" s="468">
        <v>0</v>
      </c>
      <c r="F381" s="468">
        <v>0</v>
      </c>
      <c r="G381" s="468">
        <v>0</v>
      </c>
      <c r="H381" s="468">
        <v>0</v>
      </c>
      <c r="I381" s="468">
        <v>0</v>
      </c>
      <c r="J381" s="468">
        <v>0</v>
      </c>
      <c r="K381" s="435">
        <v>0</v>
      </c>
      <c r="L381" s="485">
        <v>0</v>
      </c>
      <c r="M381" s="435">
        <v>0</v>
      </c>
      <c r="N381" s="439">
        <v>1060</v>
      </c>
      <c r="O381" s="439">
        <v>2621402</v>
      </c>
      <c r="P381" s="442">
        <v>0</v>
      </c>
      <c r="Q381" s="439">
        <v>0</v>
      </c>
      <c r="R381" s="442">
        <v>0</v>
      </c>
      <c r="S381" s="439">
        <v>0</v>
      </c>
      <c r="T381" s="440">
        <v>0</v>
      </c>
      <c r="U381" s="443">
        <v>0</v>
      </c>
      <c r="V381" s="282"/>
      <c r="W381" s="282">
        <f>O381/N381</f>
        <v>2473.0207547169812</v>
      </c>
      <c r="X381" s="282"/>
      <c r="Y381" s="6"/>
      <c r="Z381" s="6"/>
      <c r="AA381" s="26"/>
      <c r="AB381" s="26"/>
    </row>
    <row r="382" spans="1:32" s="19" customFormat="1" ht="15.6">
      <c r="A382" s="430">
        <v>7</v>
      </c>
      <c r="B382" s="549" t="s">
        <v>744</v>
      </c>
      <c r="C382" s="439">
        <f>'часть 1'!L392</f>
        <v>3471287</v>
      </c>
      <c r="D382" s="468">
        <v>0</v>
      </c>
      <c r="E382" s="468">
        <v>0</v>
      </c>
      <c r="F382" s="468">
        <v>0</v>
      </c>
      <c r="G382" s="468">
        <v>0</v>
      </c>
      <c r="H382" s="468">
        <v>0</v>
      </c>
      <c r="I382" s="468">
        <v>0</v>
      </c>
      <c r="J382" s="468">
        <v>0</v>
      </c>
      <c r="K382" s="435">
        <v>0</v>
      </c>
      <c r="L382" s="485">
        <v>0</v>
      </c>
      <c r="M382" s="468">
        <v>0</v>
      </c>
      <c r="N382" s="439">
        <v>1400</v>
      </c>
      <c r="O382" s="439">
        <v>3471287</v>
      </c>
      <c r="P382" s="442">
        <v>0</v>
      </c>
      <c r="Q382" s="439">
        <v>0</v>
      </c>
      <c r="R382" s="442">
        <v>0</v>
      </c>
      <c r="S382" s="439">
        <v>0</v>
      </c>
      <c r="T382" s="440">
        <v>0</v>
      </c>
      <c r="U382" s="443">
        <v>0</v>
      </c>
      <c r="V382" s="282"/>
      <c r="W382" s="282">
        <f>O382/N382</f>
        <v>2479.4907142857141</v>
      </c>
      <c r="X382" s="282"/>
      <c r="Y382" s="6"/>
      <c r="Z382" s="6"/>
      <c r="AA382" s="26"/>
      <c r="AB382" s="26"/>
    </row>
    <row r="383" spans="1:32" s="19" customFormat="1" ht="15.6">
      <c r="A383" s="430">
        <v>8</v>
      </c>
      <c r="B383" s="549" t="s">
        <v>745</v>
      </c>
      <c r="C383" s="439">
        <f>'часть 1'!L393</f>
        <v>3471167</v>
      </c>
      <c r="D383" s="439">
        <v>0</v>
      </c>
      <c r="E383" s="439">
        <v>0</v>
      </c>
      <c r="F383" s="439">
        <v>0</v>
      </c>
      <c r="G383" s="439">
        <v>0</v>
      </c>
      <c r="H383" s="439">
        <v>0</v>
      </c>
      <c r="I383" s="439">
        <v>0</v>
      </c>
      <c r="J383" s="439">
        <v>0</v>
      </c>
      <c r="K383" s="439">
        <v>0</v>
      </c>
      <c r="L383" s="440">
        <v>0</v>
      </c>
      <c r="M383" s="439">
        <v>0</v>
      </c>
      <c r="N383" s="439">
        <v>1400</v>
      </c>
      <c r="O383" s="439">
        <v>3471167</v>
      </c>
      <c r="P383" s="442">
        <v>0</v>
      </c>
      <c r="Q383" s="439">
        <v>0</v>
      </c>
      <c r="R383" s="439">
        <v>0</v>
      </c>
      <c r="S383" s="439">
        <v>0</v>
      </c>
      <c r="T383" s="440">
        <v>0</v>
      </c>
      <c r="U383" s="443">
        <v>0</v>
      </c>
      <c r="V383" s="282"/>
      <c r="W383" s="282">
        <f>O383/N383</f>
        <v>2479.4050000000002</v>
      </c>
      <c r="X383" s="282"/>
      <c r="Y383" s="27"/>
      <c r="Z383" s="27"/>
      <c r="AA383" s="27"/>
      <c r="AB383" s="27"/>
    </row>
    <row r="384" spans="1:32" s="19" customFormat="1" ht="15.6">
      <c r="A384" s="430">
        <v>9</v>
      </c>
      <c r="B384" s="549" t="s">
        <v>746</v>
      </c>
      <c r="C384" s="439">
        <f>'часть 1'!L394</f>
        <v>3891338</v>
      </c>
      <c r="D384" s="468">
        <v>0</v>
      </c>
      <c r="E384" s="468">
        <v>0</v>
      </c>
      <c r="F384" s="468">
        <v>0</v>
      </c>
      <c r="G384" s="468">
        <v>0</v>
      </c>
      <c r="H384" s="468">
        <v>0</v>
      </c>
      <c r="I384" s="468">
        <v>0</v>
      </c>
      <c r="J384" s="468">
        <v>0</v>
      </c>
      <c r="K384" s="435">
        <v>0</v>
      </c>
      <c r="L384" s="485">
        <v>2</v>
      </c>
      <c r="M384" s="441">
        <v>3891338</v>
      </c>
      <c r="N384" s="439">
        <v>0</v>
      </c>
      <c r="O384" s="439">
        <v>0</v>
      </c>
      <c r="P384" s="442">
        <v>0</v>
      </c>
      <c r="Q384" s="439">
        <v>0</v>
      </c>
      <c r="R384" s="442">
        <v>0</v>
      </c>
      <c r="S384" s="439">
        <v>0</v>
      </c>
      <c r="T384" s="440">
        <v>0</v>
      </c>
      <c r="U384" s="443">
        <v>0</v>
      </c>
      <c r="V384" s="282"/>
      <c r="W384" s="282"/>
      <c r="X384" s="282"/>
      <c r="Y384" s="6"/>
      <c r="Z384" s="6"/>
      <c r="AA384" s="26"/>
      <c r="AB384" s="26"/>
      <c r="AF384" s="84">
        <f>M384/L384</f>
        <v>1945669</v>
      </c>
    </row>
    <row r="385" spans="1:36" s="19" customFormat="1" ht="15.6">
      <c r="A385" s="430">
        <v>10</v>
      </c>
      <c r="B385" s="549" t="s">
        <v>747</v>
      </c>
      <c r="C385" s="439">
        <f>'часть 1'!L395</f>
        <v>1965577</v>
      </c>
      <c r="D385" s="468">
        <v>0</v>
      </c>
      <c r="E385" s="468">
        <v>0</v>
      </c>
      <c r="F385" s="468">
        <v>0</v>
      </c>
      <c r="G385" s="468">
        <v>0</v>
      </c>
      <c r="H385" s="468">
        <v>0</v>
      </c>
      <c r="I385" s="468">
        <v>0</v>
      </c>
      <c r="J385" s="468">
        <v>0</v>
      </c>
      <c r="K385" s="435">
        <v>0</v>
      </c>
      <c r="L385" s="485">
        <v>1</v>
      </c>
      <c r="M385" s="468">
        <v>1965577</v>
      </c>
      <c r="N385" s="439">
        <v>0</v>
      </c>
      <c r="O385" s="439">
        <v>0</v>
      </c>
      <c r="P385" s="442">
        <v>0</v>
      </c>
      <c r="Q385" s="439">
        <v>0</v>
      </c>
      <c r="R385" s="442">
        <v>0</v>
      </c>
      <c r="S385" s="439">
        <v>0</v>
      </c>
      <c r="T385" s="440">
        <v>0</v>
      </c>
      <c r="U385" s="443">
        <v>0</v>
      </c>
      <c r="V385" s="282"/>
      <c r="W385" s="282"/>
      <c r="X385" s="282"/>
      <c r="Y385" s="6"/>
      <c r="Z385" s="6"/>
      <c r="AA385" s="26"/>
      <c r="AB385" s="26"/>
      <c r="AF385" s="84">
        <f>M385/L385</f>
        <v>1965577</v>
      </c>
    </row>
    <row r="386" spans="1:36" s="19" customFormat="1">
      <c r="A386" s="430"/>
      <c r="B386" s="438"/>
      <c r="C386" s="468"/>
      <c r="D386" s="468"/>
      <c r="E386" s="468"/>
      <c r="F386" s="468"/>
      <c r="G386" s="468"/>
      <c r="H386" s="468"/>
      <c r="I386" s="468"/>
      <c r="J386" s="468"/>
      <c r="K386" s="435"/>
      <c r="L386" s="485"/>
      <c r="M386" s="435"/>
      <c r="N386" s="439"/>
      <c r="O386" s="439"/>
      <c r="P386" s="442"/>
      <c r="Q386" s="439"/>
      <c r="R386" s="442"/>
      <c r="S386" s="439"/>
      <c r="T386" s="440"/>
      <c r="U386" s="443"/>
      <c r="V386" s="282"/>
      <c r="W386" s="282"/>
      <c r="X386" s="282"/>
      <c r="Y386" s="6"/>
      <c r="Z386" s="6"/>
      <c r="AA386" s="26"/>
      <c r="AB386" s="26"/>
    </row>
    <row r="387" spans="1:36" s="19" customFormat="1">
      <c r="A387" s="430"/>
      <c r="B387" s="448"/>
      <c r="C387" s="468"/>
      <c r="D387" s="468"/>
      <c r="E387" s="468"/>
      <c r="F387" s="468"/>
      <c r="G387" s="468"/>
      <c r="H387" s="468"/>
      <c r="I387" s="468"/>
      <c r="J387" s="468"/>
      <c r="K387" s="468"/>
      <c r="L387" s="440"/>
      <c r="M387" s="439"/>
      <c r="N387" s="439"/>
      <c r="O387" s="439"/>
      <c r="P387" s="442"/>
      <c r="Q387" s="439"/>
      <c r="R387" s="442"/>
      <c r="S387" s="439"/>
      <c r="T387" s="440"/>
      <c r="U387" s="443"/>
      <c r="V387" s="282"/>
      <c r="W387" s="282"/>
      <c r="X387" s="282"/>
      <c r="Y387" s="27"/>
      <c r="Z387" s="27"/>
      <c r="AA387" s="27"/>
      <c r="AB387" s="27"/>
    </row>
    <row r="388" spans="1:36" s="19" customFormat="1">
      <c r="A388" s="430"/>
      <c r="B388" s="438"/>
      <c r="C388" s="468"/>
      <c r="D388" s="468"/>
      <c r="E388" s="468"/>
      <c r="F388" s="468"/>
      <c r="G388" s="468"/>
      <c r="H388" s="468"/>
      <c r="I388" s="468"/>
      <c r="J388" s="468"/>
      <c r="K388" s="435"/>
      <c r="L388" s="485"/>
      <c r="M388" s="435"/>
      <c r="N388" s="439"/>
      <c r="O388" s="439"/>
      <c r="P388" s="442"/>
      <c r="Q388" s="439"/>
      <c r="R388" s="442"/>
      <c r="S388" s="439"/>
      <c r="T388" s="440"/>
      <c r="U388" s="443"/>
      <c r="V388" s="282"/>
      <c r="W388" s="282"/>
      <c r="X388" s="282"/>
      <c r="Y388" s="6"/>
      <c r="Z388" s="6"/>
      <c r="AA388" s="26"/>
      <c r="AB388" s="26"/>
    </row>
    <row r="389" spans="1:36" s="19" customFormat="1">
      <c r="A389" s="430"/>
      <c r="B389" s="438"/>
      <c r="C389" s="468"/>
      <c r="D389" s="468"/>
      <c r="E389" s="468"/>
      <c r="F389" s="468"/>
      <c r="G389" s="468"/>
      <c r="H389" s="468"/>
      <c r="I389" s="468"/>
      <c r="J389" s="468"/>
      <c r="K389" s="435"/>
      <c r="L389" s="485"/>
      <c r="M389" s="468"/>
      <c r="N389" s="439"/>
      <c r="O389" s="439"/>
      <c r="P389" s="442"/>
      <c r="Q389" s="439"/>
      <c r="R389" s="442"/>
      <c r="S389" s="439"/>
      <c r="T389" s="440"/>
      <c r="U389" s="443"/>
      <c r="V389" s="282"/>
      <c r="W389" s="282"/>
      <c r="X389" s="282"/>
      <c r="Y389" s="6"/>
      <c r="Z389" s="6"/>
      <c r="AA389" s="26"/>
      <c r="AB389" s="26"/>
    </row>
    <row r="390" spans="1:36" s="19" customFormat="1">
      <c r="A390" s="430"/>
      <c r="B390" s="662"/>
      <c r="C390" s="439"/>
      <c r="D390" s="439"/>
      <c r="E390" s="439"/>
      <c r="F390" s="439"/>
      <c r="G390" s="439"/>
      <c r="H390" s="439"/>
      <c r="I390" s="439"/>
      <c r="J390" s="439"/>
      <c r="K390" s="439"/>
      <c r="L390" s="440"/>
      <c r="M390" s="439"/>
      <c r="N390" s="439"/>
      <c r="O390" s="439"/>
      <c r="P390" s="442"/>
      <c r="Q390" s="439"/>
      <c r="R390" s="439"/>
      <c r="S390" s="439"/>
      <c r="T390" s="440"/>
      <c r="U390" s="443"/>
      <c r="V390" s="282"/>
      <c r="W390" s="282"/>
      <c r="X390" s="282"/>
      <c r="Y390" s="27"/>
      <c r="Z390" s="27"/>
      <c r="AA390" s="27"/>
      <c r="AB390" s="27"/>
    </row>
    <row r="391" spans="1:36" s="19" customFormat="1" ht="27.6">
      <c r="A391" s="198"/>
      <c r="B391" s="235" t="s">
        <v>132</v>
      </c>
      <c r="C391" s="211">
        <f>C392+C393+C394</f>
        <v>5439639</v>
      </c>
      <c r="D391" s="211">
        <f t="shared" ref="D391:V391" si="45">D392+D393+D394</f>
        <v>0</v>
      </c>
      <c r="E391" s="211">
        <f t="shared" si="45"/>
        <v>0</v>
      </c>
      <c r="F391" s="211">
        <f t="shared" si="45"/>
        <v>0</v>
      </c>
      <c r="G391" s="211">
        <f t="shared" si="45"/>
        <v>0</v>
      </c>
      <c r="H391" s="211">
        <f t="shared" si="45"/>
        <v>0</v>
      </c>
      <c r="I391" s="211">
        <f t="shared" si="45"/>
        <v>0</v>
      </c>
      <c r="J391" s="211">
        <f t="shared" si="45"/>
        <v>0</v>
      </c>
      <c r="K391" s="211">
        <f t="shared" si="45"/>
        <v>0</v>
      </c>
      <c r="L391" s="211">
        <f t="shared" si="45"/>
        <v>0</v>
      </c>
      <c r="M391" s="211">
        <f t="shared" si="45"/>
        <v>0</v>
      </c>
      <c r="N391" s="211">
        <f t="shared" si="45"/>
        <v>1137.5</v>
      </c>
      <c r="O391" s="211">
        <f t="shared" si="45"/>
        <v>3582717</v>
      </c>
      <c r="P391" s="211">
        <f t="shared" si="45"/>
        <v>0</v>
      </c>
      <c r="Q391" s="211">
        <f t="shared" si="45"/>
        <v>0</v>
      </c>
      <c r="R391" s="211">
        <f t="shared" si="45"/>
        <v>1224.5</v>
      </c>
      <c r="S391" s="211">
        <f t="shared" si="45"/>
        <v>1856922</v>
      </c>
      <c r="T391" s="211">
        <f t="shared" si="45"/>
        <v>0</v>
      </c>
      <c r="U391" s="211">
        <f t="shared" si="45"/>
        <v>0</v>
      </c>
      <c r="V391" s="211">
        <f t="shared" si="45"/>
        <v>0</v>
      </c>
      <c r="W391" s="282"/>
      <c r="X391" s="282"/>
      <c r="Y391" s="27"/>
      <c r="Z391" s="27"/>
      <c r="AA391" s="27"/>
      <c r="AB391" s="27"/>
    </row>
    <row r="392" spans="1:36" s="19" customFormat="1" ht="31.2">
      <c r="A392" s="430"/>
      <c r="B392" s="654" t="s">
        <v>697</v>
      </c>
      <c r="C392" s="439">
        <f>'часть 1'!L398</f>
        <v>1207837</v>
      </c>
      <c r="D392" s="439">
        <v>0</v>
      </c>
      <c r="E392" s="439">
        <v>0</v>
      </c>
      <c r="F392" s="439">
        <v>0</v>
      </c>
      <c r="G392" s="439">
        <v>0</v>
      </c>
      <c r="H392" s="439">
        <v>0</v>
      </c>
      <c r="I392" s="439">
        <v>0</v>
      </c>
      <c r="J392" s="439">
        <v>0</v>
      </c>
      <c r="K392" s="439">
        <v>0</v>
      </c>
      <c r="L392" s="440">
        <v>0</v>
      </c>
      <c r="M392" s="439">
        <v>0</v>
      </c>
      <c r="N392" s="439">
        <v>0</v>
      </c>
      <c r="O392" s="439">
        <v>0</v>
      </c>
      <c r="P392" s="442">
        <v>0</v>
      </c>
      <c r="Q392" s="439">
        <v>0</v>
      </c>
      <c r="R392" s="439">
        <v>797.3</v>
      </c>
      <c r="S392" s="439">
        <v>1207837</v>
      </c>
      <c r="T392" s="440">
        <v>0</v>
      </c>
      <c r="U392" s="443">
        <v>0</v>
      </c>
      <c r="V392" s="282"/>
      <c r="W392" s="282"/>
      <c r="X392" s="282">
        <f>S392/R392</f>
        <v>1514.909068104854</v>
      </c>
      <c r="Y392" s="27"/>
      <c r="Z392" s="27"/>
      <c r="AA392" s="27"/>
      <c r="AB392" s="27"/>
    </row>
    <row r="393" spans="1:36" s="19" customFormat="1" ht="15.6">
      <c r="A393" s="430"/>
      <c r="B393" s="654" t="s">
        <v>698</v>
      </c>
      <c r="C393" s="439">
        <f>'часть 1'!L399</f>
        <v>1871260</v>
      </c>
      <c r="D393" s="439">
        <v>0</v>
      </c>
      <c r="E393" s="439">
        <v>0</v>
      </c>
      <c r="F393" s="439">
        <v>0</v>
      </c>
      <c r="G393" s="439">
        <v>0</v>
      </c>
      <c r="H393" s="439">
        <v>0</v>
      </c>
      <c r="I393" s="439">
        <v>0</v>
      </c>
      <c r="J393" s="439">
        <v>0</v>
      </c>
      <c r="K393" s="439">
        <v>0</v>
      </c>
      <c r="L393" s="440">
        <v>0</v>
      </c>
      <c r="M393" s="439">
        <v>0</v>
      </c>
      <c r="N393" s="439">
        <v>385.5</v>
      </c>
      <c r="O393" s="439">
        <v>1222175</v>
      </c>
      <c r="P393" s="442">
        <v>0</v>
      </c>
      <c r="Q393" s="439">
        <v>0</v>
      </c>
      <c r="R393" s="439">
        <v>427.2</v>
      </c>
      <c r="S393" s="439">
        <v>649085</v>
      </c>
      <c r="T393" s="440">
        <v>0</v>
      </c>
      <c r="U393" s="443">
        <v>0</v>
      </c>
      <c r="V393" s="282"/>
      <c r="W393" s="282">
        <f>O393/N393</f>
        <v>3170.3631647211414</v>
      </c>
      <c r="X393" s="282">
        <f>S393/R393</f>
        <v>1519.3937265917602</v>
      </c>
      <c r="Y393" s="27"/>
      <c r="Z393" s="27"/>
      <c r="AA393" s="27"/>
      <c r="AB393" s="27"/>
    </row>
    <row r="394" spans="1:36" s="19" customFormat="1" ht="31.2">
      <c r="A394" s="430"/>
      <c r="B394" s="654" t="s">
        <v>699</v>
      </c>
      <c r="C394" s="439">
        <f>'часть 1'!L400</f>
        <v>2360542</v>
      </c>
      <c r="D394" s="439">
        <v>0</v>
      </c>
      <c r="E394" s="439">
        <v>0</v>
      </c>
      <c r="F394" s="439">
        <v>0</v>
      </c>
      <c r="G394" s="439">
        <v>0</v>
      </c>
      <c r="H394" s="439">
        <v>0</v>
      </c>
      <c r="I394" s="439">
        <v>0</v>
      </c>
      <c r="J394" s="439">
        <v>0</v>
      </c>
      <c r="K394" s="439">
        <v>0</v>
      </c>
      <c r="L394" s="440">
        <v>0</v>
      </c>
      <c r="M394" s="439">
        <v>0</v>
      </c>
      <c r="N394" s="439">
        <v>752</v>
      </c>
      <c r="O394" s="439">
        <v>2360542</v>
      </c>
      <c r="P394" s="442">
        <v>0</v>
      </c>
      <c r="Q394" s="439">
        <v>0</v>
      </c>
      <c r="R394" s="439">
        <v>0</v>
      </c>
      <c r="S394" s="439">
        <v>0</v>
      </c>
      <c r="T394" s="440">
        <v>0</v>
      </c>
      <c r="U394" s="443">
        <v>0</v>
      </c>
      <c r="V394" s="282"/>
      <c r="W394" s="282">
        <f>O394/N394</f>
        <v>3139.0186170212764</v>
      </c>
      <c r="X394" s="282"/>
      <c r="Y394" s="27"/>
      <c r="Z394" s="27"/>
      <c r="AA394" s="27"/>
      <c r="AB394" s="27"/>
    </row>
    <row r="395" spans="1:36" ht="27.6">
      <c r="A395" s="198"/>
      <c r="B395" s="214" t="s">
        <v>593</v>
      </c>
      <c r="C395" s="211">
        <v>2543251</v>
      </c>
      <c r="D395" s="211"/>
      <c r="E395" s="211"/>
      <c r="F395" s="211"/>
      <c r="G395" s="211"/>
      <c r="H395" s="211"/>
      <c r="I395" s="211"/>
      <c r="J395" s="211"/>
      <c r="K395" s="211">
        <v>0</v>
      </c>
      <c r="L395" s="212">
        <v>0</v>
      </c>
      <c r="M395" s="211">
        <v>0</v>
      </c>
      <c r="N395" s="211">
        <v>1290.4000000000001</v>
      </c>
      <c r="O395" s="211">
        <v>2543251</v>
      </c>
      <c r="P395" s="213">
        <v>0</v>
      </c>
      <c r="Q395" s="211">
        <v>0</v>
      </c>
      <c r="R395" s="213">
        <v>0</v>
      </c>
      <c r="S395" s="211">
        <v>0</v>
      </c>
      <c r="T395" s="212">
        <v>0</v>
      </c>
      <c r="U395" s="290">
        <v>0</v>
      </c>
      <c r="V395" s="282"/>
      <c r="W395" s="282"/>
      <c r="X395" s="282"/>
      <c r="Y395" s="10"/>
      <c r="Z395" s="10"/>
      <c r="AA395" s="10"/>
      <c r="AB395" s="10"/>
    </row>
    <row r="396" spans="1:36">
      <c r="A396" s="430">
        <v>331</v>
      </c>
      <c r="B396" s="438" t="s">
        <v>594</v>
      </c>
      <c r="C396" s="439">
        <v>2543251</v>
      </c>
      <c r="D396" s="439"/>
      <c r="E396" s="439"/>
      <c r="F396" s="439"/>
      <c r="G396" s="439"/>
      <c r="H396" s="439"/>
      <c r="I396" s="439"/>
      <c r="J396" s="439"/>
      <c r="K396" s="439">
        <v>0</v>
      </c>
      <c r="L396" s="440">
        <v>0</v>
      </c>
      <c r="M396" s="439">
        <v>0</v>
      </c>
      <c r="N396" s="439">
        <v>1290.4000000000001</v>
      </c>
      <c r="O396" s="439">
        <v>2543251</v>
      </c>
      <c r="P396" s="442">
        <v>0</v>
      </c>
      <c r="Q396" s="439">
        <v>0</v>
      </c>
      <c r="R396" s="442">
        <v>0</v>
      </c>
      <c r="S396" s="439">
        <v>0</v>
      </c>
      <c r="T396" s="440">
        <v>0</v>
      </c>
      <c r="U396" s="443">
        <v>0</v>
      </c>
      <c r="V396" s="282"/>
      <c r="W396" s="282"/>
      <c r="X396" s="282"/>
      <c r="Y396" s="10"/>
      <c r="Z396" s="10"/>
      <c r="AA396" s="10"/>
      <c r="AB396" s="10"/>
    </row>
    <row r="397" spans="1:36" ht="27.6">
      <c r="A397" s="198"/>
      <c r="B397" s="214" t="s">
        <v>110</v>
      </c>
      <c r="C397" s="211">
        <f>C398</f>
        <v>2476043</v>
      </c>
      <c r="D397" s="211">
        <f t="shared" ref="D397:U397" si="46">D398</f>
        <v>0</v>
      </c>
      <c r="E397" s="211">
        <f t="shared" si="46"/>
        <v>0</v>
      </c>
      <c r="F397" s="211">
        <f t="shared" si="46"/>
        <v>0</v>
      </c>
      <c r="G397" s="211">
        <f t="shared" si="46"/>
        <v>0</v>
      </c>
      <c r="H397" s="211">
        <f t="shared" si="46"/>
        <v>0</v>
      </c>
      <c r="I397" s="211">
        <f t="shared" si="46"/>
        <v>0</v>
      </c>
      <c r="J397" s="211">
        <f t="shared" si="46"/>
        <v>0</v>
      </c>
      <c r="K397" s="211">
        <f t="shared" si="46"/>
        <v>0</v>
      </c>
      <c r="L397" s="211">
        <f t="shared" si="46"/>
        <v>0</v>
      </c>
      <c r="M397" s="211">
        <f t="shared" si="46"/>
        <v>0</v>
      </c>
      <c r="N397" s="211">
        <f t="shared" si="46"/>
        <v>783</v>
      </c>
      <c r="O397" s="211">
        <f t="shared" si="46"/>
        <v>2476043</v>
      </c>
      <c r="P397" s="211">
        <f t="shared" si="46"/>
        <v>0</v>
      </c>
      <c r="Q397" s="211">
        <f t="shared" si="46"/>
        <v>0</v>
      </c>
      <c r="R397" s="211">
        <f t="shared" si="46"/>
        <v>0</v>
      </c>
      <c r="S397" s="211">
        <f t="shared" si="46"/>
        <v>0</v>
      </c>
      <c r="T397" s="211">
        <f t="shared" si="46"/>
        <v>0</v>
      </c>
      <c r="U397" s="211">
        <f t="shared" si="46"/>
        <v>0</v>
      </c>
      <c r="V397" s="282"/>
      <c r="W397" s="282"/>
      <c r="X397" s="282"/>
      <c r="Y397" s="10"/>
      <c r="Z397" s="10"/>
      <c r="AA397" s="10"/>
      <c r="AB397" s="10"/>
    </row>
    <row r="398" spans="1:36">
      <c r="A398" s="430">
        <v>332</v>
      </c>
      <c r="B398" s="465" t="s">
        <v>472</v>
      </c>
      <c r="C398" s="439">
        <v>2476043</v>
      </c>
      <c r="D398" s="439">
        <v>0</v>
      </c>
      <c r="E398" s="439">
        <v>0</v>
      </c>
      <c r="F398" s="439">
        <v>0</v>
      </c>
      <c r="G398" s="439">
        <v>0</v>
      </c>
      <c r="H398" s="439">
        <v>0</v>
      </c>
      <c r="I398" s="439">
        <v>0</v>
      </c>
      <c r="J398" s="439">
        <v>0</v>
      </c>
      <c r="K398" s="439">
        <v>0</v>
      </c>
      <c r="L398" s="440">
        <v>0</v>
      </c>
      <c r="M398" s="439">
        <v>0</v>
      </c>
      <c r="N398" s="441">
        <v>783</v>
      </c>
      <c r="O398" s="439">
        <v>2476043</v>
      </c>
      <c r="P398" s="442">
        <v>0</v>
      </c>
      <c r="Q398" s="439">
        <v>0</v>
      </c>
      <c r="R398" s="442">
        <v>0</v>
      </c>
      <c r="S398" s="439">
        <v>0</v>
      </c>
      <c r="T398" s="440">
        <v>0</v>
      </c>
      <c r="U398" s="443">
        <v>0</v>
      </c>
      <c r="V398" s="436"/>
      <c r="W398" s="436">
        <f>O398/N398</f>
        <v>3162.2515964240101</v>
      </c>
      <c r="X398" s="436"/>
      <c r="Y398" s="466"/>
      <c r="Z398" s="466"/>
      <c r="AA398" s="466"/>
      <c r="AB398" s="466"/>
      <c r="AC398" s="466"/>
      <c r="AD398" s="466"/>
      <c r="AE398" s="466"/>
      <c r="AF398" s="466"/>
      <c r="AG398" s="466"/>
      <c r="AH398" s="466"/>
      <c r="AI398" s="466"/>
      <c r="AJ398" s="466"/>
    </row>
    <row r="399" spans="1:36">
      <c r="A399" s="430"/>
      <c r="B399" s="438"/>
      <c r="C399" s="439"/>
      <c r="D399" s="439"/>
      <c r="E399" s="439"/>
      <c r="F399" s="439"/>
      <c r="G399" s="439"/>
      <c r="H399" s="439"/>
      <c r="I399" s="439"/>
      <c r="J399" s="439"/>
      <c r="K399" s="439"/>
      <c r="L399" s="440"/>
      <c r="M399" s="439"/>
      <c r="N399" s="439"/>
      <c r="O399" s="439"/>
      <c r="P399" s="442"/>
      <c r="Q399" s="439"/>
      <c r="R399" s="442"/>
      <c r="S399" s="439"/>
      <c r="T399" s="440"/>
      <c r="U399" s="443"/>
      <c r="V399" s="436"/>
      <c r="W399" s="436"/>
      <c r="X399" s="436"/>
      <c r="Y399" s="466"/>
      <c r="Z399" s="466"/>
      <c r="AA399" s="466"/>
      <c r="AB399" s="466"/>
      <c r="AC399" s="466"/>
      <c r="AD399" s="466"/>
      <c r="AE399" s="466"/>
      <c r="AF399" s="466"/>
      <c r="AG399" s="466"/>
      <c r="AH399" s="466"/>
      <c r="AI399" s="466"/>
      <c r="AJ399" s="466"/>
    </row>
    <row r="400" spans="1:36" ht="27.6">
      <c r="A400" s="430"/>
      <c r="B400" s="438" t="s">
        <v>128</v>
      </c>
      <c r="C400" s="439">
        <f>C401+C402+C403+C404</f>
        <v>11027716</v>
      </c>
      <c r="D400" s="439">
        <f t="shared" ref="D400:V400" si="47">D401+D402+D403+D404</f>
        <v>0</v>
      </c>
      <c r="E400" s="439">
        <f t="shared" si="47"/>
        <v>0</v>
      </c>
      <c r="F400" s="439">
        <f t="shared" si="47"/>
        <v>0</v>
      </c>
      <c r="G400" s="439">
        <f t="shared" si="47"/>
        <v>0</v>
      </c>
      <c r="H400" s="439">
        <f t="shared" si="47"/>
        <v>0</v>
      </c>
      <c r="I400" s="439">
        <f t="shared" si="47"/>
        <v>0</v>
      </c>
      <c r="J400" s="439">
        <f t="shared" si="47"/>
        <v>0</v>
      </c>
      <c r="K400" s="439">
        <f t="shared" si="47"/>
        <v>0</v>
      </c>
      <c r="L400" s="439">
        <f t="shared" si="47"/>
        <v>0</v>
      </c>
      <c r="M400" s="439">
        <f t="shared" si="47"/>
        <v>0</v>
      </c>
      <c r="N400" s="439">
        <f t="shared" si="47"/>
        <v>4318.6000000000004</v>
      </c>
      <c r="O400" s="439">
        <f t="shared" si="47"/>
        <v>11027716</v>
      </c>
      <c r="P400" s="439">
        <f t="shared" si="47"/>
        <v>0</v>
      </c>
      <c r="Q400" s="439">
        <f t="shared" si="47"/>
        <v>0</v>
      </c>
      <c r="R400" s="439">
        <f t="shared" si="47"/>
        <v>0</v>
      </c>
      <c r="S400" s="439">
        <f t="shared" si="47"/>
        <v>0</v>
      </c>
      <c r="T400" s="439">
        <f t="shared" si="47"/>
        <v>0</v>
      </c>
      <c r="U400" s="439">
        <f t="shared" si="47"/>
        <v>0</v>
      </c>
      <c r="V400" s="211">
        <f t="shared" si="47"/>
        <v>0</v>
      </c>
      <c r="W400" s="282"/>
      <c r="X400" s="282"/>
    </row>
    <row r="401" spans="1:24" s="59" customFormat="1">
      <c r="A401" s="430">
        <v>334</v>
      </c>
      <c r="B401" s="467" t="s">
        <v>721</v>
      </c>
      <c r="C401" s="468">
        <f>'часть 1'!L406</f>
        <v>2009466</v>
      </c>
      <c r="D401" s="468">
        <f>E401+F401+G401+H401+I401+J401+K401</f>
        <v>0</v>
      </c>
      <c r="E401" s="468">
        <v>0</v>
      </c>
      <c r="F401" s="468">
        <v>0</v>
      </c>
      <c r="G401" s="468">
        <v>0</v>
      </c>
      <c r="H401" s="468">
        <v>0</v>
      </c>
      <c r="I401" s="468">
        <v>0</v>
      </c>
      <c r="J401" s="468">
        <v>0</v>
      </c>
      <c r="K401" s="468">
        <v>0</v>
      </c>
      <c r="L401" s="469">
        <v>0</v>
      </c>
      <c r="M401" s="468">
        <v>0</v>
      </c>
      <c r="N401" s="441">
        <v>811</v>
      </c>
      <c r="O401" s="468">
        <v>2009466</v>
      </c>
      <c r="P401" s="469">
        <v>0</v>
      </c>
      <c r="Q401" s="468">
        <v>0</v>
      </c>
      <c r="R401" s="469">
        <v>0</v>
      </c>
      <c r="S401" s="468">
        <v>0</v>
      </c>
      <c r="T401" s="638">
        <v>0</v>
      </c>
      <c r="U401" s="639">
        <v>0</v>
      </c>
      <c r="V401" s="282"/>
      <c r="W401" s="282">
        <f>O401/N401</f>
        <v>2477.7632552404439</v>
      </c>
      <c r="X401" s="282"/>
    </row>
    <row r="402" spans="1:24" s="59" customFormat="1">
      <c r="A402" s="430">
        <v>335</v>
      </c>
      <c r="B402" s="467" t="s">
        <v>722</v>
      </c>
      <c r="C402" s="468">
        <f>'часть 1'!L407</f>
        <v>1709729</v>
      </c>
      <c r="D402" s="468">
        <f t="shared" ref="D402:D404" si="48">E402+F402+G402+H402+I402+J402+K402</f>
        <v>0</v>
      </c>
      <c r="E402" s="468">
        <v>0</v>
      </c>
      <c r="F402" s="468">
        <v>0</v>
      </c>
      <c r="G402" s="468">
        <v>0</v>
      </c>
      <c r="H402" s="468">
        <v>0</v>
      </c>
      <c r="I402" s="468">
        <v>0</v>
      </c>
      <c r="J402" s="468">
        <v>0</v>
      </c>
      <c r="K402" s="468">
        <v>0</v>
      </c>
      <c r="L402" s="469">
        <v>0</v>
      </c>
      <c r="M402" s="468">
        <v>0</v>
      </c>
      <c r="N402" s="441">
        <v>543</v>
      </c>
      <c r="O402" s="468">
        <v>1709729</v>
      </c>
      <c r="P402" s="469">
        <v>0</v>
      </c>
      <c r="Q402" s="468">
        <v>0</v>
      </c>
      <c r="R402" s="469">
        <v>0</v>
      </c>
      <c r="S402" s="468">
        <v>0</v>
      </c>
      <c r="T402" s="638">
        <v>0</v>
      </c>
      <c r="U402" s="639">
        <v>0</v>
      </c>
      <c r="V402" s="282"/>
      <c r="W402" s="282">
        <f t="shared" ref="W402:W404" si="49">O402/N402</f>
        <v>3148.6721915285452</v>
      </c>
      <c r="X402" s="282"/>
    </row>
    <row r="403" spans="1:24" s="59" customFormat="1">
      <c r="A403" s="430">
        <v>336</v>
      </c>
      <c r="B403" s="467" t="s">
        <v>723</v>
      </c>
      <c r="C403" s="468">
        <f>'часть 1'!L408</f>
        <v>4267870</v>
      </c>
      <c r="D403" s="468">
        <f t="shared" si="48"/>
        <v>0</v>
      </c>
      <c r="E403" s="468">
        <v>0</v>
      </c>
      <c r="F403" s="468">
        <v>0</v>
      </c>
      <c r="G403" s="468">
        <v>0</v>
      </c>
      <c r="H403" s="468">
        <v>0</v>
      </c>
      <c r="I403" s="468">
        <v>0</v>
      </c>
      <c r="J403" s="468">
        <v>0</v>
      </c>
      <c r="K403" s="468">
        <v>0</v>
      </c>
      <c r="L403" s="469">
        <v>0</v>
      </c>
      <c r="M403" s="468">
        <v>0</v>
      </c>
      <c r="N403" s="441">
        <v>1732.6</v>
      </c>
      <c r="O403" s="468">
        <v>4267870</v>
      </c>
      <c r="P403" s="469">
        <v>0</v>
      </c>
      <c r="Q403" s="468">
        <v>0</v>
      </c>
      <c r="R403" s="469">
        <v>0</v>
      </c>
      <c r="S403" s="468">
        <v>0</v>
      </c>
      <c r="T403" s="638">
        <v>0</v>
      </c>
      <c r="U403" s="639">
        <v>0</v>
      </c>
      <c r="V403" s="282"/>
      <c r="W403" s="282">
        <f t="shared" si="49"/>
        <v>2463.2748470506754</v>
      </c>
      <c r="X403" s="282"/>
    </row>
    <row r="404" spans="1:24" s="59" customFormat="1">
      <c r="A404" s="430">
        <v>337</v>
      </c>
      <c r="B404" s="467" t="s">
        <v>724</v>
      </c>
      <c r="C404" s="468">
        <f>'часть 1'!L409</f>
        <v>3040651</v>
      </c>
      <c r="D404" s="468">
        <f t="shared" si="48"/>
        <v>0</v>
      </c>
      <c r="E404" s="468">
        <v>0</v>
      </c>
      <c r="F404" s="468">
        <v>0</v>
      </c>
      <c r="G404" s="468">
        <v>0</v>
      </c>
      <c r="H404" s="468">
        <v>0</v>
      </c>
      <c r="I404" s="468">
        <v>0</v>
      </c>
      <c r="J404" s="468">
        <v>0</v>
      </c>
      <c r="K404" s="468">
        <v>0</v>
      </c>
      <c r="L404" s="469">
        <v>0</v>
      </c>
      <c r="M404" s="468">
        <v>0</v>
      </c>
      <c r="N404" s="441">
        <v>1232</v>
      </c>
      <c r="O404" s="468">
        <v>3040651</v>
      </c>
      <c r="P404" s="469">
        <v>0</v>
      </c>
      <c r="Q404" s="468">
        <v>0</v>
      </c>
      <c r="R404" s="469">
        <v>0</v>
      </c>
      <c r="S404" s="468">
        <v>0</v>
      </c>
      <c r="T404" s="638">
        <v>0</v>
      </c>
      <c r="U404" s="639">
        <v>0</v>
      </c>
      <c r="V404" s="282"/>
      <c r="W404" s="282">
        <f t="shared" si="49"/>
        <v>2468.0608766233768</v>
      </c>
      <c r="X404" s="282"/>
    </row>
    <row r="405" spans="1:24" s="59" customFormat="1">
      <c r="A405" s="430"/>
      <c r="B405" s="467"/>
      <c r="C405" s="468"/>
      <c r="D405" s="468"/>
      <c r="E405" s="468"/>
      <c r="F405" s="468"/>
      <c r="G405" s="468"/>
      <c r="H405" s="468"/>
      <c r="I405" s="468"/>
      <c r="J405" s="468"/>
      <c r="K405" s="468"/>
      <c r="L405" s="469"/>
      <c r="M405" s="468"/>
      <c r="N405" s="441"/>
      <c r="O405" s="468"/>
      <c r="P405" s="469"/>
      <c r="Q405" s="468"/>
      <c r="R405" s="469"/>
      <c r="S405" s="468"/>
      <c r="T405" s="638"/>
      <c r="U405" s="639"/>
      <c r="V405" s="282"/>
      <c r="W405" s="282"/>
      <c r="X405" s="282"/>
    </row>
    <row r="406" spans="1:24" s="59" customFormat="1">
      <c r="A406" s="430"/>
      <c r="B406" s="467"/>
      <c r="C406" s="468"/>
      <c r="D406" s="468"/>
      <c r="E406" s="468"/>
      <c r="F406" s="468"/>
      <c r="G406" s="468"/>
      <c r="H406" s="468"/>
      <c r="I406" s="468"/>
      <c r="J406" s="468"/>
      <c r="K406" s="468"/>
      <c r="L406" s="469"/>
      <c r="M406" s="468"/>
      <c r="N406" s="441"/>
      <c r="O406" s="468"/>
      <c r="P406" s="469"/>
      <c r="Q406" s="468"/>
      <c r="R406" s="469"/>
      <c r="S406" s="468"/>
      <c r="T406" s="638"/>
      <c r="U406" s="639"/>
      <c r="V406" s="282"/>
      <c r="W406" s="282"/>
      <c r="X406" s="282"/>
    </row>
    <row r="407" spans="1:24" s="59" customFormat="1" ht="27.6">
      <c r="A407" s="430"/>
      <c r="B407" s="467" t="s">
        <v>668</v>
      </c>
      <c r="C407" s="468">
        <f>C408+C409</f>
        <v>4521219</v>
      </c>
      <c r="D407" s="468">
        <f t="shared" ref="D407:U407" si="50">D408+D409</f>
        <v>0</v>
      </c>
      <c r="E407" s="468">
        <f t="shared" si="50"/>
        <v>0</v>
      </c>
      <c r="F407" s="468">
        <f t="shared" si="50"/>
        <v>0</v>
      </c>
      <c r="G407" s="468">
        <f t="shared" si="50"/>
        <v>0</v>
      </c>
      <c r="H407" s="468">
        <f t="shared" si="50"/>
        <v>0</v>
      </c>
      <c r="I407" s="468">
        <f t="shared" si="50"/>
        <v>0</v>
      </c>
      <c r="J407" s="468">
        <f t="shared" si="50"/>
        <v>0</v>
      </c>
      <c r="K407" s="468">
        <f t="shared" si="50"/>
        <v>0</v>
      </c>
      <c r="L407" s="468">
        <f t="shared" si="50"/>
        <v>0</v>
      </c>
      <c r="M407" s="468">
        <f t="shared" si="50"/>
        <v>0</v>
      </c>
      <c r="N407" s="468">
        <f t="shared" si="50"/>
        <v>1683.3</v>
      </c>
      <c r="O407" s="468">
        <f t="shared" si="50"/>
        <v>4521219</v>
      </c>
      <c r="P407" s="468">
        <f t="shared" si="50"/>
        <v>0</v>
      </c>
      <c r="Q407" s="468">
        <f t="shared" si="50"/>
        <v>0</v>
      </c>
      <c r="R407" s="468">
        <f t="shared" si="50"/>
        <v>0</v>
      </c>
      <c r="S407" s="468">
        <f t="shared" si="50"/>
        <v>0</v>
      </c>
      <c r="T407" s="468">
        <f t="shared" si="50"/>
        <v>0</v>
      </c>
      <c r="U407" s="468">
        <f t="shared" si="50"/>
        <v>0</v>
      </c>
      <c r="V407" s="282"/>
      <c r="W407" s="282"/>
      <c r="X407" s="282"/>
    </row>
    <row r="408" spans="1:24" s="59" customFormat="1">
      <c r="A408" s="430"/>
      <c r="B408" s="467" t="s">
        <v>669</v>
      </c>
      <c r="C408" s="468">
        <v>2857112</v>
      </c>
      <c r="D408" s="468">
        <v>0</v>
      </c>
      <c r="E408" s="468">
        <v>0</v>
      </c>
      <c r="F408" s="468">
        <v>0</v>
      </c>
      <c r="G408" s="468">
        <v>0</v>
      </c>
      <c r="H408" s="468">
        <v>0</v>
      </c>
      <c r="I408" s="468">
        <v>0</v>
      </c>
      <c r="J408" s="468">
        <v>0</v>
      </c>
      <c r="K408" s="468">
        <v>0</v>
      </c>
      <c r="L408" s="469">
        <v>0</v>
      </c>
      <c r="M408" s="468">
        <v>0</v>
      </c>
      <c r="N408" s="441">
        <v>1156</v>
      </c>
      <c r="O408" s="468">
        <v>2857112</v>
      </c>
      <c r="P408" s="469">
        <v>0</v>
      </c>
      <c r="Q408" s="468">
        <v>0</v>
      </c>
      <c r="R408" s="469">
        <v>0</v>
      </c>
      <c r="S408" s="468">
        <v>0</v>
      </c>
      <c r="T408" s="638">
        <v>0</v>
      </c>
      <c r="U408" s="639">
        <v>0</v>
      </c>
      <c r="V408" s="282"/>
      <c r="W408" s="282">
        <f>O408/N408</f>
        <v>2471.5501730103806</v>
      </c>
      <c r="X408" s="282"/>
    </row>
    <row r="409" spans="1:24" s="59" customFormat="1">
      <c r="A409" s="430"/>
      <c r="B409" s="467" t="s">
        <v>670</v>
      </c>
      <c r="C409" s="468">
        <v>1664107</v>
      </c>
      <c r="D409" s="468">
        <v>0</v>
      </c>
      <c r="E409" s="468">
        <v>0</v>
      </c>
      <c r="F409" s="468">
        <v>0</v>
      </c>
      <c r="G409" s="468">
        <v>0</v>
      </c>
      <c r="H409" s="468">
        <v>0</v>
      </c>
      <c r="I409" s="468">
        <v>0</v>
      </c>
      <c r="J409" s="468">
        <v>0</v>
      </c>
      <c r="K409" s="468">
        <v>0</v>
      </c>
      <c r="L409" s="469">
        <v>0</v>
      </c>
      <c r="M409" s="468">
        <v>0</v>
      </c>
      <c r="N409" s="441">
        <v>527.29999999999995</v>
      </c>
      <c r="O409" s="468">
        <v>1664107</v>
      </c>
      <c r="P409" s="469">
        <v>0</v>
      </c>
      <c r="Q409" s="468">
        <v>0</v>
      </c>
      <c r="R409" s="469">
        <v>0</v>
      </c>
      <c r="S409" s="468">
        <v>0</v>
      </c>
      <c r="T409" s="638">
        <v>0</v>
      </c>
      <c r="U409" s="639">
        <v>0</v>
      </c>
      <c r="V409" s="282"/>
      <c r="W409" s="282">
        <f>O409/N409</f>
        <v>3155.9017637018778</v>
      </c>
      <c r="X409" s="282"/>
    </row>
    <row r="410" spans="1:24" ht="27.6">
      <c r="A410" s="198"/>
      <c r="B410" s="214" t="s">
        <v>994</v>
      </c>
      <c r="C410" s="211">
        <f>C411</f>
        <v>1540610</v>
      </c>
      <c r="D410" s="211">
        <f t="shared" ref="D410:U410" si="51">D411</f>
        <v>0</v>
      </c>
      <c r="E410" s="211">
        <f t="shared" si="51"/>
        <v>0</v>
      </c>
      <c r="F410" s="211">
        <f t="shared" si="51"/>
        <v>0</v>
      </c>
      <c r="G410" s="211">
        <f t="shared" si="51"/>
        <v>0</v>
      </c>
      <c r="H410" s="211">
        <f t="shared" si="51"/>
        <v>0</v>
      </c>
      <c r="I410" s="211">
        <f t="shared" si="51"/>
        <v>0</v>
      </c>
      <c r="J410" s="211">
        <f t="shared" si="51"/>
        <v>0</v>
      </c>
      <c r="K410" s="211">
        <f t="shared" si="51"/>
        <v>0</v>
      </c>
      <c r="L410" s="211">
        <f t="shared" si="51"/>
        <v>0</v>
      </c>
      <c r="M410" s="211">
        <f t="shared" si="51"/>
        <v>0</v>
      </c>
      <c r="N410" s="211">
        <f t="shared" si="51"/>
        <v>625.9</v>
      </c>
      <c r="O410" s="211">
        <f t="shared" si="51"/>
        <v>1540610</v>
      </c>
      <c r="P410" s="211">
        <f t="shared" si="51"/>
        <v>0</v>
      </c>
      <c r="Q410" s="211">
        <f t="shared" si="51"/>
        <v>0</v>
      </c>
      <c r="R410" s="211">
        <f t="shared" si="51"/>
        <v>0</v>
      </c>
      <c r="S410" s="211">
        <f t="shared" si="51"/>
        <v>0</v>
      </c>
      <c r="T410" s="211">
        <f t="shared" si="51"/>
        <v>0</v>
      </c>
      <c r="U410" s="211">
        <f t="shared" si="51"/>
        <v>0</v>
      </c>
      <c r="V410" s="282"/>
      <c r="W410" s="282"/>
      <c r="X410" s="282"/>
    </row>
    <row r="411" spans="1:24" ht="34.950000000000003" customHeight="1">
      <c r="A411" s="198">
        <v>340</v>
      </c>
      <c r="B411" s="943" t="s">
        <v>995</v>
      </c>
      <c r="C411" s="211">
        <f>'часть 1'!L416</f>
        <v>1540610</v>
      </c>
      <c r="D411" s="211">
        <v>0</v>
      </c>
      <c r="E411" s="211">
        <v>0</v>
      </c>
      <c r="F411" s="211">
        <v>0</v>
      </c>
      <c r="G411" s="211">
        <v>0</v>
      </c>
      <c r="H411" s="211">
        <v>0</v>
      </c>
      <c r="I411" s="211">
        <v>0</v>
      </c>
      <c r="J411" s="211">
        <v>0</v>
      </c>
      <c r="K411" s="211">
        <v>0</v>
      </c>
      <c r="L411" s="212">
        <v>0</v>
      </c>
      <c r="M411" s="211">
        <v>0</v>
      </c>
      <c r="N411" s="211">
        <v>625.9</v>
      </c>
      <c r="O411" s="211">
        <v>1540610</v>
      </c>
      <c r="P411" s="213">
        <v>0</v>
      </c>
      <c r="Q411" s="211">
        <v>0</v>
      </c>
      <c r="R411" s="211">
        <v>0</v>
      </c>
      <c r="S411" s="211">
        <v>0</v>
      </c>
      <c r="T411" s="212">
        <v>0</v>
      </c>
      <c r="U411" s="290">
        <v>0</v>
      </c>
      <c r="V411" s="282"/>
      <c r="W411" s="282">
        <f>O411/N411</f>
        <v>2461.4315385844384</v>
      </c>
      <c r="X411" s="282"/>
    </row>
    <row r="412" spans="1:24" ht="27.6">
      <c r="A412" s="198"/>
      <c r="B412" s="214" t="s">
        <v>111</v>
      </c>
      <c r="C412" s="211">
        <v>657835.92000000004</v>
      </c>
      <c r="D412" s="211"/>
      <c r="E412" s="211"/>
      <c r="F412" s="211"/>
      <c r="G412" s="211"/>
      <c r="H412" s="211"/>
      <c r="I412" s="211"/>
      <c r="J412" s="211"/>
      <c r="K412" s="211">
        <v>0</v>
      </c>
      <c r="L412" s="213">
        <v>0</v>
      </c>
      <c r="M412" s="211">
        <v>0</v>
      </c>
      <c r="N412" s="211">
        <f>N413</f>
        <v>396</v>
      </c>
      <c r="O412" s="211">
        <v>657835.92000000004</v>
      </c>
      <c r="P412" s="213">
        <v>0</v>
      </c>
      <c r="Q412" s="240">
        <v>0</v>
      </c>
      <c r="R412" s="213">
        <v>0</v>
      </c>
      <c r="S412" s="240">
        <v>0</v>
      </c>
      <c r="T412" s="212">
        <v>0</v>
      </c>
      <c r="U412" s="293">
        <v>0</v>
      </c>
      <c r="V412" s="282"/>
      <c r="W412" s="282"/>
      <c r="X412" s="282"/>
    </row>
    <row r="413" spans="1:24">
      <c r="A413" s="198">
        <v>341</v>
      </c>
      <c r="B413" s="214" t="s">
        <v>453</v>
      </c>
      <c r="C413" s="211">
        <v>657835.92000000004</v>
      </c>
      <c r="D413" s="211"/>
      <c r="E413" s="211"/>
      <c r="F413" s="211"/>
      <c r="G413" s="211"/>
      <c r="H413" s="211"/>
      <c r="I413" s="211"/>
      <c r="J413" s="211"/>
      <c r="K413" s="211">
        <v>0</v>
      </c>
      <c r="L413" s="212">
        <v>0</v>
      </c>
      <c r="M413" s="211">
        <v>0</v>
      </c>
      <c r="N413" s="199">
        <v>396</v>
      </c>
      <c r="O413" s="211">
        <v>657835.92000000004</v>
      </c>
      <c r="P413" s="213">
        <v>0</v>
      </c>
      <c r="Q413" s="211">
        <v>0</v>
      </c>
      <c r="R413" s="213">
        <v>0</v>
      </c>
      <c r="S413" s="211">
        <v>0</v>
      </c>
      <c r="T413" s="212">
        <v>0</v>
      </c>
      <c r="U413" s="290">
        <v>0</v>
      </c>
      <c r="V413" s="282"/>
      <c r="W413" s="282"/>
      <c r="X413" s="282"/>
    </row>
    <row r="414" spans="1:24" ht="27.6">
      <c r="A414" s="430"/>
      <c r="B414" s="438" t="s">
        <v>129</v>
      </c>
      <c r="C414" s="439">
        <f>C415+C416</f>
        <v>1473433</v>
      </c>
      <c r="D414" s="439">
        <f t="shared" ref="D414:V414" si="52">D415+D416</f>
        <v>0</v>
      </c>
      <c r="E414" s="439">
        <f t="shared" si="52"/>
        <v>0</v>
      </c>
      <c r="F414" s="439">
        <f t="shared" si="52"/>
        <v>0</v>
      </c>
      <c r="G414" s="439">
        <f t="shared" si="52"/>
        <v>0</v>
      </c>
      <c r="H414" s="439">
        <f t="shared" si="52"/>
        <v>0</v>
      </c>
      <c r="I414" s="439">
        <f t="shared" si="52"/>
        <v>0</v>
      </c>
      <c r="J414" s="439">
        <f t="shared" si="52"/>
        <v>0</v>
      </c>
      <c r="K414" s="439">
        <f t="shared" si="52"/>
        <v>0</v>
      </c>
      <c r="L414" s="439">
        <f t="shared" si="52"/>
        <v>0</v>
      </c>
      <c r="M414" s="439">
        <f t="shared" si="52"/>
        <v>0</v>
      </c>
      <c r="N414" s="439">
        <f t="shared" si="52"/>
        <v>0</v>
      </c>
      <c r="O414" s="439">
        <f t="shared" si="52"/>
        <v>0</v>
      </c>
      <c r="P414" s="439">
        <f t="shared" si="52"/>
        <v>0</v>
      </c>
      <c r="Q414" s="439">
        <f t="shared" si="52"/>
        <v>0</v>
      </c>
      <c r="R414" s="439">
        <f t="shared" si="52"/>
        <v>971.71</v>
      </c>
      <c r="S414" s="439">
        <f t="shared" si="52"/>
        <v>1473433</v>
      </c>
      <c r="T414" s="439">
        <f t="shared" si="52"/>
        <v>0</v>
      </c>
      <c r="U414" s="439">
        <f t="shared" si="52"/>
        <v>0</v>
      </c>
      <c r="V414" s="211">
        <f t="shared" si="52"/>
        <v>0</v>
      </c>
      <c r="W414" s="282"/>
      <c r="X414" s="282"/>
    </row>
    <row r="415" spans="1:24" s="60" customFormat="1" ht="24" customHeight="1">
      <c r="A415" s="430">
        <v>342</v>
      </c>
      <c r="B415" s="431" t="s">
        <v>680</v>
      </c>
      <c r="C415" s="432">
        <f>'часть 1'!L420</f>
        <v>734707</v>
      </c>
      <c r="D415" s="432">
        <v>0</v>
      </c>
      <c r="E415" s="432">
        <v>0</v>
      </c>
      <c r="F415" s="432">
        <v>0</v>
      </c>
      <c r="G415" s="432">
        <v>0</v>
      </c>
      <c r="H415" s="432">
        <v>0</v>
      </c>
      <c r="I415" s="432">
        <v>0</v>
      </c>
      <c r="J415" s="432">
        <v>0</v>
      </c>
      <c r="K415" s="439">
        <v>0</v>
      </c>
      <c r="L415" s="485">
        <v>0</v>
      </c>
      <c r="M415" s="439">
        <v>0</v>
      </c>
      <c r="N415" s="441">
        <v>0</v>
      </c>
      <c r="O415" s="432">
        <v>0</v>
      </c>
      <c r="P415" s="573">
        <v>0</v>
      </c>
      <c r="Q415" s="439">
        <v>0</v>
      </c>
      <c r="R415" s="435">
        <v>484.51</v>
      </c>
      <c r="S415" s="439">
        <v>734707</v>
      </c>
      <c r="T415" s="485">
        <v>0</v>
      </c>
      <c r="U415" s="443">
        <v>0</v>
      </c>
      <c r="V415" s="282"/>
      <c r="W415" s="282"/>
      <c r="X415" s="282">
        <f>S415/R415</f>
        <v>1516.391818538317</v>
      </c>
    </row>
    <row r="416" spans="1:24" s="60" customFormat="1" ht="21.6" customHeight="1">
      <c r="A416" s="430">
        <v>343</v>
      </c>
      <c r="B416" s="431" t="s">
        <v>681</v>
      </c>
      <c r="C416" s="432">
        <f>'часть 1'!L421</f>
        <v>738726</v>
      </c>
      <c r="D416" s="432">
        <v>0</v>
      </c>
      <c r="E416" s="432">
        <v>0</v>
      </c>
      <c r="F416" s="432">
        <v>0</v>
      </c>
      <c r="G416" s="432">
        <v>0</v>
      </c>
      <c r="H416" s="432">
        <v>0</v>
      </c>
      <c r="I416" s="432">
        <v>0</v>
      </c>
      <c r="J416" s="432">
        <v>0</v>
      </c>
      <c r="K416" s="439">
        <v>0</v>
      </c>
      <c r="L416" s="485">
        <v>0</v>
      </c>
      <c r="M416" s="439">
        <v>0</v>
      </c>
      <c r="N416" s="441">
        <v>0</v>
      </c>
      <c r="O416" s="432">
        <v>0</v>
      </c>
      <c r="P416" s="573">
        <v>0</v>
      </c>
      <c r="Q416" s="439">
        <v>0</v>
      </c>
      <c r="R416" s="435">
        <v>487.2</v>
      </c>
      <c r="S416" s="439">
        <v>738726</v>
      </c>
      <c r="T416" s="485">
        <v>0</v>
      </c>
      <c r="U416" s="443">
        <v>0</v>
      </c>
      <c r="V416" s="282"/>
      <c r="W416" s="282"/>
      <c r="X416" s="282">
        <f>S416/R416</f>
        <v>1516.268472906404</v>
      </c>
    </row>
    <row r="417" spans="1:53" s="60" customFormat="1">
      <c r="A417" s="430"/>
      <c r="B417" s="431"/>
      <c r="C417" s="432"/>
      <c r="D417" s="432"/>
      <c r="E417" s="432"/>
      <c r="F417" s="432"/>
      <c r="G417" s="432"/>
      <c r="H417" s="432"/>
      <c r="I417" s="432"/>
      <c r="J417" s="432"/>
      <c r="K417" s="439"/>
      <c r="L417" s="485"/>
      <c r="M417" s="439"/>
      <c r="N417" s="441"/>
      <c r="O417" s="432"/>
      <c r="P417" s="573"/>
      <c r="Q417" s="439"/>
      <c r="R417" s="573"/>
      <c r="S417" s="439"/>
      <c r="T417" s="485"/>
      <c r="U417" s="443"/>
      <c r="V417" s="282"/>
      <c r="W417" s="282"/>
      <c r="X417" s="282"/>
    </row>
    <row r="418" spans="1:53" s="60" customFormat="1">
      <c r="A418" s="430"/>
      <c r="B418" s="431"/>
      <c r="C418" s="432"/>
      <c r="D418" s="432"/>
      <c r="E418" s="432"/>
      <c r="F418" s="432"/>
      <c r="G418" s="432"/>
      <c r="H418" s="432"/>
      <c r="I418" s="432"/>
      <c r="J418" s="432"/>
      <c r="K418" s="439"/>
      <c r="L418" s="485"/>
      <c r="M418" s="439"/>
      <c r="N418" s="441"/>
      <c r="O418" s="432"/>
      <c r="P418" s="573"/>
      <c r="Q418" s="439"/>
      <c r="R418" s="439"/>
      <c r="S418" s="439"/>
      <c r="T418" s="485"/>
      <c r="U418" s="443"/>
      <c r="V418" s="282"/>
      <c r="W418" s="282"/>
      <c r="X418" s="282"/>
    </row>
    <row r="419" spans="1:53">
      <c r="A419" s="198"/>
      <c r="B419" s="216" t="s">
        <v>54</v>
      </c>
      <c r="C419" s="211">
        <v>2222747</v>
      </c>
      <c r="D419" s="211"/>
      <c r="E419" s="211"/>
      <c r="F419" s="211"/>
      <c r="G419" s="211"/>
      <c r="H419" s="211"/>
      <c r="I419" s="211"/>
      <c r="J419" s="211"/>
      <c r="K419" s="211">
        <v>0</v>
      </c>
      <c r="L419" s="212">
        <v>0</v>
      </c>
      <c r="M419" s="211">
        <v>0</v>
      </c>
      <c r="N419" s="211">
        <v>1115</v>
      </c>
      <c r="O419" s="211">
        <v>2222747</v>
      </c>
      <c r="P419" s="213">
        <v>0</v>
      </c>
      <c r="Q419" s="211">
        <v>0</v>
      </c>
      <c r="R419" s="213">
        <v>0</v>
      </c>
      <c r="S419" s="211">
        <v>0</v>
      </c>
      <c r="T419" s="212">
        <v>0</v>
      </c>
      <c r="U419" s="290">
        <v>0</v>
      </c>
      <c r="V419" s="282"/>
      <c r="W419" s="282"/>
      <c r="X419" s="282"/>
    </row>
    <row r="420" spans="1:53" ht="27.6">
      <c r="A420" s="198"/>
      <c r="B420" s="214" t="s">
        <v>112</v>
      </c>
      <c r="C420" s="211">
        <v>2222747</v>
      </c>
      <c r="D420" s="211"/>
      <c r="E420" s="211"/>
      <c r="F420" s="211"/>
      <c r="G420" s="211"/>
      <c r="H420" s="211"/>
      <c r="I420" s="211"/>
      <c r="J420" s="211"/>
      <c r="K420" s="211">
        <v>0</v>
      </c>
      <c r="L420" s="212">
        <v>0</v>
      </c>
      <c r="M420" s="211">
        <v>0</v>
      </c>
      <c r="N420" s="211">
        <v>1115</v>
      </c>
      <c r="O420" s="211">
        <v>2222747</v>
      </c>
      <c r="P420" s="213">
        <v>0</v>
      </c>
      <c r="Q420" s="211">
        <v>0</v>
      </c>
      <c r="R420" s="213">
        <v>0</v>
      </c>
      <c r="S420" s="211">
        <v>0</v>
      </c>
      <c r="T420" s="212">
        <v>0</v>
      </c>
      <c r="U420" s="290">
        <v>0</v>
      </c>
      <c r="V420" s="282"/>
      <c r="W420" s="282"/>
      <c r="X420" s="282"/>
    </row>
    <row r="421" spans="1:53">
      <c r="A421" s="198">
        <v>346</v>
      </c>
      <c r="B421" s="216" t="s">
        <v>422</v>
      </c>
      <c r="C421" s="211">
        <v>1003542</v>
      </c>
      <c r="D421" s="211"/>
      <c r="E421" s="211"/>
      <c r="F421" s="211"/>
      <c r="G421" s="211"/>
      <c r="H421" s="211"/>
      <c r="I421" s="211"/>
      <c r="J421" s="211"/>
      <c r="K421" s="211">
        <v>0</v>
      </c>
      <c r="L421" s="212">
        <v>0</v>
      </c>
      <c r="M421" s="211">
        <v>0</v>
      </c>
      <c r="N421" s="199">
        <v>510</v>
      </c>
      <c r="O421" s="211">
        <v>1003542</v>
      </c>
      <c r="P421" s="213">
        <v>0</v>
      </c>
      <c r="Q421" s="211">
        <v>0</v>
      </c>
      <c r="R421" s="213">
        <v>0</v>
      </c>
      <c r="S421" s="211">
        <v>0</v>
      </c>
      <c r="T421" s="212">
        <v>0</v>
      </c>
      <c r="U421" s="290">
        <v>0</v>
      </c>
      <c r="V421" s="282"/>
      <c r="W421" s="282"/>
      <c r="X421" s="282"/>
    </row>
    <row r="422" spans="1:53">
      <c r="A422" s="198">
        <v>347</v>
      </c>
      <c r="B422" s="216" t="s">
        <v>421</v>
      </c>
      <c r="C422" s="211">
        <v>740146</v>
      </c>
      <c r="D422" s="211"/>
      <c r="E422" s="211"/>
      <c r="F422" s="211"/>
      <c r="G422" s="211"/>
      <c r="H422" s="211"/>
      <c r="I422" s="211"/>
      <c r="J422" s="211"/>
      <c r="K422" s="211">
        <v>0</v>
      </c>
      <c r="L422" s="212">
        <v>0</v>
      </c>
      <c r="M422" s="211">
        <v>0</v>
      </c>
      <c r="N422" s="199">
        <v>373</v>
      </c>
      <c r="O422" s="211">
        <v>740146</v>
      </c>
      <c r="P422" s="213">
        <v>0</v>
      </c>
      <c r="Q422" s="211">
        <v>0</v>
      </c>
      <c r="R422" s="213">
        <v>0</v>
      </c>
      <c r="S422" s="211">
        <v>0</v>
      </c>
      <c r="T422" s="212">
        <v>0</v>
      </c>
      <c r="U422" s="290">
        <v>0</v>
      </c>
      <c r="V422" s="282"/>
      <c r="W422" s="282"/>
      <c r="X422" s="282"/>
    </row>
    <row r="423" spans="1:53">
      <c r="A423" s="198">
        <v>348</v>
      </c>
      <c r="B423" s="216" t="s">
        <v>423</v>
      </c>
      <c r="C423" s="211">
        <v>479059</v>
      </c>
      <c r="D423" s="211"/>
      <c r="E423" s="211"/>
      <c r="F423" s="211"/>
      <c r="G423" s="211"/>
      <c r="H423" s="211"/>
      <c r="I423" s="211"/>
      <c r="J423" s="211"/>
      <c r="K423" s="211">
        <v>0</v>
      </c>
      <c r="L423" s="212">
        <v>0</v>
      </c>
      <c r="M423" s="211">
        <v>0</v>
      </c>
      <c r="N423" s="211">
        <v>232</v>
      </c>
      <c r="O423" s="211">
        <v>479059</v>
      </c>
      <c r="P423" s="213">
        <v>0</v>
      </c>
      <c r="Q423" s="211">
        <v>0</v>
      </c>
      <c r="R423" s="213">
        <v>0</v>
      </c>
      <c r="S423" s="211">
        <v>0</v>
      </c>
      <c r="T423" s="212">
        <v>0</v>
      </c>
      <c r="U423" s="290">
        <v>0</v>
      </c>
      <c r="V423" s="282"/>
      <c r="W423" s="282"/>
      <c r="X423" s="282"/>
    </row>
    <row r="424" spans="1:53">
      <c r="A424" s="198"/>
      <c r="B424" s="216" t="s">
        <v>55</v>
      </c>
      <c r="C424" s="211">
        <f>C425</f>
        <v>2809430</v>
      </c>
      <c r="D424" s="211">
        <f t="shared" ref="D424:V424" si="53">D425</f>
        <v>0</v>
      </c>
      <c r="E424" s="211">
        <f t="shared" si="53"/>
        <v>0</v>
      </c>
      <c r="F424" s="211">
        <f t="shared" si="53"/>
        <v>0</v>
      </c>
      <c r="G424" s="211">
        <f t="shared" si="53"/>
        <v>0</v>
      </c>
      <c r="H424" s="211">
        <f t="shared" si="53"/>
        <v>0</v>
      </c>
      <c r="I424" s="211">
        <f t="shared" si="53"/>
        <v>0</v>
      </c>
      <c r="J424" s="211">
        <f t="shared" si="53"/>
        <v>408464</v>
      </c>
      <c r="K424" s="211">
        <f t="shared" si="53"/>
        <v>0</v>
      </c>
      <c r="L424" s="211">
        <f t="shared" si="53"/>
        <v>0</v>
      </c>
      <c r="M424" s="211">
        <f t="shared" si="53"/>
        <v>0</v>
      </c>
      <c r="N424" s="211">
        <f t="shared" si="53"/>
        <v>757</v>
      </c>
      <c r="O424" s="211">
        <f t="shared" si="53"/>
        <v>2400966</v>
      </c>
      <c r="P424" s="211">
        <f t="shared" si="53"/>
        <v>0</v>
      </c>
      <c r="Q424" s="211">
        <f t="shared" si="53"/>
        <v>0</v>
      </c>
      <c r="R424" s="211">
        <f t="shared" si="53"/>
        <v>0</v>
      </c>
      <c r="S424" s="211">
        <f t="shared" si="53"/>
        <v>0</v>
      </c>
      <c r="T424" s="211">
        <f t="shared" si="53"/>
        <v>0</v>
      </c>
      <c r="U424" s="211">
        <f t="shared" si="53"/>
        <v>0</v>
      </c>
      <c r="V424" s="211">
        <f t="shared" si="53"/>
        <v>0</v>
      </c>
      <c r="W424" s="282"/>
      <c r="X424" s="282"/>
    </row>
    <row r="425" spans="1:53" ht="27.6">
      <c r="A425" s="198"/>
      <c r="B425" s="214" t="s">
        <v>122</v>
      </c>
      <c r="C425" s="211">
        <f>C426+C427</f>
        <v>2809430</v>
      </c>
      <c r="D425" s="211">
        <f t="shared" ref="D425:V425" si="54">D426+D427</f>
        <v>0</v>
      </c>
      <c r="E425" s="211">
        <f t="shared" si="54"/>
        <v>0</v>
      </c>
      <c r="F425" s="211">
        <f t="shared" si="54"/>
        <v>0</v>
      </c>
      <c r="G425" s="211">
        <f t="shared" si="54"/>
        <v>0</v>
      </c>
      <c r="H425" s="211">
        <f t="shared" si="54"/>
        <v>0</v>
      </c>
      <c r="I425" s="211">
        <f t="shared" si="54"/>
        <v>0</v>
      </c>
      <c r="J425" s="211">
        <f t="shared" si="54"/>
        <v>408464</v>
      </c>
      <c r="K425" s="211">
        <f t="shared" si="54"/>
        <v>0</v>
      </c>
      <c r="L425" s="211">
        <f t="shared" si="54"/>
        <v>0</v>
      </c>
      <c r="M425" s="211">
        <f t="shared" si="54"/>
        <v>0</v>
      </c>
      <c r="N425" s="211">
        <f t="shared" si="54"/>
        <v>757</v>
      </c>
      <c r="O425" s="211">
        <f t="shared" si="54"/>
        <v>2400966</v>
      </c>
      <c r="P425" s="211">
        <f t="shared" si="54"/>
        <v>0</v>
      </c>
      <c r="Q425" s="211">
        <f t="shared" si="54"/>
        <v>0</v>
      </c>
      <c r="R425" s="211">
        <f t="shared" si="54"/>
        <v>0</v>
      </c>
      <c r="S425" s="211">
        <f t="shared" si="54"/>
        <v>0</v>
      </c>
      <c r="T425" s="211">
        <f t="shared" si="54"/>
        <v>0</v>
      </c>
      <c r="U425" s="211">
        <f t="shared" si="54"/>
        <v>0</v>
      </c>
      <c r="V425" s="211">
        <f t="shared" si="54"/>
        <v>0</v>
      </c>
      <c r="W425" s="282"/>
      <c r="X425" s="282"/>
    </row>
    <row r="426" spans="1:53" s="28" customFormat="1">
      <c r="A426" s="430">
        <v>349</v>
      </c>
      <c r="B426" s="438" t="s">
        <v>598</v>
      </c>
      <c r="C426" s="556">
        <v>1550741</v>
      </c>
      <c r="D426" s="556">
        <v>0</v>
      </c>
      <c r="E426" s="556">
        <v>0</v>
      </c>
      <c r="F426" s="556">
        <v>0</v>
      </c>
      <c r="G426" s="556">
        <v>0</v>
      </c>
      <c r="H426" s="556">
        <v>0</v>
      </c>
      <c r="I426" s="556">
        <v>0</v>
      </c>
      <c r="J426" s="556">
        <v>251869</v>
      </c>
      <c r="K426" s="432">
        <v>0</v>
      </c>
      <c r="L426" s="440">
        <v>0</v>
      </c>
      <c r="M426" s="439">
        <v>0</v>
      </c>
      <c r="N426" s="441">
        <v>410</v>
      </c>
      <c r="O426" s="432">
        <v>1298872</v>
      </c>
      <c r="P426" s="442">
        <v>0</v>
      </c>
      <c r="Q426" s="439">
        <v>0</v>
      </c>
      <c r="R426" s="439">
        <v>0</v>
      </c>
      <c r="S426" s="439">
        <v>0</v>
      </c>
      <c r="T426" s="440">
        <v>0</v>
      </c>
      <c r="U426" s="443">
        <v>0</v>
      </c>
      <c r="V426" s="282"/>
      <c r="W426" s="282">
        <f>O426/N426</f>
        <v>3167.9804878048781</v>
      </c>
      <c r="X426" s="282"/>
      <c r="AD426" s="28">
        <f>J426/'часть 1'!I431</f>
        <v>513.49439347604482</v>
      </c>
    </row>
    <row r="427" spans="1:53">
      <c r="A427" s="430">
        <v>350</v>
      </c>
      <c r="B427" s="438" t="s">
        <v>599</v>
      </c>
      <c r="C427" s="432">
        <v>1258689</v>
      </c>
      <c r="D427" s="432">
        <v>0</v>
      </c>
      <c r="E427" s="432">
        <v>0</v>
      </c>
      <c r="F427" s="432">
        <v>0</v>
      </c>
      <c r="G427" s="432">
        <v>0</v>
      </c>
      <c r="H427" s="432">
        <v>0</v>
      </c>
      <c r="I427" s="432">
        <v>0</v>
      </c>
      <c r="J427" s="432">
        <v>156595</v>
      </c>
      <c r="K427" s="432">
        <v>0</v>
      </c>
      <c r="L427" s="440">
        <v>0</v>
      </c>
      <c r="M427" s="439">
        <v>0</v>
      </c>
      <c r="N427" s="439">
        <v>347</v>
      </c>
      <c r="O427" s="439">
        <v>1102094</v>
      </c>
      <c r="P427" s="442">
        <v>0</v>
      </c>
      <c r="Q427" s="439">
        <v>0</v>
      </c>
      <c r="R427" s="442">
        <v>0</v>
      </c>
      <c r="S427" s="439">
        <v>0</v>
      </c>
      <c r="T427" s="440">
        <v>0</v>
      </c>
      <c r="U427" s="443">
        <v>0</v>
      </c>
      <c r="V427" s="282"/>
      <c r="W427" s="282">
        <f>O427/N427</f>
        <v>3176.0634005763691</v>
      </c>
      <c r="X427" s="282"/>
      <c r="AD427" s="1">
        <f>J427/'часть 1'!I432</f>
        <v>514.43823915900134</v>
      </c>
    </row>
    <row r="428" spans="1:53">
      <c r="A428" s="430"/>
      <c r="B428" s="438"/>
      <c r="C428" s="432"/>
      <c r="D428" s="432"/>
      <c r="E428" s="432"/>
      <c r="F428" s="432"/>
      <c r="G428" s="432"/>
      <c r="H428" s="432"/>
      <c r="I428" s="432"/>
      <c r="J428" s="432"/>
      <c r="K428" s="432"/>
      <c r="L428" s="440"/>
      <c r="M428" s="439"/>
      <c r="N428" s="441"/>
      <c r="O428" s="432"/>
      <c r="P428" s="442"/>
      <c r="Q428" s="439"/>
      <c r="R428" s="439"/>
      <c r="S428" s="439"/>
      <c r="T428" s="440"/>
      <c r="U428" s="443"/>
      <c r="V428" s="282"/>
      <c r="W428" s="282"/>
      <c r="X428" s="282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</row>
    <row r="429" spans="1:53">
      <c r="A429" s="198"/>
      <c r="B429" s="216" t="s">
        <v>56</v>
      </c>
      <c r="C429" s="211">
        <v>13352826.959999999</v>
      </c>
      <c r="D429" s="211"/>
      <c r="E429" s="211"/>
      <c r="F429" s="211"/>
      <c r="G429" s="211"/>
      <c r="H429" s="211"/>
      <c r="I429" s="211"/>
      <c r="J429" s="211"/>
      <c r="K429" s="211">
        <v>8292103.96</v>
      </c>
      <c r="L429" s="211">
        <v>0</v>
      </c>
      <c r="M429" s="211">
        <v>0</v>
      </c>
      <c r="N429" s="211">
        <v>2564.5</v>
      </c>
      <c r="O429" s="211">
        <v>5060723</v>
      </c>
      <c r="P429" s="213">
        <v>0</v>
      </c>
      <c r="Q429" s="211">
        <v>0</v>
      </c>
      <c r="R429" s="213">
        <v>0</v>
      </c>
      <c r="S429" s="211">
        <v>0</v>
      </c>
      <c r="T429" s="212">
        <v>0</v>
      </c>
      <c r="U429" s="290">
        <v>0</v>
      </c>
      <c r="V429" s="282"/>
      <c r="W429" s="282"/>
      <c r="X429" s="282"/>
    </row>
    <row r="430" spans="1:53" ht="27.6">
      <c r="A430" s="430"/>
      <c r="B430" s="438" t="s">
        <v>424</v>
      </c>
      <c r="C430" s="439">
        <f>C431+C432+C433+C434+C435</f>
        <v>6762929</v>
      </c>
      <c r="D430" s="439">
        <f t="shared" ref="D430:U430" si="55">D431+D432+D433+D434+D435</f>
        <v>3371412</v>
      </c>
      <c r="E430" s="439">
        <f t="shared" si="55"/>
        <v>857533</v>
      </c>
      <c r="F430" s="439">
        <f t="shared" si="55"/>
        <v>0</v>
      </c>
      <c r="G430" s="439">
        <f t="shared" si="55"/>
        <v>295597</v>
      </c>
      <c r="H430" s="439">
        <f t="shared" si="55"/>
        <v>0</v>
      </c>
      <c r="I430" s="439">
        <f t="shared" si="55"/>
        <v>1349920</v>
      </c>
      <c r="J430" s="439">
        <f t="shared" si="55"/>
        <v>868362</v>
      </c>
      <c r="K430" s="439">
        <f t="shared" si="55"/>
        <v>0</v>
      </c>
      <c r="L430" s="439">
        <f t="shared" si="55"/>
        <v>0</v>
      </c>
      <c r="M430" s="439">
        <f t="shared" si="55"/>
        <v>0</v>
      </c>
      <c r="N430" s="439">
        <f t="shared" si="55"/>
        <v>858.22</v>
      </c>
      <c r="O430" s="439">
        <f t="shared" si="55"/>
        <v>2715174</v>
      </c>
      <c r="P430" s="439">
        <f t="shared" si="55"/>
        <v>79.900000000000006</v>
      </c>
      <c r="Q430" s="439">
        <f t="shared" si="55"/>
        <v>80873</v>
      </c>
      <c r="R430" s="439">
        <f t="shared" si="55"/>
        <v>391.83</v>
      </c>
      <c r="S430" s="439">
        <f t="shared" si="55"/>
        <v>595470</v>
      </c>
      <c r="T430" s="439">
        <f t="shared" si="55"/>
        <v>0</v>
      </c>
      <c r="U430" s="439">
        <f t="shared" si="55"/>
        <v>0</v>
      </c>
      <c r="V430" s="282"/>
      <c r="W430" s="282"/>
      <c r="X430" s="282"/>
    </row>
    <row r="431" spans="1:53">
      <c r="A431" s="430">
        <v>352</v>
      </c>
      <c r="B431" s="747" t="s">
        <v>703</v>
      </c>
      <c r="C431" s="439">
        <f>'часть 1'!L436</f>
        <v>749745</v>
      </c>
      <c r="D431" s="439">
        <f>E431+F431+G431+H431+I431+J431+K431</f>
        <v>73402</v>
      </c>
      <c r="E431" s="439">
        <v>0</v>
      </c>
      <c r="F431" s="439">
        <v>0</v>
      </c>
      <c r="G431" s="439">
        <v>73402</v>
      </c>
      <c r="H431" s="439">
        <v>0</v>
      </c>
      <c r="I431" s="439">
        <v>0</v>
      </c>
      <c r="J431" s="439">
        <v>0</v>
      </c>
      <c r="K431" s="439">
        <v>0</v>
      </c>
      <c r="L431" s="439">
        <v>0</v>
      </c>
      <c r="M431" s="439">
        <v>0</v>
      </c>
      <c r="N431" s="439">
        <v>0</v>
      </c>
      <c r="O431" s="439">
        <v>0</v>
      </c>
      <c r="P431" s="748">
        <v>79.900000000000006</v>
      </c>
      <c r="Q431" s="439">
        <v>80873</v>
      </c>
      <c r="R431" s="442">
        <v>391.83</v>
      </c>
      <c r="S431" s="439">
        <v>595470</v>
      </c>
      <c r="T431" s="440">
        <v>0</v>
      </c>
      <c r="U431" s="443">
        <v>0</v>
      </c>
      <c r="V431" s="282"/>
      <c r="W431" s="282"/>
      <c r="X431" s="282">
        <f>S431/R431</f>
        <v>1519.7151826047011</v>
      </c>
      <c r="Z431" s="1">
        <f>G431/'часть 1'!I436</f>
        <v>262.71295633500358</v>
      </c>
      <c r="AE431" s="1">
        <f>Q431/P431</f>
        <v>1012.1777221526908</v>
      </c>
    </row>
    <row r="432" spans="1:53">
      <c r="A432" s="430">
        <v>353</v>
      </c>
      <c r="B432" s="749" t="s">
        <v>704</v>
      </c>
      <c r="C432" s="439">
        <f>'часть 1'!L437</f>
        <v>2218282</v>
      </c>
      <c r="D432" s="439">
        <f t="shared" ref="D432:D435" si="56">E432+F432+G432+H432+I432+J432+K432</f>
        <v>2218282</v>
      </c>
      <c r="E432" s="439">
        <v>0</v>
      </c>
      <c r="F432" s="439">
        <v>0</v>
      </c>
      <c r="G432" s="439">
        <v>0</v>
      </c>
      <c r="H432" s="439">
        <v>0</v>
      </c>
      <c r="I432" s="439">
        <v>1349920</v>
      </c>
      <c r="J432" s="439">
        <v>868362</v>
      </c>
      <c r="K432" s="439">
        <v>0</v>
      </c>
      <c r="L432" s="439">
        <v>0</v>
      </c>
      <c r="M432" s="439">
        <v>0</v>
      </c>
      <c r="N432" s="439">
        <v>0</v>
      </c>
      <c r="O432" s="439">
        <v>0</v>
      </c>
      <c r="P432" s="748">
        <v>0</v>
      </c>
      <c r="Q432" s="439">
        <v>0</v>
      </c>
      <c r="R432" s="442">
        <v>0</v>
      </c>
      <c r="S432" s="439">
        <v>0</v>
      </c>
      <c r="T432" s="440">
        <v>0</v>
      </c>
      <c r="U432" s="443">
        <v>0</v>
      </c>
      <c r="V432" s="282"/>
      <c r="W432" s="282"/>
      <c r="X432" s="282"/>
      <c r="AC432" s="1">
        <f>I432/'часть 1'!I437</f>
        <v>867.55784061696659</v>
      </c>
      <c r="AD432" s="1">
        <f>J432/'часть 1'!I437</f>
        <v>558.07326478149105</v>
      </c>
    </row>
    <row r="433" spans="1:31" ht="27.6">
      <c r="A433" s="430">
        <v>354</v>
      </c>
      <c r="B433" s="747" t="s">
        <v>705</v>
      </c>
      <c r="C433" s="439">
        <f>'часть 1'!L438</f>
        <v>1808957</v>
      </c>
      <c r="D433" s="439">
        <f t="shared" si="56"/>
        <v>313119</v>
      </c>
      <c r="E433" s="439">
        <v>313119</v>
      </c>
      <c r="F433" s="439">
        <v>0</v>
      </c>
      <c r="G433" s="439">
        <v>0</v>
      </c>
      <c r="H433" s="439">
        <v>0</v>
      </c>
      <c r="I433" s="439">
        <v>0</v>
      </c>
      <c r="J433" s="439">
        <v>0</v>
      </c>
      <c r="K433" s="439">
        <v>0</v>
      </c>
      <c r="L433" s="439">
        <v>0</v>
      </c>
      <c r="M433" s="439">
        <v>0</v>
      </c>
      <c r="N433" s="439">
        <v>473.62</v>
      </c>
      <c r="O433" s="439">
        <v>1495838</v>
      </c>
      <c r="P433" s="748">
        <v>0</v>
      </c>
      <c r="Q433" s="439">
        <v>0</v>
      </c>
      <c r="R433" s="442">
        <v>0</v>
      </c>
      <c r="S433" s="439">
        <v>0</v>
      </c>
      <c r="T433" s="440">
        <v>0</v>
      </c>
      <c r="U433" s="443">
        <v>0</v>
      </c>
      <c r="V433" s="282"/>
      <c r="W433" s="282">
        <f>O433/N433</f>
        <v>3158.3083484650142</v>
      </c>
      <c r="X433" s="282"/>
      <c r="Y433" s="1">
        <f>E433/'часть 1'!I438</f>
        <v>682.32512529962958</v>
      </c>
    </row>
    <row r="434" spans="1:31">
      <c r="A434" s="430">
        <v>355</v>
      </c>
      <c r="B434" s="747" t="s">
        <v>706</v>
      </c>
      <c r="C434" s="439">
        <f>'часть 1'!L439</f>
        <v>275807</v>
      </c>
      <c r="D434" s="439">
        <f t="shared" si="56"/>
        <v>275807</v>
      </c>
      <c r="E434" s="439">
        <v>275807</v>
      </c>
      <c r="F434" s="439">
        <v>0</v>
      </c>
      <c r="G434" s="439">
        <v>0</v>
      </c>
      <c r="H434" s="439">
        <v>0</v>
      </c>
      <c r="I434" s="439">
        <v>0</v>
      </c>
      <c r="J434" s="439">
        <v>0</v>
      </c>
      <c r="K434" s="439">
        <v>0</v>
      </c>
      <c r="L434" s="439">
        <v>0</v>
      </c>
      <c r="M434" s="439">
        <v>0</v>
      </c>
      <c r="N434" s="439">
        <v>0</v>
      </c>
      <c r="O434" s="439">
        <v>0</v>
      </c>
      <c r="P434" s="748">
        <v>0</v>
      </c>
      <c r="Q434" s="439">
        <v>0</v>
      </c>
      <c r="R434" s="442">
        <v>0</v>
      </c>
      <c r="S434" s="439">
        <v>0</v>
      </c>
      <c r="T434" s="440">
        <v>0</v>
      </c>
      <c r="U434" s="443">
        <v>0</v>
      </c>
      <c r="V434" s="282"/>
      <c r="W434" s="282"/>
      <c r="X434" s="282"/>
      <c r="Y434" s="1">
        <f>E434/'часть 1'!I439</f>
        <v>684.21483502852891</v>
      </c>
    </row>
    <row r="435" spans="1:31">
      <c r="A435" s="430">
        <v>357</v>
      </c>
      <c r="B435" s="750" t="s">
        <v>707</v>
      </c>
      <c r="C435" s="439">
        <f>'часть 1'!L440</f>
        <v>1710138</v>
      </c>
      <c r="D435" s="439">
        <f t="shared" si="56"/>
        <v>490802</v>
      </c>
      <c r="E435" s="439">
        <v>268607</v>
      </c>
      <c r="F435" s="439">
        <v>0</v>
      </c>
      <c r="G435" s="439">
        <v>222195</v>
      </c>
      <c r="H435" s="439">
        <v>0</v>
      </c>
      <c r="I435" s="439">
        <v>0</v>
      </c>
      <c r="J435" s="439">
        <v>0</v>
      </c>
      <c r="K435" s="439">
        <v>0</v>
      </c>
      <c r="L435" s="439">
        <v>0</v>
      </c>
      <c r="M435" s="439">
        <v>0</v>
      </c>
      <c r="N435" s="439">
        <v>384.6</v>
      </c>
      <c r="O435" s="439">
        <v>1219336</v>
      </c>
      <c r="P435" s="748">
        <v>0</v>
      </c>
      <c r="Q435" s="439">
        <v>0</v>
      </c>
      <c r="R435" s="442">
        <v>0</v>
      </c>
      <c r="S435" s="439">
        <v>0</v>
      </c>
      <c r="T435" s="440">
        <v>0</v>
      </c>
      <c r="U435" s="443">
        <v>0</v>
      </c>
      <c r="V435" s="282"/>
      <c r="W435" s="282">
        <f>O435/N435</f>
        <v>3170.4004160166405</v>
      </c>
      <c r="X435" s="282"/>
      <c r="Y435" s="1">
        <f>E435/'часть 1'!I440</f>
        <v>688.03022540983613</v>
      </c>
      <c r="Z435" s="1">
        <f>G435/'часть 1'!I440</f>
        <v>569.14702868852464</v>
      </c>
    </row>
    <row r="436" spans="1:31" ht="27.6">
      <c r="A436" s="198"/>
      <c r="B436" s="214" t="s">
        <v>121</v>
      </c>
      <c r="C436" s="211">
        <f>C437</f>
        <v>2515554</v>
      </c>
      <c r="D436" s="211">
        <f t="shared" ref="D436:V436" si="57">D437</f>
        <v>0</v>
      </c>
      <c r="E436" s="211">
        <f t="shared" si="57"/>
        <v>0</v>
      </c>
      <c r="F436" s="211">
        <f t="shared" si="57"/>
        <v>0</v>
      </c>
      <c r="G436" s="211">
        <f t="shared" si="57"/>
        <v>0</v>
      </c>
      <c r="H436" s="211">
        <f t="shared" si="57"/>
        <v>0</v>
      </c>
      <c r="I436" s="211">
        <f t="shared" si="57"/>
        <v>0</v>
      </c>
      <c r="J436" s="211">
        <f t="shared" si="57"/>
        <v>0</v>
      </c>
      <c r="K436" s="211">
        <f t="shared" si="57"/>
        <v>0</v>
      </c>
      <c r="L436" s="211">
        <f t="shared" si="57"/>
        <v>0</v>
      </c>
      <c r="M436" s="211">
        <f t="shared" si="57"/>
        <v>0</v>
      </c>
      <c r="N436" s="211">
        <f t="shared" si="57"/>
        <v>0</v>
      </c>
      <c r="O436" s="211">
        <f t="shared" si="57"/>
        <v>2515554</v>
      </c>
      <c r="P436" s="211">
        <f t="shared" si="57"/>
        <v>0</v>
      </c>
      <c r="Q436" s="211">
        <f t="shared" si="57"/>
        <v>0</v>
      </c>
      <c r="R436" s="211">
        <f t="shared" si="57"/>
        <v>0</v>
      </c>
      <c r="S436" s="211">
        <f t="shared" si="57"/>
        <v>0</v>
      </c>
      <c r="T436" s="211">
        <f t="shared" si="57"/>
        <v>0</v>
      </c>
      <c r="U436" s="211">
        <f t="shared" si="57"/>
        <v>0</v>
      </c>
      <c r="V436" s="211">
        <f t="shared" si="57"/>
        <v>0</v>
      </c>
      <c r="W436" s="282"/>
      <c r="X436" s="282"/>
    </row>
    <row r="437" spans="1:31" ht="21.6" customHeight="1">
      <c r="A437" s="198">
        <v>362</v>
      </c>
      <c r="B437" s="214" t="s">
        <v>989</v>
      </c>
      <c r="C437" s="211">
        <f>'часть 1'!L442</f>
        <v>2515554</v>
      </c>
      <c r="D437" s="211">
        <v>0</v>
      </c>
      <c r="E437" s="211">
        <v>0</v>
      </c>
      <c r="F437" s="211">
        <v>0</v>
      </c>
      <c r="G437" s="211">
        <v>0</v>
      </c>
      <c r="H437" s="211">
        <v>0</v>
      </c>
      <c r="I437" s="211">
        <v>0</v>
      </c>
      <c r="J437" s="211">
        <v>0</v>
      </c>
      <c r="K437" s="211">
        <v>0</v>
      </c>
      <c r="L437" s="212">
        <v>0</v>
      </c>
      <c r="M437" s="211">
        <v>0</v>
      </c>
      <c r="N437" s="939"/>
      <c r="O437" s="211">
        <v>2515554</v>
      </c>
      <c r="P437" s="213">
        <v>0</v>
      </c>
      <c r="Q437" s="211">
        <v>0</v>
      </c>
      <c r="R437" s="213">
        <v>0</v>
      </c>
      <c r="S437" s="211">
        <v>0</v>
      </c>
      <c r="T437" s="212">
        <v>0</v>
      </c>
      <c r="U437" s="290">
        <v>0</v>
      </c>
      <c r="V437" s="282"/>
      <c r="W437" s="282" t="e">
        <f>O437/N437</f>
        <v>#DIV/0!</v>
      </c>
      <c r="X437" s="282"/>
    </row>
    <row r="438" spans="1:31" s="18" customFormat="1" ht="27.6">
      <c r="A438" s="198"/>
      <c r="B438" s="214" t="s">
        <v>807</v>
      </c>
      <c r="C438" s="211">
        <f>C439</f>
        <v>1510788</v>
      </c>
      <c r="D438" s="211">
        <f t="shared" ref="D438:V438" si="58">D439</f>
        <v>0</v>
      </c>
      <c r="E438" s="211">
        <f t="shared" si="58"/>
        <v>0</v>
      </c>
      <c r="F438" s="211">
        <f t="shared" si="58"/>
        <v>0</v>
      </c>
      <c r="G438" s="211">
        <f t="shared" si="58"/>
        <v>0</v>
      </c>
      <c r="H438" s="211">
        <f t="shared" si="58"/>
        <v>0</v>
      </c>
      <c r="I438" s="211">
        <f t="shared" si="58"/>
        <v>0</v>
      </c>
      <c r="J438" s="211">
        <f t="shared" si="58"/>
        <v>0</v>
      </c>
      <c r="K438" s="211">
        <f t="shared" si="58"/>
        <v>0</v>
      </c>
      <c r="L438" s="211">
        <f t="shared" si="58"/>
        <v>0</v>
      </c>
      <c r="M438" s="211">
        <f t="shared" si="58"/>
        <v>0</v>
      </c>
      <c r="N438" s="211">
        <f t="shared" si="58"/>
        <v>612</v>
      </c>
      <c r="O438" s="211">
        <f t="shared" si="58"/>
        <v>1510788</v>
      </c>
      <c r="P438" s="211">
        <f t="shared" si="58"/>
        <v>0</v>
      </c>
      <c r="Q438" s="211">
        <f t="shared" si="58"/>
        <v>0</v>
      </c>
      <c r="R438" s="211">
        <f t="shared" si="58"/>
        <v>0</v>
      </c>
      <c r="S438" s="211">
        <f t="shared" si="58"/>
        <v>0</v>
      </c>
      <c r="T438" s="211">
        <f t="shared" si="58"/>
        <v>0</v>
      </c>
      <c r="U438" s="211">
        <f t="shared" si="58"/>
        <v>0</v>
      </c>
      <c r="V438" s="211">
        <f t="shared" si="58"/>
        <v>0</v>
      </c>
      <c r="W438" s="282"/>
      <c r="X438" s="282"/>
    </row>
    <row r="439" spans="1:31">
      <c r="A439" s="198">
        <v>363</v>
      </c>
      <c r="B439" s="216" t="s">
        <v>810</v>
      </c>
      <c r="C439" s="211">
        <f>'часть 1'!L444</f>
        <v>1510788</v>
      </c>
      <c r="D439" s="211">
        <v>0</v>
      </c>
      <c r="E439" s="211">
        <v>0</v>
      </c>
      <c r="F439" s="211">
        <v>0</v>
      </c>
      <c r="G439" s="211">
        <v>0</v>
      </c>
      <c r="H439" s="211">
        <v>0</v>
      </c>
      <c r="I439" s="211">
        <v>0</v>
      </c>
      <c r="J439" s="211">
        <v>0</v>
      </c>
      <c r="K439" s="211">
        <v>0</v>
      </c>
      <c r="L439" s="212">
        <v>0</v>
      </c>
      <c r="M439" s="211">
        <v>0</v>
      </c>
      <c r="N439" s="211">
        <v>612</v>
      </c>
      <c r="O439" s="211">
        <v>1510788</v>
      </c>
      <c r="P439" s="213">
        <v>0</v>
      </c>
      <c r="Q439" s="211">
        <v>0</v>
      </c>
      <c r="R439" s="213">
        <v>0</v>
      </c>
      <c r="S439" s="211">
        <v>0</v>
      </c>
      <c r="T439" s="212">
        <v>0</v>
      </c>
      <c r="U439" s="290">
        <v>0</v>
      </c>
      <c r="V439" s="282"/>
      <c r="W439" s="282">
        <f>O439/N439</f>
        <v>2468.6078431372548</v>
      </c>
      <c r="X439" s="282"/>
    </row>
    <row r="440" spans="1:31">
      <c r="A440" s="198"/>
      <c r="B440" s="216" t="s">
        <v>57</v>
      </c>
      <c r="C440" s="211">
        <v>2349784.02</v>
      </c>
      <c r="D440" s="211"/>
      <c r="E440" s="211"/>
      <c r="F440" s="211"/>
      <c r="G440" s="211"/>
      <c r="H440" s="211"/>
      <c r="I440" s="211"/>
      <c r="J440" s="211"/>
      <c r="K440" s="211">
        <v>0</v>
      </c>
      <c r="L440" s="212">
        <v>0</v>
      </c>
      <c r="M440" s="211">
        <v>0</v>
      </c>
      <c r="N440" s="211">
        <v>709</v>
      </c>
      <c r="O440" s="211">
        <v>2349784.02</v>
      </c>
      <c r="P440" s="213">
        <v>0</v>
      </c>
      <c r="Q440" s="211">
        <v>0</v>
      </c>
      <c r="R440" s="213">
        <v>0</v>
      </c>
      <c r="S440" s="211">
        <v>0</v>
      </c>
      <c r="T440" s="212">
        <v>0</v>
      </c>
      <c r="U440" s="290">
        <v>0</v>
      </c>
      <c r="V440" s="282"/>
      <c r="W440" s="282"/>
      <c r="X440" s="282"/>
    </row>
    <row r="441" spans="1:31" ht="27.6">
      <c r="A441" s="198"/>
      <c r="B441" s="214" t="s">
        <v>119</v>
      </c>
      <c r="C441" s="211">
        <f>C442+C443</f>
        <v>2579247</v>
      </c>
      <c r="D441" s="211">
        <f t="shared" ref="D441:U441" si="59">D442+D443</f>
        <v>1194767</v>
      </c>
      <c r="E441" s="211">
        <f t="shared" si="59"/>
        <v>1194767</v>
      </c>
      <c r="F441" s="211">
        <f t="shared" si="59"/>
        <v>0</v>
      </c>
      <c r="G441" s="211">
        <f t="shared" si="59"/>
        <v>0</v>
      </c>
      <c r="H441" s="211">
        <f t="shared" si="59"/>
        <v>0</v>
      </c>
      <c r="I441" s="211">
        <f t="shared" si="59"/>
        <v>0</v>
      </c>
      <c r="J441" s="211">
        <f t="shared" si="59"/>
        <v>0</v>
      </c>
      <c r="K441" s="211">
        <f t="shared" si="59"/>
        <v>0</v>
      </c>
      <c r="L441" s="211">
        <f t="shared" si="59"/>
        <v>0</v>
      </c>
      <c r="M441" s="211">
        <f t="shared" si="59"/>
        <v>0</v>
      </c>
      <c r="N441" s="211">
        <f t="shared" si="59"/>
        <v>0</v>
      </c>
      <c r="O441" s="211">
        <f t="shared" si="59"/>
        <v>0</v>
      </c>
      <c r="P441" s="211">
        <f t="shared" si="59"/>
        <v>1400</v>
      </c>
      <c r="Q441" s="211">
        <f t="shared" si="59"/>
        <v>1384480</v>
      </c>
      <c r="R441" s="211">
        <f t="shared" si="59"/>
        <v>0</v>
      </c>
      <c r="S441" s="211">
        <f t="shared" si="59"/>
        <v>0</v>
      </c>
      <c r="T441" s="211">
        <f t="shared" si="59"/>
        <v>0</v>
      </c>
      <c r="U441" s="211">
        <f t="shared" si="59"/>
        <v>0</v>
      </c>
      <c r="V441" s="282"/>
      <c r="W441" s="282"/>
      <c r="X441" s="282"/>
    </row>
    <row r="442" spans="1:31">
      <c r="A442" s="198">
        <v>364</v>
      </c>
      <c r="B442" s="214" t="s">
        <v>980</v>
      </c>
      <c r="C442" s="211">
        <f>'часть 1'!L447</f>
        <v>1384480</v>
      </c>
      <c r="D442" s="211">
        <f>E442+F442+G442+H442+I442+J442+K442</f>
        <v>0</v>
      </c>
      <c r="E442" s="211">
        <v>0</v>
      </c>
      <c r="F442" s="211">
        <v>0</v>
      </c>
      <c r="G442" s="211">
        <v>0</v>
      </c>
      <c r="H442" s="211">
        <v>0</v>
      </c>
      <c r="I442" s="211">
        <v>0</v>
      </c>
      <c r="J442" s="211">
        <v>0</v>
      </c>
      <c r="K442" s="211">
        <v>0</v>
      </c>
      <c r="L442" s="212">
        <v>0</v>
      </c>
      <c r="M442" s="211">
        <v>0</v>
      </c>
      <c r="N442" s="211">
        <v>0</v>
      </c>
      <c r="O442" s="211">
        <v>0</v>
      </c>
      <c r="P442" s="213">
        <v>1400</v>
      </c>
      <c r="Q442" s="211">
        <v>1384480</v>
      </c>
      <c r="R442" s="213">
        <v>0</v>
      </c>
      <c r="S442" s="211">
        <v>0</v>
      </c>
      <c r="T442" s="212">
        <v>0</v>
      </c>
      <c r="U442" s="290">
        <v>0</v>
      </c>
      <c r="V442" s="282"/>
      <c r="W442" s="282"/>
      <c r="X442" s="282"/>
      <c r="AE442" s="1">
        <f>Q442/P442</f>
        <v>988.91428571428571</v>
      </c>
    </row>
    <row r="443" spans="1:31">
      <c r="A443" s="198">
        <v>365</v>
      </c>
      <c r="B443" s="214" t="s">
        <v>981</v>
      </c>
      <c r="C443" s="211">
        <f>'часть 1'!L448</f>
        <v>1194767</v>
      </c>
      <c r="D443" s="211">
        <f>E443+F443+G443+H443+I443+J443+K443</f>
        <v>1194767</v>
      </c>
      <c r="E443" s="211">
        <v>1194767</v>
      </c>
      <c r="F443" s="211">
        <v>0</v>
      </c>
      <c r="G443" s="211">
        <v>0</v>
      </c>
      <c r="H443" s="211">
        <v>0</v>
      </c>
      <c r="I443" s="211">
        <v>0</v>
      </c>
      <c r="J443" s="211">
        <v>0</v>
      </c>
      <c r="K443" s="211">
        <v>0</v>
      </c>
      <c r="L443" s="212">
        <v>0</v>
      </c>
      <c r="M443" s="211">
        <v>0</v>
      </c>
      <c r="N443" s="211">
        <v>0</v>
      </c>
      <c r="O443" s="211">
        <v>0</v>
      </c>
      <c r="P443" s="213">
        <v>0</v>
      </c>
      <c r="Q443" s="211">
        <v>0</v>
      </c>
      <c r="R443" s="213">
        <v>0</v>
      </c>
      <c r="S443" s="211">
        <v>0</v>
      </c>
      <c r="T443" s="212">
        <v>0</v>
      </c>
      <c r="U443" s="290">
        <v>0</v>
      </c>
      <c r="V443" s="282"/>
      <c r="W443" s="282"/>
      <c r="X443" s="282"/>
      <c r="Y443" s="1">
        <f>E443/'часть 1'!I448</f>
        <v>745.75057736720555</v>
      </c>
    </row>
    <row r="444" spans="1:31">
      <c r="A444" s="198"/>
      <c r="B444" s="216" t="s">
        <v>58</v>
      </c>
      <c r="C444" s="211">
        <v>12228909</v>
      </c>
      <c r="D444" s="211"/>
      <c r="E444" s="211"/>
      <c r="F444" s="211"/>
      <c r="G444" s="211"/>
      <c r="H444" s="211"/>
      <c r="I444" s="211"/>
      <c r="J444" s="211"/>
      <c r="K444" s="211">
        <v>215709</v>
      </c>
      <c r="L444" s="212">
        <v>0</v>
      </c>
      <c r="M444" s="211">
        <v>0</v>
      </c>
      <c r="N444" s="211">
        <v>6001.34</v>
      </c>
      <c r="O444" s="211">
        <v>12013200</v>
      </c>
      <c r="P444" s="213">
        <v>0</v>
      </c>
      <c r="Q444" s="211">
        <v>0</v>
      </c>
      <c r="R444" s="213">
        <v>0</v>
      </c>
      <c r="S444" s="211">
        <v>0</v>
      </c>
      <c r="T444" s="212">
        <v>0</v>
      </c>
      <c r="U444" s="290">
        <v>0</v>
      </c>
      <c r="V444" s="282"/>
      <c r="W444" s="282"/>
      <c r="X444" s="282"/>
    </row>
    <row r="445" spans="1:31" ht="27.6">
      <c r="A445" s="198"/>
      <c r="B445" s="214" t="s">
        <v>87</v>
      </c>
      <c r="C445" s="211">
        <v>12228909</v>
      </c>
      <c r="D445" s="211"/>
      <c r="E445" s="211"/>
      <c r="F445" s="211"/>
      <c r="G445" s="211"/>
      <c r="H445" s="211"/>
      <c r="I445" s="211"/>
      <c r="J445" s="211"/>
      <c r="K445" s="211">
        <v>215709</v>
      </c>
      <c r="L445" s="212">
        <v>0</v>
      </c>
      <c r="M445" s="211">
        <v>0</v>
      </c>
      <c r="N445" s="211">
        <v>6001.34</v>
      </c>
      <c r="O445" s="211">
        <v>12013200</v>
      </c>
      <c r="P445" s="213">
        <v>0</v>
      </c>
      <c r="Q445" s="211">
        <v>0</v>
      </c>
      <c r="R445" s="213">
        <v>0</v>
      </c>
      <c r="S445" s="211">
        <v>0</v>
      </c>
      <c r="T445" s="212">
        <v>0</v>
      </c>
      <c r="U445" s="290">
        <v>0</v>
      </c>
      <c r="V445" s="282"/>
      <c r="W445" s="282"/>
      <c r="X445" s="282"/>
    </row>
    <row r="446" spans="1:31" s="29" customFormat="1">
      <c r="A446" s="198">
        <v>366</v>
      </c>
      <c r="B446" s="238" t="s">
        <v>84</v>
      </c>
      <c r="C446" s="232">
        <v>1668544</v>
      </c>
      <c r="D446" s="232"/>
      <c r="E446" s="232"/>
      <c r="F446" s="232"/>
      <c r="G446" s="232"/>
      <c r="H446" s="232"/>
      <c r="I446" s="232"/>
      <c r="J446" s="232"/>
      <c r="K446" s="196">
        <v>0</v>
      </c>
      <c r="L446" s="204">
        <v>0</v>
      </c>
      <c r="M446" s="209">
        <v>0</v>
      </c>
      <c r="N446" s="199">
        <v>840</v>
      </c>
      <c r="O446" s="237">
        <v>1668544</v>
      </c>
      <c r="P446" s="200">
        <v>0</v>
      </c>
      <c r="Q446" s="199">
        <v>0</v>
      </c>
      <c r="R446" s="200">
        <v>0</v>
      </c>
      <c r="S446" s="199">
        <v>0</v>
      </c>
      <c r="T446" s="208">
        <v>0</v>
      </c>
      <c r="U446" s="294">
        <v>0</v>
      </c>
      <c r="V446" s="282"/>
      <c r="W446" s="282"/>
      <c r="X446" s="282"/>
    </row>
    <row r="447" spans="1:31" s="29" customFormat="1">
      <c r="A447" s="198">
        <v>367</v>
      </c>
      <c r="B447" s="238" t="s">
        <v>425</v>
      </c>
      <c r="C447" s="211">
        <v>2239107</v>
      </c>
      <c r="D447" s="211"/>
      <c r="E447" s="211"/>
      <c r="F447" s="211"/>
      <c r="G447" s="211"/>
      <c r="H447" s="211"/>
      <c r="I447" s="211"/>
      <c r="J447" s="211"/>
      <c r="K447" s="196">
        <v>0</v>
      </c>
      <c r="L447" s="204">
        <v>0</v>
      </c>
      <c r="M447" s="209">
        <v>0</v>
      </c>
      <c r="N447" s="199">
        <v>1101</v>
      </c>
      <c r="O447" s="237">
        <v>2239107</v>
      </c>
      <c r="P447" s="200">
        <v>0</v>
      </c>
      <c r="Q447" s="199">
        <v>0</v>
      </c>
      <c r="R447" s="200">
        <v>0</v>
      </c>
      <c r="S447" s="199">
        <v>0</v>
      </c>
      <c r="T447" s="208">
        <v>0</v>
      </c>
      <c r="U447" s="294">
        <v>0</v>
      </c>
      <c r="V447" s="282"/>
      <c r="W447" s="282"/>
      <c r="X447" s="282"/>
    </row>
    <row r="448" spans="1:31" s="29" customFormat="1">
      <c r="A448" s="198">
        <v>368</v>
      </c>
      <c r="B448" s="238" t="s">
        <v>433</v>
      </c>
      <c r="C448" s="232">
        <v>215709</v>
      </c>
      <c r="D448" s="232"/>
      <c r="E448" s="232"/>
      <c r="F448" s="232"/>
      <c r="G448" s="232"/>
      <c r="H448" s="232"/>
      <c r="I448" s="232"/>
      <c r="J448" s="232"/>
      <c r="K448" s="196">
        <v>215709</v>
      </c>
      <c r="L448" s="204">
        <v>0</v>
      </c>
      <c r="M448" s="209">
        <v>0</v>
      </c>
      <c r="N448" s="199">
        <v>0</v>
      </c>
      <c r="O448" s="237">
        <v>0</v>
      </c>
      <c r="P448" s="200">
        <v>0</v>
      </c>
      <c r="Q448" s="199">
        <v>0</v>
      </c>
      <c r="R448" s="200">
        <v>0</v>
      </c>
      <c r="S448" s="199">
        <v>0</v>
      </c>
      <c r="T448" s="208">
        <v>0</v>
      </c>
      <c r="U448" s="294">
        <v>0</v>
      </c>
      <c r="V448" s="282"/>
      <c r="W448" s="282"/>
      <c r="X448" s="282"/>
    </row>
    <row r="449" spans="1:33" s="29" customFormat="1">
      <c r="A449" s="198">
        <v>369</v>
      </c>
      <c r="B449" s="238" t="s">
        <v>79</v>
      </c>
      <c r="C449" s="211">
        <v>706234</v>
      </c>
      <c r="D449" s="211"/>
      <c r="E449" s="211"/>
      <c r="F449" s="211"/>
      <c r="G449" s="211"/>
      <c r="H449" s="211"/>
      <c r="I449" s="211"/>
      <c r="J449" s="211"/>
      <c r="K449" s="196">
        <v>0</v>
      </c>
      <c r="L449" s="204">
        <v>0</v>
      </c>
      <c r="M449" s="209">
        <v>0</v>
      </c>
      <c r="N449" s="199">
        <v>348</v>
      </c>
      <c r="O449" s="237">
        <v>706234</v>
      </c>
      <c r="P449" s="200">
        <v>0</v>
      </c>
      <c r="Q449" s="199">
        <v>0</v>
      </c>
      <c r="R449" s="200">
        <v>0</v>
      </c>
      <c r="S449" s="199">
        <v>0</v>
      </c>
      <c r="T449" s="208">
        <v>0</v>
      </c>
      <c r="U449" s="294">
        <v>0</v>
      </c>
      <c r="V449" s="282"/>
      <c r="W449" s="282"/>
      <c r="X449" s="282"/>
    </row>
    <row r="450" spans="1:33" s="29" customFormat="1">
      <c r="A450" s="198">
        <v>370</v>
      </c>
      <c r="B450" s="238" t="s">
        <v>78</v>
      </c>
      <c r="C450" s="211">
        <v>651603</v>
      </c>
      <c r="D450" s="211"/>
      <c r="E450" s="211"/>
      <c r="F450" s="211"/>
      <c r="G450" s="211"/>
      <c r="H450" s="211"/>
      <c r="I450" s="211"/>
      <c r="J450" s="211"/>
      <c r="K450" s="196">
        <v>0</v>
      </c>
      <c r="L450" s="204">
        <v>0</v>
      </c>
      <c r="M450" s="209">
        <v>0</v>
      </c>
      <c r="N450" s="199">
        <v>320</v>
      </c>
      <c r="O450" s="237">
        <v>651603</v>
      </c>
      <c r="P450" s="200">
        <v>0</v>
      </c>
      <c r="Q450" s="199">
        <v>0</v>
      </c>
      <c r="R450" s="200">
        <v>0</v>
      </c>
      <c r="S450" s="199">
        <v>0</v>
      </c>
      <c r="T450" s="208">
        <v>0</v>
      </c>
      <c r="U450" s="294">
        <v>0</v>
      </c>
      <c r="V450" s="282"/>
      <c r="W450" s="282"/>
      <c r="X450" s="282"/>
    </row>
    <row r="451" spans="1:33" s="29" customFormat="1">
      <c r="A451" s="198">
        <v>371</v>
      </c>
      <c r="B451" s="238" t="s">
        <v>426</v>
      </c>
      <c r="C451" s="232">
        <v>698701</v>
      </c>
      <c r="D451" s="232"/>
      <c r="E451" s="232"/>
      <c r="F451" s="232"/>
      <c r="G451" s="232"/>
      <c r="H451" s="232"/>
      <c r="I451" s="232"/>
      <c r="J451" s="232"/>
      <c r="K451" s="196">
        <v>0</v>
      </c>
      <c r="L451" s="204">
        <v>0</v>
      </c>
      <c r="M451" s="209">
        <v>0</v>
      </c>
      <c r="N451" s="199">
        <v>352</v>
      </c>
      <c r="O451" s="237">
        <v>698701</v>
      </c>
      <c r="P451" s="200">
        <v>0</v>
      </c>
      <c r="Q451" s="199">
        <v>0</v>
      </c>
      <c r="R451" s="200">
        <v>0</v>
      </c>
      <c r="S451" s="199">
        <v>0</v>
      </c>
      <c r="T451" s="208">
        <v>0</v>
      </c>
      <c r="U451" s="294">
        <v>0</v>
      </c>
      <c r="V451" s="282"/>
      <c r="W451" s="282"/>
      <c r="X451" s="282"/>
    </row>
    <row r="452" spans="1:33" s="29" customFormat="1">
      <c r="A452" s="198">
        <v>372</v>
      </c>
      <c r="B452" s="238" t="s">
        <v>80</v>
      </c>
      <c r="C452" s="232">
        <v>1512903</v>
      </c>
      <c r="D452" s="232"/>
      <c r="E452" s="232"/>
      <c r="F452" s="232"/>
      <c r="G452" s="232"/>
      <c r="H452" s="232"/>
      <c r="I452" s="232"/>
      <c r="J452" s="232"/>
      <c r="K452" s="196">
        <v>0</v>
      </c>
      <c r="L452" s="204">
        <v>0</v>
      </c>
      <c r="M452" s="209">
        <v>0</v>
      </c>
      <c r="N452" s="199">
        <v>762</v>
      </c>
      <c r="O452" s="237">
        <v>1512903</v>
      </c>
      <c r="P452" s="200">
        <v>0</v>
      </c>
      <c r="Q452" s="199">
        <v>0</v>
      </c>
      <c r="R452" s="200">
        <v>0</v>
      </c>
      <c r="S452" s="199">
        <v>0</v>
      </c>
      <c r="T452" s="208">
        <v>0</v>
      </c>
      <c r="U452" s="294">
        <v>0</v>
      </c>
      <c r="V452" s="282"/>
      <c r="W452" s="282"/>
      <c r="X452" s="282"/>
    </row>
    <row r="453" spans="1:33" s="29" customFormat="1">
      <c r="A453" s="198">
        <v>373</v>
      </c>
      <c r="B453" s="238" t="s">
        <v>81</v>
      </c>
      <c r="C453" s="232">
        <v>2294873</v>
      </c>
      <c r="D453" s="232"/>
      <c r="E453" s="232"/>
      <c r="F453" s="232"/>
      <c r="G453" s="232"/>
      <c r="H453" s="232"/>
      <c r="I453" s="232"/>
      <c r="J453" s="232"/>
      <c r="K453" s="196">
        <v>0</v>
      </c>
      <c r="L453" s="204">
        <v>0</v>
      </c>
      <c r="M453" s="209">
        <v>0</v>
      </c>
      <c r="N453" s="199">
        <v>1162</v>
      </c>
      <c r="O453" s="237">
        <v>2294873</v>
      </c>
      <c r="P453" s="200">
        <v>0</v>
      </c>
      <c r="Q453" s="199">
        <v>0</v>
      </c>
      <c r="R453" s="230">
        <v>0</v>
      </c>
      <c r="S453" s="237">
        <v>0</v>
      </c>
      <c r="T453" s="208">
        <v>0</v>
      </c>
      <c r="U453" s="294">
        <v>0</v>
      </c>
      <c r="V453" s="282"/>
      <c r="W453" s="282"/>
      <c r="X453" s="282"/>
    </row>
    <row r="454" spans="1:33" s="29" customFormat="1">
      <c r="A454" s="198">
        <v>374</v>
      </c>
      <c r="B454" s="238" t="s">
        <v>82</v>
      </c>
      <c r="C454" s="232">
        <v>879987</v>
      </c>
      <c r="D454" s="232"/>
      <c r="E454" s="232"/>
      <c r="F454" s="232"/>
      <c r="G454" s="232"/>
      <c r="H454" s="232"/>
      <c r="I454" s="232"/>
      <c r="J454" s="232"/>
      <c r="K454" s="196">
        <v>0</v>
      </c>
      <c r="L454" s="204">
        <v>0</v>
      </c>
      <c r="M454" s="209">
        <v>0</v>
      </c>
      <c r="N454" s="199">
        <v>436.34</v>
      </c>
      <c r="O454" s="237">
        <v>879987</v>
      </c>
      <c r="P454" s="200">
        <v>0</v>
      </c>
      <c r="Q454" s="199">
        <v>0</v>
      </c>
      <c r="R454" s="200">
        <v>0</v>
      </c>
      <c r="S454" s="237">
        <v>0</v>
      </c>
      <c r="T454" s="208">
        <v>0</v>
      </c>
      <c r="U454" s="294">
        <v>0</v>
      </c>
      <c r="V454" s="282"/>
      <c r="W454" s="282"/>
      <c r="X454" s="282"/>
    </row>
    <row r="455" spans="1:33" s="29" customFormat="1">
      <c r="A455" s="198">
        <v>375</v>
      </c>
      <c r="B455" s="238" t="s">
        <v>83</v>
      </c>
      <c r="C455" s="232">
        <v>1361248</v>
      </c>
      <c r="D455" s="232"/>
      <c r="E455" s="232"/>
      <c r="F455" s="232"/>
      <c r="G455" s="232"/>
      <c r="H455" s="232"/>
      <c r="I455" s="232"/>
      <c r="J455" s="232"/>
      <c r="K455" s="196">
        <v>0</v>
      </c>
      <c r="L455" s="204">
        <v>0</v>
      </c>
      <c r="M455" s="209">
        <v>0</v>
      </c>
      <c r="N455" s="199">
        <v>680</v>
      </c>
      <c r="O455" s="237">
        <v>1361248</v>
      </c>
      <c r="P455" s="200">
        <v>0</v>
      </c>
      <c r="Q455" s="199">
        <v>0</v>
      </c>
      <c r="R455" s="230">
        <v>0</v>
      </c>
      <c r="S455" s="237">
        <v>0</v>
      </c>
      <c r="T455" s="208">
        <v>0</v>
      </c>
      <c r="U455" s="294">
        <v>0</v>
      </c>
      <c r="V455" s="282"/>
      <c r="W455" s="282"/>
      <c r="X455" s="282"/>
    </row>
    <row r="456" spans="1:33" ht="24" customHeight="1">
      <c r="A456" s="430"/>
      <c r="B456" s="464" t="s">
        <v>59</v>
      </c>
      <c r="C456" s="439">
        <f>C457+C465</f>
        <v>4724118</v>
      </c>
      <c r="D456" s="439">
        <f t="shared" ref="D456:V456" si="60">D457+D465</f>
        <v>1051127</v>
      </c>
      <c r="E456" s="439">
        <f t="shared" si="60"/>
        <v>210013</v>
      </c>
      <c r="F456" s="439">
        <f t="shared" si="60"/>
        <v>0</v>
      </c>
      <c r="G456" s="439">
        <f t="shared" si="60"/>
        <v>483326</v>
      </c>
      <c r="H456" s="439">
        <f t="shared" si="60"/>
        <v>162505</v>
      </c>
      <c r="I456" s="439">
        <f t="shared" si="60"/>
        <v>0</v>
      </c>
      <c r="J456" s="439">
        <f t="shared" si="60"/>
        <v>195283</v>
      </c>
      <c r="K456" s="439">
        <f t="shared" si="60"/>
        <v>0</v>
      </c>
      <c r="L456" s="439">
        <f t="shared" si="60"/>
        <v>0</v>
      </c>
      <c r="M456" s="439">
        <f t="shared" si="60"/>
        <v>0</v>
      </c>
      <c r="N456" s="439">
        <f t="shared" si="60"/>
        <v>1617</v>
      </c>
      <c r="O456" s="439">
        <f t="shared" si="60"/>
        <v>1131900</v>
      </c>
      <c r="P456" s="439">
        <f t="shared" si="60"/>
        <v>0</v>
      </c>
      <c r="Q456" s="439">
        <f t="shared" si="60"/>
        <v>0</v>
      </c>
      <c r="R456" s="439">
        <f t="shared" si="60"/>
        <v>136.30000000000004</v>
      </c>
      <c r="S456" s="439">
        <f t="shared" si="60"/>
        <v>1812817</v>
      </c>
      <c r="T456" s="439">
        <f t="shared" si="60"/>
        <v>799</v>
      </c>
      <c r="U456" s="439">
        <f t="shared" si="60"/>
        <v>728274</v>
      </c>
      <c r="V456" s="439">
        <f t="shared" si="60"/>
        <v>0</v>
      </c>
      <c r="W456" s="282"/>
      <c r="X456" s="282"/>
    </row>
    <row r="457" spans="1:33" ht="27.6">
      <c r="A457" s="430"/>
      <c r="B457" s="465" t="s">
        <v>86</v>
      </c>
      <c r="C457" s="556">
        <f>C458+C459+C460+C461+C462+C463+C464</f>
        <v>1839043</v>
      </c>
      <c r="D457" s="556">
        <f t="shared" ref="D457:U457" si="61">D458+D459+D460+D461+D462+D463+D464</f>
        <v>567801</v>
      </c>
      <c r="E457" s="556">
        <f t="shared" si="61"/>
        <v>210013</v>
      </c>
      <c r="F457" s="556">
        <f t="shared" si="61"/>
        <v>0</v>
      </c>
      <c r="G457" s="556">
        <f t="shared" si="61"/>
        <v>0</v>
      </c>
      <c r="H457" s="556">
        <f t="shared" si="61"/>
        <v>162505</v>
      </c>
      <c r="I457" s="556">
        <f t="shared" si="61"/>
        <v>0</v>
      </c>
      <c r="J457" s="556">
        <f t="shared" si="61"/>
        <v>195283</v>
      </c>
      <c r="K457" s="556">
        <f t="shared" si="61"/>
        <v>0</v>
      </c>
      <c r="L457" s="556">
        <f t="shared" si="61"/>
        <v>0</v>
      </c>
      <c r="M457" s="556">
        <f t="shared" si="61"/>
        <v>0</v>
      </c>
      <c r="N457" s="556">
        <f t="shared" si="61"/>
        <v>1617</v>
      </c>
      <c r="O457" s="556">
        <f t="shared" si="61"/>
        <v>1131900</v>
      </c>
      <c r="P457" s="556">
        <f t="shared" si="61"/>
        <v>0</v>
      </c>
      <c r="Q457" s="556">
        <f t="shared" si="61"/>
        <v>0</v>
      </c>
      <c r="R457" s="556">
        <f t="shared" si="61"/>
        <v>0</v>
      </c>
      <c r="S457" s="556">
        <f t="shared" si="61"/>
        <v>0</v>
      </c>
      <c r="T457" s="556">
        <f t="shared" si="61"/>
        <v>471</v>
      </c>
      <c r="U457" s="556">
        <f t="shared" si="61"/>
        <v>139342</v>
      </c>
      <c r="V457" s="282"/>
      <c r="W457" s="282"/>
      <c r="X457" s="282"/>
      <c r="Y457" s="30"/>
      <c r="Z457" s="30"/>
    </row>
    <row r="458" spans="1:33" ht="15.6">
      <c r="A458" s="430">
        <v>376</v>
      </c>
      <c r="B458" s="915" t="s">
        <v>361</v>
      </c>
      <c r="C458" s="556">
        <f>'часть 1'!L538</f>
        <v>392000</v>
      </c>
      <c r="D458" s="556">
        <f>E458+F458+G458+H458+I458+J458+K458</f>
        <v>0</v>
      </c>
      <c r="E458" s="556">
        <v>0</v>
      </c>
      <c r="F458" s="556">
        <v>0</v>
      </c>
      <c r="G458" s="556">
        <v>0</v>
      </c>
      <c r="H458" s="556">
        <v>0</v>
      </c>
      <c r="I458" s="556">
        <v>0</v>
      </c>
      <c r="J458" s="556">
        <v>0</v>
      </c>
      <c r="K458" s="556">
        <v>0</v>
      </c>
      <c r="L458" s="917">
        <v>0</v>
      </c>
      <c r="M458" s="556">
        <v>0</v>
      </c>
      <c r="N458" s="556">
        <v>560</v>
      </c>
      <c r="O458" s="556">
        <v>392000</v>
      </c>
      <c r="P458" s="918">
        <v>0</v>
      </c>
      <c r="Q458" s="556">
        <v>0</v>
      </c>
      <c r="R458" s="556">
        <v>0</v>
      </c>
      <c r="S458" s="556">
        <v>0</v>
      </c>
      <c r="T458" s="917">
        <v>0</v>
      </c>
      <c r="U458" s="919">
        <v>0</v>
      </c>
      <c r="V458" s="282"/>
      <c r="W458" s="282">
        <f>O458/N458</f>
        <v>700</v>
      </c>
      <c r="X458" s="282"/>
      <c r="Y458" s="92"/>
      <c r="Z458" s="92"/>
    </row>
    <row r="459" spans="1:33" ht="15.6">
      <c r="A459" s="430">
        <v>377</v>
      </c>
      <c r="B459" s="915" t="s">
        <v>434</v>
      </c>
      <c r="C459" s="556">
        <f>'часть 1'!L539</f>
        <v>340900</v>
      </c>
      <c r="D459" s="556">
        <f t="shared" ref="D459:D464" si="62">E459+F459+G459+H459+I459+J459+K459</f>
        <v>0</v>
      </c>
      <c r="E459" s="556">
        <v>0</v>
      </c>
      <c r="F459" s="556">
        <v>0</v>
      </c>
      <c r="G459" s="556">
        <v>0</v>
      </c>
      <c r="H459" s="556">
        <v>0</v>
      </c>
      <c r="I459" s="556">
        <v>0</v>
      </c>
      <c r="J459" s="556">
        <v>0</v>
      </c>
      <c r="K459" s="556">
        <v>0</v>
      </c>
      <c r="L459" s="917">
        <v>0</v>
      </c>
      <c r="M459" s="556">
        <v>0</v>
      </c>
      <c r="N459" s="556">
        <v>487</v>
      </c>
      <c r="O459" s="556">
        <v>340900</v>
      </c>
      <c r="P459" s="918">
        <v>0</v>
      </c>
      <c r="Q459" s="556">
        <v>0</v>
      </c>
      <c r="R459" s="920">
        <v>0</v>
      </c>
      <c r="S459" s="556">
        <v>0</v>
      </c>
      <c r="T459" s="917">
        <v>0</v>
      </c>
      <c r="U459" s="919">
        <v>0</v>
      </c>
      <c r="V459" s="282"/>
      <c r="W459" s="282">
        <f>O459/N459</f>
        <v>700</v>
      </c>
      <c r="X459" s="282"/>
      <c r="Y459" s="92"/>
      <c r="Z459" s="92"/>
    </row>
    <row r="460" spans="1:33" ht="25.2" customHeight="1">
      <c r="A460" s="430">
        <v>378</v>
      </c>
      <c r="B460" s="915" t="s">
        <v>362</v>
      </c>
      <c r="C460" s="556">
        <f>'часть 1'!L540</f>
        <v>399000</v>
      </c>
      <c r="D460" s="556">
        <f t="shared" si="62"/>
        <v>0</v>
      </c>
      <c r="E460" s="556">
        <v>0</v>
      </c>
      <c r="F460" s="556">
        <v>0</v>
      </c>
      <c r="G460" s="556">
        <v>0</v>
      </c>
      <c r="H460" s="556">
        <v>0</v>
      </c>
      <c r="I460" s="556">
        <v>0</v>
      </c>
      <c r="J460" s="556">
        <v>0</v>
      </c>
      <c r="K460" s="556">
        <v>0</v>
      </c>
      <c r="L460" s="917">
        <v>0</v>
      </c>
      <c r="M460" s="556">
        <v>0</v>
      </c>
      <c r="N460" s="556">
        <v>570</v>
      </c>
      <c r="O460" s="556">
        <v>399000</v>
      </c>
      <c r="P460" s="918">
        <v>0</v>
      </c>
      <c r="Q460" s="556">
        <v>0</v>
      </c>
      <c r="R460" s="556">
        <v>0</v>
      </c>
      <c r="S460" s="556">
        <v>0</v>
      </c>
      <c r="T460" s="917">
        <v>0</v>
      </c>
      <c r="U460" s="919">
        <v>0</v>
      </c>
      <c r="V460" s="282"/>
      <c r="W460" s="282">
        <f>O460/N460</f>
        <v>700</v>
      </c>
      <c r="X460" s="282"/>
      <c r="Y460" s="92"/>
      <c r="Z460" s="92"/>
    </row>
    <row r="461" spans="1:33" ht="15.6">
      <c r="A461" s="430">
        <v>379</v>
      </c>
      <c r="B461" s="915" t="s">
        <v>363</v>
      </c>
      <c r="C461" s="556">
        <f>'часть 1'!L541</f>
        <v>216335</v>
      </c>
      <c r="D461" s="556">
        <f t="shared" si="62"/>
        <v>216335</v>
      </c>
      <c r="E461" s="556">
        <v>0</v>
      </c>
      <c r="F461" s="556">
        <v>0</v>
      </c>
      <c r="G461" s="556">
        <v>0</v>
      </c>
      <c r="H461" s="556">
        <v>60242</v>
      </c>
      <c r="I461" s="556"/>
      <c r="J461" s="556">
        <v>156093</v>
      </c>
      <c r="K461" s="556">
        <v>0</v>
      </c>
      <c r="L461" s="917">
        <v>0</v>
      </c>
      <c r="M461" s="556">
        <v>0</v>
      </c>
      <c r="N461" s="556">
        <v>0</v>
      </c>
      <c r="O461" s="556">
        <v>0</v>
      </c>
      <c r="P461" s="918">
        <v>0</v>
      </c>
      <c r="Q461" s="556">
        <v>0</v>
      </c>
      <c r="R461" s="556">
        <v>0</v>
      </c>
      <c r="S461" s="556">
        <v>0</v>
      </c>
      <c r="T461" s="917">
        <v>0</v>
      </c>
      <c r="U461" s="919">
        <v>0</v>
      </c>
      <c r="V461" s="282"/>
      <c r="W461" s="282"/>
      <c r="X461" s="282"/>
      <c r="Y461" s="92"/>
      <c r="Z461" s="92"/>
      <c r="AB461" s="1">
        <f>H461/'часть 1'!I541</f>
        <v>78.064014513411948</v>
      </c>
      <c r="AD461" s="1">
        <f>J461/'часть 1'!I541</f>
        <v>202.27160813787739</v>
      </c>
    </row>
    <row r="462" spans="1:33" ht="19.95" customHeight="1">
      <c r="A462" s="430">
        <v>380</v>
      </c>
      <c r="B462" s="915" t="s">
        <v>364</v>
      </c>
      <c r="C462" s="556">
        <f>'часть 1'!L542</f>
        <v>243345</v>
      </c>
      <c r="D462" s="556">
        <f t="shared" si="62"/>
        <v>243345</v>
      </c>
      <c r="E462" s="556">
        <v>210013</v>
      </c>
      <c r="F462" s="556">
        <v>0</v>
      </c>
      <c r="G462" s="556">
        <v>0</v>
      </c>
      <c r="H462" s="556">
        <v>0</v>
      </c>
      <c r="I462" s="556">
        <v>0</v>
      </c>
      <c r="J462" s="556">
        <v>33332</v>
      </c>
      <c r="K462" s="556">
        <v>0</v>
      </c>
      <c r="L462" s="917">
        <v>0</v>
      </c>
      <c r="M462" s="556">
        <v>0</v>
      </c>
      <c r="N462" s="556">
        <v>0</v>
      </c>
      <c r="O462" s="556">
        <v>0</v>
      </c>
      <c r="P462" s="918">
        <v>0</v>
      </c>
      <c r="Q462" s="556">
        <v>0</v>
      </c>
      <c r="R462" s="920">
        <v>0</v>
      </c>
      <c r="S462" s="556">
        <v>0</v>
      </c>
      <c r="T462" s="917">
        <v>0</v>
      </c>
      <c r="U462" s="919">
        <v>0</v>
      </c>
      <c r="V462" s="282"/>
      <c r="W462" s="282"/>
      <c r="X462" s="282"/>
      <c r="Y462" s="92">
        <f>E462/'часть 1'!I542</f>
        <v>695.40728476821187</v>
      </c>
      <c r="Z462" s="92"/>
      <c r="AD462" s="1">
        <f>J462/'часть 1'!I542</f>
        <v>110.37086092715232</v>
      </c>
    </row>
    <row r="463" spans="1:33" ht="22.2" customHeight="1">
      <c r="A463" s="430">
        <v>381</v>
      </c>
      <c r="B463" s="915" t="s">
        <v>365</v>
      </c>
      <c r="C463" s="556">
        <f>'часть 1'!L543</f>
        <v>139342</v>
      </c>
      <c r="D463" s="556">
        <f t="shared" si="62"/>
        <v>0</v>
      </c>
      <c r="E463" s="556">
        <v>0</v>
      </c>
      <c r="F463" s="556">
        <v>0</v>
      </c>
      <c r="G463" s="556">
        <v>0</v>
      </c>
      <c r="H463" s="556">
        <v>0</v>
      </c>
      <c r="I463" s="556">
        <v>0</v>
      </c>
      <c r="J463" s="556">
        <v>0</v>
      </c>
      <c r="K463" s="556">
        <v>0</v>
      </c>
      <c r="L463" s="917">
        <v>0</v>
      </c>
      <c r="M463" s="556">
        <v>0</v>
      </c>
      <c r="N463" s="556">
        <v>0</v>
      </c>
      <c r="O463" s="556">
        <v>0</v>
      </c>
      <c r="P463" s="918">
        <v>0</v>
      </c>
      <c r="Q463" s="556">
        <v>0</v>
      </c>
      <c r="R463" s="556">
        <v>0</v>
      </c>
      <c r="S463" s="556">
        <v>0</v>
      </c>
      <c r="T463" s="917">
        <v>471</v>
      </c>
      <c r="U463" s="919">
        <v>139342</v>
      </c>
      <c r="V463" s="282"/>
      <c r="W463" s="282"/>
      <c r="X463" s="282"/>
      <c r="Y463" s="92"/>
      <c r="Z463" s="92"/>
      <c r="AG463" s="1">
        <f>U463/T463</f>
        <v>295.84288747346073</v>
      </c>
    </row>
    <row r="464" spans="1:33" ht="29.4" customHeight="1">
      <c r="A464" s="430">
        <v>382</v>
      </c>
      <c r="B464" s="915" t="s">
        <v>366</v>
      </c>
      <c r="C464" s="556">
        <f>'часть 1'!L544</f>
        <v>108121</v>
      </c>
      <c r="D464" s="556">
        <f t="shared" si="62"/>
        <v>108121</v>
      </c>
      <c r="E464" s="556">
        <v>0</v>
      </c>
      <c r="F464" s="556">
        <v>0</v>
      </c>
      <c r="G464" s="556">
        <v>0</v>
      </c>
      <c r="H464" s="556">
        <v>102263</v>
      </c>
      <c r="I464" s="556">
        <v>0</v>
      </c>
      <c r="J464" s="556">
        <v>5858</v>
      </c>
      <c r="K464" s="556">
        <v>0</v>
      </c>
      <c r="L464" s="917">
        <v>0</v>
      </c>
      <c r="M464" s="556">
        <v>0</v>
      </c>
      <c r="N464" s="556">
        <v>0</v>
      </c>
      <c r="O464" s="556">
        <v>0</v>
      </c>
      <c r="P464" s="918">
        <v>0</v>
      </c>
      <c r="Q464" s="556">
        <v>0</v>
      </c>
      <c r="R464" s="556">
        <v>0</v>
      </c>
      <c r="S464" s="556">
        <v>0</v>
      </c>
      <c r="T464" s="917">
        <v>0</v>
      </c>
      <c r="U464" s="919">
        <v>0</v>
      </c>
      <c r="V464" s="282"/>
      <c r="W464" s="282"/>
      <c r="X464" s="282"/>
      <c r="Y464" s="92"/>
      <c r="Z464" s="92"/>
      <c r="AB464" s="1">
        <f>H464/'часть 1'!I544</f>
        <v>103.6834634492548</v>
      </c>
    </row>
    <row r="465" spans="1:33" ht="27.6">
      <c r="A465" s="430"/>
      <c r="B465" s="465" t="s">
        <v>85</v>
      </c>
      <c r="C465" s="556">
        <f>C466+C467+C468+C469+C470+C471+C472+C473+C474+C475+C476+C477+C478+C479+C480+C481+C482+C483+C484+C485+C486+C487+C488+C489+C490+C491+C492+C493+C494+C495+C496+C497+C498+C499+C500</f>
        <v>2885075</v>
      </c>
      <c r="D465" s="556">
        <f t="shared" ref="D465:V465" si="63">D466+D467+D468+D469+D470+D471+D472+D473+D474+D475+D476+D477+D478+D479+D480+D481+D482+D483+D484+D485+D486+D487+D488+D489+D490+D491+D492+D493+D494+D495+D496+D497+D498+D499+D500</f>
        <v>483326</v>
      </c>
      <c r="E465" s="556">
        <f t="shared" si="63"/>
        <v>0</v>
      </c>
      <c r="F465" s="556">
        <f t="shared" si="63"/>
        <v>0</v>
      </c>
      <c r="G465" s="556">
        <f t="shared" si="63"/>
        <v>483326</v>
      </c>
      <c r="H465" s="556">
        <f t="shared" si="63"/>
        <v>0</v>
      </c>
      <c r="I465" s="556">
        <f t="shared" si="63"/>
        <v>0</v>
      </c>
      <c r="J465" s="556">
        <f t="shared" si="63"/>
        <v>0</v>
      </c>
      <c r="K465" s="556">
        <f t="shared" si="63"/>
        <v>0</v>
      </c>
      <c r="L465" s="556">
        <f t="shared" si="63"/>
        <v>0</v>
      </c>
      <c r="M465" s="556">
        <f t="shared" si="63"/>
        <v>0</v>
      </c>
      <c r="N465" s="556">
        <f t="shared" si="63"/>
        <v>0</v>
      </c>
      <c r="O465" s="556">
        <f t="shared" si="63"/>
        <v>0</v>
      </c>
      <c r="P465" s="556">
        <f t="shared" si="63"/>
        <v>0</v>
      </c>
      <c r="Q465" s="556">
        <f t="shared" si="63"/>
        <v>0</v>
      </c>
      <c r="R465" s="556">
        <f t="shared" si="63"/>
        <v>136.30000000000004</v>
      </c>
      <c r="S465" s="556">
        <f t="shared" si="63"/>
        <v>1812817</v>
      </c>
      <c r="T465" s="556">
        <f t="shared" si="63"/>
        <v>328</v>
      </c>
      <c r="U465" s="556">
        <f t="shared" si="63"/>
        <v>588932</v>
      </c>
      <c r="V465" s="210">
        <f t="shared" si="63"/>
        <v>0</v>
      </c>
      <c r="W465" s="282"/>
      <c r="X465" s="282"/>
      <c r="Y465" s="92"/>
      <c r="Z465" s="92"/>
    </row>
    <row r="466" spans="1:33" ht="15.6">
      <c r="A466" s="430">
        <v>1</v>
      </c>
      <c r="B466" s="915" t="s">
        <v>890</v>
      </c>
      <c r="C466" s="556">
        <f>'часть 1'!L546</f>
        <v>25264</v>
      </c>
      <c r="D466" s="556">
        <f>E466+F466+G466+H466+I466+J466+K466</f>
        <v>0</v>
      </c>
      <c r="E466" s="556">
        <v>0</v>
      </c>
      <c r="F466" s="556">
        <v>0</v>
      </c>
      <c r="G466" s="556">
        <v>0</v>
      </c>
      <c r="H466" s="556">
        <v>0</v>
      </c>
      <c r="I466" s="556">
        <v>0</v>
      </c>
      <c r="J466" s="556">
        <v>0</v>
      </c>
      <c r="K466" s="556">
        <v>0</v>
      </c>
      <c r="L466" s="917">
        <v>0</v>
      </c>
      <c r="M466" s="556">
        <v>0</v>
      </c>
      <c r="N466" s="556">
        <v>0</v>
      </c>
      <c r="O466" s="556">
        <v>0</v>
      </c>
      <c r="P466" s="918">
        <v>0</v>
      </c>
      <c r="Q466" s="556">
        <v>0</v>
      </c>
      <c r="R466" s="556">
        <v>2.1</v>
      </c>
      <c r="S466" s="556">
        <v>25264</v>
      </c>
      <c r="T466" s="921">
        <v>0</v>
      </c>
      <c r="U466" s="922">
        <v>0</v>
      </c>
      <c r="V466" s="282"/>
      <c r="W466" s="282">
        <f>S466/R466</f>
        <v>12030.476190476191</v>
      </c>
      <c r="X466" s="282"/>
      <c r="Y466" s="92"/>
      <c r="Z466" s="92"/>
    </row>
    <row r="467" spans="1:33" ht="15.6">
      <c r="A467" s="430">
        <v>2</v>
      </c>
      <c r="B467" s="915" t="s">
        <v>891</v>
      </c>
      <c r="C467" s="556">
        <f>'часть 1'!L547</f>
        <v>25312</v>
      </c>
      <c r="D467" s="556">
        <f t="shared" ref="D467:D500" si="64">E467+F467+G467+H467+I467+J467+K467</f>
        <v>0</v>
      </c>
      <c r="E467" s="556">
        <v>0</v>
      </c>
      <c r="F467" s="556">
        <v>0</v>
      </c>
      <c r="G467" s="556">
        <v>0</v>
      </c>
      <c r="H467" s="556">
        <v>0</v>
      </c>
      <c r="I467" s="556">
        <v>0</v>
      </c>
      <c r="J467" s="556">
        <v>0</v>
      </c>
      <c r="K467" s="556">
        <v>0</v>
      </c>
      <c r="L467" s="917">
        <v>0</v>
      </c>
      <c r="M467" s="556">
        <v>0</v>
      </c>
      <c r="N467" s="556">
        <v>0</v>
      </c>
      <c r="O467" s="556">
        <v>0</v>
      </c>
      <c r="P467" s="918">
        <v>0</v>
      </c>
      <c r="Q467" s="556">
        <v>0</v>
      </c>
      <c r="R467" s="556">
        <v>2.1</v>
      </c>
      <c r="S467" s="556">
        <v>25312</v>
      </c>
      <c r="T467" s="921">
        <v>0</v>
      </c>
      <c r="U467" s="922">
        <v>0</v>
      </c>
      <c r="V467" s="282"/>
      <c r="W467" s="282"/>
      <c r="X467" s="282"/>
      <c r="Y467" s="92"/>
      <c r="Z467" s="92"/>
    </row>
    <row r="468" spans="1:33" ht="15.6">
      <c r="A468" s="430">
        <v>3</v>
      </c>
      <c r="B468" s="915" t="s">
        <v>892</v>
      </c>
      <c r="C468" s="556">
        <f>'часть 1'!L548</f>
        <v>25264</v>
      </c>
      <c r="D468" s="556">
        <f t="shared" si="64"/>
        <v>0</v>
      </c>
      <c r="E468" s="556">
        <v>0</v>
      </c>
      <c r="F468" s="556">
        <v>0</v>
      </c>
      <c r="G468" s="556">
        <v>0</v>
      </c>
      <c r="H468" s="556">
        <v>0</v>
      </c>
      <c r="I468" s="556">
        <v>0</v>
      </c>
      <c r="J468" s="556">
        <v>0</v>
      </c>
      <c r="K468" s="556">
        <v>0</v>
      </c>
      <c r="L468" s="917">
        <v>0</v>
      </c>
      <c r="M468" s="556">
        <v>0</v>
      </c>
      <c r="N468" s="556">
        <v>0</v>
      </c>
      <c r="O468" s="556">
        <v>0</v>
      </c>
      <c r="P468" s="918">
        <v>0</v>
      </c>
      <c r="Q468" s="556">
        <v>0</v>
      </c>
      <c r="R468" s="556">
        <v>1.9</v>
      </c>
      <c r="S468" s="556">
        <v>25264</v>
      </c>
      <c r="T468" s="921">
        <v>0</v>
      </c>
      <c r="U468" s="922">
        <v>0</v>
      </c>
      <c r="V468" s="282"/>
      <c r="W468" s="282"/>
      <c r="X468" s="282"/>
      <c r="Y468" s="92"/>
      <c r="Z468" s="92"/>
    </row>
    <row r="469" spans="1:33" ht="15.6">
      <c r="A469" s="430">
        <v>4</v>
      </c>
      <c r="B469" s="915" t="s">
        <v>893</v>
      </c>
      <c r="C469" s="556">
        <f>'часть 1'!L549</f>
        <v>284600</v>
      </c>
      <c r="D469" s="556">
        <f t="shared" si="64"/>
        <v>234120</v>
      </c>
      <c r="E469" s="556">
        <v>0</v>
      </c>
      <c r="F469" s="556">
        <v>0</v>
      </c>
      <c r="G469" s="556">
        <v>234120</v>
      </c>
      <c r="H469" s="556">
        <v>0</v>
      </c>
      <c r="I469" s="556">
        <v>0</v>
      </c>
      <c r="J469" s="556">
        <v>0</v>
      </c>
      <c r="K469" s="556">
        <v>0</v>
      </c>
      <c r="L469" s="917">
        <v>0</v>
      </c>
      <c r="M469" s="556">
        <v>0</v>
      </c>
      <c r="N469" s="556">
        <v>0</v>
      </c>
      <c r="O469" s="556">
        <v>0</v>
      </c>
      <c r="P469" s="918">
        <v>0</v>
      </c>
      <c r="Q469" s="556">
        <v>0</v>
      </c>
      <c r="R469" s="556">
        <v>4.3</v>
      </c>
      <c r="S469" s="556">
        <v>50480</v>
      </c>
      <c r="T469" s="921">
        <v>0</v>
      </c>
      <c r="U469" s="922">
        <v>0</v>
      </c>
      <c r="V469" s="282"/>
      <c r="W469" s="282"/>
      <c r="X469" s="282"/>
      <c r="Y469" s="92"/>
      <c r="Z469" s="92"/>
    </row>
    <row r="470" spans="1:33" ht="15.6">
      <c r="A470" s="430">
        <v>5</v>
      </c>
      <c r="B470" s="915" t="s">
        <v>894</v>
      </c>
      <c r="C470" s="556">
        <f>'часть 1'!L550</f>
        <v>25505</v>
      </c>
      <c r="D470" s="556">
        <f t="shared" si="64"/>
        <v>0</v>
      </c>
      <c r="E470" s="556">
        <v>0</v>
      </c>
      <c r="F470" s="556">
        <v>0</v>
      </c>
      <c r="G470" s="556">
        <v>0</v>
      </c>
      <c r="H470" s="556">
        <v>0</v>
      </c>
      <c r="I470" s="556">
        <v>0</v>
      </c>
      <c r="J470" s="556">
        <v>0</v>
      </c>
      <c r="K470" s="556">
        <v>0</v>
      </c>
      <c r="L470" s="917">
        <v>0</v>
      </c>
      <c r="M470" s="556">
        <v>0</v>
      </c>
      <c r="N470" s="556">
        <v>0</v>
      </c>
      <c r="O470" s="556">
        <v>0</v>
      </c>
      <c r="P470" s="918">
        <v>0</v>
      </c>
      <c r="Q470" s="556">
        <v>0</v>
      </c>
      <c r="R470" s="556">
        <v>1.9</v>
      </c>
      <c r="S470" s="556">
        <v>25505</v>
      </c>
      <c r="T470" s="921">
        <v>0</v>
      </c>
      <c r="U470" s="922">
        <v>0</v>
      </c>
      <c r="V470" s="282"/>
      <c r="W470" s="282"/>
      <c r="X470" s="282"/>
      <c r="Y470" s="92"/>
      <c r="Z470" s="92"/>
    </row>
    <row r="471" spans="1:33" ht="15.6">
      <c r="A471" s="430">
        <v>6</v>
      </c>
      <c r="B471" s="915" t="s">
        <v>895</v>
      </c>
      <c r="C471" s="556">
        <f>'часть 1'!L551</f>
        <v>25168</v>
      </c>
      <c r="D471" s="556">
        <f t="shared" si="64"/>
        <v>0</v>
      </c>
      <c r="E471" s="556">
        <v>0</v>
      </c>
      <c r="F471" s="556">
        <v>0</v>
      </c>
      <c r="G471" s="556">
        <v>0</v>
      </c>
      <c r="H471" s="556">
        <v>0</v>
      </c>
      <c r="I471" s="556">
        <v>0</v>
      </c>
      <c r="J471" s="556">
        <v>0</v>
      </c>
      <c r="K471" s="556">
        <v>0</v>
      </c>
      <c r="L471" s="917">
        <v>0</v>
      </c>
      <c r="M471" s="556">
        <v>0</v>
      </c>
      <c r="N471" s="556">
        <v>0</v>
      </c>
      <c r="O471" s="556">
        <v>0</v>
      </c>
      <c r="P471" s="918">
        <v>0</v>
      </c>
      <c r="Q471" s="556">
        <v>0</v>
      </c>
      <c r="R471" s="556">
        <v>2.1</v>
      </c>
      <c r="S471" s="556">
        <v>25168</v>
      </c>
      <c r="T471" s="921">
        <v>0</v>
      </c>
      <c r="U471" s="922">
        <v>0</v>
      </c>
      <c r="V471" s="282"/>
      <c r="W471" s="282"/>
      <c r="X471" s="282"/>
      <c r="Y471" s="92"/>
      <c r="Z471" s="92"/>
    </row>
    <row r="472" spans="1:33" ht="15.6">
      <c r="A472" s="430">
        <v>7</v>
      </c>
      <c r="B472" s="915" t="s">
        <v>896</v>
      </c>
      <c r="C472" s="556">
        <f>'часть 1'!L552</f>
        <v>299445</v>
      </c>
      <c r="D472" s="556">
        <f t="shared" si="64"/>
        <v>249206</v>
      </c>
      <c r="E472" s="556">
        <v>0</v>
      </c>
      <c r="F472" s="556">
        <v>0</v>
      </c>
      <c r="G472" s="556">
        <v>249206</v>
      </c>
      <c r="H472" s="556">
        <v>0</v>
      </c>
      <c r="I472" s="556">
        <v>0</v>
      </c>
      <c r="J472" s="556">
        <v>0</v>
      </c>
      <c r="K472" s="556">
        <v>0</v>
      </c>
      <c r="L472" s="917">
        <v>0</v>
      </c>
      <c r="M472" s="556">
        <v>0</v>
      </c>
      <c r="N472" s="556">
        <v>0</v>
      </c>
      <c r="O472" s="556">
        <v>0</v>
      </c>
      <c r="P472" s="918">
        <v>0</v>
      </c>
      <c r="Q472" s="556">
        <v>0</v>
      </c>
      <c r="R472" s="556">
        <v>4.2</v>
      </c>
      <c r="S472" s="556">
        <v>50239</v>
      </c>
      <c r="T472" s="921">
        <v>0</v>
      </c>
      <c r="U472" s="922">
        <v>0</v>
      </c>
      <c r="V472" s="282"/>
      <c r="W472" s="282"/>
      <c r="X472" s="282"/>
      <c r="Y472" s="92"/>
      <c r="Z472" s="92"/>
    </row>
    <row r="473" spans="1:33" ht="15.6">
      <c r="A473" s="430">
        <v>8</v>
      </c>
      <c r="B473" s="915" t="s">
        <v>897</v>
      </c>
      <c r="C473" s="556">
        <f>'часть 1'!L553</f>
        <v>32502</v>
      </c>
      <c r="D473" s="556">
        <f t="shared" si="64"/>
        <v>0</v>
      </c>
      <c r="E473" s="556">
        <v>0</v>
      </c>
      <c r="F473" s="556">
        <v>0</v>
      </c>
      <c r="G473" s="556">
        <v>0</v>
      </c>
      <c r="H473" s="556">
        <v>0</v>
      </c>
      <c r="I473" s="556">
        <v>0</v>
      </c>
      <c r="J473" s="556">
        <v>0</v>
      </c>
      <c r="K473" s="556">
        <v>0</v>
      </c>
      <c r="L473" s="917">
        <v>0</v>
      </c>
      <c r="M473" s="556">
        <v>0</v>
      </c>
      <c r="N473" s="556">
        <v>0</v>
      </c>
      <c r="O473" s="556">
        <v>0</v>
      </c>
      <c r="P473" s="918">
        <v>0</v>
      </c>
      <c r="Q473" s="556">
        <v>0</v>
      </c>
      <c r="R473" s="556">
        <v>3.7</v>
      </c>
      <c r="S473" s="556">
        <v>32502</v>
      </c>
      <c r="T473" s="921">
        <v>0</v>
      </c>
      <c r="U473" s="922">
        <v>0</v>
      </c>
      <c r="V473" s="282"/>
      <c r="W473" s="282"/>
      <c r="X473" s="282"/>
      <c r="Y473" s="92"/>
      <c r="Z473" s="92"/>
    </row>
    <row r="474" spans="1:33" ht="15.6">
      <c r="A474" s="430">
        <v>9</v>
      </c>
      <c r="B474" s="915" t="s">
        <v>898</v>
      </c>
      <c r="C474" s="556">
        <f>'часть 1'!L554</f>
        <v>50721</v>
      </c>
      <c r="D474" s="556">
        <f t="shared" si="64"/>
        <v>0</v>
      </c>
      <c r="E474" s="556">
        <v>0</v>
      </c>
      <c r="F474" s="556">
        <v>0</v>
      </c>
      <c r="G474" s="556">
        <v>0</v>
      </c>
      <c r="H474" s="556">
        <v>0</v>
      </c>
      <c r="I474" s="556">
        <v>0</v>
      </c>
      <c r="J474" s="556">
        <v>0</v>
      </c>
      <c r="K474" s="556">
        <v>0</v>
      </c>
      <c r="L474" s="917">
        <v>0</v>
      </c>
      <c r="M474" s="556">
        <v>0</v>
      </c>
      <c r="N474" s="556">
        <v>0</v>
      </c>
      <c r="O474" s="556">
        <v>0</v>
      </c>
      <c r="P474" s="918">
        <v>0</v>
      </c>
      <c r="Q474" s="556">
        <v>0</v>
      </c>
      <c r="R474" s="556">
        <v>4.3</v>
      </c>
      <c r="S474" s="556">
        <v>50721</v>
      </c>
      <c r="T474" s="921">
        <v>0</v>
      </c>
      <c r="U474" s="922">
        <v>0</v>
      </c>
      <c r="V474" s="282"/>
      <c r="W474" s="282"/>
      <c r="X474" s="282"/>
      <c r="Y474" s="92"/>
      <c r="Z474" s="92"/>
    </row>
    <row r="475" spans="1:33" ht="15.6">
      <c r="A475" s="430">
        <v>10</v>
      </c>
      <c r="B475" s="915" t="s">
        <v>899</v>
      </c>
      <c r="C475" s="556">
        <f>'часть 1'!L555</f>
        <v>257869</v>
      </c>
      <c r="D475" s="556">
        <f t="shared" si="64"/>
        <v>0</v>
      </c>
      <c r="E475" s="556">
        <v>0</v>
      </c>
      <c r="F475" s="556">
        <v>0</v>
      </c>
      <c r="G475" s="556">
        <v>0</v>
      </c>
      <c r="H475" s="556">
        <v>0</v>
      </c>
      <c r="I475" s="556">
        <v>0</v>
      </c>
      <c r="J475" s="556">
        <v>0</v>
      </c>
      <c r="K475" s="556">
        <v>0</v>
      </c>
      <c r="L475" s="917">
        <v>0</v>
      </c>
      <c r="M475" s="556">
        <v>0</v>
      </c>
      <c r="N475" s="556">
        <v>0</v>
      </c>
      <c r="O475" s="556">
        <v>0</v>
      </c>
      <c r="P475" s="918">
        <v>0</v>
      </c>
      <c r="Q475" s="556">
        <v>0</v>
      </c>
      <c r="R475" s="556">
        <v>4.2</v>
      </c>
      <c r="S475" s="556">
        <v>50335</v>
      </c>
      <c r="T475" s="921">
        <v>116</v>
      </c>
      <c r="U475" s="922">
        <v>207534</v>
      </c>
      <c r="V475" s="282"/>
      <c r="W475" s="282"/>
      <c r="X475" s="282"/>
      <c r="Y475" s="92"/>
      <c r="Z475" s="92"/>
      <c r="AG475" s="1">
        <f>U475/T475</f>
        <v>1789.0862068965516</v>
      </c>
    </row>
    <row r="476" spans="1:33" ht="15.6">
      <c r="A476" s="430">
        <v>11</v>
      </c>
      <c r="B476" s="915" t="s">
        <v>900</v>
      </c>
      <c r="C476" s="556">
        <f>'часть 1'!L556</f>
        <v>28738</v>
      </c>
      <c r="D476" s="556">
        <f t="shared" si="64"/>
        <v>0</v>
      </c>
      <c r="E476" s="556">
        <v>0</v>
      </c>
      <c r="F476" s="556">
        <v>0</v>
      </c>
      <c r="G476" s="556">
        <v>0</v>
      </c>
      <c r="H476" s="556">
        <v>0</v>
      </c>
      <c r="I476" s="556">
        <v>0</v>
      </c>
      <c r="J476" s="556">
        <v>0</v>
      </c>
      <c r="K476" s="556">
        <v>0</v>
      </c>
      <c r="L476" s="917">
        <v>0</v>
      </c>
      <c r="M476" s="556">
        <v>0</v>
      </c>
      <c r="N476" s="556">
        <v>0</v>
      </c>
      <c r="O476" s="556">
        <v>0</v>
      </c>
      <c r="P476" s="918">
        <v>0</v>
      </c>
      <c r="Q476" s="556">
        <v>0</v>
      </c>
      <c r="R476" s="556">
        <v>2.6</v>
      </c>
      <c r="S476" s="556">
        <v>28738</v>
      </c>
      <c r="T476" s="921">
        <v>0</v>
      </c>
      <c r="U476" s="922">
        <v>0</v>
      </c>
      <c r="V476" s="282"/>
      <c r="W476" s="282"/>
      <c r="X476" s="282"/>
      <c r="Y476" s="92"/>
      <c r="Z476" s="92"/>
    </row>
    <row r="477" spans="1:33" ht="15.6">
      <c r="A477" s="430">
        <v>12</v>
      </c>
      <c r="B477" s="915" t="s">
        <v>901</v>
      </c>
      <c r="C477" s="556">
        <f>'часть 1'!L557</f>
        <v>32453</v>
      </c>
      <c r="D477" s="556">
        <f t="shared" si="64"/>
        <v>0</v>
      </c>
      <c r="E477" s="556">
        <v>0</v>
      </c>
      <c r="F477" s="556">
        <v>0</v>
      </c>
      <c r="G477" s="556">
        <v>0</v>
      </c>
      <c r="H477" s="556">
        <v>0</v>
      </c>
      <c r="I477" s="556">
        <v>0</v>
      </c>
      <c r="J477" s="556">
        <v>0</v>
      </c>
      <c r="K477" s="556">
        <v>0</v>
      </c>
      <c r="L477" s="917">
        <v>0</v>
      </c>
      <c r="M477" s="556">
        <v>0</v>
      </c>
      <c r="N477" s="556">
        <v>0</v>
      </c>
      <c r="O477" s="556">
        <v>0</v>
      </c>
      <c r="P477" s="918">
        <v>0</v>
      </c>
      <c r="Q477" s="556">
        <v>0</v>
      </c>
      <c r="R477" s="556">
        <v>3.7</v>
      </c>
      <c r="S477" s="556">
        <v>32453</v>
      </c>
      <c r="T477" s="921">
        <v>0</v>
      </c>
      <c r="U477" s="922">
        <v>0</v>
      </c>
      <c r="V477" s="282"/>
      <c r="W477" s="282"/>
      <c r="X477" s="282"/>
      <c r="Y477" s="92"/>
      <c r="Z477" s="92"/>
    </row>
    <row r="478" spans="1:33" ht="15.6">
      <c r="A478" s="430">
        <v>13</v>
      </c>
      <c r="B478" s="915" t="s">
        <v>902</v>
      </c>
      <c r="C478" s="556">
        <f>'часть 1'!L558</f>
        <v>25023</v>
      </c>
      <c r="D478" s="556">
        <f t="shared" si="64"/>
        <v>0</v>
      </c>
      <c r="E478" s="556">
        <v>0</v>
      </c>
      <c r="F478" s="556">
        <v>0</v>
      </c>
      <c r="G478" s="556">
        <v>0</v>
      </c>
      <c r="H478" s="556">
        <v>0</v>
      </c>
      <c r="I478" s="556">
        <v>0</v>
      </c>
      <c r="J478" s="556">
        <v>0</v>
      </c>
      <c r="K478" s="556">
        <v>0</v>
      </c>
      <c r="L478" s="917">
        <v>0</v>
      </c>
      <c r="M478" s="556">
        <v>0</v>
      </c>
      <c r="N478" s="556">
        <v>0</v>
      </c>
      <c r="O478" s="556">
        <v>0</v>
      </c>
      <c r="P478" s="918">
        <v>0</v>
      </c>
      <c r="Q478" s="556">
        <v>0</v>
      </c>
      <c r="R478" s="556">
        <v>2.1</v>
      </c>
      <c r="S478" s="556">
        <v>25023</v>
      </c>
      <c r="T478" s="921">
        <v>0</v>
      </c>
      <c r="U478" s="922">
        <v>0</v>
      </c>
      <c r="V478" s="282"/>
      <c r="W478" s="282"/>
      <c r="X478" s="282"/>
      <c r="Y478" s="92"/>
      <c r="Z478" s="92"/>
    </row>
    <row r="479" spans="1:33" ht="15.6">
      <c r="A479" s="430">
        <v>14</v>
      </c>
      <c r="B479" s="915" t="s">
        <v>903</v>
      </c>
      <c r="C479" s="556">
        <f>'часть 1'!L559</f>
        <v>25119</v>
      </c>
      <c r="D479" s="556">
        <f t="shared" si="64"/>
        <v>0</v>
      </c>
      <c r="E479" s="556">
        <v>0</v>
      </c>
      <c r="F479" s="556">
        <v>0</v>
      </c>
      <c r="G479" s="556">
        <v>0</v>
      </c>
      <c r="H479" s="556">
        <v>0</v>
      </c>
      <c r="I479" s="556">
        <v>0</v>
      </c>
      <c r="J479" s="556">
        <v>0</v>
      </c>
      <c r="K479" s="556">
        <v>0</v>
      </c>
      <c r="L479" s="917">
        <v>0</v>
      </c>
      <c r="M479" s="556">
        <v>0</v>
      </c>
      <c r="N479" s="556">
        <v>0</v>
      </c>
      <c r="O479" s="556">
        <v>0</v>
      </c>
      <c r="P479" s="918">
        <v>0</v>
      </c>
      <c r="Q479" s="556">
        <v>0</v>
      </c>
      <c r="R479" s="556">
        <v>2.1</v>
      </c>
      <c r="S479" s="556">
        <v>25119</v>
      </c>
      <c r="T479" s="921">
        <v>0</v>
      </c>
      <c r="U479" s="922">
        <v>0</v>
      </c>
      <c r="V479" s="282"/>
      <c r="W479" s="282"/>
      <c r="X479" s="282"/>
      <c r="Y479" s="92"/>
      <c r="Z479" s="92"/>
    </row>
    <row r="480" spans="1:33" ht="15.6">
      <c r="A480" s="430">
        <v>15</v>
      </c>
      <c r="B480" s="915" t="s">
        <v>904</v>
      </c>
      <c r="C480" s="556">
        <f>'часть 1'!L560</f>
        <v>51107</v>
      </c>
      <c r="D480" s="556">
        <f t="shared" si="64"/>
        <v>0</v>
      </c>
      <c r="E480" s="556">
        <v>0</v>
      </c>
      <c r="F480" s="556">
        <v>0</v>
      </c>
      <c r="G480" s="556">
        <v>0</v>
      </c>
      <c r="H480" s="556">
        <v>0</v>
      </c>
      <c r="I480" s="556">
        <v>0</v>
      </c>
      <c r="J480" s="556">
        <v>0</v>
      </c>
      <c r="K480" s="556">
        <v>0</v>
      </c>
      <c r="L480" s="917">
        <v>0</v>
      </c>
      <c r="M480" s="556">
        <v>0</v>
      </c>
      <c r="N480" s="556">
        <v>0</v>
      </c>
      <c r="O480" s="556">
        <v>0</v>
      </c>
      <c r="P480" s="918">
        <v>0</v>
      </c>
      <c r="Q480" s="556">
        <v>0</v>
      </c>
      <c r="R480" s="556">
        <v>4.5</v>
      </c>
      <c r="S480" s="556">
        <v>51107</v>
      </c>
      <c r="T480" s="921">
        <v>0</v>
      </c>
      <c r="U480" s="922">
        <v>0</v>
      </c>
      <c r="V480" s="282"/>
      <c r="W480" s="282"/>
      <c r="X480" s="282"/>
      <c r="Y480" s="92"/>
      <c r="Z480" s="92"/>
    </row>
    <row r="481" spans="1:33" ht="15.6">
      <c r="A481" s="430">
        <v>16</v>
      </c>
      <c r="B481" s="915" t="s">
        <v>905</v>
      </c>
      <c r="C481" s="556">
        <f>'часть 1'!L561</f>
        <v>87488</v>
      </c>
      <c r="D481" s="556">
        <f t="shared" si="64"/>
        <v>0</v>
      </c>
      <c r="E481" s="556">
        <v>0</v>
      </c>
      <c r="F481" s="556">
        <v>0</v>
      </c>
      <c r="G481" s="556">
        <v>0</v>
      </c>
      <c r="H481" s="556">
        <v>0</v>
      </c>
      <c r="I481" s="556">
        <v>0</v>
      </c>
      <c r="J481" s="556">
        <v>0</v>
      </c>
      <c r="K481" s="556">
        <v>0</v>
      </c>
      <c r="L481" s="917">
        <v>0</v>
      </c>
      <c r="M481" s="556">
        <v>0</v>
      </c>
      <c r="N481" s="556">
        <v>0</v>
      </c>
      <c r="O481" s="556">
        <v>0</v>
      </c>
      <c r="P481" s="918">
        <v>0</v>
      </c>
      <c r="Q481" s="556">
        <v>0</v>
      </c>
      <c r="R481" s="556">
        <v>1.5</v>
      </c>
      <c r="S481" s="556">
        <v>87488</v>
      </c>
      <c r="T481" s="921">
        <v>0</v>
      </c>
      <c r="U481" s="922">
        <v>0</v>
      </c>
      <c r="V481" s="282"/>
      <c r="W481" s="282"/>
      <c r="X481" s="282"/>
      <c r="Y481" s="92"/>
      <c r="Z481" s="92"/>
    </row>
    <row r="482" spans="1:33" ht="15.6">
      <c r="A482" s="430">
        <v>17</v>
      </c>
      <c r="B482" s="915" t="s">
        <v>906</v>
      </c>
      <c r="C482" s="556">
        <f>'часть 1'!L562</f>
        <v>87102</v>
      </c>
      <c r="D482" s="556">
        <f t="shared" si="64"/>
        <v>0</v>
      </c>
      <c r="E482" s="556">
        <v>0</v>
      </c>
      <c r="F482" s="556">
        <v>0</v>
      </c>
      <c r="G482" s="556">
        <v>0</v>
      </c>
      <c r="H482" s="556">
        <v>0</v>
      </c>
      <c r="I482" s="556">
        <v>0</v>
      </c>
      <c r="J482" s="556">
        <v>0</v>
      </c>
      <c r="K482" s="556">
        <v>0</v>
      </c>
      <c r="L482" s="917">
        <v>0</v>
      </c>
      <c r="M482" s="556">
        <v>0</v>
      </c>
      <c r="N482" s="556">
        <v>0</v>
      </c>
      <c r="O482" s="556">
        <v>0</v>
      </c>
      <c r="P482" s="918">
        <v>0</v>
      </c>
      <c r="Q482" s="556">
        <v>0</v>
      </c>
      <c r="R482" s="556">
        <v>1.4</v>
      </c>
      <c r="S482" s="556">
        <v>87102</v>
      </c>
      <c r="T482" s="921">
        <v>0</v>
      </c>
      <c r="U482" s="922">
        <v>0</v>
      </c>
      <c r="V482" s="282"/>
      <c r="W482" s="282"/>
      <c r="X482" s="282"/>
      <c r="Y482" s="92"/>
      <c r="Z482" s="92"/>
    </row>
    <row r="483" spans="1:33" ht="15.6">
      <c r="A483" s="430">
        <v>18</v>
      </c>
      <c r="B483" s="915" t="s">
        <v>907</v>
      </c>
      <c r="C483" s="556">
        <f>'часть 1'!L563</f>
        <v>53713</v>
      </c>
      <c r="D483" s="556">
        <f t="shared" si="64"/>
        <v>0</v>
      </c>
      <c r="E483" s="556">
        <v>0</v>
      </c>
      <c r="F483" s="556">
        <v>0</v>
      </c>
      <c r="G483" s="556">
        <v>0</v>
      </c>
      <c r="H483" s="556">
        <v>0</v>
      </c>
      <c r="I483" s="556">
        <v>0</v>
      </c>
      <c r="J483" s="556">
        <v>0</v>
      </c>
      <c r="K483" s="556">
        <v>0</v>
      </c>
      <c r="L483" s="917">
        <v>0</v>
      </c>
      <c r="M483" s="556">
        <v>0</v>
      </c>
      <c r="N483" s="556">
        <v>0</v>
      </c>
      <c r="O483" s="556">
        <v>0</v>
      </c>
      <c r="P483" s="918">
        <v>0</v>
      </c>
      <c r="Q483" s="556">
        <v>0</v>
      </c>
      <c r="R483" s="556">
        <v>5.2</v>
      </c>
      <c r="S483" s="556">
        <v>53713</v>
      </c>
      <c r="T483" s="921">
        <v>0</v>
      </c>
      <c r="U483" s="922">
        <v>0</v>
      </c>
      <c r="V483" s="282"/>
      <c r="W483" s="282"/>
      <c r="X483" s="282"/>
      <c r="Y483" s="92"/>
      <c r="Z483" s="92"/>
    </row>
    <row r="484" spans="1:33" ht="15.6">
      <c r="A484" s="430">
        <v>19</v>
      </c>
      <c r="B484" s="915" t="s">
        <v>908</v>
      </c>
      <c r="C484" s="556">
        <f>'часть 1'!L564</f>
        <v>242578</v>
      </c>
      <c r="D484" s="556">
        <f t="shared" si="64"/>
        <v>0</v>
      </c>
      <c r="E484" s="556">
        <v>0</v>
      </c>
      <c r="F484" s="556">
        <v>0</v>
      </c>
      <c r="G484" s="556">
        <v>0</v>
      </c>
      <c r="H484" s="556">
        <v>0</v>
      </c>
      <c r="I484" s="556">
        <v>0</v>
      </c>
      <c r="J484" s="556">
        <v>0</v>
      </c>
      <c r="K484" s="556">
        <v>0</v>
      </c>
      <c r="L484" s="917">
        <v>0</v>
      </c>
      <c r="M484" s="556">
        <v>0</v>
      </c>
      <c r="N484" s="556">
        <v>0</v>
      </c>
      <c r="O484" s="556">
        <v>0</v>
      </c>
      <c r="P484" s="918">
        <v>0</v>
      </c>
      <c r="Q484" s="556">
        <v>0</v>
      </c>
      <c r="R484" s="556">
        <v>4.7</v>
      </c>
      <c r="S484" s="556">
        <v>51879</v>
      </c>
      <c r="T484" s="921">
        <v>106</v>
      </c>
      <c r="U484" s="922">
        <v>190699</v>
      </c>
      <c r="V484" s="282"/>
      <c r="W484" s="282"/>
      <c r="X484" s="282"/>
      <c r="Y484" s="92"/>
      <c r="Z484" s="92"/>
      <c r="AG484" s="1">
        <f>U484/T484</f>
        <v>1799.0471698113208</v>
      </c>
    </row>
    <row r="485" spans="1:33" ht="15.6">
      <c r="A485" s="430">
        <v>20</v>
      </c>
      <c r="B485" s="915" t="s">
        <v>390</v>
      </c>
      <c r="C485" s="556">
        <f>'часть 1'!L565</f>
        <v>52265</v>
      </c>
      <c r="D485" s="556">
        <f t="shared" si="64"/>
        <v>0</v>
      </c>
      <c r="E485" s="556">
        <v>0</v>
      </c>
      <c r="F485" s="556">
        <v>0</v>
      </c>
      <c r="G485" s="556">
        <v>0</v>
      </c>
      <c r="H485" s="556">
        <v>0</v>
      </c>
      <c r="I485" s="556">
        <v>0</v>
      </c>
      <c r="J485" s="556">
        <v>0</v>
      </c>
      <c r="K485" s="556">
        <v>0</v>
      </c>
      <c r="L485" s="917">
        <v>0</v>
      </c>
      <c r="M485" s="556">
        <v>0</v>
      </c>
      <c r="N485" s="556">
        <v>0</v>
      </c>
      <c r="O485" s="556">
        <v>0</v>
      </c>
      <c r="P485" s="918">
        <v>0</v>
      </c>
      <c r="Q485" s="556">
        <v>0</v>
      </c>
      <c r="R485" s="556">
        <v>4.8</v>
      </c>
      <c r="S485" s="556">
        <v>52265</v>
      </c>
      <c r="T485" s="921">
        <v>0</v>
      </c>
      <c r="U485" s="922">
        <v>0</v>
      </c>
      <c r="V485" s="282"/>
      <c r="W485" s="282"/>
      <c r="X485" s="282"/>
      <c r="Y485" s="92"/>
      <c r="Z485" s="92"/>
    </row>
    <row r="486" spans="1:33" ht="15.6">
      <c r="A486" s="430">
        <v>21</v>
      </c>
      <c r="B486" s="915" t="s">
        <v>909</v>
      </c>
      <c r="C486" s="556">
        <f>'часть 1'!L566</f>
        <v>81602</v>
      </c>
      <c r="D486" s="556">
        <f t="shared" si="64"/>
        <v>0</v>
      </c>
      <c r="E486" s="556">
        <v>0</v>
      </c>
      <c r="F486" s="556">
        <v>0</v>
      </c>
      <c r="G486" s="556">
        <v>0</v>
      </c>
      <c r="H486" s="556">
        <v>0</v>
      </c>
      <c r="I486" s="556">
        <v>0</v>
      </c>
      <c r="J486" s="556">
        <v>0</v>
      </c>
      <c r="K486" s="556">
        <v>0</v>
      </c>
      <c r="L486" s="917">
        <v>0</v>
      </c>
      <c r="M486" s="556">
        <v>0</v>
      </c>
      <c r="N486" s="556">
        <v>0</v>
      </c>
      <c r="O486" s="556">
        <v>0</v>
      </c>
      <c r="P486" s="918">
        <v>0</v>
      </c>
      <c r="Q486" s="556">
        <v>0</v>
      </c>
      <c r="R486" s="556">
        <v>1.3</v>
      </c>
      <c r="S486" s="556">
        <v>81602</v>
      </c>
      <c r="T486" s="921">
        <v>0</v>
      </c>
      <c r="U486" s="922">
        <v>0</v>
      </c>
      <c r="V486" s="282"/>
      <c r="W486" s="282"/>
      <c r="X486" s="282"/>
      <c r="Y486" s="92"/>
      <c r="Z486" s="92"/>
    </row>
    <row r="487" spans="1:33" ht="15.6">
      <c r="A487" s="430">
        <v>22</v>
      </c>
      <c r="B487" s="915" t="s">
        <v>232</v>
      </c>
      <c r="C487" s="556">
        <f>'часть 1'!L567</f>
        <v>87295</v>
      </c>
      <c r="D487" s="556">
        <f t="shared" si="64"/>
        <v>0</v>
      </c>
      <c r="E487" s="556">
        <v>0</v>
      </c>
      <c r="F487" s="556">
        <v>0</v>
      </c>
      <c r="G487" s="556">
        <v>0</v>
      </c>
      <c r="H487" s="556">
        <v>0</v>
      </c>
      <c r="I487" s="556">
        <v>0</v>
      </c>
      <c r="J487" s="556">
        <v>0</v>
      </c>
      <c r="K487" s="556">
        <v>0</v>
      </c>
      <c r="L487" s="917">
        <v>0</v>
      </c>
      <c r="M487" s="556">
        <v>0</v>
      </c>
      <c r="N487" s="556">
        <v>0</v>
      </c>
      <c r="O487" s="556">
        <v>0</v>
      </c>
      <c r="P487" s="918">
        <v>0</v>
      </c>
      <c r="Q487" s="556">
        <v>0</v>
      </c>
      <c r="R487" s="556">
        <v>1.4</v>
      </c>
      <c r="S487" s="556">
        <v>87295</v>
      </c>
      <c r="T487" s="921">
        <v>0</v>
      </c>
      <c r="U487" s="922">
        <v>0</v>
      </c>
      <c r="V487" s="282"/>
      <c r="W487" s="282"/>
      <c r="X487" s="282"/>
      <c r="Y487" s="92"/>
      <c r="Z487" s="92"/>
    </row>
    <row r="488" spans="1:33" ht="15.6">
      <c r="A488" s="430">
        <v>23</v>
      </c>
      <c r="B488" s="915" t="s">
        <v>910</v>
      </c>
      <c r="C488" s="556">
        <f>'часть 1'!L568</f>
        <v>51879</v>
      </c>
      <c r="D488" s="556">
        <f t="shared" si="64"/>
        <v>0</v>
      </c>
      <c r="E488" s="556">
        <v>0</v>
      </c>
      <c r="F488" s="556">
        <v>0</v>
      </c>
      <c r="G488" s="556">
        <v>0</v>
      </c>
      <c r="H488" s="556">
        <v>0</v>
      </c>
      <c r="I488" s="556">
        <v>0</v>
      </c>
      <c r="J488" s="556">
        <v>0</v>
      </c>
      <c r="K488" s="556">
        <v>0</v>
      </c>
      <c r="L488" s="917">
        <v>0</v>
      </c>
      <c r="M488" s="556">
        <v>0</v>
      </c>
      <c r="N488" s="556">
        <v>0</v>
      </c>
      <c r="O488" s="556">
        <v>0</v>
      </c>
      <c r="P488" s="918">
        <v>0</v>
      </c>
      <c r="Q488" s="556">
        <v>0</v>
      </c>
      <c r="R488" s="556">
        <v>7</v>
      </c>
      <c r="S488" s="556">
        <v>51879</v>
      </c>
      <c r="T488" s="921">
        <v>0</v>
      </c>
      <c r="U488" s="922">
        <v>0</v>
      </c>
      <c r="V488" s="282"/>
      <c r="W488" s="282"/>
      <c r="X488" s="282"/>
      <c r="Y488" s="92"/>
      <c r="Z488" s="92"/>
    </row>
    <row r="489" spans="1:33" ht="15.6">
      <c r="A489" s="430">
        <v>24</v>
      </c>
      <c r="B489" s="915" t="s">
        <v>911</v>
      </c>
      <c r="C489" s="556">
        <f>'часть 1'!L569</f>
        <v>51879</v>
      </c>
      <c r="D489" s="556">
        <f t="shared" si="64"/>
        <v>0</v>
      </c>
      <c r="E489" s="556">
        <v>0</v>
      </c>
      <c r="F489" s="556">
        <v>0</v>
      </c>
      <c r="G489" s="556">
        <v>0</v>
      </c>
      <c r="H489" s="556">
        <v>0</v>
      </c>
      <c r="I489" s="556">
        <v>0</v>
      </c>
      <c r="J489" s="556">
        <v>0</v>
      </c>
      <c r="K489" s="556">
        <v>0</v>
      </c>
      <c r="L489" s="917">
        <v>0</v>
      </c>
      <c r="M489" s="556">
        <v>0</v>
      </c>
      <c r="N489" s="556">
        <v>0</v>
      </c>
      <c r="O489" s="556">
        <v>0</v>
      </c>
      <c r="P489" s="918">
        <v>0</v>
      </c>
      <c r="Q489" s="556">
        <v>0</v>
      </c>
      <c r="R489" s="556">
        <v>4.7</v>
      </c>
      <c r="S489" s="556">
        <v>51879</v>
      </c>
      <c r="T489" s="921">
        <v>0</v>
      </c>
      <c r="U489" s="922">
        <v>0</v>
      </c>
      <c r="V489" s="282"/>
      <c r="W489" s="282"/>
      <c r="X489" s="282"/>
      <c r="Y489" s="92"/>
      <c r="Z489" s="92"/>
    </row>
    <row r="490" spans="1:33" ht="15.6">
      <c r="A490" s="430">
        <v>25</v>
      </c>
      <c r="B490" s="915" t="s">
        <v>912</v>
      </c>
      <c r="C490" s="556">
        <f>'часть 1'!L570</f>
        <v>52072</v>
      </c>
      <c r="D490" s="556">
        <f t="shared" si="64"/>
        <v>0</v>
      </c>
      <c r="E490" s="556">
        <v>0</v>
      </c>
      <c r="F490" s="556">
        <v>0</v>
      </c>
      <c r="G490" s="556">
        <v>0</v>
      </c>
      <c r="H490" s="556">
        <v>0</v>
      </c>
      <c r="I490" s="556">
        <v>0</v>
      </c>
      <c r="J490" s="556">
        <v>0</v>
      </c>
      <c r="K490" s="556">
        <v>0</v>
      </c>
      <c r="L490" s="917">
        <v>0</v>
      </c>
      <c r="M490" s="556">
        <v>0</v>
      </c>
      <c r="N490" s="556">
        <v>0</v>
      </c>
      <c r="O490" s="556">
        <v>0</v>
      </c>
      <c r="P490" s="918">
        <v>0</v>
      </c>
      <c r="Q490" s="556">
        <v>0</v>
      </c>
      <c r="R490" s="556">
        <v>4.7</v>
      </c>
      <c r="S490" s="556">
        <v>52072</v>
      </c>
      <c r="T490" s="921">
        <v>0</v>
      </c>
      <c r="U490" s="922">
        <v>0</v>
      </c>
      <c r="V490" s="282"/>
      <c r="W490" s="282"/>
      <c r="X490" s="282"/>
      <c r="Y490" s="92"/>
      <c r="Z490" s="92"/>
    </row>
    <row r="491" spans="1:33" ht="15.6">
      <c r="A491" s="430">
        <v>26</v>
      </c>
      <c r="B491" s="915" t="s">
        <v>913</v>
      </c>
      <c r="C491" s="556">
        <f>'часть 1'!L571</f>
        <v>51879</v>
      </c>
      <c r="D491" s="556">
        <f t="shared" si="64"/>
        <v>0</v>
      </c>
      <c r="E491" s="556">
        <v>0</v>
      </c>
      <c r="F491" s="556">
        <v>0</v>
      </c>
      <c r="G491" s="556">
        <v>0</v>
      </c>
      <c r="H491" s="556">
        <v>0</v>
      </c>
      <c r="I491" s="556">
        <v>0</v>
      </c>
      <c r="J491" s="556">
        <v>0</v>
      </c>
      <c r="K491" s="556">
        <v>0</v>
      </c>
      <c r="L491" s="917">
        <v>0</v>
      </c>
      <c r="M491" s="556">
        <v>0</v>
      </c>
      <c r="N491" s="556">
        <v>0</v>
      </c>
      <c r="O491" s="556">
        <v>0</v>
      </c>
      <c r="P491" s="918">
        <v>0</v>
      </c>
      <c r="Q491" s="556">
        <v>0</v>
      </c>
      <c r="R491" s="556">
        <v>4.7</v>
      </c>
      <c r="S491" s="556">
        <v>51879</v>
      </c>
      <c r="T491" s="921">
        <v>0</v>
      </c>
      <c r="U491" s="922">
        <v>0</v>
      </c>
      <c r="V491" s="282"/>
      <c r="W491" s="282"/>
      <c r="X491" s="282"/>
      <c r="Y491" s="92"/>
      <c r="Z491" s="92"/>
    </row>
    <row r="492" spans="1:33" ht="15.6">
      <c r="A492" s="430">
        <v>27</v>
      </c>
      <c r="B492" s="915" t="s">
        <v>914</v>
      </c>
      <c r="C492" s="556">
        <f>'часть 1'!L572</f>
        <v>77819</v>
      </c>
      <c r="D492" s="556">
        <f t="shared" si="64"/>
        <v>0</v>
      </c>
      <c r="E492" s="556">
        <v>0</v>
      </c>
      <c r="F492" s="556">
        <v>0</v>
      </c>
      <c r="G492" s="556">
        <v>0</v>
      </c>
      <c r="H492" s="556">
        <v>0</v>
      </c>
      <c r="I492" s="556">
        <v>0</v>
      </c>
      <c r="J492" s="556">
        <v>0</v>
      </c>
      <c r="K492" s="556">
        <v>0</v>
      </c>
      <c r="L492" s="917">
        <v>0</v>
      </c>
      <c r="M492" s="556">
        <v>0</v>
      </c>
      <c r="N492" s="556">
        <v>0</v>
      </c>
      <c r="O492" s="556">
        <v>0</v>
      </c>
      <c r="P492" s="918">
        <v>0</v>
      </c>
      <c r="Q492" s="556">
        <v>0</v>
      </c>
      <c r="R492" s="556">
        <v>7.6</v>
      </c>
      <c r="S492" s="556">
        <v>77819</v>
      </c>
      <c r="T492" s="921">
        <v>0</v>
      </c>
      <c r="U492" s="922">
        <v>0</v>
      </c>
      <c r="V492" s="282"/>
      <c r="W492" s="282"/>
      <c r="X492" s="282"/>
      <c r="Y492" s="92"/>
      <c r="Z492" s="92"/>
    </row>
    <row r="493" spans="1:33" ht="15.6">
      <c r="A493" s="430">
        <v>28</v>
      </c>
      <c r="B493" s="915" t="s">
        <v>915</v>
      </c>
      <c r="C493" s="556">
        <f>'часть 1'!L573</f>
        <v>51879</v>
      </c>
      <c r="D493" s="556">
        <f t="shared" si="64"/>
        <v>0</v>
      </c>
      <c r="E493" s="556">
        <v>0</v>
      </c>
      <c r="F493" s="556">
        <v>0</v>
      </c>
      <c r="G493" s="556">
        <v>0</v>
      </c>
      <c r="H493" s="556">
        <v>0</v>
      </c>
      <c r="I493" s="556">
        <v>0</v>
      </c>
      <c r="J493" s="556">
        <v>0</v>
      </c>
      <c r="K493" s="556">
        <v>0</v>
      </c>
      <c r="L493" s="917">
        <v>0</v>
      </c>
      <c r="M493" s="556">
        <v>0</v>
      </c>
      <c r="N493" s="556">
        <v>0</v>
      </c>
      <c r="O493" s="556">
        <v>0</v>
      </c>
      <c r="P493" s="918">
        <v>0</v>
      </c>
      <c r="Q493" s="556">
        <v>0</v>
      </c>
      <c r="R493" s="556">
        <v>4.7</v>
      </c>
      <c r="S493" s="556">
        <v>51879</v>
      </c>
      <c r="T493" s="923">
        <v>0</v>
      </c>
      <c r="U493" s="922">
        <v>0</v>
      </c>
      <c r="V493" s="282"/>
      <c r="W493" s="282"/>
      <c r="X493" s="282"/>
      <c r="Y493" s="92"/>
      <c r="Z493" s="92"/>
    </row>
    <row r="494" spans="1:33" ht="15.6">
      <c r="A494" s="430">
        <v>29</v>
      </c>
      <c r="B494" s="915" t="s">
        <v>916</v>
      </c>
      <c r="C494" s="556">
        <f>'часть 1'!L574</f>
        <v>51783</v>
      </c>
      <c r="D494" s="556">
        <f t="shared" si="64"/>
        <v>0</v>
      </c>
      <c r="E494" s="556">
        <v>0</v>
      </c>
      <c r="F494" s="556">
        <v>0</v>
      </c>
      <c r="G494" s="556">
        <v>0</v>
      </c>
      <c r="H494" s="556">
        <v>0</v>
      </c>
      <c r="I494" s="556">
        <v>0</v>
      </c>
      <c r="J494" s="556">
        <v>0</v>
      </c>
      <c r="K494" s="556">
        <v>0</v>
      </c>
      <c r="L494" s="917">
        <v>0</v>
      </c>
      <c r="M494" s="556">
        <v>0</v>
      </c>
      <c r="N494" s="556">
        <v>0</v>
      </c>
      <c r="O494" s="556">
        <v>0</v>
      </c>
      <c r="P494" s="918">
        <v>0</v>
      </c>
      <c r="Q494" s="556">
        <v>0</v>
      </c>
      <c r="R494" s="556">
        <v>4.7</v>
      </c>
      <c r="S494" s="556">
        <v>51783</v>
      </c>
      <c r="T494" s="921">
        <v>0</v>
      </c>
      <c r="U494" s="922">
        <v>0</v>
      </c>
      <c r="V494" s="282"/>
      <c r="W494" s="282"/>
      <c r="X494" s="282"/>
      <c r="Y494" s="92"/>
      <c r="Z494" s="92"/>
    </row>
    <row r="495" spans="1:33" ht="15.6">
      <c r="A495" s="430">
        <v>30</v>
      </c>
      <c r="B495" s="915" t="s">
        <v>917</v>
      </c>
      <c r="C495" s="556">
        <f>'часть 1'!L575</f>
        <v>51011</v>
      </c>
      <c r="D495" s="556">
        <f t="shared" si="64"/>
        <v>0</v>
      </c>
      <c r="E495" s="556">
        <v>0</v>
      </c>
      <c r="F495" s="556">
        <v>0</v>
      </c>
      <c r="G495" s="556">
        <v>0</v>
      </c>
      <c r="H495" s="556">
        <v>0</v>
      </c>
      <c r="I495" s="556">
        <v>0</v>
      </c>
      <c r="J495" s="556">
        <v>0</v>
      </c>
      <c r="K495" s="556">
        <v>0</v>
      </c>
      <c r="L495" s="917">
        <v>0</v>
      </c>
      <c r="M495" s="556">
        <v>0</v>
      </c>
      <c r="N495" s="556">
        <v>0</v>
      </c>
      <c r="O495" s="556">
        <v>0</v>
      </c>
      <c r="P495" s="918">
        <v>0</v>
      </c>
      <c r="Q495" s="556">
        <v>0</v>
      </c>
      <c r="R495" s="556">
        <v>4.4000000000000004</v>
      </c>
      <c r="S495" s="556">
        <v>51011</v>
      </c>
      <c r="T495" s="923">
        <v>0</v>
      </c>
      <c r="U495" s="922">
        <v>0</v>
      </c>
      <c r="V495" s="282"/>
      <c r="W495" s="282"/>
      <c r="X495" s="282"/>
      <c r="Y495" s="92"/>
      <c r="Z495" s="92"/>
    </row>
    <row r="496" spans="1:33" ht="15.6">
      <c r="A496" s="430">
        <v>31</v>
      </c>
      <c r="B496" s="915" t="s">
        <v>918</v>
      </c>
      <c r="C496" s="556">
        <f>'часть 1'!L576</f>
        <v>78398</v>
      </c>
      <c r="D496" s="556">
        <f t="shared" si="64"/>
        <v>0</v>
      </c>
      <c r="E496" s="556">
        <v>0</v>
      </c>
      <c r="F496" s="556">
        <v>0</v>
      </c>
      <c r="G496" s="556">
        <v>0</v>
      </c>
      <c r="H496" s="556">
        <v>0</v>
      </c>
      <c r="I496" s="556">
        <v>0</v>
      </c>
      <c r="J496" s="556">
        <v>0</v>
      </c>
      <c r="K496" s="556">
        <v>0</v>
      </c>
      <c r="L496" s="917">
        <v>0</v>
      </c>
      <c r="M496" s="556">
        <v>0</v>
      </c>
      <c r="N496" s="556">
        <v>0</v>
      </c>
      <c r="O496" s="556">
        <v>0</v>
      </c>
      <c r="P496" s="918">
        <v>0</v>
      </c>
      <c r="Q496" s="556">
        <v>0</v>
      </c>
      <c r="R496" s="556">
        <v>7.2</v>
      </c>
      <c r="S496" s="556">
        <v>78398</v>
      </c>
      <c r="T496" s="921">
        <v>0</v>
      </c>
      <c r="U496" s="922">
        <v>0</v>
      </c>
      <c r="V496" s="282"/>
      <c r="W496" s="282"/>
      <c r="X496" s="282"/>
      <c r="Y496" s="92"/>
      <c r="Z496" s="92"/>
    </row>
    <row r="497" spans="1:26" ht="15.6">
      <c r="A497" s="430">
        <v>32</v>
      </c>
      <c r="B497" s="915" t="s">
        <v>919</v>
      </c>
      <c r="C497" s="556">
        <f>'часть 1'!L577</f>
        <v>78012</v>
      </c>
      <c r="D497" s="556">
        <f t="shared" si="64"/>
        <v>0</v>
      </c>
      <c r="E497" s="556">
        <v>0</v>
      </c>
      <c r="F497" s="556">
        <v>0</v>
      </c>
      <c r="G497" s="556">
        <v>0</v>
      </c>
      <c r="H497" s="556">
        <v>0</v>
      </c>
      <c r="I497" s="556">
        <v>0</v>
      </c>
      <c r="J497" s="556">
        <v>0</v>
      </c>
      <c r="K497" s="556">
        <v>0</v>
      </c>
      <c r="L497" s="917">
        <v>0</v>
      </c>
      <c r="M497" s="556">
        <v>0</v>
      </c>
      <c r="N497" s="556">
        <v>0</v>
      </c>
      <c r="O497" s="556">
        <v>0</v>
      </c>
      <c r="P497" s="918">
        <v>0</v>
      </c>
      <c r="Q497" s="556">
        <v>0</v>
      </c>
      <c r="R497" s="556">
        <v>7.1</v>
      </c>
      <c r="S497" s="556">
        <v>78012</v>
      </c>
      <c r="T497" s="923">
        <v>0</v>
      </c>
      <c r="U497" s="922">
        <v>0</v>
      </c>
      <c r="V497" s="282"/>
      <c r="W497" s="282"/>
      <c r="X497" s="282"/>
      <c r="Y497" s="92"/>
      <c r="Z497" s="92"/>
    </row>
    <row r="498" spans="1:26" ht="15.6">
      <c r="A498" s="430">
        <v>33</v>
      </c>
      <c r="B498" s="915" t="s">
        <v>920</v>
      </c>
      <c r="C498" s="556">
        <f>'часть 1'!L578</f>
        <v>52265</v>
      </c>
      <c r="D498" s="556">
        <f t="shared" si="64"/>
        <v>0</v>
      </c>
      <c r="E498" s="556">
        <v>0</v>
      </c>
      <c r="F498" s="556">
        <v>0</v>
      </c>
      <c r="G498" s="556">
        <v>0</v>
      </c>
      <c r="H498" s="556">
        <v>0</v>
      </c>
      <c r="I498" s="556">
        <v>0</v>
      </c>
      <c r="J498" s="556">
        <v>0</v>
      </c>
      <c r="K498" s="556">
        <v>0</v>
      </c>
      <c r="L498" s="917">
        <v>0</v>
      </c>
      <c r="M498" s="556">
        <v>0</v>
      </c>
      <c r="N498" s="556">
        <v>0</v>
      </c>
      <c r="O498" s="556">
        <v>0</v>
      </c>
      <c r="P498" s="918">
        <v>0</v>
      </c>
      <c r="Q498" s="556">
        <v>0</v>
      </c>
      <c r="R498" s="556">
        <v>7.2</v>
      </c>
      <c r="S498" s="556">
        <v>52265</v>
      </c>
      <c r="T498" s="921">
        <v>0</v>
      </c>
      <c r="U498" s="922">
        <v>0</v>
      </c>
      <c r="V498" s="282"/>
      <c r="W498" s="282"/>
      <c r="X498" s="282"/>
      <c r="Y498" s="92"/>
      <c r="Z498" s="92"/>
    </row>
    <row r="499" spans="1:26" ht="15.6">
      <c r="A499" s="430">
        <v>34</v>
      </c>
      <c r="B499" s="915" t="s">
        <v>921</v>
      </c>
      <c r="C499" s="556">
        <f>'часть 1'!L579</f>
        <v>242964</v>
      </c>
      <c r="D499" s="556">
        <f t="shared" si="64"/>
        <v>0</v>
      </c>
      <c r="E499" s="556">
        <v>0</v>
      </c>
      <c r="F499" s="556">
        <v>0</v>
      </c>
      <c r="G499" s="556">
        <v>0</v>
      </c>
      <c r="H499" s="556">
        <v>0</v>
      </c>
      <c r="I499" s="556">
        <v>0</v>
      </c>
      <c r="J499" s="556">
        <v>0</v>
      </c>
      <c r="K499" s="556">
        <v>0</v>
      </c>
      <c r="L499" s="917">
        <v>0</v>
      </c>
      <c r="M499" s="556">
        <v>0</v>
      </c>
      <c r="N499" s="556">
        <v>0</v>
      </c>
      <c r="O499" s="556">
        <v>0</v>
      </c>
      <c r="P499" s="918">
        <v>0</v>
      </c>
      <c r="Q499" s="556">
        <v>0</v>
      </c>
      <c r="R499" s="556">
        <v>4.8</v>
      </c>
      <c r="S499" s="556">
        <v>52265</v>
      </c>
      <c r="T499" s="921">
        <v>106</v>
      </c>
      <c r="U499" s="922">
        <v>190699</v>
      </c>
      <c r="V499" s="282"/>
      <c r="W499" s="282"/>
      <c r="X499" s="282"/>
      <c r="Y499" s="92"/>
      <c r="Z499" s="92"/>
    </row>
    <row r="500" spans="1:26" ht="15.6">
      <c r="A500" s="430">
        <v>35</v>
      </c>
      <c r="B500" s="915" t="s">
        <v>922</v>
      </c>
      <c r="C500" s="556">
        <f>'часть 1'!L580</f>
        <v>87102</v>
      </c>
      <c r="D500" s="556">
        <f t="shared" si="64"/>
        <v>0</v>
      </c>
      <c r="E500" s="556">
        <v>0</v>
      </c>
      <c r="F500" s="556">
        <v>0</v>
      </c>
      <c r="G500" s="556">
        <v>0</v>
      </c>
      <c r="H500" s="556">
        <v>0</v>
      </c>
      <c r="I500" s="556">
        <v>0</v>
      </c>
      <c r="J500" s="556">
        <v>0</v>
      </c>
      <c r="K500" s="556">
        <v>0</v>
      </c>
      <c r="L500" s="917">
        <v>0</v>
      </c>
      <c r="M500" s="556">
        <v>0</v>
      </c>
      <c r="N500" s="556">
        <v>0</v>
      </c>
      <c r="O500" s="556">
        <v>0</v>
      </c>
      <c r="P500" s="918">
        <v>0</v>
      </c>
      <c r="Q500" s="556">
        <v>0</v>
      </c>
      <c r="R500" s="556">
        <v>1.4</v>
      </c>
      <c r="S500" s="556">
        <v>87102</v>
      </c>
      <c r="T500" s="917">
        <v>0</v>
      </c>
      <c r="U500" s="922">
        <v>0</v>
      </c>
      <c r="V500" s="282"/>
      <c r="W500" s="282"/>
      <c r="X500" s="282"/>
      <c r="Y500" s="92"/>
      <c r="Z500" s="92"/>
    </row>
    <row r="501" spans="1:26">
      <c r="A501" s="198"/>
      <c r="B501" s="216" t="s">
        <v>60</v>
      </c>
      <c r="C501" s="211">
        <v>9462538</v>
      </c>
      <c r="D501" s="211"/>
      <c r="E501" s="211"/>
      <c r="F501" s="211"/>
      <c r="G501" s="211"/>
      <c r="H501" s="211"/>
      <c r="I501" s="211"/>
      <c r="J501" s="211"/>
      <c r="K501" s="211">
        <v>0</v>
      </c>
      <c r="L501" s="212">
        <v>0</v>
      </c>
      <c r="M501" s="211">
        <v>0</v>
      </c>
      <c r="N501" s="211">
        <v>0</v>
      </c>
      <c r="O501" s="211">
        <v>0</v>
      </c>
      <c r="P501" s="213">
        <v>0</v>
      </c>
      <c r="Q501" s="211">
        <v>0</v>
      </c>
      <c r="R501" s="211">
        <v>4347</v>
      </c>
      <c r="S501" s="211">
        <v>6288728</v>
      </c>
      <c r="T501" s="212">
        <v>0</v>
      </c>
      <c r="U501" s="290">
        <v>0</v>
      </c>
      <c r="V501" s="282"/>
      <c r="W501" s="282"/>
      <c r="X501" s="282"/>
    </row>
    <row r="502" spans="1:26" ht="27.6">
      <c r="A502" s="198"/>
      <c r="B502" s="214" t="s">
        <v>113</v>
      </c>
      <c r="C502" s="211">
        <v>9462538</v>
      </c>
      <c r="D502" s="211"/>
      <c r="E502" s="211"/>
      <c r="F502" s="211"/>
      <c r="G502" s="211"/>
      <c r="H502" s="211"/>
      <c r="I502" s="211"/>
      <c r="J502" s="211"/>
      <c r="K502" s="211">
        <v>0</v>
      </c>
      <c r="L502" s="212">
        <v>0</v>
      </c>
      <c r="M502" s="211">
        <v>0</v>
      </c>
      <c r="N502" s="211">
        <v>1596</v>
      </c>
      <c r="O502" s="211">
        <v>3173810</v>
      </c>
      <c r="P502" s="213">
        <v>0</v>
      </c>
      <c r="Q502" s="211">
        <v>0</v>
      </c>
      <c r="R502" s="211">
        <v>4347</v>
      </c>
      <c r="S502" s="211">
        <v>6288728</v>
      </c>
      <c r="T502" s="212">
        <v>0</v>
      </c>
      <c r="U502" s="290">
        <v>0</v>
      </c>
      <c r="V502" s="282"/>
      <c r="W502" s="282"/>
      <c r="X502" s="282"/>
      <c r="Y502" s="10"/>
      <c r="Z502" s="10"/>
    </row>
    <row r="503" spans="1:26" s="32" customFormat="1">
      <c r="A503" s="198">
        <v>435</v>
      </c>
      <c r="B503" s="206" t="s">
        <v>887</v>
      </c>
      <c r="C503" s="232">
        <f>'часть 1'!L462</f>
        <v>3626543</v>
      </c>
      <c r="D503" s="232"/>
      <c r="E503" s="232"/>
      <c r="F503" s="232"/>
      <c r="G503" s="232"/>
      <c r="H503" s="232"/>
      <c r="I503" s="232"/>
      <c r="J503" s="232"/>
      <c r="K503" s="211">
        <v>0</v>
      </c>
      <c r="L503" s="212">
        <v>0</v>
      </c>
      <c r="M503" s="211">
        <v>0</v>
      </c>
      <c r="N503" s="211">
        <v>0</v>
      </c>
      <c r="O503" s="211">
        <v>0</v>
      </c>
      <c r="P503" s="213">
        <v>0</v>
      </c>
      <c r="Q503" s="211">
        <v>0</v>
      </c>
      <c r="R503" s="232">
        <v>2511</v>
      </c>
      <c r="S503" s="232">
        <v>3626543</v>
      </c>
      <c r="T503" s="212">
        <v>0</v>
      </c>
      <c r="U503" s="290">
        <v>0</v>
      </c>
      <c r="V503" s="282"/>
      <c r="W503" s="282"/>
      <c r="X503" s="282"/>
      <c r="Y503" s="31"/>
      <c r="Z503" s="31"/>
    </row>
    <row r="504" spans="1:26" s="32" customFormat="1">
      <c r="A504" s="198">
        <v>436</v>
      </c>
      <c r="B504" s="206" t="s">
        <v>888</v>
      </c>
      <c r="C504" s="232">
        <f>'часть 1'!L463</f>
        <v>2160246</v>
      </c>
      <c r="D504" s="232"/>
      <c r="E504" s="232"/>
      <c r="F504" s="232"/>
      <c r="G504" s="232"/>
      <c r="H504" s="232"/>
      <c r="I504" s="232"/>
      <c r="J504" s="232"/>
      <c r="K504" s="211">
        <v>0</v>
      </c>
      <c r="L504" s="212">
        <v>0</v>
      </c>
      <c r="M504" s="211">
        <v>0</v>
      </c>
      <c r="N504" s="232">
        <v>1092</v>
      </c>
      <c r="O504" s="232">
        <v>2160246</v>
      </c>
      <c r="P504" s="213">
        <v>0</v>
      </c>
      <c r="Q504" s="211">
        <v>0</v>
      </c>
      <c r="R504" s="213">
        <v>0</v>
      </c>
      <c r="S504" s="211">
        <v>0</v>
      </c>
      <c r="T504" s="212">
        <v>0</v>
      </c>
      <c r="U504" s="290">
        <v>0</v>
      </c>
      <c r="V504" s="282"/>
      <c r="W504" s="282"/>
      <c r="X504" s="282"/>
      <c r="Y504" s="31"/>
      <c r="Z504" s="31"/>
    </row>
    <row r="505" spans="1:26" s="32" customFormat="1">
      <c r="A505" s="198">
        <v>437</v>
      </c>
      <c r="B505" s="206" t="s">
        <v>889</v>
      </c>
      <c r="C505" s="232">
        <f>'часть 1'!L464</f>
        <v>1013564</v>
      </c>
      <c r="D505" s="232"/>
      <c r="E505" s="232"/>
      <c r="F505" s="232"/>
      <c r="G505" s="232"/>
      <c r="H505" s="232"/>
      <c r="I505" s="232"/>
      <c r="J505" s="232"/>
      <c r="K505" s="211">
        <v>0</v>
      </c>
      <c r="L505" s="212">
        <v>0</v>
      </c>
      <c r="M505" s="211">
        <v>0</v>
      </c>
      <c r="N505" s="232">
        <v>504</v>
      </c>
      <c r="O505" s="232">
        <v>1013564</v>
      </c>
      <c r="P505" s="213">
        <v>0</v>
      </c>
      <c r="Q505" s="211">
        <v>0</v>
      </c>
      <c r="R505" s="213">
        <v>0</v>
      </c>
      <c r="S505" s="211">
        <v>0</v>
      </c>
      <c r="T505" s="212">
        <v>0</v>
      </c>
      <c r="U505" s="290">
        <v>0</v>
      </c>
      <c r="V505" s="282"/>
      <c r="W505" s="282"/>
      <c r="X505" s="282"/>
      <c r="Y505" s="31"/>
      <c r="Z505" s="31"/>
    </row>
    <row r="506" spans="1:26" s="32" customFormat="1">
      <c r="A506" s="198"/>
      <c r="B506" s="206" t="s">
        <v>208</v>
      </c>
      <c r="C506" s="232">
        <v>562350</v>
      </c>
      <c r="D506" s="232"/>
      <c r="E506" s="232"/>
      <c r="F506" s="232"/>
      <c r="G506" s="232"/>
      <c r="H506" s="232"/>
      <c r="I506" s="232"/>
      <c r="J506" s="232"/>
      <c r="K506" s="232">
        <v>0</v>
      </c>
      <c r="L506" s="239">
        <v>0</v>
      </c>
      <c r="M506" s="232">
        <v>0</v>
      </c>
      <c r="N506" s="232">
        <v>275</v>
      </c>
      <c r="O506" s="232">
        <v>562350</v>
      </c>
      <c r="P506" s="230">
        <v>0</v>
      </c>
      <c r="Q506" s="232">
        <v>0</v>
      </c>
      <c r="R506" s="230">
        <v>0</v>
      </c>
      <c r="S506" s="232">
        <v>0</v>
      </c>
      <c r="T506" s="230">
        <v>0</v>
      </c>
      <c r="U506" s="295">
        <v>0</v>
      </c>
      <c r="V506" s="282"/>
      <c r="W506" s="282"/>
      <c r="X506" s="282"/>
      <c r="Y506" s="31"/>
      <c r="Z506" s="31"/>
    </row>
    <row r="507" spans="1:26" s="32" customFormat="1" ht="27.6">
      <c r="A507" s="198"/>
      <c r="B507" s="214" t="s">
        <v>209</v>
      </c>
      <c r="C507" s="232">
        <f>C508</f>
        <v>1167102</v>
      </c>
      <c r="D507" s="232">
        <f t="shared" ref="D507:U507" si="65">D508</f>
        <v>0</v>
      </c>
      <c r="E507" s="232">
        <f t="shared" si="65"/>
        <v>0</v>
      </c>
      <c r="F507" s="232">
        <f t="shared" si="65"/>
        <v>0</v>
      </c>
      <c r="G507" s="232">
        <f t="shared" si="65"/>
        <v>0</v>
      </c>
      <c r="H507" s="232">
        <f t="shared" si="65"/>
        <v>0</v>
      </c>
      <c r="I507" s="232">
        <f t="shared" si="65"/>
        <v>0</v>
      </c>
      <c r="J507" s="232">
        <f t="shared" si="65"/>
        <v>0</v>
      </c>
      <c r="K507" s="232">
        <f t="shared" si="65"/>
        <v>0</v>
      </c>
      <c r="L507" s="232">
        <f t="shared" si="65"/>
        <v>0</v>
      </c>
      <c r="M507" s="232">
        <f t="shared" si="65"/>
        <v>0</v>
      </c>
      <c r="N507" s="232">
        <f t="shared" si="65"/>
        <v>368</v>
      </c>
      <c r="O507" s="232">
        <f t="shared" si="65"/>
        <v>1167102</v>
      </c>
      <c r="P507" s="232">
        <f t="shared" si="65"/>
        <v>0</v>
      </c>
      <c r="Q507" s="232">
        <f t="shared" si="65"/>
        <v>0</v>
      </c>
      <c r="R507" s="232">
        <f t="shared" si="65"/>
        <v>0</v>
      </c>
      <c r="S507" s="232">
        <f t="shared" si="65"/>
        <v>0</v>
      </c>
      <c r="T507" s="232">
        <f t="shared" si="65"/>
        <v>0</v>
      </c>
      <c r="U507" s="232">
        <f t="shared" si="65"/>
        <v>0</v>
      </c>
      <c r="V507" s="282"/>
      <c r="W507" s="282"/>
      <c r="X507" s="282"/>
      <c r="Y507" s="31"/>
      <c r="Z507" s="31"/>
    </row>
    <row r="508" spans="1:26" s="32" customFormat="1">
      <c r="A508" s="430">
        <v>439</v>
      </c>
      <c r="B508" s="467" t="s">
        <v>478</v>
      </c>
      <c r="C508" s="468">
        <v>1167102</v>
      </c>
      <c r="D508" s="468">
        <v>0</v>
      </c>
      <c r="E508" s="468">
        <v>0</v>
      </c>
      <c r="F508" s="468">
        <v>0</v>
      </c>
      <c r="G508" s="468">
        <v>0</v>
      </c>
      <c r="H508" s="468">
        <v>0</v>
      </c>
      <c r="I508" s="468">
        <v>0</v>
      </c>
      <c r="J508" s="468">
        <v>0</v>
      </c>
      <c r="K508" s="439">
        <v>0</v>
      </c>
      <c r="L508" s="440">
        <v>0</v>
      </c>
      <c r="M508" s="439">
        <v>0</v>
      </c>
      <c r="N508" s="439">
        <v>368</v>
      </c>
      <c r="O508" s="439">
        <v>1167102</v>
      </c>
      <c r="P508" s="442">
        <v>0</v>
      </c>
      <c r="Q508" s="439">
        <v>0</v>
      </c>
      <c r="R508" s="469">
        <v>0</v>
      </c>
      <c r="S508" s="468">
        <v>0</v>
      </c>
      <c r="T508" s="440">
        <v>0</v>
      </c>
      <c r="U508" s="443">
        <v>0</v>
      </c>
      <c r="V508" s="282"/>
      <c r="W508" s="282">
        <f>O508/N508</f>
        <v>3171.4728260869565</v>
      </c>
      <c r="X508" s="282"/>
      <c r="Y508" s="31"/>
      <c r="Z508" s="31"/>
    </row>
    <row r="509" spans="1:26">
      <c r="A509" s="198"/>
      <c r="B509" s="216" t="s">
        <v>61</v>
      </c>
      <c r="C509" s="211">
        <v>1267050</v>
      </c>
      <c r="D509" s="211"/>
      <c r="E509" s="211"/>
      <c r="F509" s="211"/>
      <c r="G509" s="211"/>
      <c r="H509" s="211"/>
      <c r="I509" s="211"/>
      <c r="J509" s="211"/>
      <c r="K509" s="211">
        <v>0</v>
      </c>
      <c r="L509" s="212">
        <v>0</v>
      </c>
      <c r="M509" s="211">
        <v>0</v>
      </c>
      <c r="N509" s="211">
        <v>643</v>
      </c>
      <c r="O509" s="211">
        <v>1267050</v>
      </c>
      <c r="P509" s="213">
        <v>0</v>
      </c>
      <c r="Q509" s="211">
        <v>0</v>
      </c>
      <c r="R509" s="213">
        <v>0</v>
      </c>
      <c r="S509" s="211">
        <v>0</v>
      </c>
      <c r="T509" s="212">
        <v>0</v>
      </c>
      <c r="U509" s="290">
        <v>0</v>
      </c>
      <c r="V509" s="282"/>
      <c r="W509" s="282"/>
      <c r="X509" s="282"/>
    </row>
    <row r="510" spans="1:26" ht="27.6">
      <c r="A510" s="198"/>
      <c r="B510" s="214" t="s">
        <v>118</v>
      </c>
      <c r="C510" s="211">
        <f>C511+C512</f>
        <v>3666180</v>
      </c>
      <c r="D510" s="211">
        <f t="shared" ref="D510:U510" si="66">D511+D512</f>
        <v>0</v>
      </c>
      <c r="E510" s="211">
        <f t="shared" si="66"/>
        <v>0</v>
      </c>
      <c r="F510" s="211">
        <f t="shared" si="66"/>
        <v>0</v>
      </c>
      <c r="G510" s="211">
        <f t="shared" si="66"/>
        <v>0</v>
      </c>
      <c r="H510" s="211">
        <f t="shared" si="66"/>
        <v>0</v>
      </c>
      <c r="I510" s="211">
        <f t="shared" si="66"/>
        <v>0</v>
      </c>
      <c r="J510" s="211">
        <f t="shared" si="66"/>
        <v>0</v>
      </c>
      <c r="K510" s="211">
        <f t="shared" si="66"/>
        <v>0</v>
      </c>
      <c r="L510" s="211">
        <f t="shared" si="66"/>
        <v>0</v>
      </c>
      <c r="M510" s="211">
        <f t="shared" si="66"/>
        <v>0</v>
      </c>
      <c r="N510" s="211">
        <f t="shared" si="66"/>
        <v>1481.5</v>
      </c>
      <c r="O510" s="211">
        <f t="shared" si="66"/>
        <v>3666180</v>
      </c>
      <c r="P510" s="211">
        <f t="shared" si="66"/>
        <v>0</v>
      </c>
      <c r="Q510" s="211">
        <f t="shared" si="66"/>
        <v>0</v>
      </c>
      <c r="R510" s="211">
        <f t="shared" si="66"/>
        <v>0</v>
      </c>
      <c r="S510" s="211">
        <f t="shared" si="66"/>
        <v>0</v>
      </c>
      <c r="T510" s="211">
        <f t="shared" si="66"/>
        <v>0</v>
      </c>
      <c r="U510" s="211">
        <f t="shared" si="66"/>
        <v>0</v>
      </c>
      <c r="V510" s="282"/>
      <c r="W510" s="282"/>
      <c r="X510" s="282"/>
    </row>
    <row r="511" spans="1:26">
      <c r="A511" s="430">
        <v>440</v>
      </c>
      <c r="B511" s="438" t="s">
        <v>495</v>
      </c>
      <c r="C511" s="439">
        <v>2553216</v>
      </c>
      <c r="D511" s="439">
        <v>0</v>
      </c>
      <c r="E511" s="439">
        <v>0</v>
      </c>
      <c r="F511" s="439">
        <v>0</v>
      </c>
      <c r="G511" s="439">
        <v>0</v>
      </c>
      <c r="H511" s="439">
        <v>0</v>
      </c>
      <c r="I511" s="439">
        <v>0</v>
      </c>
      <c r="J511" s="439">
        <v>0</v>
      </c>
      <c r="K511" s="439">
        <v>0</v>
      </c>
      <c r="L511" s="440">
        <v>0</v>
      </c>
      <c r="M511" s="439">
        <v>0</v>
      </c>
      <c r="N511" s="439">
        <v>1032</v>
      </c>
      <c r="O511" s="439">
        <v>2553216</v>
      </c>
      <c r="P511" s="442">
        <v>0</v>
      </c>
      <c r="Q511" s="439">
        <v>0</v>
      </c>
      <c r="R511" s="442">
        <v>0</v>
      </c>
      <c r="S511" s="439">
        <v>0</v>
      </c>
      <c r="T511" s="440">
        <v>0</v>
      </c>
      <c r="U511" s="443">
        <v>0</v>
      </c>
      <c r="V511" s="282"/>
      <c r="W511" s="282">
        <f>O511/N511</f>
        <v>2474.046511627907</v>
      </c>
      <c r="X511" s="282"/>
    </row>
    <row r="512" spans="1:26">
      <c r="A512" s="430"/>
      <c r="B512" s="438" t="s">
        <v>496</v>
      </c>
      <c r="C512" s="439">
        <v>1112964</v>
      </c>
      <c r="D512" s="439">
        <v>0</v>
      </c>
      <c r="E512" s="439">
        <v>0</v>
      </c>
      <c r="F512" s="439">
        <v>0</v>
      </c>
      <c r="G512" s="439">
        <v>0</v>
      </c>
      <c r="H512" s="439">
        <v>0</v>
      </c>
      <c r="I512" s="439">
        <v>0</v>
      </c>
      <c r="J512" s="439">
        <v>0</v>
      </c>
      <c r="K512" s="439">
        <v>0</v>
      </c>
      <c r="L512" s="440">
        <v>0</v>
      </c>
      <c r="M512" s="439">
        <v>0</v>
      </c>
      <c r="N512" s="439">
        <v>449.5</v>
      </c>
      <c r="O512" s="439">
        <v>1112964</v>
      </c>
      <c r="P512" s="442">
        <v>0</v>
      </c>
      <c r="Q512" s="439">
        <v>0</v>
      </c>
      <c r="R512" s="442">
        <v>0</v>
      </c>
      <c r="S512" s="439">
        <v>0</v>
      </c>
      <c r="T512" s="440">
        <v>0</v>
      </c>
      <c r="U512" s="443">
        <v>0</v>
      </c>
      <c r="V512" s="282"/>
      <c r="W512" s="282">
        <f>O512/N512</f>
        <v>2476.0044493882092</v>
      </c>
      <c r="X512" s="282"/>
    </row>
    <row r="513" spans="1:31" ht="25.2" customHeight="1">
      <c r="A513" s="194"/>
      <c r="B513" s="216" t="s">
        <v>649</v>
      </c>
      <c r="C513" s="211"/>
      <c r="D513" s="211">
        <f>D514</f>
        <v>204131</v>
      </c>
      <c r="E513" s="211">
        <f t="shared" ref="E513:U513" si="67">E514</f>
        <v>204131</v>
      </c>
      <c r="F513" s="211">
        <f t="shared" si="67"/>
        <v>0</v>
      </c>
      <c r="G513" s="211">
        <f t="shared" si="67"/>
        <v>0</v>
      </c>
      <c r="H513" s="211">
        <f t="shared" si="67"/>
        <v>0</v>
      </c>
      <c r="I513" s="211">
        <f t="shared" si="67"/>
        <v>0</v>
      </c>
      <c r="J513" s="211">
        <f t="shared" si="67"/>
        <v>0</v>
      </c>
      <c r="K513" s="211">
        <f t="shared" si="67"/>
        <v>0</v>
      </c>
      <c r="L513" s="211">
        <f t="shared" si="67"/>
        <v>0</v>
      </c>
      <c r="M513" s="211">
        <f t="shared" si="67"/>
        <v>0</v>
      </c>
      <c r="N513" s="211">
        <f t="shared" si="67"/>
        <v>0</v>
      </c>
      <c r="O513" s="211">
        <f t="shared" si="67"/>
        <v>0</v>
      </c>
      <c r="P513" s="211">
        <f t="shared" si="67"/>
        <v>0</v>
      </c>
      <c r="Q513" s="211">
        <f t="shared" si="67"/>
        <v>0</v>
      </c>
      <c r="R513" s="211">
        <f t="shared" si="67"/>
        <v>0</v>
      </c>
      <c r="S513" s="211">
        <f t="shared" si="67"/>
        <v>0</v>
      </c>
      <c r="T513" s="211">
        <f t="shared" si="67"/>
        <v>0</v>
      </c>
      <c r="U513" s="211">
        <f t="shared" si="67"/>
        <v>0</v>
      </c>
      <c r="V513" s="282"/>
      <c r="W513" s="282"/>
      <c r="X513" s="282"/>
    </row>
    <row r="514" spans="1:31" ht="27.6">
      <c r="A514" s="194"/>
      <c r="B514" s="214" t="s">
        <v>658</v>
      </c>
      <c r="C514" s="211"/>
      <c r="D514" s="211">
        <f>D515</f>
        <v>204131</v>
      </c>
      <c r="E514" s="211">
        <f t="shared" ref="E514:V514" si="68">E515</f>
        <v>204131</v>
      </c>
      <c r="F514" s="211">
        <f t="shared" si="68"/>
        <v>0</v>
      </c>
      <c r="G514" s="211">
        <f t="shared" si="68"/>
        <v>0</v>
      </c>
      <c r="H514" s="211">
        <f t="shared" si="68"/>
        <v>0</v>
      </c>
      <c r="I514" s="211">
        <f t="shared" si="68"/>
        <v>0</v>
      </c>
      <c r="J514" s="211">
        <f t="shared" si="68"/>
        <v>0</v>
      </c>
      <c r="K514" s="211">
        <f t="shared" si="68"/>
        <v>0</v>
      </c>
      <c r="L514" s="211">
        <f t="shared" si="68"/>
        <v>0</v>
      </c>
      <c r="M514" s="211">
        <f t="shared" si="68"/>
        <v>0</v>
      </c>
      <c r="N514" s="211">
        <f t="shared" si="68"/>
        <v>0</v>
      </c>
      <c r="O514" s="211">
        <f t="shared" si="68"/>
        <v>0</v>
      </c>
      <c r="P514" s="211">
        <f t="shared" si="68"/>
        <v>0</v>
      </c>
      <c r="Q514" s="211">
        <f t="shared" si="68"/>
        <v>0</v>
      </c>
      <c r="R514" s="211">
        <f t="shared" si="68"/>
        <v>0</v>
      </c>
      <c r="S514" s="211">
        <f t="shared" si="68"/>
        <v>0</v>
      </c>
      <c r="T514" s="211">
        <f t="shared" si="68"/>
        <v>0</v>
      </c>
      <c r="U514" s="211">
        <f t="shared" si="68"/>
        <v>0</v>
      </c>
      <c r="V514" s="211">
        <f t="shared" si="68"/>
        <v>0</v>
      </c>
      <c r="W514" s="282"/>
      <c r="X514" s="282"/>
    </row>
    <row r="515" spans="1:31">
      <c r="A515" s="194"/>
      <c r="B515" s="214" t="s">
        <v>651</v>
      </c>
      <c r="C515" s="211">
        <v>204131</v>
      </c>
      <c r="D515" s="211">
        <f>E515+F515+G515+H515+I515+J515+K515</f>
        <v>204131</v>
      </c>
      <c r="E515" s="211">
        <v>204131</v>
      </c>
      <c r="F515" s="211">
        <v>0</v>
      </c>
      <c r="G515" s="211">
        <v>0</v>
      </c>
      <c r="H515" s="211">
        <v>0</v>
      </c>
      <c r="I515" s="211">
        <v>0</v>
      </c>
      <c r="J515" s="211">
        <v>0</v>
      </c>
      <c r="K515" s="211">
        <v>0</v>
      </c>
      <c r="L515" s="212">
        <v>0</v>
      </c>
      <c r="M515" s="211">
        <v>0</v>
      </c>
      <c r="N515" s="211">
        <v>0</v>
      </c>
      <c r="O515" s="211">
        <v>0</v>
      </c>
      <c r="P515" s="213">
        <v>0</v>
      </c>
      <c r="Q515" s="211">
        <v>0</v>
      </c>
      <c r="R515" s="213">
        <v>0</v>
      </c>
      <c r="S515" s="211">
        <v>0</v>
      </c>
      <c r="T515" s="212">
        <v>0</v>
      </c>
      <c r="U515" s="290">
        <v>0</v>
      </c>
      <c r="V515" s="282"/>
      <c r="W515" s="282"/>
      <c r="X515" s="282"/>
      <c r="Y515" s="1">
        <f>E515/'часть 1'!I475</f>
        <v>465.62728102189783</v>
      </c>
    </row>
    <row r="516" spans="1:31">
      <c r="A516" s="198"/>
      <c r="B516" s="216" t="s">
        <v>62</v>
      </c>
      <c r="C516" s="211">
        <v>974618</v>
      </c>
      <c r="D516" s="211"/>
      <c r="E516" s="211"/>
      <c r="F516" s="211"/>
      <c r="G516" s="211"/>
      <c r="H516" s="211"/>
      <c r="I516" s="211"/>
      <c r="J516" s="211"/>
      <c r="K516" s="211">
        <v>0</v>
      </c>
      <c r="L516" s="212">
        <v>0</v>
      </c>
      <c r="M516" s="211">
        <v>0</v>
      </c>
      <c r="N516" s="211">
        <v>484</v>
      </c>
      <c r="O516" s="211">
        <v>974618</v>
      </c>
      <c r="P516" s="213">
        <v>0</v>
      </c>
      <c r="Q516" s="211">
        <v>0</v>
      </c>
      <c r="R516" s="213">
        <v>0</v>
      </c>
      <c r="S516" s="211">
        <v>0</v>
      </c>
      <c r="T516" s="212">
        <v>0</v>
      </c>
      <c r="U516" s="290">
        <v>0</v>
      </c>
      <c r="V516" s="282"/>
      <c r="W516" s="282"/>
      <c r="X516" s="282"/>
    </row>
    <row r="517" spans="1:31" ht="27.6">
      <c r="A517" s="198"/>
      <c r="B517" s="238" t="s">
        <v>117</v>
      </c>
      <c r="C517" s="211">
        <f>C518</f>
        <v>1214790</v>
      </c>
      <c r="D517" s="211">
        <f t="shared" ref="D517:V517" si="69">D518</f>
        <v>0</v>
      </c>
      <c r="E517" s="211">
        <f t="shared" si="69"/>
        <v>0</v>
      </c>
      <c r="F517" s="211">
        <f t="shared" si="69"/>
        <v>0</v>
      </c>
      <c r="G517" s="211">
        <f t="shared" si="69"/>
        <v>0</v>
      </c>
      <c r="H517" s="211">
        <f t="shared" si="69"/>
        <v>0</v>
      </c>
      <c r="I517" s="211">
        <f t="shared" si="69"/>
        <v>0</v>
      </c>
      <c r="J517" s="211">
        <f t="shared" si="69"/>
        <v>0</v>
      </c>
      <c r="K517" s="211">
        <f t="shared" si="69"/>
        <v>0</v>
      </c>
      <c r="L517" s="211">
        <f t="shared" si="69"/>
        <v>0</v>
      </c>
      <c r="M517" s="211">
        <f t="shared" si="69"/>
        <v>0</v>
      </c>
      <c r="N517" s="211">
        <f t="shared" si="69"/>
        <v>383</v>
      </c>
      <c r="O517" s="211">
        <f t="shared" si="69"/>
        <v>1214790</v>
      </c>
      <c r="P517" s="211">
        <f t="shared" si="69"/>
        <v>0</v>
      </c>
      <c r="Q517" s="211">
        <f t="shared" si="69"/>
        <v>0</v>
      </c>
      <c r="R517" s="211">
        <f t="shared" si="69"/>
        <v>0</v>
      </c>
      <c r="S517" s="211">
        <f t="shared" si="69"/>
        <v>0</v>
      </c>
      <c r="T517" s="211">
        <f t="shared" si="69"/>
        <v>0</v>
      </c>
      <c r="U517" s="211">
        <f t="shared" si="69"/>
        <v>0</v>
      </c>
      <c r="V517" s="211">
        <f t="shared" si="69"/>
        <v>0</v>
      </c>
      <c r="W517" s="211"/>
      <c r="X517" s="211"/>
      <c r="Y517" s="211"/>
      <c r="Z517" s="211"/>
      <c r="AA517" s="211"/>
      <c r="AB517" s="211"/>
      <c r="AC517" s="211"/>
      <c r="AD517" s="211"/>
      <c r="AE517" s="211"/>
    </row>
    <row r="518" spans="1:31">
      <c r="A518" s="430">
        <v>441</v>
      </c>
      <c r="B518" s="438" t="s">
        <v>486</v>
      </c>
      <c r="C518" s="439">
        <v>1214790</v>
      </c>
      <c r="D518" s="439">
        <v>0</v>
      </c>
      <c r="E518" s="439">
        <v>0</v>
      </c>
      <c r="F518" s="439">
        <v>0</v>
      </c>
      <c r="G518" s="439">
        <v>0</v>
      </c>
      <c r="H518" s="439">
        <v>0</v>
      </c>
      <c r="I518" s="439">
        <v>0</v>
      </c>
      <c r="J518" s="439">
        <v>0</v>
      </c>
      <c r="K518" s="439">
        <v>0</v>
      </c>
      <c r="L518" s="440">
        <v>0</v>
      </c>
      <c r="M518" s="439">
        <v>0</v>
      </c>
      <c r="N518" s="439">
        <v>383</v>
      </c>
      <c r="O518" s="439">
        <v>1214790</v>
      </c>
      <c r="P518" s="442">
        <v>0</v>
      </c>
      <c r="Q518" s="439">
        <v>0</v>
      </c>
      <c r="R518" s="442">
        <v>0</v>
      </c>
      <c r="S518" s="439">
        <v>0</v>
      </c>
      <c r="T518" s="440">
        <v>0</v>
      </c>
      <c r="U518" s="443">
        <v>0</v>
      </c>
      <c r="V518" s="282"/>
      <c r="W518" s="282">
        <f>O518/N518</f>
        <v>3171.7754569190602</v>
      </c>
      <c r="X518" s="282"/>
    </row>
    <row r="519" spans="1:31" ht="18.600000000000001" customHeight="1">
      <c r="A519" s="430"/>
      <c r="B519" s="464" t="s">
        <v>63</v>
      </c>
      <c r="C519" s="439">
        <f>C520</f>
        <v>3037109</v>
      </c>
      <c r="D519" s="439">
        <f t="shared" ref="D519:V519" si="70">D520</f>
        <v>0</v>
      </c>
      <c r="E519" s="439">
        <f t="shared" si="70"/>
        <v>0</v>
      </c>
      <c r="F519" s="439">
        <f t="shared" si="70"/>
        <v>0</v>
      </c>
      <c r="G519" s="439">
        <f t="shared" si="70"/>
        <v>0</v>
      </c>
      <c r="H519" s="439">
        <f t="shared" si="70"/>
        <v>0</v>
      </c>
      <c r="I519" s="439">
        <f t="shared" si="70"/>
        <v>0</v>
      </c>
      <c r="J519" s="439">
        <f t="shared" si="70"/>
        <v>0</v>
      </c>
      <c r="K519" s="439">
        <f t="shared" si="70"/>
        <v>0</v>
      </c>
      <c r="L519" s="439">
        <f t="shared" si="70"/>
        <v>0</v>
      </c>
      <c r="M519" s="439">
        <f t="shared" si="70"/>
        <v>0</v>
      </c>
      <c r="N519" s="439">
        <f t="shared" si="70"/>
        <v>1220.54</v>
      </c>
      <c r="O519" s="439">
        <f t="shared" si="70"/>
        <v>3037109</v>
      </c>
      <c r="P519" s="439">
        <f t="shared" si="70"/>
        <v>0</v>
      </c>
      <c r="Q519" s="439">
        <f t="shared" si="70"/>
        <v>0</v>
      </c>
      <c r="R519" s="439">
        <f t="shared" si="70"/>
        <v>0</v>
      </c>
      <c r="S519" s="439">
        <f t="shared" si="70"/>
        <v>0</v>
      </c>
      <c r="T519" s="439">
        <f t="shared" si="70"/>
        <v>0</v>
      </c>
      <c r="U519" s="439">
        <f t="shared" si="70"/>
        <v>0</v>
      </c>
      <c r="V519" s="211">
        <f t="shared" si="70"/>
        <v>0</v>
      </c>
      <c r="W519" s="282"/>
      <c r="X519" s="282"/>
    </row>
    <row r="520" spans="1:31" ht="27.6">
      <c r="A520" s="430"/>
      <c r="B520" s="438" t="s">
        <v>116</v>
      </c>
      <c r="C520" s="439">
        <f>C521+C522</f>
        <v>3037109</v>
      </c>
      <c r="D520" s="439">
        <f t="shared" ref="D520:U520" si="71">D521+D522</f>
        <v>0</v>
      </c>
      <c r="E520" s="439">
        <f t="shared" si="71"/>
        <v>0</v>
      </c>
      <c r="F520" s="439">
        <f t="shared" si="71"/>
        <v>0</v>
      </c>
      <c r="G520" s="439">
        <f t="shared" si="71"/>
        <v>0</v>
      </c>
      <c r="H520" s="439">
        <f t="shared" si="71"/>
        <v>0</v>
      </c>
      <c r="I520" s="439">
        <f t="shared" si="71"/>
        <v>0</v>
      </c>
      <c r="J520" s="439">
        <f t="shared" si="71"/>
        <v>0</v>
      </c>
      <c r="K520" s="439">
        <f t="shared" si="71"/>
        <v>0</v>
      </c>
      <c r="L520" s="439">
        <f t="shared" si="71"/>
        <v>0</v>
      </c>
      <c r="M520" s="439">
        <f t="shared" si="71"/>
        <v>0</v>
      </c>
      <c r="N520" s="439">
        <f t="shared" si="71"/>
        <v>1220.54</v>
      </c>
      <c r="O520" s="439">
        <f t="shared" si="71"/>
        <v>3037109</v>
      </c>
      <c r="P520" s="439">
        <f t="shared" si="71"/>
        <v>0</v>
      </c>
      <c r="Q520" s="439">
        <f t="shared" si="71"/>
        <v>0</v>
      </c>
      <c r="R520" s="439">
        <f t="shared" si="71"/>
        <v>0</v>
      </c>
      <c r="S520" s="439">
        <f t="shared" si="71"/>
        <v>0</v>
      </c>
      <c r="T520" s="439">
        <f t="shared" si="71"/>
        <v>0</v>
      </c>
      <c r="U520" s="439">
        <f t="shared" si="71"/>
        <v>0</v>
      </c>
      <c r="V520" s="282"/>
      <c r="W520" s="282"/>
      <c r="X520" s="282"/>
    </row>
    <row r="521" spans="1:31" ht="17.399999999999999" customHeight="1">
      <c r="A521" s="430">
        <v>442</v>
      </c>
      <c r="B521" s="438" t="s">
        <v>675</v>
      </c>
      <c r="C521" s="439">
        <f>'часть 1'!L481</f>
        <v>2012761</v>
      </c>
      <c r="D521" s="439">
        <v>0</v>
      </c>
      <c r="E521" s="439">
        <v>0</v>
      </c>
      <c r="F521" s="439">
        <v>0</v>
      </c>
      <c r="G521" s="439">
        <v>0</v>
      </c>
      <c r="H521" s="439">
        <v>0</v>
      </c>
      <c r="I521" s="439">
        <v>0</v>
      </c>
      <c r="J521" s="439">
        <v>0</v>
      </c>
      <c r="K521" s="439">
        <v>0</v>
      </c>
      <c r="L521" s="440">
        <v>0</v>
      </c>
      <c r="M521" s="439">
        <v>0</v>
      </c>
      <c r="N521" s="439">
        <v>811.74</v>
      </c>
      <c r="O521" s="439">
        <v>2012761</v>
      </c>
      <c r="P521" s="442">
        <v>0</v>
      </c>
      <c r="Q521" s="439">
        <v>0</v>
      </c>
      <c r="R521" s="442">
        <v>0</v>
      </c>
      <c r="S521" s="439">
        <v>0</v>
      </c>
      <c r="T521" s="440">
        <v>0</v>
      </c>
      <c r="U521" s="443">
        <v>0</v>
      </c>
      <c r="V521" s="282"/>
      <c r="W521" s="282">
        <f>O521/N521</f>
        <v>2479.5636533865522</v>
      </c>
      <c r="X521" s="282"/>
    </row>
    <row r="522" spans="1:31" ht="17.399999999999999" customHeight="1">
      <c r="A522" s="430"/>
      <c r="B522" s="438" t="s">
        <v>676</v>
      </c>
      <c r="C522" s="439">
        <f>'часть 1'!L482</f>
        <v>1024348</v>
      </c>
      <c r="D522" s="439">
        <v>0</v>
      </c>
      <c r="E522" s="439">
        <v>0</v>
      </c>
      <c r="F522" s="439">
        <v>0</v>
      </c>
      <c r="G522" s="439">
        <v>0</v>
      </c>
      <c r="H522" s="439">
        <v>0</v>
      </c>
      <c r="I522" s="439">
        <v>0</v>
      </c>
      <c r="J522" s="439">
        <v>0</v>
      </c>
      <c r="K522" s="439">
        <v>0</v>
      </c>
      <c r="L522" s="440">
        <v>0</v>
      </c>
      <c r="M522" s="439">
        <v>0</v>
      </c>
      <c r="N522" s="439">
        <v>408.8</v>
      </c>
      <c r="O522" s="439">
        <v>1024348</v>
      </c>
      <c r="P522" s="442">
        <v>0</v>
      </c>
      <c r="Q522" s="439">
        <v>0</v>
      </c>
      <c r="R522" s="442">
        <v>0</v>
      </c>
      <c r="S522" s="439">
        <v>0</v>
      </c>
      <c r="T522" s="440">
        <v>0</v>
      </c>
      <c r="U522" s="443">
        <v>0</v>
      </c>
      <c r="V522" s="282"/>
      <c r="W522" s="282">
        <f>O522/N522</f>
        <v>2505.7436399217222</v>
      </c>
      <c r="X522" s="282"/>
    </row>
    <row r="523" spans="1:31" ht="18.600000000000001" customHeight="1">
      <c r="A523" s="430"/>
      <c r="B523" s="438" t="s">
        <v>663</v>
      </c>
      <c r="C523" s="439">
        <f>C524</f>
        <v>1402598</v>
      </c>
      <c r="D523" s="439">
        <f t="shared" ref="D523:V524" si="72">D524</f>
        <v>0</v>
      </c>
      <c r="E523" s="439">
        <f t="shared" si="72"/>
        <v>0</v>
      </c>
      <c r="F523" s="439">
        <f t="shared" si="72"/>
        <v>0</v>
      </c>
      <c r="G523" s="439">
        <f t="shared" si="72"/>
        <v>0</v>
      </c>
      <c r="H523" s="439">
        <f t="shared" si="72"/>
        <v>0</v>
      </c>
      <c r="I523" s="439">
        <f t="shared" si="72"/>
        <v>0</v>
      </c>
      <c r="J523" s="439">
        <f t="shared" si="72"/>
        <v>0</v>
      </c>
      <c r="K523" s="439">
        <f t="shared" si="72"/>
        <v>0</v>
      </c>
      <c r="L523" s="439">
        <f t="shared" si="72"/>
        <v>0</v>
      </c>
      <c r="M523" s="439">
        <f t="shared" si="72"/>
        <v>0</v>
      </c>
      <c r="N523" s="439">
        <f t="shared" si="72"/>
        <v>443.4</v>
      </c>
      <c r="O523" s="439">
        <f t="shared" si="72"/>
        <v>1402598</v>
      </c>
      <c r="P523" s="439">
        <f t="shared" si="72"/>
        <v>0</v>
      </c>
      <c r="Q523" s="439">
        <f t="shared" si="72"/>
        <v>0</v>
      </c>
      <c r="R523" s="439">
        <f t="shared" si="72"/>
        <v>0</v>
      </c>
      <c r="S523" s="439">
        <f t="shared" si="72"/>
        <v>0</v>
      </c>
      <c r="T523" s="439">
        <f t="shared" si="72"/>
        <v>0</v>
      </c>
      <c r="U523" s="439">
        <f t="shared" si="72"/>
        <v>0</v>
      </c>
      <c r="V523" s="211">
        <f t="shared" si="72"/>
        <v>0</v>
      </c>
      <c r="W523" s="282"/>
      <c r="X523" s="282"/>
    </row>
    <row r="524" spans="1:31" ht="27.6">
      <c r="A524" s="430"/>
      <c r="B524" s="438" t="s">
        <v>667</v>
      </c>
      <c r="C524" s="439">
        <f>C525</f>
        <v>1402598</v>
      </c>
      <c r="D524" s="439">
        <f t="shared" si="72"/>
        <v>0</v>
      </c>
      <c r="E524" s="439">
        <f t="shared" si="72"/>
        <v>0</v>
      </c>
      <c r="F524" s="439">
        <f t="shared" si="72"/>
        <v>0</v>
      </c>
      <c r="G524" s="439">
        <f t="shared" si="72"/>
        <v>0</v>
      </c>
      <c r="H524" s="439">
        <f t="shared" si="72"/>
        <v>0</v>
      </c>
      <c r="I524" s="439">
        <f t="shared" si="72"/>
        <v>0</v>
      </c>
      <c r="J524" s="439">
        <f t="shared" si="72"/>
        <v>0</v>
      </c>
      <c r="K524" s="439">
        <f t="shared" si="72"/>
        <v>0</v>
      </c>
      <c r="L524" s="439">
        <f t="shared" si="72"/>
        <v>0</v>
      </c>
      <c r="M524" s="439">
        <f t="shared" si="72"/>
        <v>0</v>
      </c>
      <c r="N524" s="439">
        <f t="shared" si="72"/>
        <v>443.4</v>
      </c>
      <c r="O524" s="439">
        <f t="shared" si="72"/>
        <v>1402598</v>
      </c>
      <c r="P524" s="439">
        <f t="shared" si="72"/>
        <v>0</v>
      </c>
      <c r="Q524" s="439">
        <f t="shared" si="72"/>
        <v>0</v>
      </c>
      <c r="R524" s="439">
        <f t="shared" si="72"/>
        <v>0</v>
      </c>
      <c r="S524" s="439">
        <f t="shared" si="72"/>
        <v>0</v>
      </c>
      <c r="T524" s="439">
        <f t="shared" si="72"/>
        <v>0</v>
      </c>
      <c r="U524" s="439">
        <f t="shared" si="72"/>
        <v>0</v>
      </c>
      <c r="V524" s="439">
        <f t="shared" si="72"/>
        <v>0</v>
      </c>
      <c r="W524" s="282"/>
      <c r="X524" s="282"/>
    </row>
    <row r="525" spans="1:31" ht="17.399999999999999" customHeight="1">
      <c r="A525" s="430">
        <v>443</v>
      </c>
      <c r="B525" s="438" t="s">
        <v>835</v>
      </c>
      <c r="C525" s="439">
        <f>'часть 1'!L484</f>
        <v>1402598</v>
      </c>
      <c r="D525" s="439">
        <v>0</v>
      </c>
      <c r="E525" s="439">
        <v>0</v>
      </c>
      <c r="F525" s="439">
        <v>0</v>
      </c>
      <c r="G525" s="439">
        <v>0</v>
      </c>
      <c r="H525" s="439">
        <v>0</v>
      </c>
      <c r="I525" s="439">
        <v>0</v>
      </c>
      <c r="J525" s="439">
        <v>0</v>
      </c>
      <c r="K525" s="439">
        <v>0</v>
      </c>
      <c r="L525" s="440">
        <v>0</v>
      </c>
      <c r="M525" s="439">
        <v>0</v>
      </c>
      <c r="N525" s="432">
        <v>443.4</v>
      </c>
      <c r="O525" s="439">
        <v>1402598</v>
      </c>
      <c r="P525" s="442">
        <v>0</v>
      </c>
      <c r="Q525" s="439">
        <v>0</v>
      </c>
      <c r="R525" s="442">
        <v>0</v>
      </c>
      <c r="S525" s="439">
        <v>0</v>
      </c>
      <c r="T525" s="440">
        <v>0</v>
      </c>
      <c r="U525" s="443">
        <v>0</v>
      </c>
      <c r="V525" s="282"/>
      <c r="W525" s="282">
        <f>O525/N525</f>
        <v>3163.2792061344162</v>
      </c>
      <c r="X525" s="282"/>
    </row>
    <row r="526" spans="1:31">
      <c r="A526" s="198"/>
      <c r="B526" s="216" t="s">
        <v>64</v>
      </c>
      <c r="C526" s="211">
        <v>6928539</v>
      </c>
      <c r="D526" s="211"/>
      <c r="E526" s="211"/>
      <c r="F526" s="211"/>
      <c r="G526" s="211"/>
      <c r="H526" s="211"/>
      <c r="I526" s="211"/>
      <c r="J526" s="211"/>
      <c r="K526" s="211">
        <v>0</v>
      </c>
      <c r="L526" s="212">
        <v>0</v>
      </c>
      <c r="M526" s="211">
        <v>0</v>
      </c>
      <c r="N526" s="211">
        <v>3103</v>
      </c>
      <c r="O526" s="211">
        <v>6183896</v>
      </c>
      <c r="P526" s="213">
        <v>0</v>
      </c>
      <c r="Q526" s="211">
        <v>0</v>
      </c>
      <c r="R526" s="211">
        <v>512.4</v>
      </c>
      <c r="S526" s="211">
        <v>744643</v>
      </c>
      <c r="T526" s="212">
        <v>0</v>
      </c>
      <c r="U526" s="290">
        <v>0</v>
      </c>
      <c r="V526" s="282"/>
      <c r="W526" s="282"/>
      <c r="X526" s="282"/>
    </row>
    <row r="527" spans="1:31" ht="27.6">
      <c r="A527" s="430"/>
      <c r="B527" s="438" t="s">
        <v>115</v>
      </c>
      <c r="C527" s="439">
        <f>C528+C529+C530+C531</f>
        <v>5743338</v>
      </c>
      <c r="D527" s="439">
        <f t="shared" ref="D527:U527" si="73">D528+D529+D530+D531</f>
        <v>287932</v>
      </c>
      <c r="E527" s="439">
        <f t="shared" si="73"/>
        <v>287932</v>
      </c>
      <c r="F527" s="439">
        <f t="shared" si="73"/>
        <v>0</v>
      </c>
      <c r="G527" s="439">
        <f t="shared" si="73"/>
        <v>0</v>
      </c>
      <c r="H527" s="439">
        <f t="shared" si="73"/>
        <v>0</v>
      </c>
      <c r="I527" s="439">
        <f t="shared" si="73"/>
        <v>0</v>
      </c>
      <c r="J527" s="439">
        <f t="shared" si="73"/>
        <v>0</v>
      </c>
      <c r="K527" s="439">
        <f t="shared" si="73"/>
        <v>0</v>
      </c>
      <c r="L527" s="439">
        <f t="shared" si="73"/>
        <v>0</v>
      </c>
      <c r="M527" s="439">
        <f t="shared" si="73"/>
        <v>0</v>
      </c>
      <c r="N527" s="439">
        <f t="shared" si="73"/>
        <v>1384</v>
      </c>
      <c r="O527" s="439">
        <f t="shared" si="73"/>
        <v>4388060</v>
      </c>
      <c r="P527" s="439">
        <f t="shared" si="73"/>
        <v>0</v>
      </c>
      <c r="Q527" s="439">
        <f t="shared" si="73"/>
        <v>0</v>
      </c>
      <c r="R527" s="439">
        <f t="shared" si="73"/>
        <v>703</v>
      </c>
      <c r="S527" s="439">
        <f t="shared" si="73"/>
        <v>1067346</v>
      </c>
      <c r="T527" s="439">
        <f t="shared" si="73"/>
        <v>0</v>
      </c>
      <c r="U527" s="439">
        <f t="shared" si="73"/>
        <v>0</v>
      </c>
      <c r="V527" s="282"/>
      <c r="W527" s="282"/>
      <c r="X527" s="282"/>
      <c r="Y527" s="25"/>
      <c r="Z527" s="25"/>
    </row>
    <row r="528" spans="1:31">
      <c r="A528" s="198">
        <v>444</v>
      </c>
      <c r="B528" s="214" t="s">
        <v>608</v>
      </c>
      <c r="C528" s="211">
        <f>E528+O528+S528</f>
        <v>2311572</v>
      </c>
      <c r="D528" s="211">
        <f>E528+F528+G528+H528+I528+J528+K528</f>
        <v>203804</v>
      </c>
      <c r="E528" s="211">
        <v>203804</v>
      </c>
      <c r="F528" s="211">
        <v>0</v>
      </c>
      <c r="G528" s="211">
        <v>0</v>
      </c>
      <c r="H528" s="211">
        <v>0</v>
      </c>
      <c r="I528" s="211">
        <v>0</v>
      </c>
      <c r="J528" s="211">
        <v>0</v>
      </c>
      <c r="K528" s="211">
        <v>0</v>
      </c>
      <c r="L528" s="212">
        <v>0</v>
      </c>
      <c r="M528" s="211">
        <v>0</v>
      </c>
      <c r="N528" s="211">
        <v>413</v>
      </c>
      <c r="O528" s="211">
        <v>1306584</v>
      </c>
      <c r="P528" s="213">
        <v>0</v>
      </c>
      <c r="Q528" s="211">
        <v>0</v>
      </c>
      <c r="R528" s="213">
        <v>530</v>
      </c>
      <c r="S528" s="211">
        <v>801184</v>
      </c>
      <c r="T528" s="212">
        <v>0</v>
      </c>
      <c r="U528" s="290">
        <v>0</v>
      </c>
      <c r="V528" s="282"/>
      <c r="W528" s="282">
        <f>O528/N528</f>
        <v>3163.641646489104</v>
      </c>
      <c r="X528" s="865">
        <f>S528/R528</f>
        <v>1511.6679245283019</v>
      </c>
      <c r="Y528" s="1">
        <f>E528/'часть 1'!I487</f>
        <v>700.35738831615117</v>
      </c>
    </row>
    <row r="529" spans="1:35">
      <c r="A529" s="198">
        <v>445</v>
      </c>
      <c r="B529" s="214" t="s">
        <v>609</v>
      </c>
      <c r="C529" s="211">
        <f t="shared" ref="C529:C531" si="74">E529+O529+S529</f>
        <v>968625</v>
      </c>
      <c r="D529" s="211">
        <f t="shared" ref="D529:D531" si="75">E529+F529+G529+H529+I529+J529+K529</f>
        <v>84128</v>
      </c>
      <c r="E529" s="211">
        <v>84128</v>
      </c>
      <c r="F529" s="211">
        <v>0</v>
      </c>
      <c r="G529" s="211">
        <v>0</v>
      </c>
      <c r="H529" s="211">
        <v>0</v>
      </c>
      <c r="I529" s="211">
        <v>0</v>
      </c>
      <c r="J529" s="211">
        <v>0</v>
      </c>
      <c r="K529" s="211">
        <v>0</v>
      </c>
      <c r="L529" s="212">
        <v>0</v>
      </c>
      <c r="M529" s="211">
        <v>0</v>
      </c>
      <c r="N529" s="211">
        <v>194</v>
      </c>
      <c r="O529" s="211">
        <v>618335</v>
      </c>
      <c r="P529" s="213">
        <v>0</v>
      </c>
      <c r="Q529" s="211">
        <v>0</v>
      </c>
      <c r="R529" s="213">
        <v>173</v>
      </c>
      <c r="S529" s="211">
        <v>266162</v>
      </c>
      <c r="T529" s="212">
        <v>0</v>
      </c>
      <c r="U529" s="290">
        <v>0</v>
      </c>
      <c r="V529" s="282"/>
      <c r="W529" s="282">
        <f t="shared" ref="W529:W531" si="76">O529/N529</f>
        <v>3187.2938144329896</v>
      </c>
      <c r="X529" s="282">
        <f>S529/R529</f>
        <v>1538.5086705202311</v>
      </c>
      <c r="Y529" s="1">
        <f>E529/'часть 1'!I488</f>
        <v>701.06666666666672</v>
      </c>
    </row>
    <row r="530" spans="1:35">
      <c r="A530" s="198">
        <v>446</v>
      </c>
      <c r="B530" s="214" t="s">
        <v>610</v>
      </c>
      <c r="C530" s="211">
        <f t="shared" si="74"/>
        <v>1139852</v>
      </c>
      <c r="D530" s="211">
        <f t="shared" si="75"/>
        <v>0</v>
      </c>
      <c r="E530" s="211">
        <v>0</v>
      </c>
      <c r="F530" s="211">
        <v>0</v>
      </c>
      <c r="G530" s="211">
        <v>0</v>
      </c>
      <c r="H530" s="211">
        <v>0</v>
      </c>
      <c r="I530" s="211">
        <v>0</v>
      </c>
      <c r="J530" s="211">
        <v>0</v>
      </c>
      <c r="K530" s="211">
        <v>0</v>
      </c>
      <c r="L530" s="212">
        <v>0</v>
      </c>
      <c r="M530" s="211">
        <v>0</v>
      </c>
      <c r="N530" s="211">
        <v>359</v>
      </c>
      <c r="O530" s="211">
        <v>1139852</v>
      </c>
      <c r="P530" s="213">
        <v>0</v>
      </c>
      <c r="Q530" s="211">
        <v>0</v>
      </c>
      <c r="R530" s="211">
        <v>0</v>
      </c>
      <c r="S530" s="211">
        <v>0</v>
      </c>
      <c r="T530" s="212">
        <v>0</v>
      </c>
      <c r="U530" s="290">
        <v>0</v>
      </c>
      <c r="V530" s="282"/>
      <c r="W530" s="282">
        <f t="shared" si="76"/>
        <v>3175.075208913649</v>
      </c>
      <c r="X530" s="282"/>
      <c r="Y530" s="25"/>
      <c r="Z530" s="25"/>
    </row>
    <row r="531" spans="1:35">
      <c r="A531" s="198">
        <v>447</v>
      </c>
      <c r="B531" s="214" t="s">
        <v>611</v>
      </c>
      <c r="C531" s="211">
        <f t="shared" si="74"/>
        <v>1323289</v>
      </c>
      <c r="D531" s="211">
        <f t="shared" si="75"/>
        <v>0</v>
      </c>
      <c r="E531" s="211">
        <v>0</v>
      </c>
      <c r="F531" s="211">
        <v>0</v>
      </c>
      <c r="G531" s="211">
        <v>0</v>
      </c>
      <c r="H531" s="211">
        <v>0</v>
      </c>
      <c r="I531" s="211">
        <v>0</v>
      </c>
      <c r="J531" s="211">
        <v>0</v>
      </c>
      <c r="K531" s="211">
        <v>0</v>
      </c>
      <c r="L531" s="212">
        <v>0</v>
      </c>
      <c r="M531" s="211">
        <v>0</v>
      </c>
      <c r="N531" s="211">
        <v>418</v>
      </c>
      <c r="O531" s="211">
        <v>1323289</v>
      </c>
      <c r="P531" s="213">
        <v>0</v>
      </c>
      <c r="Q531" s="211">
        <v>0</v>
      </c>
      <c r="R531" s="213">
        <v>0</v>
      </c>
      <c r="S531" s="211">
        <v>0</v>
      </c>
      <c r="T531" s="212">
        <v>0</v>
      </c>
      <c r="U531" s="290">
        <v>0</v>
      </c>
      <c r="V531" s="282"/>
      <c r="W531" s="282">
        <f t="shared" si="76"/>
        <v>3165.7631578947367</v>
      </c>
      <c r="X531" s="282"/>
    </row>
    <row r="532" spans="1:35">
      <c r="A532" s="198"/>
      <c r="B532" s="216" t="s">
        <v>65</v>
      </c>
      <c r="C532" s="211">
        <f>C533+C535</f>
        <v>2988909</v>
      </c>
      <c r="D532" s="211">
        <f t="shared" ref="D532:U532" si="77">D533+D535</f>
        <v>0</v>
      </c>
      <c r="E532" s="211">
        <f t="shared" si="77"/>
        <v>0</v>
      </c>
      <c r="F532" s="211">
        <f t="shared" si="77"/>
        <v>0</v>
      </c>
      <c r="G532" s="211">
        <f t="shared" si="77"/>
        <v>0</v>
      </c>
      <c r="H532" s="211">
        <f t="shared" si="77"/>
        <v>0</v>
      </c>
      <c r="I532" s="211">
        <f t="shared" si="77"/>
        <v>0</v>
      </c>
      <c r="J532" s="211">
        <f t="shared" si="77"/>
        <v>0</v>
      </c>
      <c r="K532" s="211">
        <f t="shared" si="77"/>
        <v>0</v>
      </c>
      <c r="L532" s="211">
        <f t="shared" si="77"/>
        <v>0</v>
      </c>
      <c r="M532" s="211">
        <f t="shared" si="77"/>
        <v>0</v>
      </c>
      <c r="N532" s="211">
        <f t="shared" si="77"/>
        <v>946.68000000000006</v>
      </c>
      <c r="O532" s="211">
        <f t="shared" si="77"/>
        <v>2988909</v>
      </c>
      <c r="P532" s="211">
        <f t="shared" si="77"/>
        <v>0</v>
      </c>
      <c r="Q532" s="211">
        <f t="shared" si="77"/>
        <v>0</v>
      </c>
      <c r="R532" s="211">
        <f t="shared" si="77"/>
        <v>0</v>
      </c>
      <c r="S532" s="211">
        <f t="shared" si="77"/>
        <v>0</v>
      </c>
      <c r="T532" s="211">
        <f t="shared" si="77"/>
        <v>0</v>
      </c>
      <c r="U532" s="211">
        <f t="shared" si="77"/>
        <v>0</v>
      </c>
      <c r="V532" s="282"/>
      <c r="W532" s="282"/>
      <c r="X532" s="282"/>
    </row>
    <row r="533" spans="1:35" ht="27.6">
      <c r="A533" s="198"/>
      <c r="B533" s="214" t="s">
        <v>629</v>
      </c>
      <c r="C533" s="211">
        <f>C534</f>
        <v>1537679</v>
      </c>
      <c r="D533" s="211">
        <f t="shared" ref="D533:U533" si="78">D534</f>
        <v>0</v>
      </c>
      <c r="E533" s="211">
        <f t="shared" si="78"/>
        <v>0</v>
      </c>
      <c r="F533" s="211">
        <f t="shared" si="78"/>
        <v>0</v>
      </c>
      <c r="G533" s="211">
        <f t="shared" si="78"/>
        <v>0</v>
      </c>
      <c r="H533" s="211">
        <f t="shared" si="78"/>
        <v>0</v>
      </c>
      <c r="I533" s="211">
        <f t="shared" si="78"/>
        <v>0</v>
      </c>
      <c r="J533" s="211">
        <f t="shared" si="78"/>
        <v>0</v>
      </c>
      <c r="K533" s="211">
        <f t="shared" si="78"/>
        <v>0</v>
      </c>
      <c r="L533" s="211">
        <f t="shared" si="78"/>
        <v>0</v>
      </c>
      <c r="M533" s="211">
        <f t="shared" si="78"/>
        <v>0</v>
      </c>
      <c r="N533" s="211">
        <f t="shared" si="78"/>
        <v>487.68</v>
      </c>
      <c r="O533" s="211">
        <f t="shared" si="78"/>
        <v>1537679</v>
      </c>
      <c r="P533" s="211">
        <f t="shared" si="78"/>
        <v>0</v>
      </c>
      <c r="Q533" s="211">
        <f t="shared" si="78"/>
        <v>0</v>
      </c>
      <c r="R533" s="211">
        <f t="shared" si="78"/>
        <v>0</v>
      </c>
      <c r="S533" s="211">
        <f t="shared" si="78"/>
        <v>0</v>
      </c>
      <c r="T533" s="211">
        <f t="shared" si="78"/>
        <v>0</v>
      </c>
      <c r="U533" s="211">
        <f t="shared" si="78"/>
        <v>0</v>
      </c>
      <c r="V533" s="282"/>
      <c r="W533" s="282"/>
      <c r="X533" s="282"/>
    </row>
    <row r="534" spans="1:35">
      <c r="A534" s="198">
        <v>448</v>
      </c>
      <c r="B534" s="214" t="s">
        <v>630</v>
      </c>
      <c r="C534" s="211">
        <v>1537679</v>
      </c>
      <c r="D534" s="211">
        <v>0</v>
      </c>
      <c r="E534" s="211">
        <v>0</v>
      </c>
      <c r="F534" s="211">
        <v>0</v>
      </c>
      <c r="G534" s="211">
        <v>0</v>
      </c>
      <c r="H534" s="211">
        <v>0</v>
      </c>
      <c r="I534" s="211">
        <v>0</v>
      </c>
      <c r="J534" s="211">
        <v>0</v>
      </c>
      <c r="K534" s="211">
        <v>0</v>
      </c>
      <c r="L534" s="212">
        <v>0</v>
      </c>
      <c r="M534" s="211">
        <v>0</v>
      </c>
      <c r="N534" s="211">
        <v>487.68</v>
      </c>
      <c r="O534" s="211">
        <v>1537679</v>
      </c>
      <c r="P534" s="213">
        <v>0</v>
      </c>
      <c r="Q534" s="211">
        <v>0</v>
      </c>
      <c r="R534" s="213">
        <v>0</v>
      </c>
      <c r="S534" s="211">
        <v>0</v>
      </c>
      <c r="T534" s="212">
        <v>0</v>
      </c>
      <c r="U534" s="290">
        <v>0</v>
      </c>
      <c r="V534" s="282"/>
      <c r="W534" s="282">
        <f>O534/N534</f>
        <v>3153.0491305774276</v>
      </c>
      <c r="X534" s="282"/>
    </row>
    <row r="535" spans="1:35" ht="27.6">
      <c r="A535" s="198"/>
      <c r="B535" s="214" t="s">
        <v>631</v>
      </c>
      <c r="C535" s="211">
        <f>C536</f>
        <v>1451230</v>
      </c>
      <c r="D535" s="211">
        <f t="shared" ref="D535:V535" si="79">D536</f>
        <v>0</v>
      </c>
      <c r="E535" s="211">
        <f t="shared" si="79"/>
        <v>0</v>
      </c>
      <c r="F535" s="211">
        <f t="shared" si="79"/>
        <v>0</v>
      </c>
      <c r="G535" s="211">
        <f t="shared" si="79"/>
        <v>0</v>
      </c>
      <c r="H535" s="211">
        <f t="shared" si="79"/>
        <v>0</v>
      </c>
      <c r="I535" s="211">
        <f t="shared" si="79"/>
        <v>0</v>
      </c>
      <c r="J535" s="211">
        <f t="shared" si="79"/>
        <v>0</v>
      </c>
      <c r="K535" s="211">
        <f t="shared" si="79"/>
        <v>0</v>
      </c>
      <c r="L535" s="211">
        <f t="shared" si="79"/>
        <v>0</v>
      </c>
      <c r="M535" s="211">
        <f t="shared" si="79"/>
        <v>0</v>
      </c>
      <c r="N535" s="211">
        <f t="shared" si="79"/>
        <v>459</v>
      </c>
      <c r="O535" s="211">
        <f t="shared" si="79"/>
        <v>1451230</v>
      </c>
      <c r="P535" s="211">
        <f t="shared" si="79"/>
        <v>0</v>
      </c>
      <c r="Q535" s="211">
        <f t="shared" si="79"/>
        <v>0</v>
      </c>
      <c r="R535" s="211">
        <f t="shared" si="79"/>
        <v>0</v>
      </c>
      <c r="S535" s="211">
        <f t="shared" si="79"/>
        <v>0</v>
      </c>
      <c r="T535" s="211">
        <f t="shared" si="79"/>
        <v>0</v>
      </c>
      <c r="U535" s="211">
        <f t="shared" si="79"/>
        <v>0</v>
      </c>
      <c r="V535" s="211">
        <f t="shared" si="79"/>
        <v>0</v>
      </c>
      <c r="W535" s="282"/>
      <c r="X535" s="282"/>
    </row>
    <row r="536" spans="1:35">
      <c r="A536" s="198">
        <v>449</v>
      </c>
      <c r="B536" s="214" t="s">
        <v>632</v>
      </c>
      <c r="C536" s="211">
        <v>1451230</v>
      </c>
      <c r="D536" s="211">
        <v>0</v>
      </c>
      <c r="E536" s="211">
        <v>0</v>
      </c>
      <c r="F536" s="211">
        <v>0</v>
      </c>
      <c r="G536" s="211">
        <v>0</v>
      </c>
      <c r="H536" s="211">
        <v>0</v>
      </c>
      <c r="I536" s="211">
        <v>0</v>
      </c>
      <c r="J536" s="211">
        <v>0</v>
      </c>
      <c r="K536" s="211">
        <v>0</v>
      </c>
      <c r="L536" s="212">
        <v>0</v>
      </c>
      <c r="M536" s="211">
        <v>0</v>
      </c>
      <c r="N536" s="211">
        <v>459</v>
      </c>
      <c r="O536" s="211">
        <v>1451230</v>
      </c>
      <c r="P536" s="213">
        <v>0</v>
      </c>
      <c r="Q536" s="211">
        <v>0</v>
      </c>
      <c r="R536" s="213">
        <v>0</v>
      </c>
      <c r="S536" s="211">
        <v>0</v>
      </c>
      <c r="T536" s="212">
        <v>0</v>
      </c>
      <c r="U536" s="290">
        <v>0</v>
      </c>
      <c r="V536" s="282"/>
      <c r="W536" s="282">
        <f>O536/N536</f>
        <v>3161.7211328976036</v>
      </c>
      <c r="X536" s="282"/>
    </row>
    <row r="537" spans="1:35">
      <c r="A537" s="198"/>
      <c r="B537" s="216" t="s">
        <v>66</v>
      </c>
      <c r="C537" s="211">
        <f>C540+C538</f>
        <v>4692143</v>
      </c>
      <c r="D537" s="211">
        <f t="shared" ref="D537:V537" si="80">D540+D538</f>
        <v>346938</v>
      </c>
      <c r="E537" s="211">
        <f t="shared" si="80"/>
        <v>0</v>
      </c>
      <c r="F537" s="211">
        <f t="shared" si="80"/>
        <v>0</v>
      </c>
      <c r="G537" s="211">
        <f t="shared" si="80"/>
        <v>0</v>
      </c>
      <c r="H537" s="211">
        <f t="shared" si="80"/>
        <v>0</v>
      </c>
      <c r="I537" s="211">
        <f t="shared" si="80"/>
        <v>0</v>
      </c>
      <c r="J537" s="211">
        <f t="shared" si="80"/>
        <v>346938</v>
      </c>
      <c r="K537" s="211">
        <f t="shared" si="80"/>
        <v>0</v>
      </c>
      <c r="L537" s="211">
        <f t="shared" si="80"/>
        <v>0</v>
      </c>
      <c r="M537" s="211">
        <f t="shared" si="80"/>
        <v>0</v>
      </c>
      <c r="N537" s="211">
        <f t="shared" si="80"/>
        <v>1369.3</v>
      </c>
      <c r="O537" s="211">
        <f t="shared" si="80"/>
        <v>4345205</v>
      </c>
      <c r="P537" s="211">
        <f t="shared" si="80"/>
        <v>0</v>
      </c>
      <c r="Q537" s="211">
        <f t="shared" si="80"/>
        <v>0</v>
      </c>
      <c r="R537" s="211">
        <f t="shared" si="80"/>
        <v>0</v>
      </c>
      <c r="S537" s="211">
        <f t="shared" si="80"/>
        <v>0</v>
      </c>
      <c r="T537" s="211">
        <f t="shared" si="80"/>
        <v>0</v>
      </c>
      <c r="U537" s="211">
        <f t="shared" si="80"/>
        <v>0</v>
      </c>
      <c r="V537" s="211">
        <f t="shared" si="80"/>
        <v>0</v>
      </c>
      <c r="W537" s="282"/>
      <c r="X537" s="282"/>
    </row>
    <row r="538" spans="1:35" ht="27.6">
      <c r="A538" s="430"/>
      <c r="B538" s="438" t="s">
        <v>641</v>
      </c>
      <c r="C538" s="439">
        <f>C539</f>
        <v>346938</v>
      </c>
      <c r="D538" s="439">
        <f t="shared" ref="D538:V538" si="81">D539</f>
        <v>346938</v>
      </c>
      <c r="E538" s="439">
        <f t="shared" si="81"/>
        <v>0</v>
      </c>
      <c r="F538" s="439">
        <f t="shared" si="81"/>
        <v>0</v>
      </c>
      <c r="G538" s="439">
        <f t="shared" si="81"/>
        <v>0</v>
      </c>
      <c r="H538" s="439">
        <f t="shared" si="81"/>
        <v>0</v>
      </c>
      <c r="I538" s="439">
        <f t="shared" si="81"/>
        <v>0</v>
      </c>
      <c r="J538" s="439">
        <f t="shared" si="81"/>
        <v>346938</v>
      </c>
      <c r="K538" s="439">
        <f t="shared" si="81"/>
        <v>0</v>
      </c>
      <c r="L538" s="439">
        <f t="shared" si="81"/>
        <v>0</v>
      </c>
      <c r="M538" s="439">
        <f t="shared" si="81"/>
        <v>0</v>
      </c>
      <c r="N538" s="439">
        <f t="shared" si="81"/>
        <v>0</v>
      </c>
      <c r="O538" s="439">
        <f t="shared" si="81"/>
        <v>0</v>
      </c>
      <c r="P538" s="439">
        <f t="shared" si="81"/>
        <v>0</v>
      </c>
      <c r="Q538" s="439">
        <f t="shared" si="81"/>
        <v>0</v>
      </c>
      <c r="R538" s="439">
        <f t="shared" si="81"/>
        <v>0</v>
      </c>
      <c r="S538" s="439">
        <f t="shared" si="81"/>
        <v>0</v>
      </c>
      <c r="T538" s="439">
        <f t="shared" si="81"/>
        <v>0</v>
      </c>
      <c r="U538" s="439">
        <f t="shared" si="81"/>
        <v>0</v>
      </c>
      <c r="V538" s="211">
        <f t="shared" si="81"/>
        <v>0</v>
      </c>
      <c r="W538" s="282"/>
      <c r="X538" s="282"/>
    </row>
    <row r="539" spans="1:35">
      <c r="A539" s="430"/>
      <c r="B539" s="464" t="s">
        <v>642</v>
      </c>
      <c r="C539" s="439">
        <v>346938</v>
      </c>
      <c r="D539" s="439">
        <f>E539+F539+G539+H539+I539+J539+K539</f>
        <v>346938</v>
      </c>
      <c r="E539" s="439">
        <v>0</v>
      </c>
      <c r="F539" s="439">
        <v>0</v>
      </c>
      <c r="G539" s="439">
        <v>0</v>
      </c>
      <c r="H539" s="439">
        <v>0</v>
      </c>
      <c r="I539" s="439">
        <v>0</v>
      </c>
      <c r="J539" s="439">
        <v>346938</v>
      </c>
      <c r="K539" s="439">
        <v>0</v>
      </c>
      <c r="L539" s="439">
        <v>0</v>
      </c>
      <c r="M539" s="439">
        <v>0</v>
      </c>
      <c r="N539" s="439">
        <v>0</v>
      </c>
      <c r="O539" s="439">
        <v>0</v>
      </c>
      <c r="P539" s="439">
        <v>0</v>
      </c>
      <c r="Q539" s="439">
        <v>0</v>
      </c>
      <c r="R539" s="439">
        <v>0</v>
      </c>
      <c r="S539" s="439">
        <v>0</v>
      </c>
      <c r="T539" s="439">
        <v>0</v>
      </c>
      <c r="U539" s="439">
        <v>0</v>
      </c>
      <c r="V539" s="282"/>
      <c r="W539" s="282"/>
      <c r="X539" s="282"/>
      <c r="AD539" s="1">
        <f>J539/'часть 1'!I498</f>
        <v>553.86015325670496</v>
      </c>
    </row>
    <row r="540" spans="1:35" ht="27.6">
      <c r="A540" s="198"/>
      <c r="B540" s="214" t="s">
        <v>114</v>
      </c>
      <c r="C540" s="211">
        <f>C541+C542+C543</f>
        <v>4345205</v>
      </c>
      <c r="D540" s="211">
        <f t="shared" ref="D540:U540" si="82">D541+D542+D543</f>
        <v>0</v>
      </c>
      <c r="E540" s="211">
        <f t="shared" si="82"/>
        <v>0</v>
      </c>
      <c r="F540" s="211">
        <f t="shared" si="82"/>
        <v>0</v>
      </c>
      <c r="G540" s="211">
        <f t="shared" si="82"/>
        <v>0</v>
      </c>
      <c r="H540" s="211">
        <f t="shared" si="82"/>
        <v>0</v>
      </c>
      <c r="I540" s="211">
        <f t="shared" si="82"/>
        <v>0</v>
      </c>
      <c r="J540" s="211">
        <f t="shared" si="82"/>
        <v>0</v>
      </c>
      <c r="K540" s="211">
        <f t="shared" si="82"/>
        <v>0</v>
      </c>
      <c r="L540" s="211">
        <f>L541+L542+L543</f>
        <v>0</v>
      </c>
      <c r="M540" s="211">
        <f t="shared" si="82"/>
        <v>0</v>
      </c>
      <c r="N540" s="211">
        <f t="shared" si="82"/>
        <v>1369.3</v>
      </c>
      <c r="O540" s="211">
        <f t="shared" si="82"/>
        <v>4345205</v>
      </c>
      <c r="P540" s="211">
        <f t="shared" si="82"/>
        <v>0</v>
      </c>
      <c r="Q540" s="211">
        <f t="shared" si="82"/>
        <v>0</v>
      </c>
      <c r="R540" s="211">
        <f t="shared" si="82"/>
        <v>0</v>
      </c>
      <c r="S540" s="211">
        <f t="shared" si="82"/>
        <v>0</v>
      </c>
      <c r="T540" s="211">
        <f t="shared" si="82"/>
        <v>0</v>
      </c>
      <c r="U540" s="211">
        <f t="shared" si="82"/>
        <v>0</v>
      </c>
      <c r="V540" s="282"/>
      <c r="W540" s="282"/>
      <c r="X540" s="282"/>
    </row>
    <row r="541" spans="1:35" ht="15.6">
      <c r="A541" s="430">
        <v>450</v>
      </c>
      <c r="B541" s="363" t="s">
        <v>497</v>
      </c>
      <c r="C541" s="439">
        <v>784601</v>
      </c>
      <c r="D541" s="439">
        <v>0</v>
      </c>
      <c r="E541" s="439">
        <v>0</v>
      </c>
      <c r="F541" s="439">
        <v>0</v>
      </c>
      <c r="G541" s="439">
        <v>0</v>
      </c>
      <c r="H541" s="439">
        <v>0</v>
      </c>
      <c r="I541" s="439">
        <v>0</v>
      </c>
      <c r="J541" s="439">
        <v>0</v>
      </c>
      <c r="K541" s="439">
        <v>0</v>
      </c>
      <c r="L541" s="440">
        <v>0</v>
      </c>
      <c r="M541" s="439">
        <v>0</v>
      </c>
      <c r="N541" s="439">
        <v>245</v>
      </c>
      <c r="O541" s="439">
        <v>784601</v>
      </c>
      <c r="P541" s="442">
        <v>0</v>
      </c>
      <c r="Q541" s="439">
        <v>0</v>
      </c>
      <c r="R541" s="442">
        <v>0</v>
      </c>
      <c r="S541" s="439">
        <v>0</v>
      </c>
      <c r="T541" s="440">
        <v>0</v>
      </c>
      <c r="U541" s="443">
        <v>0</v>
      </c>
      <c r="V541" s="282"/>
      <c r="W541" s="282">
        <f>O541/N541</f>
        <v>3202.4530612244898</v>
      </c>
      <c r="X541" s="282"/>
    </row>
    <row r="542" spans="1:35" ht="15.6">
      <c r="A542" s="430">
        <v>451</v>
      </c>
      <c r="B542" s="363" t="s">
        <v>498</v>
      </c>
      <c r="C542" s="439">
        <v>1513632</v>
      </c>
      <c r="D542" s="439">
        <v>0</v>
      </c>
      <c r="E542" s="439">
        <v>0</v>
      </c>
      <c r="F542" s="439">
        <v>0</v>
      </c>
      <c r="G542" s="439">
        <v>0</v>
      </c>
      <c r="H542" s="439">
        <v>0</v>
      </c>
      <c r="I542" s="439">
        <v>0</v>
      </c>
      <c r="J542" s="439">
        <v>0</v>
      </c>
      <c r="K542" s="439">
        <v>0</v>
      </c>
      <c r="L542" s="440">
        <v>0</v>
      </c>
      <c r="M542" s="439">
        <v>0</v>
      </c>
      <c r="N542" s="439">
        <v>479.3</v>
      </c>
      <c r="O542" s="439">
        <v>1513632</v>
      </c>
      <c r="P542" s="442">
        <v>0</v>
      </c>
      <c r="Q542" s="439">
        <v>0</v>
      </c>
      <c r="R542" s="442">
        <v>0</v>
      </c>
      <c r="S542" s="439">
        <v>0</v>
      </c>
      <c r="T542" s="440">
        <v>0</v>
      </c>
      <c r="U542" s="443">
        <v>0</v>
      </c>
      <c r="V542" s="282"/>
      <c r="W542" s="282">
        <f t="shared" ref="W542:W551" si="83">O542/N542</f>
        <v>3158.0054245775086</v>
      </c>
      <c r="X542" s="282"/>
    </row>
    <row r="543" spans="1:35" ht="15.6">
      <c r="A543" s="430">
        <v>452</v>
      </c>
      <c r="B543" s="363" t="s">
        <v>499</v>
      </c>
      <c r="C543" s="439">
        <v>2046972</v>
      </c>
      <c r="D543" s="439">
        <v>0</v>
      </c>
      <c r="E543" s="439">
        <v>0</v>
      </c>
      <c r="F543" s="439">
        <v>0</v>
      </c>
      <c r="G543" s="439">
        <v>0</v>
      </c>
      <c r="H543" s="439">
        <v>0</v>
      </c>
      <c r="I543" s="439">
        <v>0</v>
      </c>
      <c r="J543" s="439">
        <v>0</v>
      </c>
      <c r="K543" s="439">
        <v>0</v>
      </c>
      <c r="L543" s="440">
        <v>0</v>
      </c>
      <c r="M543" s="439">
        <v>0</v>
      </c>
      <c r="N543" s="439">
        <v>645</v>
      </c>
      <c r="O543" s="439">
        <v>2046972</v>
      </c>
      <c r="P543" s="442">
        <v>0</v>
      </c>
      <c r="Q543" s="439">
        <v>0</v>
      </c>
      <c r="R543" s="442">
        <v>0</v>
      </c>
      <c r="S543" s="439">
        <v>0</v>
      </c>
      <c r="T543" s="440">
        <v>0</v>
      </c>
      <c r="U543" s="443">
        <v>0</v>
      </c>
      <c r="V543" s="282"/>
      <c r="W543" s="282">
        <f t="shared" si="83"/>
        <v>3173.6</v>
      </c>
      <c r="X543" s="282"/>
    </row>
    <row r="544" spans="1:35">
      <c r="A544" s="198"/>
      <c r="B544" s="214" t="s">
        <v>207</v>
      </c>
      <c r="C544" s="211">
        <f>C545+C546+C547+C548+C549+C550+C551</f>
        <v>21667282</v>
      </c>
      <c r="D544" s="211">
        <f t="shared" ref="D544:V544" si="84">D545+D546+D547+D548+D549+D550+D551</f>
        <v>0</v>
      </c>
      <c r="E544" s="211">
        <f t="shared" si="84"/>
        <v>0</v>
      </c>
      <c r="F544" s="211">
        <f t="shared" si="84"/>
        <v>0</v>
      </c>
      <c r="G544" s="211">
        <f t="shared" si="84"/>
        <v>0</v>
      </c>
      <c r="H544" s="211">
        <f t="shared" si="84"/>
        <v>0</v>
      </c>
      <c r="I544" s="211">
        <f t="shared" si="84"/>
        <v>0</v>
      </c>
      <c r="J544" s="211">
        <f t="shared" si="84"/>
        <v>0</v>
      </c>
      <c r="K544" s="211">
        <f t="shared" si="84"/>
        <v>0</v>
      </c>
      <c r="L544" s="211">
        <f t="shared" si="84"/>
        <v>0</v>
      </c>
      <c r="M544" s="211">
        <f t="shared" si="84"/>
        <v>0</v>
      </c>
      <c r="N544" s="211">
        <f t="shared" si="84"/>
        <v>8726</v>
      </c>
      <c r="O544" s="211">
        <f t="shared" si="84"/>
        <v>21667282</v>
      </c>
      <c r="P544" s="211">
        <f t="shared" si="84"/>
        <v>0</v>
      </c>
      <c r="Q544" s="211">
        <f t="shared" si="84"/>
        <v>0</v>
      </c>
      <c r="R544" s="211">
        <f t="shared" si="84"/>
        <v>0</v>
      </c>
      <c r="S544" s="211">
        <f t="shared" si="84"/>
        <v>0</v>
      </c>
      <c r="T544" s="211">
        <f t="shared" si="84"/>
        <v>0</v>
      </c>
      <c r="U544" s="211">
        <f t="shared" si="84"/>
        <v>0</v>
      </c>
      <c r="V544" s="211">
        <f t="shared" si="84"/>
        <v>0</v>
      </c>
      <c r="W544" s="282">
        <f t="shared" si="83"/>
        <v>2483.0715104286041</v>
      </c>
      <c r="X544" s="211"/>
      <c r="Y544" s="211"/>
      <c r="Z544" s="211"/>
      <c r="AA544" s="211"/>
      <c r="AB544" s="211"/>
      <c r="AC544" s="211"/>
      <c r="AD544" s="211"/>
      <c r="AE544" s="211"/>
      <c r="AF544" s="211"/>
      <c r="AG544" s="211"/>
      <c r="AH544" s="211"/>
      <c r="AI544" s="211"/>
    </row>
    <row r="545" spans="1:24">
      <c r="A545" s="430">
        <v>453</v>
      </c>
      <c r="B545" s="458" t="s">
        <v>569</v>
      </c>
      <c r="C545" s="439">
        <v>2609742</v>
      </c>
      <c r="D545" s="439">
        <v>0</v>
      </c>
      <c r="E545" s="439">
        <v>0</v>
      </c>
      <c r="F545" s="439">
        <v>0</v>
      </c>
      <c r="G545" s="439">
        <v>0</v>
      </c>
      <c r="H545" s="439">
        <v>0</v>
      </c>
      <c r="I545" s="439">
        <v>0</v>
      </c>
      <c r="J545" s="439">
        <v>0</v>
      </c>
      <c r="K545" s="439">
        <v>0</v>
      </c>
      <c r="L545" s="440">
        <v>0</v>
      </c>
      <c r="M545" s="439">
        <v>0</v>
      </c>
      <c r="N545" s="435">
        <v>1055</v>
      </c>
      <c r="O545" s="439">
        <v>2609742</v>
      </c>
      <c r="P545" s="440">
        <v>0</v>
      </c>
      <c r="Q545" s="439">
        <v>0</v>
      </c>
      <c r="R545" s="442">
        <v>0</v>
      </c>
      <c r="S545" s="439">
        <v>0</v>
      </c>
      <c r="T545" s="440">
        <v>0</v>
      </c>
      <c r="U545" s="443">
        <v>0</v>
      </c>
      <c r="V545" s="282"/>
      <c r="W545" s="282">
        <f t="shared" si="83"/>
        <v>2473.6890995260665</v>
      </c>
      <c r="X545" s="282"/>
    </row>
    <row r="546" spans="1:24">
      <c r="A546" s="430">
        <v>454</v>
      </c>
      <c r="B546" s="458" t="s">
        <v>570</v>
      </c>
      <c r="C546" s="439">
        <v>2313974</v>
      </c>
      <c r="D546" s="439">
        <v>0</v>
      </c>
      <c r="E546" s="439">
        <v>0</v>
      </c>
      <c r="F546" s="439">
        <v>0</v>
      </c>
      <c r="G546" s="439">
        <v>0</v>
      </c>
      <c r="H546" s="439">
        <v>0</v>
      </c>
      <c r="I546" s="439">
        <v>0</v>
      </c>
      <c r="J546" s="439">
        <v>0</v>
      </c>
      <c r="K546" s="439">
        <v>0</v>
      </c>
      <c r="L546" s="440">
        <v>0</v>
      </c>
      <c r="M546" s="439">
        <v>0</v>
      </c>
      <c r="N546" s="435">
        <v>927</v>
      </c>
      <c r="O546" s="439">
        <v>2313974</v>
      </c>
      <c r="P546" s="440">
        <v>0</v>
      </c>
      <c r="Q546" s="439">
        <v>0</v>
      </c>
      <c r="R546" s="442">
        <v>0</v>
      </c>
      <c r="S546" s="439">
        <v>0</v>
      </c>
      <c r="T546" s="440">
        <v>0</v>
      </c>
      <c r="U546" s="443">
        <v>0</v>
      </c>
      <c r="V546" s="282"/>
      <c r="W546" s="282">
        <f t="shared" si="83"/>
        <v>2496.1963322545848</v>
      </c>
      <c r="X546" s="282"/>
    </row>
    <row r="547" spans="1:24">
      <c r="A547" s="430">
        <v>455</v>
      </c>
      <c r="B547" s="458" t="s">
        <v>571</v>
      </c>
      <c r="C547" s="439">
        <v>4688365</v>
      </c>
      <c r="D547" s="439">
        <v>0</v>
      </c>
      <c r="E547" s="439">
        <v>0</v>
      </c>
      <c r="F547" s="439">
        <v>0</v>
      </c>
      <c r="G547" s="439">
        <v>0</v>
      </c>
      <c r="H547" s="439">
        <v>0</v>
      </c>
      <c r="I547" s="439">
        <v>0</v>
      </c>
      <c r="J547" s="439">
        <v>0</v>
      </c>
      <c r="K547" s="439">
        <v>0</v>
      </c>
      <c r="L547" s="440">
        <v>0</v>
      </c>
      <c r="M547" s="439">
        <v>0</v>
      </c>
      <c r="N547" s="439">
        <v>1894</v>
      </c>
      <c r="O547" s="439">
        <v>4688365</v>
      </c>
      <c r="P547" s="440">
        <v>0</v>
      </c>
      <c r="Q547" s="439">
        <v>0</v>
      </c>
      <c r="R547" s="442">
        <v>0</v>
      </c>
      <c r="S547" s="439">
        <v>0</v>
      </c>
      <c r="T547" s="440">
        <v>0</v>
      </c>
      <c r="U547" s="443">
        <v>0</v>
      </c>
      <c r="V547" s="282"/>
      <c r="W547" s="282">
        <f t="shared" si="83"/>
        <v>2475.3775079197467</v>
      </c>
      <c r="X547" s="282"/>
    </row>
    <row r="548" spans="1:24">
      <c r="A548" s="430">
        <v>456</v>
      </c>
      <c r="B548" s="458" t="s">
        <v>572</v>
      </c>
      <c r="C548" s="439">
        <v>924354</v>
      </c>
      <c r="D548" s="439">
        <v>0</v>
      </c>
      <c r="E548" s="439">
        <v>0</v>
      </c>
      <c r="F548" s="439">
        <v>0</v>
      </c>
      <c r="G548" s="439">
        <v>0</v>
      </c>
      <c r="H548" s="439">
        <v>0</v>
      </c>
      <c r="I548" s="439">
        <v>0</v>
      </c>
      <c r="J548" s="439">
        <v>0</v>
      </c>
      <c r="K548" s="439">
        <v>0</v>
      </c>
      <c r="L548" s="440">
        <v>0</v>
      </c>
      <c r="M548" s="439">
        <v>0</v>
      </c>
      <c r="N548" s="435">
        <v>362</v>
      </c>
      <c r="O548" s="439">
        <v>924354</v>
      </c>
      <c r="P548" s="440">
        <v>0</v>
      </c>
      <c r="Q548" s="439">
        <v>0</v>
      </c>
      <c r="R548" s="442">
        <v>0</v>
      </c>
      <c r="S548" s="439">
        <v>0</v>
      </c>
      <c r="T548" s="440">
        <v>0</v>
      </c>
      <c r="U548" s="443">
        <v>0</v>
      </c>
      <c r="V548" s="282"/>
      <c r="W548" s="282">
        <f t="shared" si="83"/>
        <v>2553.46408839779</v>
      </c>
      <c r="X548" s="282"/>
    </row>
    <row r="549" spans="1:24">
      <c r="A549" s="430">
        <v>457</v>
      </c>
      <c r="B549" s="458" t="s">
        <v>573</v>
      </c>
      <c r="C549" s="439">
        <v>1813705</v>
      </c>
      <c r="D549" s="439">
        <v>0</v>
      </c>
      <c r="E549" s="439">
        <v>0</v>
      </c>
      <c r="F549" s="439">
        <v>0</v>
      </c>
      <c r="G549" s="439">
        <v>0</v>
      </c>
      <c r="H549" s="439">
        <v>0</v>
      </c>
      <c r="I549" s="439">
        <v>0</v>
      </c>
      <c r="J549" s="439">
        <v>0</v>
      </c>
      <c r="K549" s="439">
        <v>0</v>
      </c>
      <c r="L549" s="440">
        <v>0</v>
      </c>
      <c r="M549" s="439">
        <v>0</v>
      </c>
      <c r="N549" s="435">
        <v>724</v>
      </c>
      <c r="O549" s="439">
        <v>1813705</v>
      </c>
      <c r="P549" s="440">
        <v>0</v>
      </c>
      <c r="Q549" s="439">
        <v>0</v>
      </c>
      <c r="R549" s="442">
        <v>0</v>
      </c>
      <c r="S549" s="439">
        <v>0</v>
      </c>
      <c r="T549" s="440">
        <v>0</v>
      </c>
      <c r="U549" s="443">
        <v>0</v>
      </c>
      <c r="V549" s="282"/>
      <c r="W549" s="282">
        <f t="shared" si="83"/>
        <v>2505.1174033149173</v>
      </c>
      <c r="X549" s="282"/>
    </row>
    <row r="550" spans="1:24">
      <c r="A550" s="430">
        <v>458</v>
      </c>
      <c r="B550" s="458" t="s">
        <v>574</v>
      </c>
      <c r="C550" s="439">
        <v>4665548</v>
      </c>
      <c r="D550" s="439">
        <v>0</v>
      </c>
      <c r="E550" s="439">
        <v>0</v>
      </c>
      <c r="F550" s="439">
        <v>0</v>
      </c>
      <c r="G550" s="439">
        <v>0</v>
      </c>
      <c r="H550" s="439">
        <v>0</v>
      </c>
      <c r="I550" s="439">
        <v>0</v>
      </c>
      <c r="J550" s="439">
        <v>0</v>
      </c>
      <c r="K550" s="439">
        <v>0</v>
      </c>
      <c r="L550" s="440">
        <v>0</v>
      </c>
      <c r="M550" s="439">
        <v>0</v>
      </c>
      <c r="N550" s="435">
        <v>1885</v>
      </c>
      <c r="O550" s="439">
        <v>4665548</v>
      </c>
      <c r="P550" s="440">
        <v>0</v>
      </c>
      <c r="Q550" s="439">
        <v>0</v>
      </c>
      <c r="R550" s="442">
        <v>0</v>
      </c>
      <c r="S550" s="439">
        <v>0</v>
      </c>
      <c r="T550" s="440">
        <v>0</v>
      </c>
      <c r="U550" s="443">
        <v>0</v>
      </c>
      <c r="V550" s="282"/>
      <c r="W550" s="282">
        <f t="shared" si="83"/>
        <v>2475.0917771883287</v>
      </c>
      <c r="X550" s="282"/>
    </row>
    <row r="551" spans="1:24">
      <c r="A551" s="430">
        <v>459</v>
      </c>
      <c r="B551" s="458" t="s">
        <v>575</v>
      </c>
      <c r="C551" s="439">
        <v>4651594</v>
      </c>
      <c r="D551" s="439">
        <v>0</v>
      </c>
      <c r="E551" s="439">
        <v>0</v>
      </c>
      <c r="F551" s="439">
        <v>0</v>
      </c>
      <c r="G551" s="439">
        <v>0</v>
      </c>
      <c r="H551" s="439">
        <v>0</v>
      </c>
      <c r="I551" s="439">
        <v>0</v>
      </c>
      <c r="J551" s="439">
        <v>0</v>
      </c>
      <c r="K551" s="439">
        <v>0</v>
      </c>
      <c r="L551" s="440">
        <v>0</v>
      </c>
      <c r="M551" s="439">
        <v>0</v>
      </c>
      <c r="N551" s="435">
        <v>1879</v>
      </c>
      <c r="O551" s="439">
        <v>4651594</v>
      </c>
      <c r="P551" s="440">
        <v>0</v>
      </c>
      <c r="Q551" s="439">
        <v>0</v>
      </c>
      <c r="R551" s="442">
        <v>0</v>
      </c>
      <c r="S551" s="439">
        <v>0</v>
      </c>
      <c r="T551" s="440">
        <v>0</v>
      </c>
      <c r="U551" s="443">
        <v>0</v>
      </c>
      <c r="V551" s="282"/>
      <c r="W551" s="282">
        <f t="shared" si="83"/>
        <v>2475.5689196381054</v>
      </c>
      <c r="X551" s="282"/>
    </row>
    <row r="552" spans="1:24">
      <c r="A552" s="430"/>
      <c r="B552" s="457"/>
      <c r="C552" s="439"/>
      <c r="D552" s="439"/>
      <c r="E552" s="439"/>
      <c r="F552" s="439"/>
      <c r="G552" s="439"/>
      <c r="H552" s="439"/>
      <c r="I552" s="439"/>
      <c r="J552" s="439"/>
      <c r="K552" s="439"/>
      <c r="L552" s="440"/>
      <c r="M552" s="439"/>
      <c r="N552" s="435"/>
      <c r="O552" s="439"/>
      <c r="P552" s="440"/>
      <c r="Q552" s="439"/>
      <c r="R552" s="442"/>
      <c r="S552" s="439"/>
      <c r="T552" s="440"/>
      <c r="U552" s="443"/>
      <c r="V552" s="282"/>
      <c r="W552" s="282"/>
      <c r="X552" s="282"/>
    </row>
    <row r="553" spans="1:24">
      <c r="A553" s="430"/>
      <c r="B553" s="457"/>
      <c r="C553" s="439"/>
      <c r="D553" s="439"/>
      <c r="E553" s="439"/>
      <c r="F553" s="439"/>
      <c r="G553" s="439"/>
      <c r="H553" s="439"/>
      <c r="I553" s="439"/>
      <c r="J553" s="439"/>
      <c r="K553" s="439"/>
      <c r="L553" s="440"/>
      <c r="M553" s="439"/>
      <c r="N553" s="435"/>
      <c r="O553" s="439"/>
      <c r="P553" s="440"/>
      <c r="Q553" s="439"/>
      <c r="R553" s="442"/>
      <c r="S553" s="439"/>
      <c r="T553" s="440"/>
      <c r="U553" s="443"/>
      <c r="V553" s="282"/>
      <c r="W553" s="282"/>
      <c r="X553" s="282"/>
    </row>
    <row r="554" spans="1:24">
      <c r="A554" s="430"/>
      <c r="B554" s="457"/>
      <c r="C554" s="439"/>
      <c r="D554" s="439"/>
      <c r="E554" s="439"/>
      <c r="F554" s="439"/>
      <c r="G554" s="439"/>
      <c r="H554" s="439"/>
      <c r="I554" s="439"/>
      <c r="J554" s="439"/>
      <c r="K554" s="439"/>
      <c r="L554" s="440"/>
      <c r="M554" s="439"/>
      <c r="N554" s="435"/>
      <c r="O554" s="439"/>
      <c r="P554" s="440"/>
      <c r="Q554" s="439"/>
      <c r="R554" s="442"/>
      <c r="S554" s="439"/>
      <c r="T554" s="440"/>
      <c r="U554" s="443"/>
      <c r="V554" s="282"/>
      <c r="W554" s="282"/>
      <c r="X554" s="282"/>
    </row>
    <row r="555" spans="1:24">
      <c r="A555" s="430"/>
      <c r="B555" s="457"/>
      <c r="C555" s="439"/>
      <c r="D555" s="439"/>
      <c r="E555" s="439"/>
      <c r="F555" s="439"/>
      <c r="G555" s="439"/>
      <c r="H555" s="439"/>
      <c r="I555" s="439"/>
      <c r="J555" s="439"/>
      <c r="K555" s="439"/>
      <c r="L555" s="440"/>
      <c r="M555" s="439"/>
      <c r="N555" s="435"/>
      <c r="O555" s="439"/>
      <c r="P555" s="440"/>
      <c r="Q555" s="439"/>
      <c r="R555" s="442"/>
      <c r="S555" s="439"/>
      <c r="T555" s="440"/>
      <c r="U555" s="443"/>
      <c r="V555" s="282"/>
      <c r="W555" s="282"/>
      <c r="X555" s="282"/>
    </row>
    <row r="556" spans="1:24">
      <c r="A556" s="198"/>
      <c r="B556" s="216" t="s">
        <v>67</v>
      </c>
      <c r="C556" s="211">
        <v>2507155.0699999998</v>
      </c>
      <c r="D556" s="211"/>
      <c r="E556" s="211"/>
      <c r="F556" s="211"/>
      <c r="G556" s="211"/>
      <c r="H556" s="211"/>
      <c r="I556" s="211"/>
      <c r="J556" s="211"/>
      <c r="K556" s="211">
        <v>0</v>
      </c>
      <c r="L556" s="212">
        <v>0</v>
      </c>
      <c r="M556" s="211">
        <v>0</v>
      </c>
      <c r="N556" s="211">
        <v>1630.2</v>
      </c>
      <c r="O556" s="211">
        <v>2507155.0699999998</v>
      </c>
      <c r="P556" s="212">
        <v>0</v>
      </c>
      <c r="Q556" s="211">
        <v>0</v>
      </c>
      <c r="R556" s="213">
        <v>0</v>
      </c>
      <c r="S556" s="211">
        <v>0</v>
      </c>
      <c r="T556" s="212">
        <v>0</v>
      </c>
      <c r="U556" s="290">
        <v>0</v>
      </c>
      <c r="V556" s="282"/>
      <c r="W556" s="282"/>
      <c r="X556" s="282"/>
    </row>
    <row r="557" spans="1:24" ht="27.6">
      <c r="A557" s="198"/>
      <c r="B557" s="214" t="s">
        <v>90</v>
      </c>
      <c r="C557" s="211">
        <v>728197.07</v>
      </c>
      <c r="D557" s="211"/>
      <c r="E557" s="211"/>
      <c r="F557" s="211"/>
      <c r="G557" s="211"/>
      <c r="H557" s="211"/>
      <c r="I557" s="211"/>
      <c r="J557" s="211"/>
      <c r="K557" s="211">
        <v>0</v>
      </c>
      <c r="L557" s="212">
        <v>0</v>
      </c>
      <c r="M557" s="211">
        <v>0</v>
      </c>
      <c r="N557" s="211">
        <v>731.2</v>
      </c>
      <c r="O557" s="211">
        <v>728197.07</v>
      </c>
      <c r="P557" s="212">
        <v>0</v>
      </c>
      <c r="Q557" s="211">
        <v>0</v>
      </c>
      <c r="R557" s="213">
        <v>0</v>
      </c>
      <c r="S557" s="211">
        <v>0</v>
      </c>
      <c r="T557" s="212">
        <v>0</v>
      </c>
      <c r="U557" s="290">
        <v>0</v>
      </c>
      <c r="V557" s="282"/>
      <c r="W557" s="282"/>
      <c r="X557" s="282"/>
    </row>
    <row r="558" spans="1:24" s="23" customFormat="1">
      <c r="A558" s="198">
        <v>464</v>
      </c>
      <c r="B558" s="241" t="s">
        <v>429</v>
      </c>
      <c r="C558" s="211">
        <v>728197.07</v>
      </c>
      <c r="D558" s="211"/>
      <c r="E558" s="211"/>
      <c r="F558" s="211"/>
      <c r="G558" s="211"/>
      <c r="H558" s="211"/>
      <c r="I558" s="211"/>
      <c r="J558" s="211"/>
      <c r="K558" s="211">
        <v>0</v>
      </c>
      <c r="L558" s="212">
        <v>0</v>
      </c>
      <c r="M558" s="211">
        <v>0</v>
      </c>
      <c r="N558" s="211">
        <v>731.2</v>
      </c>
      <c r="O558" s="211">
        <v>728197.07</v>
      </c>
      <c r="P558" s="212">
        <v>0</v>
      </c>
      <c r="Q558" s="211">
        <v>0</v>
      </c>
      <c r="R558" s="213">
        <v>0</v>
      </c>
      <c r="S558" s="211">
        <v>0</v>
      </c>
      <c r="T558" s="212">
        <v>0</v>
      </c>
      <c r="U558" s="290">
        <v>0</v>
      </c>
      <c r="V558" s="282"/>
      <c r="W558" s="282"/>
      <c r="X558" s="282"/>
    </row>
    <row r="559" spans="1:24" ht="27.6">
      <c r="A559" s="430"/>
      <c r="B559" s="438" t="s">
        <v>127</v>
      </c>
      <c r="C559" s="439">
        <f>C560</f>
        <v>2131086</v>
      </c>
      <c r="D559" s="439">
        <f t="shared" ref="D559:V559" si="85">D560</f>
        <v>0</v>
      </c>
      <c r="E559" s="439">
        <f t="shared" si="85"/>
        <v>0</v>
      </c>
      <c r="F559" s="439">
        <f t="shared" si="85"/>
        <v>0</v>
      </c>
      <c r="G559" s="439">
        <f t="shared" si="85"/>
        <v>0</v>
      </c>
      <c r="H559" s="439">
        <f t="shared" si="85"/>
        <v>0</v>
      </c>
      <c r="I559" s="439">
        <f t="shared" si="85"/>
        <v>0</v>
      </c>
      <c r="J559" s="439">
        <f t="shared" si="85"/>
        <v>0</v>
      </c>
      <c r="K559" s="439">
        <f t="shared" si="85"/>
        <v>0</v>
      </c>
      <c r="L559" s="439">
        <f t="shared" si="85"/>
        <v>0</v>
      </c>
      <c r="M559" s="439">
        <f t="shared" si="85"/>
        <v>0</v>
      </c>
      <c r="N559" s="439">
        <f t="shared" si="85"/>
        <v>860</v>
      </c>
      <c r="O559" s="439">
        <f t="shared" si="85"/>
        <v>2131086</v>
      </c>
      <c r="P559" s="439">
        <f t="shared" si="85"/>
        <v>0</v>
      </c>
      <c r="Q559" s="439">
        <f t="shared" si="85"/>
        <v>0</v>
      </c>
      <c r="R559" s="439">
        <f t="shared" si="85"/>
        <v>0</v>
      </c>
      <c r="S559" s="439">
        <f t="shared" si="85"/>
        <v>0</v>
      </c>
      <c r="T559" s="439">
        <f t="shared" si="85"/>
        <v>0</v>
      </c>
      <c r="U559" s="439">
        <f t="shared" si="85"/>
        <v>0</v>
      </c>
      <c r="V559" s="211">
        <f t="shared" si="85"/>
        <v>0</v>
      </c>
      <c r="W559" s="282"/>
      <c r="X559" s="282"/>
    </row>
    <row r="560" spans="1:24" ht="24" customHeight="1">
      <c r="A560" s="430">
        <v>465</v>
      </c>
      <c r="B560" s="438" t="s">
        <v>686</v>
      </c>
      <c r="C560" s="439">
        <f>'часть 1'!L519</f>
        <v>2131086</v>
      </c>
      <c r="D560" s="439">
        <v>0</v>
      </c>
      <c r="E560" s="439">
        <v>0</v>
      </c>
      <c r="F560" s="439">
        <v>0</v>
      </c>
      <c r="G560" s="439">
        <v>0</v>
      </c>
      <c r="H560" s="439">
        <v>0</v>
      </c>
      <c r="I560" s="439">
        <v>0</v>
      </c>
      <c r="J560" s="439">
        <v>0</v>
      </c>
      <c r="K560" s="439">
        <v>0</v>
      </c>
      <c r="L560" s="440">
        <v>0</v>
      </c>
      <c r="M560" s="439">
        <v>0</v>
      </c>
      <c r="N560" s="439">
        <v>860</v>
      </c>
      <c r="O560" s="439">
        <v>2131086</v>
      </c>
      <c r="P560" s="440">
        <v>0</v>
      </c>
      <c r="Q560" s="439">
        <v>0</v>
      </c>
      <c r="R560" s="442">
        <v>0</v>
      </c>
      <c r="S560" s="439">
        <v>0</v>
      </c>
      <c r="T560" s="440">
        <v>0</v>
      </c>
      <c r="U560" s="443">
        <v>0</v>
      </c>
      <c r="V560" s="282"/>
      <c r="W560" s="282">
        <f>O560/N560</f>
        <v>2478.006976744186</v>
      </c>
      <c r="X560" s="282"/>
    </row>
    <row r="561" spans="1:49" ht="18.75" customHeight="1">
      <c r="A561" s="487"/>
      <c r="B561" s="488" t="s">
        <v>89</v>
      </c>
      <c r="C561" s="489">
        <f>SUM(C562:C729)</f>
        <v>336230870.63</v>
      </c>
      <c r="D561" s="489"/>
      <c r="E561" s="489"/>
      <c r="F561" s="489"/>
      <c r="G561" s="489"/>
      <c r="H561" s="489"/>
      <c r="I561" s="489"/>
      <c r="J561" s="489"/>
      <c r="K561" s="489" t="e">
        <f>SUM(K562:K729)</f>
        <v>#REF!</v>
      </c>
      <c r="L561" s="490">
        <v>45</v>
      </c>
      <c r="M561" s="489">
        <f>SUM(M562:M729)</f>
        <v>84665172</v>
      </c>
      <c r="N561" s="489">
        <f t="shared" ref="N561" si="86">SUM(N562:N729)</f>
        <v>64824.649999999994</v>
      </c>
      <c r="O561" s="489">
        <f>SUM(O562:O729)</f>
        <v>127943364.07000001</v>
      </c>
      <c r="P561" s="489">
        <f t="shared" ref="P561" si="87">SUM(P562:P729)</f>
        <v>682</v>
      </c>
      <c r="Q561" s="489">
        <f>SUM(Q562:Q729)</f>
        <v>662518</v>
      </c>
      <c r="R561" s="489">
        <f t="shared" ref="R561" si="88">SUM(R562:R729)</f>
        <v>29106.850000000002</v>
      </c>
      <c r="S561" s="489">
        <f>SUM(S562:S729)</f>
        <v>38255949.950000003</v>
      </c>
      <c r="T561" s="490">
        <v>0</v>
      </c>
      <c r="U561" s="491">
        <v>0</v>
      </c>
      <c r="V561" s="436"/>
      <c r="W561" s="436"/>
      <c r="X561" s="436"/>
      <c r="Y561" s="437"/>
      <c r="Z561" s="437"/>
      <c r="AA561" s="437"/>
      <c r="AB561" s="437"/>
      <c r="AC561" s="437"/>
      <c r="AD561" s="437"/>
      <c r="AE561" s="437"/>
      <c r="AF561" s="437"/>
      <c r="AG561" s="437"/>
      <c r="AH561" s="437"/>
      <c r="AI561" s="437"/>
    </row>
    <row r="562" spans="1:49" s="59" customFormat="1">
      <c r="A562" s="198">
        <v>1</v>
      </c>
      <c r="B562" s="195" t="s">
        <v>324</v>
      </c>
      <c r="C562" s="196">
        <v>5982216</v>
      </c>
      <c r="D562" s="196"/>
      <c r="E562" s="196"/>
      <c r="F562" s="196"/>
      <c r="G562" s="196"/>
      <c r="H562" s="196"/>
      <c r="I562" s="196"/>
      <c r="J562" s="196"/>
      <c r="K562" s="196">
        <v>0</v>
      </c>
      <c r="L562" s="194">
        <v>0</v>
      </c>
      <c r="M562" s="196">
        <v>0</v>
      </c>
      <c r="N562" s="196">
        <v>0</v>
      </c>
      <c r="O562" s="196">
        <v>0</v>
      </c>
      <c r="P562" s="194">
        <v>0</v>
      </c>
      <c r="Q562" s="196">
        <v>0</v>
      </c>
      <c r="R562" s="199">
        <v>4158.84</v>
      </c>
      <c r="S562" s="196">
        <v>5982216</v>
      </c>
      <c r="T562" s="197">
        <v>0</v>
      </c>
      <c r="U562" s="288">
        <v>0</v>
      </c>
      <c r="V562" s="282" t="e">
        <f>C562-'часть 1'!#REF!</f>
        <v>#REF!</v>
      </c>
      <c r="W562" s="282"/>
      <c r="X562" s="28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296"/>
    </row>
    <row r="563" spans="1:49" s="89" customFormat="1">
      <c r="A563" s="198">
        <v>2</v>
      </c>
      <c r="B563" s="195" t="s">
        <v>325</v>
      </c>
      <c r="C563" s="196">
        <v>9379653</v>
      </c>
      <c r="D563" s="196"/>
      <c r="E563" s="196"/>
      <c r="F563" s="196"/>
      <c r="G563" s="196"/>
      <c r="H563" s="196"/>
      <c r="I563" s="196"/>
      <c r="J563" s="196"/>
      <c r="K563" s="196">
        <v>0</v>
      </c>
      <c r="L563" s="194">
        <v>5</v>
      </c>
      <c r="M563" s="196">
        <v>9379653</v>
      </c>
      <c r="N563" s="196">
        <v>0</v>
      </c>
      <c r="O563" s="196">
        <v>0</v>
      </c>
      <c r="P563" s="194">
        <v>0</v>
      </c>
      <c r="Q563" s="196">
        <v>0</v>
      </c>
      <c r="R563" s="197">
        <v>0</v>
      </c>
      <c r="S563" s="196">
        <v>0</v>
      </c>
      <c r="T563" s="197">
        <v>0</v>
      </c>
      <c r="U563" s="288">
        <v>0</v>
      </c>
      <c r="V563" s="282" t="e">
        <f>C563-'часть 1'!#REF!</f>
        <v>#REF!</v>
      </c>
      <c r="W563" s="282"/>
      <c r="X563" s="28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296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</row>
    <row r="564" spans="1:49" s="59" customFormat="1">
      <c r="A564" s="198">
        <v>3</v>
      </c>
      <c r="B564" s="195" t="s">
        <v>321</v>
      </c>
      <c r="C564" s="196">
        <v>3763756</v>
      </c>
      <c r="D564" s="196"/>
      <c r="E564" s="196"/>
      <c r="F564" s="196"/>
      <c r="G564" s="196"/>
      <c r="H564" s="196"/>
      <c r="I564" s="196"/>
      <c r="J564" s="196"/>
      <c r="K564" s="196">
        <v>0</v>
      </c>
      <c r="L564" s="194">
        <v>2</v>
      </c>
      <c r="M564" s="196">
        <v>3763756</v>
      </c>
      <c r="N564" s="196">
        <v>0</v>
      </c>
      <c r="O564" s="196">
        <v>0</v>
      </c>
      <c r="P564" s="194">
        <v>0</v>
      </c>
      <c r="Q564" s="196">
        <v>0</v>
      </c>
      <c r="R564" s="200">
        <v>0</v>
      </c>
      <c r="S564" s="196">
        <v>0</v>
      </c>
      <c r="T564" s="197">
        <v>0</v>
      </c>
      <c r="U564" s="288">
        <v>0</v>
      </c>
      <c r="V564" s="282" t="e">
        <f>C564-'часть 1'!#REF!</f>
        <v>#REF!</v>
      </c>
      <c r="W564" s="282"/>
      <c r="X564" s="28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296"/>
    </row>
    <row r="565" spans="1:49" s="59" customFormat="1">
      <c r="A565" s="198">
        <v>4</v>
      </c>
      <c r="B565" s="195" t="s">
        <v>346</v>
      </c>
      <c r="C565" s="196">
        <v>1095812</v>
      </c>
      <c r="D565" s="196"/>
      <c r="E565" s="196"/>
      <c r="F565" s="196"/>
      <c r="G565" s="196"/>
      <c r="H565" s="196"/>
      <c r="I565" s="196"/>
      <c r="J565" s="196"/>
      <c r="K565" s="196">
        <v>1095812</v>
      </c>
      <c r="L565" s="194">
        <v>0</v>
      </c>
      <c r="M565" s="196">
        <v>0</v>
      </c>
      <c r="N565" s="196">
        <v>0</v>
      </c>
      <c r="O565" s="196">
        <v>0</v>
      </c>
      <c r="P565" s="194">
        <v>0</v>
      </c>
      <c r="Q565" s="196">
        <v>0</v>
      </c>
      <c r="R565" s="200">
        <v>0</v>
      </c>
      <c r="S565" s="196">
        <v>0</v>
      </c>
      <c r="T565" s="197">
        <v>0</v>
      </c>
      <c r="U565" s="288">
        <v>0</v>
      </c>
      <c r="V565" s="282" t="e">
        <f>C565-'часть 1'!#REF!</f>
        <v>#REF!</v>
      </c>
      <c r="W565" s="282"/>
      <c r="X565" s="28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296"/>
    </row>
    <row r="566" spans="1:49" s="59" customFormat="1">
      <c r="A566" s="198">
        <v>5</v>
      </c>
      <c r="B566" s="195" t="s">
        <v>322</v>
      </c>
      <c r="C566" s="196">
        <v>5619141</v>
      </c>
      <c r="D566" s="196"/>
      <c r="E566" s="196"/>
      <c r="F566" s="196"/>
      <c r="G566" s="196"/>
      <c r="H566" s="196"/>
      <c r="I566" s="196"/>
      <c r="J566" s="196"/>
      <c r="K566" s="196">
        <v>0</v>
      </c>
      <c r="L566" s="194">
        <v>3</v>
      </c>
      <c r="M566" s="196">
        <v>5619141</v>
      </c>
      <c r="N566" s="196">
        <v>0</v>
      </c>
      <c r="O566" s="196">
        <v>0</v>
      </c>
      <c r="P566" s="194">
        <v>0</v>
      </c>
      <c r="Q566" s="196">
        <v>0</v>
      </c>
      <c r="R566" s="200">
        <v>0</v>
      </c>
      <c r="S566" s="196">
        <v>0</v>
      </c>
      <c r="T566" s="197">
        <v>0</v>
      </c>
      <c r="U566" s="288">
        <v>0</v>
      </c>
      <c r="V566" s="282" t="e">
        <f>C566-'часть 1'!#REF!</f>
        <v>#REF!</v>
      </c>
      <c r="W566" s="282"/>
      <c r="X566" s="28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296"/>
    </row>
    <row r="567" spans="1:49" s="59" customFormat="1">
      <c r="A567" s="198">
        <v>6</v>
      </c>
      <c r="B567" s="195" t="s">
        <v>320</v>
      </c>
      <c r="C567" s="196">
        <v>3748388</v>
      </c>
      <c r="D567" s="196"/>
      <c r="E567" s="196"/>
      <c r="F567" s="196"/>
      <c r="G567" s="196"/>
      <c r="H567" s="196"/>
      <c r="I567" s="196"/>
      <c r="J567" s="196"/>
      <c r="K567" s="196">
        <v>0</v>
      </c>
      <c r="L567" s="194">
        <v>2</v>
      </c>
      <c r="M567" s="196">
        <v>3748388</v>
      </c>
      <c r="N567" s="196">
        <v>0</v>
      </c>
      <c r="O567" s="196">
        <v>0</v>
      </c>
      <c r="P567" s="194">
        <v>0</v>
      </c>
      <c r="Q567" s="196">
        <v>0</v>
      </c>
      <c r="R567" s="197">
        <v>0</v>
      </c>
      <c r="S567" s="196">
        <v>0</v>
      </c>
      <c r="T567" s="197">
        <v>0</v>
      </c>
      <c r="U567" s="288">
        <v>0</v>
      </c>
      <c r="V567" s="282" t="e">
        <f>C567-'часть 1'!#REF!</f>
        <v>#REF!</v>
      </c>
      <c r="W567" s="282"/>
      <c r="X567" s="28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296"/>
    </row>
    <row r="568" spans="1:49" s="59" customFormat="1">
      <c r="A568" s="198">
        <v>7</v>
      </c>
      <c r="B568" s="195" t="s">
        <v>327</v>
      </c>
      <c r="C568" s="196">
        <v>15157748</v>
      </c>
      <c r="D568" s="196"/>
      <c r="E568" s="196"/>
      <c r="F568" s="196"/>
      <c r="G568" s="196"/>
      <c r="H568" s="196"/>
      <c r="I568" s="196"/>
      <c r="J568" s="196"/>
      <c r="K568" s="196">
        <v>0</v>
      </c>
      <c r="L568" s="194">
        <v>8</v>
      </c>
      <c r="M568" s="196">
        <f>C568</f>
        <v>15157748</v>
      </c>
      <c r="N568" s="196">
        <v>0</v>
      </c>
      <c r="O568" s="196">
        <v>0</v>
      </c>
      <c r="P568" s="194">
        <v>0</v>
      </c>
      <c r="Q568" s="196">
        <v>0</v>
      </c>
      <c r="R568" s="197">
        <v>0</v>
      </c>
      <c r="S568" s="196">
        <v>0</v>
      </c>
      <c r="T568" s="197">
        <v>0</v>
      </c>
      <c r="U568" s="288">
        <v>0</v>
      </c>
      <c r="V568" s="282" t="e">
        <f>C568-'часть 1'!#REF!</f>
        <v>#REF!</v>
      </c>
      <c r="W568" s="282"/>
      <c r="X568" s="28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296"/>
    </row>
    <row r="569" spans="1:49" s="59" customFormat="1">
      <c r="A569" s="198">
        <v>8</v>
      </c>
      <c r="B569" s="195" t="s">
        <v>323</v>
      </c>
      <c r="C569" s="196">
        <v>1030213</v>
      </c>
      <c r="D569" s="196"/>
      <c r="E569" s="196"/>
      <c r="F569" s="196"/>
      <c r="G569" s="196"/>
      <c r="H569" s="196"/>
      <c r="I569" s="196"/>
      <c r="J569" s="196"/>
      <c r="K569" s="196">
        <v>0</v>
      </c>
      <c r="L569" s="194">
        <v>0</v>
      </c>
      <c r="M569" s="196">
        <v>0</v>
      </c>
      <c r="N569" s="196">
        <v>513.79999999999995</v>
      </c>
      <c r="O569" s="199">
        <f>C569</f>
        <v>1030213</v>
      </c>
      <c r="P569" s="194">
        <v>0</v>
      </c>
      <c r="Q569" s="196">
        <v>0</v>
      </c>
      <c r="R569" s="200">
        <v>0</v>
      </c>
      <c r="S569" s="196">
        <v>0</v>
      </c>
      <c r="T569" s="197">
        <v>0</v>
      </c>
      <c r="U569" s="288">
        <v>0</v>
      </c>
      <c r="V569" s="282" t="e">
        <f>C569-'часть 1'!#REF!</f>
        <v>#REF!</v>
      </c>
      <c r="W569" s="282"/>
      <c r="X569" s="28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296"/>
    </row>
    <row r="570" spans="1:49" s="59" customFormat="1">
      <c r="A570" s="198">
        <v>9</v>
      </c>
      <c r="B570" s="195" t="s">
        <v>319</v>
      </c>
      <c r="C570" s="196">
        <v>530465</v>
      </c>
      <c r="D570" s="196"/>
      <c r="E570" s="196"/>
      <c r="F570" s="196"/>
      <c r="G570" s="196"/>
      <c r="H570" s="196"/>
      <c r="I570" s="196"/>
      <c r="J570" s="196"/>
      <c r="K570" s="196" t="e">
        <f>#REF!</f>
        <v>#REF!</v>
      </c>
      <c r="L570" s="194">
        <v>0</v>
      </c>
      <c r="M570" s="196">
        <v>0</v>
      </c>
      <c r="N570" s="199">
        <v>0</v>
      </c>
      <c r="O570" s="196">
        <v>0</v>
      </c>
      <c r="P570" s="194">
        <v>0</v>
      </c>
      <c r="Q570" s="196">
        <v>0</v>
      </c>
      <c r="R570" s="200">
        <v>0</v>
      </c>
      <c r="S570" s="196">
        <v>0</v>
      </c>
      <c r="T570" s="197">
        <v>0</v>
      </c>
      <c r="U570" s="288">
        <v>0</v>
      </c>
      <c r="V570" s="282">
        <f>C570-'часть 1'!L581</f>
        <v>530465</v>
      </c>
      <c r="W570" s="282"/>
      <c r="X570" s="28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296"/>
    </row>
    <row r="571" spans="1:49" s="59" customFormat="1">
      <c r="A571" s="198">
        <v>10</v>
      </c>
      <c r="B571" s="195" t="s">
        <v>326</v>
      </c>
      <c r="C571" s="196">
        <v>1983854</v>
      </c>
      <c r="D571" s="196"/>
      <c r="E571" s="196"/>
      <c r="F571" s="196"/>
      <c r="G571" s="196"/>
      <c r="H571" s="196"/>
      <c r="I571" s="196"/>
      <c r="J571" s="196"/>
      <c r="K571" s="196">
        <v>0</v>
      </c>
      <c r="L571" s="194">
        <v>0</v>
      </c>
      <c r="M571" s="196">
        <v>0</v>
      </c>
      <c r="N571" s="196">
        <v>1000</v>
      </c>
      <c r="O571" s="196">
        <v>1983854</v>
      </c>
      <c r="P571" s="194">
        <v>0</v>
      </c>
      <c r="Q571" s="196">
        <v>0</v>
      </c>
      <c r="R571" s="197">
        <v>0</v>
      </c>
      <c r="S571" s="196">
        <v>0</v>
      </c>
      <c r="T571" s="197">
        <v>0</v>
      </c>
      <c r="U571" s="288">
        <v>0</v>
      </c>
      <c r="V571" s="282">
        <f>C571-'часть 1'!L582</f>
        <v>1983854</v>
      </c>
      <c r="W571" s="282"/>
      <c r="X571" s="28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296"/>
    </row>
    <row r="572" spans="1:49" s="59" customFormat="1">
      <c r="A572" s="198">
        <v>11</v>
      </c>
      <c r="B572" s="195" t="s">
        <v>388</v>
      </c>
      <c r="C572" s="196">
        <v>1206304</v>
      </c>
      <c r="D572" s="196"/>
      <c r="E572" s="196"/>
      <c r="F572" s="196"/>
      <c r="G572" s="196"/>
      <c r="H572" s="196"/>
      <c r="I572" s="196"/>
      <c r="J572" s="196"/>
      <c r="K572" s="196">
        <v>0</v>
      </c>
      <c r="L572" s="194">
        <v>0</v>
      </c>
      <c r="M572" s="196">
        <v>0</v>
      </c>
      <c r="N572" s="196">
        <v>576</v>
      </c>
      <c r="O572" s="196">
        <v>1206304</v>
      </c>
      <c r="P572" s="194">
        <v>0</v>
      </c>
      <c r="Q572" s="196">
        <v>0</v>
      </c>
      <c r="R572" s="197">
        <v>0</v>
      </c>
      <c r="S572" s="196">
        <v>0</v>
      </c>
      <c r="T572" s="197">
        <v>0</v>
      </c>
      <c r="U572" s="288">
        <v>0</v>
      </c>
      <c r="V572" s="282">
        <f>C572-'часть 1'!L583</f>
        <v>-607454255.45000005</v>
      </c>
      <c r="W572" s="282"/>
      <c r="X572" s="28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296"/>
    </row>
    <row r="573" spans="1:49" s="59" customFormat="1">
      <c r="A573" s="198">
        <v>12</v>
      </c>
      <c r="B573" s="195" t="s">
        <v>419</v>
      </c>
      <c r="C573" s="196">
        <v>402530.2</v>
      </c>
      <c r="D573" s="196"/>
      <c r="E573" s="196"/>
      <c r="F573" s="196"/>
      <c r="G573" s="196"/>
      <c r="H573" s="196"/>
      <c r="I573" s="196"/>
      <c r="J573" s="196"/>
      <c r="K573" s="196">
        <v>402530.2</v>
      </c>
      <c r="L573" s="194">
        <v>0</v>
      </c>
      <c r="M573" s="196">
        <v>0</v>
      </c>
      <c r="N573" s="196">
        <v>0</v>
      </c>
      <c r="O573" s="196">
        <v>0</v>
      </c>
      <c r="P573" s="194">
        <v>0</v>
      </c>
      <c r="Q573" s="196">
        <v>0</v>
      </c>
      <c r="R573" s="197">
        <v>0</v>
      </c>
      <c r="S573" s="196">
        <v>0</v>
      </c>
      <c r="T573" s="197">
        <v>0</v>
      </c>
      <c r="U573" s="288">
        <v>0</v>
      </c>
      <c r="V573" s="282">
        <f>C573-'часть 1'!L584</f>
        <v>-335828340.43000001</v>
      </c>
      <c r="W573" s="282"/>
      <c r="X573" s="28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296"/>
    </row>
    <row r="574" spans="1:49" s="59" customFormat="1">
      <c r="A574" s="198">
        <v>13</v>
      </c>
      <c r="B574" s="195" t="s">
        <v>387</v>
      </c>
      <c r="C574" s="196">
        <v>2861497</v>
      </c>
      <c r="D574" s="196"/>
      <c r="E574" s="196"/>
      <c r="F574" s="196"/>
      <c r="G574" s="196"/>
      <c r="H574" s="196"/>
      <c r="I574" s="196"/>
      <c r="J574" s="196"/>
      <c r="K574" s="196">
        <v>0</v>
      </c>
      <c r="L574" s="194">
        <v>0</v>
      </c>
      <c r="M574" s="196">
        <v>0</v>
      </c>
      <c r="N574" s="196">
        <v>1450</v>
      </c>
      <c r="O574" s="196">
        <v>2861497</v>
      </c>
      <c r="P574" s="194">
        <v>0</v>
      </c>
      <c r="Q574" s="196">
        <v>0</v>
      </c>
      <c r="R574" s="197">
        <v>0</v>
      </c>
      <c r="S574" s="196">
        <v>0</v>
      </c>
      <c r="T574" s="197">
        <v>0</v>
      </c>
      <c r="U574" s="288">
        <v>0</v>
      </c>
      <c r="V574" s="282">
        <f>C574-'часть 1'!L585</f>
        <v>-3120719</v>
      </c>
      <c r="W574" s="282"/>
      <c r="X574" s="28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296"/>
    </row>
    <row r="575" spans="1:49" s="59" customFormat="1">
      <c r="A575" s="198">
        <v>14</v>
      </c>
      <c r="B575" s="195" t="s">
        <v>334</v>
      </c>
      <c r="C575" s="196">
        <v>1535065.47</v>
      </c>
      <c r="D575" s="196"/>
      <c r="E575" s="196"/>
      <c r="F575" s="196"/>
      <c r="G575" s="196"/>
      <c r="H575" s="196"/>
      <c r="I575" s="196"/>
      <c r="J575" s="196"/>
      <c r="K575" s="196">
        <v>0</v>
      </c>
      <c r="L575" s="194">
        <v>0</v>
      </c>
      <c r="M575" s="196">
        <v>0</v>
      </c>
      <c r="N575" s="196">
        <v>0</v>
      </c>
      <c r="O575" s="196">
        <v>0</v>
      </c>
      <c r="P575" s="194">
        <v>0</v>
      </c>
      <c r="Q575" s="196">
        <v>0</v>
      </c>
      <c r="R575" s="196">
        <v>1641</v>
      </c>
      <c r="S575" s="196">
        <v>1535065.47</v>
      </c>
      <c r="T575" s="197">
        <v>0</v>
      </c>
      <c r="U575" s="288">
        <v>0</v>
      </c>
      <c r="V575" s="282">
        <f>C575-'часть 1'!L586</f>
        <v>-7844587.5300000003</v>
      </c>
      <c r="W575" s="282"/>
      <c r="X575" s="28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296"/>
    </row>
    <row r="576" spans="1:49" s="59" customFormat="1">
      <c r="A576" s="198">
        <v>15</v>
      </c>
      <c r="B576" s="195" t="s">
        <v>330</v>
      </c>
      <c r="C576" s="196">
        <v>930534</v>
      </c>
      <c r="D576" s="196"/>
      <c r="E576" s="196"/>
      <c r="F576" s="196"/>
      <c r="G576" s="196"/>
      <c r="H576" s="196"/>
      <c r="I576" s="196"/>
      <c r="J576" s="196"/>
      <c r="K576" s="196">
        <v>930534</v>
      </c>
      <c r="L576" s="194">
        <v>0</v>
      </c>
      <c r="M576" s="196">
        <v>0</v>
      </c>
      <c r="N576" s="196">
        <v>0</v>
      </c>
      <c r="O576" s="196">
        <v>0</v>
      </c>
      <c r="P576" s="194">
        <v>0</v>
      </c>
      <c r="Q576" s="196">
        <v>0</v>
      </c>
      <c r="R576" s="200">
        <v>0</v>
      </c>
      <c r="S576" s="196">
        <v>0</v>
      </c>
      <c r="T576" s="197">
        <v>0</v>
      </c>
      <c r="U576" s="288">
        <v>0</v>
      </c>
      <c r="V576" s="282">
        <f>C576-'часть 1'!L587</f>
        <v>-2833222</v>
      </c>
      <c r="W576" s="282"/>
      <c r="X576" s="282"/>
      <c r="Y576" s="4"/>
      <c r="Z576" s="12"/>
      <c r="AA576" s="12"/>
      <c r="AB576" s="12"/>
      <c r="AC576" s="12"/>
      <c r="AD576" s="12"/>
      <c r="AE576" s="12"/>
      <c r="AF576" s="12"/>
      <c r="AG576" s="12"/>
      <c r="AH576" s="12"/>
      <c r="AI576" s="296"/>
    </row>
    <row r="577" spans="1:49" s="59" customFormat="1">
      <c r="A577" s="198">
        <v>16</v>
      </c>
      <c r="B577" s="195" t="s">
        <v>328</v>
      </c>
      <c r="C577" s="196">
        <v>662518</v>
      </c>
      <c r="D577" s="196"/>
      <c r="E577" s="196"/>
      <c r="F577" s="196"/>
      <c r="G577" s="196"/>
      <c r="H577" s="196"/>
      <c r="I577" s="196"/>
      <c r="J577" s="196"/>
      <c r="K577" s="196">
        <v>0</v>
      </c>
      <c r="L577" s="194">
        <v>0</v>
      </c>
      <c r="M577" s="196">
        <v>0</v>
      </c>
      <c r="N577" s="196">
        <v>0</v>
      </c>
      <c r="O577" s="196">
        <v>0</v>
      </c>
      <c r="P577" s="196">
        <v>682</v>
      </c>
      <c r="Q577" s="196">
        <f>C577</f>
        <v>662518</v>
      </c>
      <c r="R577" s="197">
        <v>0</v>
      </c>
      <c r="S577" s="196">
        <v>0</v>
      </c>
      <c r="T577" s="197">
        <v>0</v>
      </c>
      <c r="U577" s="288">
        <v>0</v>
      </c>
      <c r="V577" s="282">
        <f>C577-'часть 1'!L588</f>
        <v>-433294</v>
      </c>
      <c r="W577" s="282"/>
      <c r="X577" s="28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296"/>
    </row>
    <row r="578" spans="1:49" s="59" customFormat="1">
      <c r="A578" s="198">
        <v>17</v>
      </c>
      <c r="B578" s="195" t="s">
        <v>333</v>
      </c>
      <c r="C578" s="196">
        <v>2346663</v>
      </c>
      <c r="D578" s="196"/>
      <c r="E578" s="196"/>
      <c r="F578" s="196"/>
      <c r="G578" s="196"/>
      <c r="H578" s="196"/>
      <c r="I578" s="196"/>
      <c r="J578" s="196"/>
      <c r="K578" s="196">
        <v>2346663</v>
      </c>
      <c r="L578" s="194">
        <v>0</v>
      </c>
      <c r="M578" s="196">
        <v>0</v>
      </c>
      <c r="N578" s="199">
        <v>0</v>
      </c>
      <c r="O578" s="196">
        <v>0</v>
      </c>
      <c r="P578" s="194">
        <v>0</v>
      </c>
      <c r="Q578" s="196">
        <v>0</v>
      </c>
      <c r="R578" s="200">
        <v>0</v>
      </c>
      <c r="S578" s="196">
        <v>0</v>
      </c>
      <c r="T578" s="197">
        <v>0</v>
      </c>
      <c r="U578" s="288">
        <v>0</v>
      </c>
      <c r="V578" s="282">
        <f>C578-'часть 1'!L589</f>
        <v>-3272478</v>
      </c>
      <c r="W578" s="282"/>
      <c r="X578" s="282"/>
      <c r="Y578" s="12"/>
      <c r="Z578" s="12"/>
      <c r="AA578" s="12"/>
      <c r="AB578" s="12"/>
      <c r="AC578" s="12"/>
      <c r="AD578" s="12"/>
      <c r="AE578" s="15"/>
      <c r="AF578" s="12"/>
      <c r="AG578" s="12"/>
      <c r="AH578" s="12"/>
      <c r="AI578" s="296"/>
    </row>
    <row r="579" spans="1:49" s="59" customFormat="1">
      <c r="A579" s="198">
        <v>18</v>
      </c>
      <c r="B579" s="195" t="s">
        <v>331</v>
      </c>
      <c r="C579" s="196">
        <v>727019</v>
      </c>
      <c r="D579" s="196"/>
      <c r="E579" s="196"/>
      <c r="F579" s="196"/>
      <c r="G579" s="196"/>
      <c r="H579" s="196"/>
      <c r="I579" s="196"/>
      <c r="J579" s="196"/>
      <c r="K579" s="196">
        <v>727019</v>
      </c>
      <c r="L579" s="194">
        <v>0</v>
      </c>
      <c r="M579" s="196">
        <v>0</v>
      </c>
      <c r="N579" s="196">
        <v>0</v>
      </c>
      <c r="O579" s="196">
        <v>0</v>
      </c>
      <c r="P579" s="194">
        <v>0</v>
      </c>
      <c r="Q579" s="196">
        <v>0</v>
      </c>
      <c r="R579" s="200">
        <v>0</v>
      </c>
      <c r="S579" s="196">
        <v>0</v>
      </c>
      <c r="T579" s="197">
        <v>0</v>
      </c>
      <c r="U579" s="288">
        <v>0</v>
      </c>
      <c r="V579" s="282">
        <f>C579-'часть 1'!L590</f>
        <v>-3021369</v>
      </c>
      <c r="W579" s="282"/>
      <c r="X579" s="28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296"/>
    </row>
    <row r="580" spans="1:49" s="59" customFormat="1">
      <c r="A580" s="198">
        <v>19</v>
      </c>
      <c r="B580" s="195" t="s">
        <v>329</v>
      </c>
      <c r="C580" s="196">
        <v>538121</v>
      </c>
      <c r="D580" s="196"/>
      <c r="E580" s="196"/>
      <c r="F580" s="196"/>
      <c r="G580" s="196"/>
      <c r="H580" s="196"/>
      <c r="I580" s="196"/>
      <c r="J580" s="196"/>
      <c r="K580" s="196">
        <v>538121</v>
      </c>
      <c r="L580" s="194">
        <v>0</v>
      </c>
      <c r="M580" s="196">
        <v>0</v>
      </c>
      <c r="N580" s="196">
        <v>0</v>
      </c>
      <c r="O580" s="196">
        <v>0</v>
      </c>
      <c r="P580" s="194">
        <v>0</v>
      </c>
      <c r="Q580" s="196">
        <v>0</v>
      </c>
      <c r="R580" s="197">
        <v>0</v>
      </c>
      <c r="S580" s="196">
        <v>0</v>
      </c>
      <c r="T580" s="197">
        <v>0</v>
      </c>
      <c r="U580" s="288">
        <v>0</v>
      </c>
      <c r="V580" s="282">
        <f>C580-'часть 1'!L591</f>
        <v>-14619627</v>
      </c>
      <c r="W580" s="282"/>
      <c r="X580" s="282"/>
      <c r="Y580" s="4"/>
      <c r="Z580" s="12"/>
      <c r="AA580" s="12"/>
      <c r="AB580" s="12"/>
      <c r="AC580" s="12"/>
      <c r="AD580" s="12"/>
      <c r="AE580" s="12"/>
      <c r="AF580" s="12"/>
      <c r="AG580" s="12"/>
      <c r="AH580" s="12"/>
      <c r="AI580" s="296"/>
    </row>
    <row r="581" spans="1:49" s="59" customFormat="1">
      <c r="A581" s="198">
        <v>20</v>
      </c>
      <c r="B581" s="195" t="s">
        <v>332</v>
      </c>
      <c r="C581" s="196">
        <v>1756852</v>
      </c>
      <c r="D581" s="196"/>
      <c r="E581" s="196"/>
      <c r="F581" s="196"/>
      <c r="G581" s="196"/>
      <c r="H581" s="196"/>
      <c r="I581" s="196"/>
      <c r="J581" s="196"/>
      <c r="K581" s="196">
        <v>0</v>
      </c>
      <c r="L581" s="194">
        <v>0</v>
      </c>
      <c r="M581" s="196">
        <v>0</v>
      </c>
      <c r="N581" s="196">
        <v>891</v>
      </c>
      <c r="O581" s="196">
        <v>1756852</v>
      </c>
      <c r="P581" s="194">
        <v>0</v>
      </c>
      <c r="Q581" s="196">
        <v>0</v>
      </c>
      <c r="R581" s="197">
        <v>0</v>
      </c>
      <c r="S581" s="196">
        <v>0</v>
      </c>
      <c r="T581" s="197">
        <v>0</v>
      </c>
      <c r="U581" s="288">
        <v>0</v>
      </c>
      <c r="V581" s="282">
        <f>C581-'часть 1'!L592</f>
        <v>726639</v>
      </c>
      <c r="W581" s="282"/>
      <c r="X581" s="28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296"/>
    </row>
    <row r="582" spans="1:49" s="59" customFormat="1">
      <c r="A582" s="198">
        <v>21</v>
      </c>
      <c r="B582" s="195" t="s">
        <v>316</v>
      </c>
      <c r="C582" s="196">
        <v>676398.28</v>
      </c>
      <c r="D582" s="196"/>
      <c r="E582" s="196"/>
      <c r="F582" s="196"/>
      <c r="G582" s="196"/>
      <c r="H582" s="196"/>
      <c r="I582" s="196"/>
      <c r="J582" s="196"/>
      <c r="K582" s="196">
        <v>0</v>
      </c>
      <c r="L582" s="194">
        <v>0</v>
      </c>
      <c r="M582" s="196">
        <v>0</v>
      </c>
      <c r="N582" s="196">
        <v>0</v>
      </c>
      <c r="O582" s="196">
        <v>0</v>
      </c>
      <c r="P582" s="194">
        <v>0</v>
      </c>
      <c r="Q582" s="196">
        <v>0</v>
      </c>
      <c r="R582" s="196">
        <v>1444</v>
      </c>
      <c r="S582" s="196">
        <v>676398.28</v>
      </c>
      <c r="T582" s="197">
        <v>0</v>
      </c>
      <c r="U582" s="288">
        <v>0</v>
      </c>
      <c r="V582" s="282">
        <f>C582-'часть 1'!L593</f>
        <v>145933.28000000003</v>
      </c>
      <c r="W582" s="282"/>
      <c r="X582" s="28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296"/>
    </row>
    <row r="583" spans="1:49" s="59" customFormat="1">
      <c r="A583" s="198">
        <v>22</v>
      </c>
      <c r="B583" s="195" t="s">
        <v>313</v>
      </c>
      <c r="C583" s="196">
        <v>766539</v>
      </c>
      <c r="D583" s="196"/>
      <c r="E583" s="196"/>
      <c r="F583" s="196"/>
      <c r="G583" s="196"/>
      <c r="H583" s="196"/>
      <c r="I583" s="196"/>
      <c r="J583" s="196"/>
      <c r="K583" s="196">
        <v>0</v>
      </c>
      <c r="L583" s="194">
        <v>0</v>
      </c>
      <c r="M583" s="196">
        <v>0</v>
      </c>
      <c r="N583" s="196">
        <v>378.5</v>
      </c>
      <c r="O583" s="196">
        <v>766539</v>
      </c>
      <c r="P583" s="194">
        <v>0</v>
      </c>
      <c r="Q583" s="196">
        <v>0</v>
      </c>
      <c r="R583" s="197">
        <v>0</v>
      </c>
      <c r="S583" s="196">
        <v>0</v>
      </c>
      <c r="T583" s="197">
        <v>0</v>
      </c>
      <c r="U583" s="288">
        <v>0</v>
      </c>
      <c r="V583" s="282">
        <f>C583-'часть 1'!L594</f>
        <v>-1217315</v>
      </c>
      <c r="W583" s="282"/>
      <c r="X583" s="28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296"/>
      <c r="AJ583" s="89"/>
      <c r="AK583" s="89"/>
      <c r="AL583" s="89"/>
      <c r="AM583" s="89"/>
      <c r="AN583" s="89"/>
      <c r="AO583" s="89"/>
      <c r="AP583" s="89"/>
      <c r="AQ583" s="89"/>
      <c r="AR583" s="89"/>
      <c r="AS583" s="89"/>
      <c r="AT583" s="89"/>
      <c r="AU583" s="89"/>
      <c r="AV583" s="89"/>
      <c r="AW583" s="89"/>
    </row>
    <row r="584" spans="1:49" s="59" customFormat="1">
      <c r="A584" s="198">
        <v>23</v>
      </c>
      <c r="B584" s="195" t="s">
        <v>312</v>
      </c>
      <c r="C584" s="196">
        <v>1186114</v>
      </c>
      <c r="D584" s="196"/>
      <c r="E584" s="196"/>
      <c r="F584" s="196"/>
      <c r="G584" s="196"/>
      <c r="H584" s="196"/>
      <c r="I584" s="196"/>
      <c r="J584" s="196"/>
      <c r="K584" s="196">
        <v>0</v>
      </c>
      <c r="L584" s="194">
        <v>0</v>
      </c>
      <c r="M584" s="196">
        <v>0</v>
      </c>
      <c r="N584" s="196">
        <v>586.29999999999995</v>
      </c>
      <c r="O584" s="196">
        <v>1186114</v>
      </c>
      <c r="P584" s="194">
        <v>0</v>
      </c>
      <c r="Q584" s="196">
        <v>0</v>
      </c>
      <c r="R584" s="197">
        <v>0</v>
      </c>
      <c r="S584" s="196">
        <v>0</v>
      </c>
      <c r="T584" s="197">
        <v>0</v>
      </c>
      <c r="U584" s="288">
        <v>0</v>
      </c>
      <c r="V584" s="282">
        <f>C584-'часть 1'!L595</f>
        <v>-20190</v>
      </c>
      <c r="W584" s="282"/>
      <c r="X584" s="28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296"/>
    </row>
    <row r="585" spans="1:49" s="89" customFormat="1">
      <c r="A585" s="198">
        <v>24</v>
      </c>
      <c r="B585" s="195" t="s">
        <v>311</v>
      </c>
      <c r="C585" s="196">
        <v>178272.59</v>
      </c>
      <c r="D585" s="196"/>
      <c r="E585" s="196"/>
      <c r="F585" s="196"/>
      <c r="G585" s="196"/>
      <c r="H585" s="196"/>
      <c r="I585" s="196"/>
      <c r="J585" s="196"/>
      <c r="K585" s="196">
        <v>178272.59</v>
      </c>
      <c r="L585" s="194">
        <v>0</v>
      </c>
      <c r="M585" s="196">
        <v>0</v>
      </c>
      <c r="N585" s="199">
        <v>0</v>
      </c>
      <c r="O585" s="196">
        <v>0</v>
      </c>
      <c r="P585" s="194">
        <v>0</v>
      </c>
      <c r="Q585" s="196">
        <v>0</v>
      </c>
      <c r="R585" s="200">
        <v>0</v>
      </c>
      <c r="S585" s="196">
        <v>0</v>
      </c>
      <c r="T585" s="197">
        <v>0</v>
      </c>
      <c r="U585" s="288">
        <v>0</v>
      </c>
      <c r="V585" s="282">
        <f>C585-'часть 1'!L596</f>
        <v>-224257.61000000002</v>
      </c>
      <c r="W585" s="282"/>
      <c r="X585" s="28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296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</row>
    <row r="586" spans="1:49" s="59" customFormat="1">
      <c r="A586" s="198">
        <v>25</v>
      </c>
      <c r="B586" s="195" t="s">
        <v>315</v>
      </c>
      <c r="C586" s="196">
        <v>1087116</v>
      </c>
      <c r="D586" s="196"/>
      <c r="E586" s="196"/>
      <c r="F586" s="196"/>
      <c r="G586" s="196"/>
      <c r="H586" s="196"/>
      <c r="I586" s="196"/>
      <c r="J586" s="196"/>
      <c r="K586" s="196" t="e">
        <f>#REF!</f>
        <v>#REF!</v>
      </c>
      <c r="L586" s="194">
        <v>0</v>
      </c>
      <c r="M586" s="196">
        <v>0</v>
      </c>
      <c r="N586" s="196">
        <v>0</v>
      </c>
      <c r="O586" s="196">
        <v>0</v>
      </c>
      <c r="P586" s="194">
        <v>0</v>
      </c>
      <c r="Q586" s="196">
        <v>0</v>
      </c>
      <c r="R586" s="197">
        <v>0</v>
      </c>
      <c r="S586" s="196">
        <v>0</v>
      </c>
      <c r="T586" s="197">
        <v>0</v>
      </c>
      <c r="U586" s="288">
        <v>0</v>
      </c>
      <c r="V586" s="282">
        <f>C586-'часть 1'!L597</f>
        <v>-1774381</v>
      </c>
      <c r="W586" s="282"/>
      <c r="X586" s="28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296"/>
    </row>
    <row r="587" spans="1:49" s="59" customFormat="1">
      <c r="A587" s="198">
        <v>26</v>
      </c>
      <c r="B587" s="195" t="s">
        <v>351</v>
      </c>
      <c r="C587" s="196">
        <v>1411363</v>
      </c>
      <c r="D587" s="196"/>
      <c r="E587" s="196"/>
      <c r="F587" s="196"/>
      <c r="G587" s="196"/>
      <c r="H587" s="196"/>
      <c r="I587" s="196"/>
      <c r="J587" s="196"/>
      <c r="K587" s="196">
        <v>0</v>
      </c>
      <c r="L587" s="194">
        <v>0</v>
      </c>
      <c r="M587" s="196">
        <v>0</v>
      </c>
      <c r="N587" s="196">
        <v>702</v>
      </c>
      <c r="O587" s="196">
        <v>1411363</v>
      </c>
      <c r="P587" s="194">
        <v>0</v>
      </c>
      <c r="Q587" s="196">
        <v>0</v>
      </c>
      <c r="R587" s="197">
        <v>0</v>
      </c>
      <c r="S587" s="196">
        <v>0</v>
      </c>
      <c r="T587" s="197">
        <v>0</v>
      </c>
      <c r="U587" s="288">
        <v>0</v>
      </c>
      <c r="V587" s="282">
        <f>C587-'часть 1'!L598</f>
        <v>-123702.46999999997</v>
      </c>
      <c r="W587" s="282"/>
      <c r="X587" s="28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296"/>
    </row>
    <row r="588" spans="1:49" s="59" customFormat="1">
      <c r="A588" s="198">
        <v>27</v>
      </c>
      <c r="B588" s="195" t="s">
        <v>314</v>
      </c>
      <c r="C588" s="196">
        <v>1136666</v>
      </c>
      <c r="D588" s="196"/>
      <c r="E588" s="196"/>
      <c r="F588" s="196"/>
      <c r="G588" s="196"/>
      <c r="H588" s="196"/>
      <c r="I588" s="196"/>
      <c r="J588" s="196"/>
      <c r="K588" s="196">
        <v>0</v>
      </c>
      <c r="L588" s="194">
        <v>0</v>
      </c>
      <c r="M588" s="196">
        <v>0</v>
      </c>
      <c r="N588" s="196">
        <v>552</v>
      </c>
      <c r="O588" s="196">
        <v>1136666</v>
      </c>
      <c r="P588" s="194">
        <v>0</v>
      </c>
      <c r="Q588" s="196">
        <v>0</v>
      </c>
      <c r="R588" s="200">
        <v>0</v>
      </c>
      <c r="S588" s="196">
        <v>0</v>
      </c>
      <c r="T588" s="197">
        <v>0</v>
      </c>
      <c r="U588" s="288">
        <v>0</v>
      </c>
      <c r="V588" s="282">
        <f>C588-'часть 1'!L599</f>
        <v>206132</v>
      </c>
      <c r="W588" s="282"/>
      <c r="X588" s="28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296"/>
    </row>
    <row r="589" spans="1:49" s="59" customFormat="1">
      <c r="A589" s="198">
        <v>28</v>
      </c>
      <c r="B589" s="195" t="s">
        <v>369</v>
      </c>
      <c r="C589" s="196">
        <v>1385674</v>
      </c>
      <c r="D589" s="196"/>
      <c r="E589" s="196"/>
      <c r="F589" s="196"/>
      <c r="G589" s="196"/>
      <c r="H589" s="196"/>
      <c r="I589" s="196"/>
      <c r="J589" s="196"/>
      <c r="K589" s="196">
        <v>1385674</v>
      </c>
      <c r="L589" s="194">
        <v>0</v>
      </c>
      <c r="M589" s="196">
        <v>0</v>
      </c>
      <c r="N589" s="196">
        <v>0</v>
      </c>
      <c r="O589" s="196">
        <v>0</v>
      </c>
      <c r="P589" s="194">
        <v>0</v>
      </c>
      <c r="Q589" s="196">
        <v>0</v>
      </c>
      <c r="R589" s="197">
        <v>0</v>
      </c>
      <c r="S589" s="196">
        <v>0</v>
      </c>
      <c r="T589" s="197">
        <v>0</v>
      </c>
      <c r="U589" s="288">
        <v>0</v>
      </c>
      <c r="V589" s="282">
        <f>C589-'часть 1'!L600</f>
        <v>723156</v>
      </c>
      <c r="W589" s="282"/>
      <c r="X589" s="28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296"/>
    </row>
    <row r="590" spans="1:49" s="59" customFormat="1">
      <c r="A590" s="198">
        <v>29</v>
      </c>
      <c r="B590" s="195" t="s">
        <v>370</v>
      </c>
      <c r="C590" s="196">
        <v>4619990</v>
      </c>
      <c r="D590" s="196"/>
      <c r="E590" s="196"/>
      <c r="F590" s="196"/>
      <c r="G590" s="196"/>
      <c r="H590" s="196"/>
      <c r="I590" s="196"/>
      <c r="J590" s="196"/>
      <c r="K590" s="196">
        <v>0</v>
      </c>
      <c r="L590" s="194">
        <v>0</v>
      </c>
      <c r="M590" s="196">
        <v>0</v>
      </c>
      <c r="N590" s="196">
        <v>2319</v>
      </c>
      <c r="O590" s="196">
        <v>4619990</v>
      </c>
      <c r="P590" s="194">
        <v>0</v>
      </c>
      <c r="Q590" s="196">
        <v>0</v>
      </c>
      <c r="R590" s="200">
        <v>0</v>
      </c>
      <c r="S590" s="196">
        <v>0</v>
      </c>
      <c r="T590" s="197">
        <v>0</v>
      </c>
      <c r="U590" s="288">
        <v>0</v>
      </c>
      <c r="V590" s="282">
        <f>C590-'часть 1'!L601</f>
        <v>2273327</v>
      </c>
      <c r="W590" s="282"/>
      <c r="X590" s="28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296"/>
    </row>
    <row r="591" spans="1:49" s="59" customFormat="1">
      <c r="A591" s="198">
        <v>30</v>
      </c>
      <c r="B591" s="195" t="s">
        <v>373</v>
      </c>
      <c r="C591" s="196">
        <v>1865304</v>
      </c>
      <c r="D591" s="196"/>
      <c r="E591" s="196"/>
      <c r="F591" s="196"/>
      <c r="G591" s="196"/>
      <c r="H591" s="196"/>
      <c r="I591" s="196"/>
      <c r="J591" s="196"/>
      <c r="K591" s="196">
        <v>0</v>
      </c>
      <c r="L591" s="194">
        <v>0</v>
      </c>
      <c r="M591" s="196">
        <v>0</v>
      </c>
      <c r="N591" s="196">
        <v>924</v>
      </c>
      <c r="O591" s="196">
        <v>1865304</v>
      </c>
      <c r="P591" s="194">
        <v>0</v>
      </c>
      <c r="Q591" s="196">
        <v>0</v>
      </c>
      <c r="R591" s="197">
        <v>0</v>
      </c>
      <c r="S591" s="196">
        <v>0</v>
      </c>
      <c r="T591" s="197">
        <v>0</v>
      </c>
      <c r="U591" s="288">
        <v>0</v>
      </c>
      <c r="V591" s="282">
        <f>C591-'часть 1'!L602</f>
        <v>1138285</v>
      </c>
      <c r="W591" s="282"/>
      <c r="X591" s="28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296"/>
    </row>
    <row r="592" spans="1:49" s="59" customFormat="1">
      <c r="A592" s="198">
        <v>31</v>
      </c>
      <c r="B592" s="195" t="s">
        <v>381</v>
      </c>
      <c r="C592" s="196">
        <v>1870910</v>
      </c>
      <c r="D592" s="196"/>
      <c r="E592" s="196"/>
      <c r="F592" s="196"/>
      <c r="G592" s="196"/>
      <c r="H592" s="196"/>
      <c r="I592" s="196"/>
      <c r="J592" s="196"/>
      <c r="K592" s="196">
        <v>0</v>
      </c>
      <c r="L592" s="194">
        <v>0</v>
      </c>
      <c r="M592" s="196">
        <v>0</v>
      </c>
      <c r="N592" s="196">
        <v>946.3</v>
      </c>
      <c r="O592" s="196">
        <v>1870910</v>
      </c>
      <c r="P592" s="194">
        <v>0</v>
      </c>
      <c r="Q592" s="196">
        <v>0</v>
      </c>
      <c r="R592" s="197">
        <v>0</v>
      </c>
      <c r="S592" s="196">
        <v>0</v>
      </c>
      <c r="T592" s="197">
        <v>0</v>
      </c>
      <c r="U592" s="288">
        <v>0</v>
      </c>
      <c r="V592" s="282">
        <f>C592-'часть 1'!L603</f>
        <v>1332789</v>
      </c>
      <c r="W592" s="282"/>
      <c r="X592" s="28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296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</row>
    <row r="593" spans="1:49" s="59" customFormat="1">
      <c r="A593" s="198">
        <v>32</v>
      </c>
      <c r="B593" s="195" t="s">
        <v>382</v>
      </c>
      <c r="C593" s="196">
        <v>1533757</v>
      </c>
      <c r="D593" s="196"/>
      <c r="E593" s="196"/>
      <c r="F593" s="196"/>
      <c r="G593" s="196"/>
      <c r="H593" s="196"/>
      <c r="I593" s="196"/>
      <c r="J593" s="196"/>
      <c r="K593" s="196">
        <v>0</v>
      </c>
      <c r="L593" s="194">
        <v>0</v>
      </c>
      <c r="M593" s="196">
        <v>0</v>
      </c>
      <c r="N593" s="196">
        <v>772.9</v>
      </c>
      <c r="O593" s="196">
        <v>1533757</v>
      </c>
      <c r="P593" s="194">
        <v>0</v>
      </c>
      <c r="Q593" s="196">
        <v>0</v>
      </c>
      <c r="R593" s="197">
        <v>0</v>
      </c>
      <c r="S593" s="196">
        <v>0</v>
      </c>
      <c r="T593" s="197">
        <v>0</v>
      </c>
      <c r="U593" s="288">
        <v>0</v>
      </c>
      <c r="V593" s="282">
        <f>C593-'часть 1'!L604</f>
        <v>-223095</v>
      </c>
      <c r="W593" s="282"/>
      <c r="X593" s="28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296"/>
    </row>
    <row r="594" spans="1:49">
      <c r="A594" s="194">
        <v>33</v>
      </c>
      <c r="B594" s="195" t="s">
        <v>371</v>
      </c>
      <c r="C594" s="196">
        <v>939858</v>
      </c>
      <c r="D594" s="196"/>
      <c r="E594" s="196"/>
      <c r="F594" s="196"/>
      <c r="G594" s="196"/>
      <c r="H594" s="196"/>
      <c r="I594" s="196"/>
      <c r="J594" s="196"/>
      <c r="K594" s="196">
        <v>939858</v>
      </c>
      <c r="L594" s="194">
        <v>0</v>
      </c>
      <c r="M594" s="196">
        <v>0</v>
      </c>
      <c r="N594" s="196">
        <v>0</v>
      </c>
      <c r="O594" s="196">
        <v>0</v>
      </c>
      <c r="P594" s="194">
        <v>0</v>
      </c>
      <c r="Q594" s="196">
        <v>0</v>
      </c>
      <c r="R594" s="200">
        <v>0</v>
      </c>
      <c r="S594" s="196">
        <v>0</v>
      </c>
      <c r="T594" s="197">
        <v>0</v>
      </c>
      <c r="U594" s="288">
        <v>0</v>
      </c>
      <c r="V594" s="282">
        <f>C594-'часть 1'!L605</f>
        <v>263459.71999999997</v>
      </c>
      <c r="W594" s="282"/>
      <c r="X594" s="28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296"/>
      <c r="AJ594" s="89"/>
      <c r="AK594" s="89"/>
      <c r="AL594" s="89"/>
      <c r="AM594" s="89"/>
      <c r="AN594" s="89"/>
      <c r="AO594" s="89"/>
      <c r="AP594" s="89"/>
      <c r="AQ594" s="89"/>
      <c r="AR594" s="89"/>
      <c r="AS594" s="89"/>
      <c r="AT594" s="89"/>
      <c r="AU594" s="89"/>
      <c r="AV594" s="89"/>
      <c r="AW594" s="89"/>
    </row>
    <row r="595" spans="1:49" s="59" customFormat="1">
      <c r="A595" s="198">
        <v>34</v>
      </c>
      <c r="B595" s="195" t="s">
        <v>377</v>
      </c>
      <c r="C595" s="196">
        <v>2368392</v>
      </c>
      <c r="D595" s="196"/>
      <c r="E595" s="196"/>
      <c r="F595" s="196"/>
      <c r="G595" s="196"/>
      <c r="H595" s="196"/>
      <c r="I595" s="196"/>
      <c r="J595" s="196"/>
      <c r="K595" s="196">
        <v>0</v>
      </c>
      <c r="L595" s="194">
        <v>0</v>
      </c>
      <c r="M595" s="196">
        <v>0</v>
      </c>
      <c r="N595" s="196">
        <v>1200</v>
      </c>
      <c r="O595" s="199">
        <v>2368392</v>
      </c>
      <c r="P595" s="194">
        <v>0</v>
      </c>
      <c r="Q595" s="196">
        <v>0</v>
      </c>
      <c r="R595" s="197">
        <v>0</v>
      </c>
      <c r="S595" s="196">
        <v>0</v>
      </c>
      <c r="T595" s="197">
        <v>0</v>
      </c>
      <c r="U595" s="288">
        <v>0</v>
      </c>
      <c r="V595" s="282">
        <f>C595-'часть 1'!L606</f>
        <v>1601853</v>
      </c>
      <c r="W595" s="282"/>
      <c r="X595" s="28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296"/>
    </row>
    <row r="596" spans="1:49" s="89" customFormat="1">
      <c r="A596" s="198">
        <v>35</v>
      </c>
      <c r="B596" s="195" t="s">
        <v>378</v>
      </c>
      <c r="C596" s="196">
        <v>2433930.91</v>
      </c>
      <c r="D596" s="196"/>
      <c r="E596" s="196"/>
      <c r="F596" s="196"/>
      <c r="G596" s="196"/>
      <c r="H596" s="196"/>
      <c r="I596" s="196"/>
      <c r="J596" s="196"/>
      <c r="K596" s="196">
        <v>1478520.9100000001</v>
      </c>
      <c r="L596" s="194">
        <v>0</v>
      </c>
      <c r="M596" s="196">
        <v>0</v>
      </c>
      <c r="N596" s="196">
        <v>526.79999999999995</v>
      </c>
      <c r="O596" s="196">
        <v>955410</v>
      </c>
      <c r="P596" s="194">
        <v>0</v>
      </c>
      <c r="Q596" s="196">
        <v>0</v>
      </c>
      <c r="R596" s="200">
        <v>0</v>
      </c>
      <c r="S596" s="196">
        <v>0</v>
      </c>
      <c r="T596" s="197">
        <v>0</v>
      </c>
      <c r="U596" s="288">
        <v>0</v>
      </c>
      <c r="V596" s="282">
        <f>C596-'часть 1'!L607</f>
        <v>1247816.9100000001</v>
      </c>
      <c r="W596" s="282"/>
      <c r="X596" s="28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296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</row>
    <row r="597" spans="1:49" s="59" customFormat="1">
      <c r="A597" s="198">
        <v>36</v>
      </c>
      <c r="B597" s="195" t="s">
        <v>383</v>
      </c>
      <c r="C597" s="196">
        <v>1721850</v>
      </c>
      <c r="D597" s="196"/>
      <c r="E597" s="196"/>
      <c r="F597" s="196"/>
      <c r="G597" s="196"/>
      <c r="H597" s="196"/>
      <c r="I597" s="196"/>
      <c r="J597" s="196"/>
      <c r="K597" s="196">
        <v>0</v>
      </c>
      <c r="L597" s="194">
        <v>0</v>
      </c>
      <c r="M597" s="196">
        <v>0</v>
      </c>
      <c r="N597" s="196">
        <v>868.68</v>
      </c>
      <c r="O597" s="196">
        <v>1721850</v>
      </c>
      <c r="P597" s="194">
        <v>0</v>
      </c>
      <c r="Q597" s="196">
        <v>0</v>
      </c>
      <c r="R597" s="197">
        <v>0</v>
      </c>
      <c r="S597" s="196">
        <v>0</v>
      </c>
      <c r="T597" s="197">
        <v>0</v>
      </c>
      <c r="U597" s="288">
        <v>0</v>
      </c>
      <c r="V597" s="282">
        <f>C597-'часть 1'!L608</f>
        <v>1543577.41</v>
      </c>
      <c r="W597" s="282"/>
      <c r="X597" s="28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296"/>
    </row>
    <row r="598" spans="1:49" s="59" customFormat="1">
      <c r="A598" s="198">
        <v>37</v>
      </c>
      <c r="B598" s="195" t="s">
        <v>368</v>
      </c>
      <c r="C598" s="196">
        <v>814117</v>
      </c>
      <c r="D598" s="196"/>
      <c r="E598" s="196"/>
      <c r="F598" s="196"/>
      <c r="G598" s="196"/>
      <c r="H598" s="196"/>
      <c r="I598" s="196"/>
      <c r="J598" s="196"/>
      <c r="K598" s="196">
        <v>814117</v>
      </c>
      <c r="L598" s="194">
        <v>0</v>
      </c>
      <c r="M598" s="196">
        <v>0</v>
      </c>
      <c r="N598" s="196">
        <v>0</v>
      </c>
      <c r="O598" s="196">
        <v>0</v>
      </c>
      <c r="P598" s="194">
        <v>0</v>
      </c>
      <c r="Q598" s="196">
        <v>0</v>
      </c>
      <c r="R598" s="197">
        <v>0</v>
      </c>
      <c r="S598" s="196">
        <v>0</v>
      </c>
      <c r="T598" s="197">
        <v>0</v>
      </c>
      <c r="U598" s="288">
        <v>0</v>
      </c>
      <c r="V598" s="282">
        <f>C598-'часть 1'!L609</f>
        <v>-272999</v>
      </c>
      <c r="W598" s="282"/>
      <c r="X598" s="28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296"/>
    </row>
    <row r="599" spans="1:49" s="59" customFormat="1">
      <c r="A599" s="198">
        <v>38</v>
      </c>
      <c r="B599" s="195" t="s">
        <v>375</v>
      </c>
      <c r="C599" s="196">
        <v>3045081</v>
      </c>
      <c r="D599" s="196"/>
      <c r="E599" s="196"/>
      <c r="F599" s="196"/>
      <c r="G599" s="196"/>
      <c r="H599" s="196"/>
      <c r="I599" s="196"/>
      <c r="J599" s="196"/>
      <c r="K599" s="196">
        <v>0</v>
      </c>
      <c r="L599" s="194">
        <v>0</v>
      </c>
      <c r="M599" s="196">
        <v>0</v>
      </c>
      <c r="N599" s="196">
        <v>0</v>
      </c>
      <c r="O599" s="196">
        <v>0</v>
      </c>
      <c r="P599" s="194">
        <v>0</v>
      </c>
      <c r="Q599" s="196">
        <v>0</v>
      </c>
      <c r="R599" s="196">
        <v>2108</v>
      </c>
      <c r="S599" s="196">
        <v>3045081</v>
      </c>
      <c r="T599" s="197">
        <v>0</v>
      </c>
      <c r="U599" s="288">
        <v>0</v>
      </c>
      <c r="V599" s="282">
        <f>C599-'часть 1'!L610</f>
        <v>1633718</v>
      </c>
      <c r="W599" s="282"/>
      <c r="X599" s="28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296"/>
    </row>
    <row r="600" spans="1:49" s="59" customFormat="1">
      <c r="A600" s="198">
        <v>39</v>
      </c>
      <c r="B600" s="195" t="s">
        <v>380</v>
      </c>
      <c r="C600" s="196">
        <v>2244806</v>
      </c>
      <c r="D600" s="196"/>
      <c r="E600" s="196"/>
      <c r="F600" s="196"/>
      <c r="G600" s="196"/>
      <c r="H600" s="196"/>
      <c r="I600" s="196"/>
      <c r="J600" s="196"/>
      <c r="K600" s="196">
        <v>0</v>
      </c>
      <c r="L600" s="194">
        <v>0</v>
      </c>
      <c r="M600" s="196">
        <v>0</v>
      </c>
      <c r="N600" s="199">
        <v>1120</v>
      </c>
      <c r="O600" s="196">
        <v>2244806</v>
      </c>
      <c r="P600" s="194">
        <v>0</v>
      </c>
      <c r="Q600" s="196">
        <v>0</v>
      </c>
      <c r="R600" s="200">
        <v>0</v>
      </c>
      <c r="S600" s="196">
        <v>0</v>
      </c>
      <c r="T600" s="197">
        <v>0</v>
      </c>
      <c r="U600" s="288">
        <v>0</v>
      </c>
      <c r="V600" s="282">
        <f>C600-'часть 1'!L611</f>
        <v>1108140</v>
      </c>
      <c r="W600" s="282"/>
      <c r="X600" s="28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296"/>
    </row>
    <row r="601" spans="1:49" s="59" customFormat="1">
      <c r="A601" s="198">
        <v>40</v>
      </c>
      <c r="B601" s="195" t="s">
        <v>374</v>
      </c>
      <c r="C601" s="196">
        <v>1361273</v>
      </c>
      <c r="D601" s="196"/>
      <c r="E601" s="196"/>
      <c r="F601" s="196"/>
      <c r="G601" s="196"/>
      <c r="H601" s="196"/>
      <c r="I601" s="196"/>
      <c r="J601" s="196"/>
      <c r="K601" s="196">
        <v>347471</v>
      </c>
      <c r="L601" s="194">
        <v>0</v>
      </c>
      <c r="M601" s="196">
        <v>0</v>
      </c>
      <c r="N601" s="196">
        <v>0</v>
      </c>
      <c r="O601" s="196">
        <v>0</v>
      </c>
      <c r="P601" s="194">
        <v>0</v>
      </c>
      <c r="Q601" s="196">
        <v>0</v>
      </c>
      <c r="R601" s="196">
        <v>1105</v>
      </c>
      <c r="S601" s="196">
        <v>1013802</v>
      </c>
      <c r="T601" s="197">
        <v>0</v>
      </c>
      <c r="U601" s="288">
        <v>0</v>
      </c>
      <c r="V601" s="282">
        <f>C601-'часть 1'!L612</f>
        <v>-24401</v>
      </c>
      <c r="W601" s="282"/>
      <c r="X601" s="28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296"/>
    </row>
    <row r="602" spans="1:49" s="59" customFormat="1">
      <c r="A602" s="198">
        <v>41</v>
      </c>
      <c r="B602" s="195" t="s">
        <v>376</v>
      </c>
      <c r="C602" s="196">
        <v>2421596</v>
      </c>
      <c r="D602" s="196"/>
      <c r="E602" s="196"/>
      <c r="F602" s="196"/>
      <c r="G602" s="196"/>
      <c r="H602" s="196"/>
      <c r="I602" s="196"/>
      <c r="J602" s="196"/>
      <c r="K602" s="196">
        <v>0</v>
      </c>
      <c r="L602" s="194">
        <v>0</v>
      </c>
      <c r="M602" s="196">
        <v>0</v>
      </c>
      <c r="N602" s="196">
        <v>1230.72</v>
      </c>
      <c r="O602" s="199">
        <v>2421596</v>
      </c>
      <c r="P602" s="194">
        <v>0</v>
      </c>
      <c r="Q602" s="196">
        <v>0</v>
      </c>
      <c r="R602" s="197">
        <v>0</v>
      </c>
      <c r="S602" s="196">
        <v>0</v>
      </c>
      <c r="T602" s="197">
        <v>0</v>
      </c>
      <c r="U602" s="288">
        <v>0</v>
      </c>
      <c r="V602" s="282">
        <f>C602-'часть 1'!L613</f>
        <v>-2198394</v>
      </c>
      <c r="W602" s="282"/>
      <c r="X602" s="28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296"/>
    </row>
    <row r="603" spans="1:49" s="59" customFormat="1">
      <c r="A603" s="198">
        <v>42</v>
      </c>
      <c r="B603" s="195" t="s">
        <v>379</v>
      </c>
      <c r="C603" s="196">
        <v>2056315</v>
      </c>
      <c r="D603" s="196"/>
      <c r="E603" s="196"/>
      <c r="F603" s="196"/>
      <c r="G603" s="196"/>
      <c r="H603" s="196"/>
      <c r="I603" s="196"/>
      <c r="J603" s="196"/>
      <c r="K603" s="196">
        <v>0</v>
      </c>
      <c r="L603" s="194">
        <v>0</v>
      </c>
      <c r="M603" s="196">
        <v>0</v>
      </c>
      <c r="N603" s="196">
        <v>978</v>
      </c>
      <c r="O603" s="196">
        <v>2056315</v>
      </c>
      <c r="P603" s="194">
        <v>0</v>
      </c>
      <c r="Q603" s="196">
        <v>0</v>
      </c>
      <c r="R603" s="200">
        <v>0</v>
      </c>
      <c r="S603" s="196">
        <v>0</v>
      </c>
      <c r="T603" s="197">
        <v>0</v>
      </c>
      <c r="U603" s="288">
        <v>0</v>
      </c>
      <c r="V603" s="282">
        <f>C603-'часть 1'!L614</f>
        <v>191011</v>
      </c>
      <c r="W603" s="282"/>
      <c r="X603" s="28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296"/>
    </row>
    <row r="604" spans="1:49" s="59" customFormat="1">
      <c r="A604" s="198">
        <v>43</v>
      </c>
      <c r="B604" s="195" t="s">
        <v>372</v>
      </c>
      <c r="C604" s="196">
        <v>9473593</v>
      </c>
      <c r="D604" s="196"/>
      <c r="E604" s="196"/>
      <c r="F604" s="196"/>
      <c r="G604" s="196"/>
      <c r="H604" s="196"/>
      <c r="I604" s="196"/>
      <c r="J604" s="196"/>
      <c r="K604" s="196">
        <v>0</v>
      </c>
      <c r="L604" s="194">
        <v>5</v>
      </c>
      <c r="M604" s="196">
        <v>9473593</v>
      </c>
      <c r="N604" s="196">
        <v>0</v>
      </c>
      <c r="O604" s="196">
        <v>0</v>
      </c>
      <c r="P604" s="194">
        <v>0</v>
      </c>
      <c r="Q604" s="196">
        <v>0</v>
      </c>
      <c r="R604" s="197">
        <v>0</v>
      </c>
      <c r="S604" s="196">
        <v>0</v>
      </c>
      <c r="T604" s="197">
        <v>0</v>
      </c>
      <c r="U604" s="288">
        <v>0</v>
      </c>
      <c r="V604" s="282">
        <f>C604-'часть 1'!L615</f>
        <v>7602683</v>
      </c>
      <c r="W604" s="282"/>
      <c r="X604" s="28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296"/>
    </row>
    <row r="605" spans="1:49" s="59" customFormat="1">
      <c r="A605" s="198">
        <v>44</v>
      </c>
      <c r="B605" s="195" t="s">
        <v>344</v>
      </c>
      <c r="C605" s="196">
        <v>4441828</v>
      </c>
      <c r="D605" s="196"/>
      <c r="E605" s="196"/>
      <c r="F605" s="196"/>
      <c r="G605" s="196"/>
      <c r="H605" s="196"/>
      <c r="I605" s="196"/>
      <c r="J605" s="196"/>
      <c r="K605" s="196">
        <v>0</v>
      </c>
      <c r="L605" s="194">
        <v>0</v>
      </c>
      <c r="M605" s="196">
        <v>0</v>
      </c>
      <c r="N605" s="196">
        <v>0</v>
      </c>
      <c r="O605" s="196">
        <v>0</v>
      </c>
      <c r="P605" s="194">
        <v>0</v>
      </c>
      <c r="Q605" s="196">
        <v>0</v>
      </c>
      <c r="R605" s="196">
        <v>3081.4</v>
      </c>
      <c r="S605" s="196">
        <v>4441828</v>
      </c>
      <c r="T605" s="197">
        <v>0</v>
      </c>
      <c r="U605" s="288">
        <v>0</v>
      </c>
      <c r="V605" s="282">
        <f>C605-'часть 1'!L616</f>
        <v>2908071</v>
      </c>
      <c r="W605" s="282"/>
      <c r="X605" s="28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296"/>
    </row>
    <row r="606" spans="1:49" s="59" customFormat="1">
      <c r="A606" s="198">
        <v>45</v>
      </c>
      <c r="B606" s="195" t="s">
        <v>348</v>
      </c>
      <c r="C606" s="196">
        <v>3051089</v>
      </c>
      <c r="D606" s="196"/>
      <c r="E606" s="196"/>
      <c r="F606" s="196"/>
      <c r="G606" s="196"/>
      <c r="H606" s="196"/>
      <c r="I606" s="196"/>
      <c r="J606" s="196"/>
      <c r="K606" s="196">
        <v>0</v>
      </c>
      <c r="L606" s="194">
        <v>0</v>
      </c>
      <c r="M606" s="196">
        <v>0</v>
      </c>
      <c r="N606" s="196">
        <v>1549</v>
      </c>
      <c r="O606" s="196">
        <v>3051089</v>
      </c>
      <c r="P606" s="194">
        <v>0</v>
      </c>
      <c r="Q606" s="196">
        <v>0</v>
      </c>
      <c r="R606" s="197">
        <v>0</v>
      </c>
      <c r="S606" s="196">
        <v>0</v>
      </c>
      <c r="T606" s="197">
        <v>0</v>
      </c>
      <c r="U606" s="288">
        <v>0</v>
      </c>
      <c r="V606" s="282">
        <f>C606-'часть 1'!L617</f>
        <v>2111231</v>
      </c>
      <c r="W606" s="282"/>
      <c r="X606" s="28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296"/>
    </row>
    <row r="607" spans="1:49" s="59" customFormat="1">
      <c r="A607" s="198">
        <v>46</v>
      </c>
      <c r="B607" s="195" t="s">
        <v>386</v>
      </c>
      <c r="C607" s="196">
        <v>869749</v>
      </c>
      <c r="D607" s="196"/>
      <c r="E607" s="196"/>
      <c r="F607" s="196"/>
      <c r="G607" s="196"/>
      <c r="H607" s="196"/>
      <c r="I607" s="196"/>
      <c r="J607" s="196"/>
      <c r="K607" s="196">
        <v>0</v>
      </c>
      <c r="L607" s="194">
        <v>0</v>
      </c>
      <c r="M607" s="196">
        <v>0</v>
      </c>
      <c r="N607" s="196">
        <v>431.5</v>
      </c>
      <c r="O607" s="196">
        <f>C607</f>
        <v>869749</v>
      </c>
      <c r="P607" s="194">
        <v>0</v>
      </c>
      <c r="Q607" s="196">
        <v>0</v>
      </c>
      <c r="R607" s="197">
        <v>0</v>
      </c>
      <c r="S607" s="196">
        <v>0</v>
      </c>
      <c r="T607" s="197">
        <v>0</v>
      </c>
      <c r="U607" s="288">
        <v>0</v>
      </c>
      <c r="V607" s="282">
        <f>C607-'часть 1'!L618</f>
        <v>-1498643</v>
      </c>
      <c r="W607" s="282"/>
      <c r="X607" s="28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296"/>
    </row>
    <row r="608" spans="1:49" s="59" customFormat="1">
      <c r="A608" s="198">
        <v>47</v>
      </c>
      <c r="B608" s="195" t="s">
        <v>461</v>
      </c>
      <c r="C608" s="196">
        <v>869880</v>
      </c>
      <c r="D608" s="196"/>
      <c r="E608" s="196"/>
      <c r="F608" s="196"/>
      <c r="G608" s="196"/>
      <c r="H608" s="196"/>
      <c r="I608" s="196"/>
      <c r="J608" s="196"/>
      <c r="K608" s="196">
        <v>0</v>
      </c>
      <c r="L608" s="194">
        <v>0</v>
      </c>
      <c r="M608" s="196">
        <v>0</v>
      </c>
      <c r="N608" s="196">
        <v>431.5</v>
      </c>
      <c r="O608" s="199">
        <f>C608</f>
        <v>869880</v>
      </c>
      <c r="P608" s="194">
        <v>0</v>
      </c>
      <c r="Q608" s="196">
        <v>0</v>
      </c>
      <c r="R608" s="200">
        <v>0</v>
      </c>
      <c r="S608" s="196">
        <v>0</v>
      </c>
      <c r="T608" s="197">
        <v>0</v>
      </c>
      <c r="U608" s="288">
        <v>0</v>
      </c>
      <c r="V608" s="282">
        <f>C608-'часть 1'!L619</f>
        <v>-1564050.9100000001</v>
      </c>
      <c r="W608" s="282"/>
      <c r="X608" s="28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296"/>
    </row>
    <row r="609" spans="1:49" s="59" customFormat="1" ht="27.6">
      <c r="A609" s="198">
        <v>48</v>
      </c>
      <c r="B609" s="195" t="s">
        <v>462</v>
      </c>
      <c r="C609" s="196">
        <v>172302</v>
      </c>
      <c r="D609" s="196"/>
      <c r="E609" s="196"/>
      <c r="F609" s="196"/>
      <c r="G609" s="196"/>
      <c r="H609" s="196"/>
      <c r="I609" s="196"/>
      <c r="J609" s="196"/>
      <c r="K609" s="196">
        <v>172302</v>
      </c>
      <c r="L609" s="194">
        <v>0</v>
      </c>
      <c r="M609" s="196">
        <v>0</v>
      </c>
      <c r="N609" s="196">
        <v>0</v>
      </c>
      <c r="O609" s="196">
        <v>0</v>
      </c>
      <c r="P609" s="194">
        <v>0</v>
      </c>
      <c r="Q609" s="196">
        <v>0</v>
      </c>
      <c r="R609" s="197">
        <v>0</v>
      </c>
      <c r="S609" s="196">
        <v>0</v>
      </c>
      <c r="T609" s="197">
        <v>0</v>
      </c>
      <c r="U609" s="288">
        <v>0</v>
      </c>
      <c r="V609" s="282">
        <f>C609-'часть 1'!L620</f>
        <v>-1549548</v>
      </c>
      <c r="W609" s="282"/>
      <c r="X609" s="28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296"/>
      <c r="AJ609" s="89"/>
      <c r="AK609" s="89"/>
      <c r="AL609" s="89"/>
      <c r="AM609" s="89"/>
      <c r="AN609" s="89"/>
      <c r="AO609" s="89"/>
      <c r="AP609" s="89"/>
      <c r="AQ609" s="89"/>
      <c r="AR609" s="89"/>
      <c r="AS609" s="89"/>
      <c r="AT609" s="89"/>
      <c r="AU609" s="89"/>
      <c r="AV609" s="89"/>
      <c r="AW609" s="89"/>
    </row>
    <row r="610" spans="1:49" s="59" customFormat="1">
      <c r="A610" s="198">
        <v>49</v>
      </c>
      <c r="B610" s="195" t="s">
        <v>389</v>
      </c>
      <c r="C610" s="196">
        <v>3706393</v>
      </c>
      <c r="D610" s="196"/>
      <c r="E610" s="196"/>
      <c r="F610" s="196"/>
      <c r="G610" s="196"/>
      <c r="H610" s="196"/>
      <c r="I610" s="196"/>
      <c r="J610" s="196"/>
      <c r="K610" s="196" t="e">
        <f>#REF!</f>
        <v>#REF!</v>
      </c>
      <c r="L610" s="194">
        <v>0</v>
      </c>
      <c r="M610" s="196">
        <v>0</v>
      </c>
      <c r="N610" s="196">
        <v>0</v>
      </c>
      <c r="O610" s="196">
        <v>0</v>
      </c>
      <c r="P610" s="194">
        <v>0</v>
      </c>
      <c r="Q610" s="196">
        <v>0</v>
      </c>
      <c r="R610" s="197">
        <v>0</v>
      </c>
      <c r="S610" s="196">
        <v>0</v>
      </c>
      <c r="T610" s="197">
        <v>0</v>
      </c>
      <c r="U610" s="288">
        <v>0</v>
      </c>
      <c r="V610" s="282">
        <f>C610-'часть 1'!L621</f>
        <v>2892276</v>
      </c>
      <c r="W610" s="282"/>
      <c r="X610" s="28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296"/>
    </row>
    <row r="611" spans="1:49" s="59" customFormat="1">
      <c r="A611" s="198">
        <v>50</v>
      </c>
      <c r="B611" s="195" t="s">
        <v>317</v>
      </c>
      <c r="C611" s="196">
        <v>698585</v>
      </c>
      <c r="D611" s="196"/>
      <c r="E611" s="196"/>
      <c r="F611" s="196"/>
      <c r="G611" s="196"/>
      <c r="H611" s="196"/>
      <c r="I611" s="196"/>
      <c r="J611" s="196"/>
      <c r="K611" s="196">
        <v>698585</v>
      </c>
      <c r="L611" s="194">
        <v>0</v>
      </c>
      <c r="M611" s="196">
        <v>0</v>
      </c>
      <c r="N611" s="199">
        <v>0</v>
      </c>
      <c r="O611" s="196">
        <v>0</v>
      </c>
      <c r="P611" s="194">
        <v>0</v>
      </c>
      <c r="Q611" s="196">
        <v>0</v>
      </c>
      <c r="R611" s="200">
        <v>0</v>
      </c>
      <c r="S611" s="196">
        <v>0</v>
      </c>
      <c r="T611" s="197">
        <v>0</v>
      </c>
      <c r="U611" s="288">
        <v>0</v>
      </c>
      <c r="V611" s="282">
        <f>C611-'часть 1'!L622</f>
        <v>-2346496</v>
      </c>
      <c r="W611" s="282"/>
      <c r="X611" s="28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296"/>
    </row>
    <row r="612" spans="1:49" s="59" customFormat="1">
      <c r="A612" s="198">
        <v>51</v>
      </c>
      <c r="B612" s="195" t="s">
        <v>384</v>
      </c>
      <c r="C612" s="196">
        <v>951740</v>
      </c>
      <c r="D612" s="196"/>
      <c r="E612" s="196"/>
      <c r="F612" s="196"/>
      <c r="G612" s="196"/>
      <c r="H612" s="196"/>
      <c r="I612" s="196"/>
      <c r="J612" s="196"/>
      <c r="K612" s="196">
        <v>0</v>
      </c>
      <c r="L612" s="194">
        <v>0</v>
      </c>
      <c r="M612" s="196">
        <v>0</v>
      </c>
      <c r="N612" s="196">
        <v>471.1</v>
      </c>
      <c r="O612" s="196">
        <v>951740</v>
      </c>
      <c r="P612" s="194">
        <v>0</v>
      </c>
      <c r="Q612" s="196">
        <v>0</v>
      </c>
      <c r="R612" s="197">
        <v>0</v>
      </c>
      <c r="S612" s="196">
        <v>0</v>
      </c>
      <c r="T612" s="197">
        <v>0</v>
      </c>
      <c r="U612" s="288">
        <v>0</v>
      </c>
      <c r="V612" s="282">
        <f>C612-'часть 1'!L623</f>
        <v>-1293066</v>
      </c>
      <c r="W612" s="282"/>
      <c r="X612" s="28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296"/>
    </row>
    <row r="613" spans="1:49">
      <c r="A613" s="198">
        <v>52</v>
      </c>
      <c r="B613" s="195" t="s">
        <v>247</v>
      </c>
      <c r="C613" s="196">
        <v>2056139</v>
      </c>
      <c r="D613" s="196"/>
      <c r="E613" s="196"/>
      <c r="F613" s="196"/>
      <c r="G613" s="196"/>
      <c r="H613" s="196"/>
      <c r="I613" s="196"/>
      <c r="J613" s="196"/>
      <c r="K613" s="196">
        <v>0</v>
      </c>
      <c r="L613" s="194">
        <v>0</v>
      </c>
      <c r="M613" s="196">
        <v>0</v>
      </c>
      <c r="N613" s="196">
        <v>1020</v>
      </c>
      <c r="O613" s="196">
        <v>2056139</v>
      </c>
      <c r="P613" s="194">
        <v>0</v>
      </c>
      <c r="Q613" s="196">
        <v>0</v>
      </c>
      <c r="R613" s="200">
        <v>0</v>
      </c>
      <c r="S613" s="196">
        <v>0</v>
      </c>
      <c r="T613" s="197">
        <v>0</v>
      </c>
      <c r="U613" s="288">
        <v>0</v>
      </c>
      <c r="V613" s="282">
        <f>C613-'часть 1'!L624</f>
        <v>694866</v>
      </c>
      <c r="W613" s="282"/>
      <c r="X613" s="28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296"/>
    </row>
    <row r="614" spans="1:49">
      <c r="A614" s="198">
        <v>53</v>
      </c>
      <c r="B614" s="195" t="s">
        <v>274</v>
      </c>
      <c r="C614" s="196">
        <v>1321356</v>
      </c>
      <c r="D614" s="196"/>
      <c r="E614" s="196"/>
      <c r="F614" s="196"/>
      <c r="G614" s="196"/>
      <c r="H614" s="196"/>
      <c r="I614" s="196"/>
      <c r="J614" s="196"/>
      <c r="K614" s="196">
        <v>0</v>
      </c>
      <c r="L614" s="194">
        <v>0</v>
      </c>
      <c r="M614" s="196">
        <v>0</v>
      </c>
      <c r="N614" s="196">
        <v>662</v>
      </c>
      <c r="O614" s="199">
        <v>1321356</v>
      </c>
      <c r="P614" s="194">
        <v>0</v>
      </c>
      <c r="Q614" s="196">
        <v>0</v>
      </c>
      <c r="R614" s="197">
        <v>0</v>
      </c>
      <c r="S614" s="196">
        <v>0</v>
      </c>
      <c r="T614" s="197">
        <v>0</v>
      </c>
      <c r="U614" s="288">
        <v>0</v>
      </c>
      <c r="V614" s="282">
        <f>C614-'часть 1'!L625</f>
        <v>-1100240</v>
      </c>
      <c r="W614" s="282"/>
      <c r="X614" s="28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296"/>
    </row>
    <row r="615" spans="1:49">
      <c r="A615" s="198">
        <v>54</v>
      </c>
      <c r="B615" s="195" t="s">
        <v>338</v>
      </c>
      <c r="C615" s="196">
        <v>1679278</v>
      </c>
      <c r="D615" s="196"/>
      <c r="E615" s="196"/>
      <c r="F615" s="196"/>
      <c r="G615" s="196"/>
      <c r="H615" s="196"/>
      <c r="I615" s="196"/>
      <c r="J615" s="196"/>
      <c r="K615" s="196">
        <v>355519</v>
      </c>
      <c r="L615" s="194">
        <v>0</v>
      </c>
      <c r="M615" s="196">
        <v>0</v>
      </c>
      <c r="N615" s="196">
        <v>663.3</v>
      </c>
      <c r="O615" s="196">
        <v>1323759</v>
      </c>
      <c r="P615" s="194">
        <v>0</v>
      </c>
      <c r="Q615" s="196">
        <v>0</v>
      </c>
      <c r="R615" s="197">
        <v>0</v>
      </c>
      <c r="S615" s="196">
        <v>0</v>
      </c>
      <c r="T615" s="197">
        <v>0</v>
      </c>
      <c r="U615" s="288">
        <v>0</v>
      </c>
      <c r="V615" s="282">
        <f>C615-'часть 1'!L626</f>
        <v>-377037</v>
      </c>
      <c r="W615" s="282"/>
      <c r="X615" s="282"/>
      <c r="Y615" s="12"/>
      <c r="Z615" s="12"/>
      <c r="AA615" s="12"/>
      <c r="AB615" s="12"/>
      <c r="AC615" s="12"/>
      <c r="AD615" s="12"/>
      <c r="AE615" s="12"/>
      <c r="AF615" s="12"/>
      <c r="AG615" s="4"/>
      <c r="AH615" s="12"/>
      <c r="AI615" s="296"/>
    </row>
    <row r="616" spans="1:49" s="11" customFormat="1">
      <c r="A616" s="198">
        <v>55</v>
      </c>
      <c r="B616" s="195" t="s">
        <v>272</v>
      </c>
      <c r="C616" s="196">
        <v>1100896</v>
      </c>
      <c r="D616" s="196"/>
      <c r="E616" s="196"/>
      <c r="F616" s="196"/>
      <c r="G616" s="196"/>
      <c r="H616" s="196"/>
      <c r="I616" s="196"/>
      <c r="J616" s="196"/>
      <c r="K616" s="196">
        <v>0</v>
      </c>
      <c r="L616" s="194">
        <v>0</v>
      </c>
      <c r="M616" s="196">
        <v>0</v>
      </c>
      <c r="N616" s="196">
        <v>549</v>
      </c>
      <c r="O616" s="199">
        <v>1100896</v>
      </c>
      <c r="P616" s="194">
        <v>0</v>
      </c>
      <c r="Q616" s="196">
        <v>0</v>
      </c>
      <c r="R616" s="197">
        <v>0</v>
      </c>
      <c r="S616" s="196">
        <v>0</v>
      </c>
      <c r="T616" s="197">
        <v>0</v>
      </c>
      <c r="U616" s="288">
        <v>0</v>
      </c>
      <c r="V616" s="282">
        <f>C616-'часть 1'!L627</f>
        <v>-8372697</v>
      </c>
      <c r="W616" s="282"/>
      <c r="X616" s="28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296"/>
    </row>
    <row r="617" spans="1:49">
      <c r="A617" s="198">
        <v>56</v>
      </c>
      <c r="B617" s="195" t="s">
        <v>337</v>
      </c>
      <c r="C617" s="196">
        <v>1729707</v>
      </c>
      <c r="D617" s="196"/>
      <c r="E617" s="196"/>
      <c r="F617" s="196"/>
      <c r="G617" s="196"/>
      <c r="H617" s="196"/>
      <c r="I617" s="196"/>
      <c r="J617" s="196"/>
      <c r="K617" s="196">
        <v>630140</v>
      </c>
      <c r="L617" s="194">
        <v>0</v>
      </c>
      <c r="M617" s="196">
        <v>0</v>
      </c>
      <c r="N617" s="196">
        <v>0</v>
      </c>
      <c r="O617" s="196">
        <v>0</v>
      </c>
      <c r="P617" s="194">
        <v>0</v>
      </c>
      <c r="Q617" s="196">
        <v>0</v>
      </c>
      <c r="R617" s="196">
        <v>760.3</v>
      </c>
      <c r="S617" s="196">
        <v>1099567</v>
      </c>
      <c r="T617" s="197">
        <v>0</v>
      </c>
      <c r="U617" s="288">
        <v>0</v>
      </c>
      <c r="V617" s="282">
        <f>C617-'часть 1'!L628</f>
        <v>-2712121</v>
      </c>
      <c r="W617" s="282"/>
      <c r="X617" s="28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296"/>
    </row>
    <row r="618" spans="1:49" s="59" customFormat="1">
      <c r="A618" s="198">
        <v>57</v>
      </c>
      <c r="B618" s="195" t="s">
        <v>257</v>
      </c>
      <c r="C618" s="196">
        <v>451222.57</v>
      </c>
      <c r="D618" s="196"/>
      <c r="E618" s="196"/>
      <c r="F618" s="196"/>
      <c r="G618" s="196"/>
      <c r="H618" s="196"/>
      <c r="I618" s="196"/>
      <c r="J618" s="196"/>
      <c r="K618" s="196">
        <v>451222.57</v>
      </c>
      <c r="L618" s="194">
        <v>0</v>
      </c>
      <c r="M618" s="196">
        <v>0</v>
      </c>
      <c r="N618" s="196">
        <v>0</v>
      </c>
      <c r="O618" s="196">
        <v>0</v>
      </c>
      <c r="P618" s="194">
        <v>0</v>
      </c>
      <c r="Q618" s="196">
        <v>0</v>
      </c>
      <c r="R618" s="197">
        <v>0</v>
      </c>
      <c r="S618" s="196">
        <v>0</v>
      </c>
      <c r="T618" s="197">
        <v>0</v>
      </c>
      <c r="U618" s="288">
        <v>0</v>
      </c>
      <c r="V618" s="282">
        <f>C618-'часть 1'!L629</f>
        <v>-2599866.4300000002</v>
      </c>
      <c r="W618" s="282"/>
      <c r="X618" s="282"/>
      <c r="Y618" s="12"/>
      <c r="Z618" s="12"/>
      <c r="AA618" s="4"/>
      <c r="AB618" s="12"/>
      <c r="AC618" s="12"/>
      <c r="AD618" s="12"/>
      <c r="AE618" s="12"/>
      <c r="AF618" s="12"/>
      <c r="AG618" s="12"/>
      <c r="AH618" s="12"/>
      <c r="AI618" s="296"/>
    </row>
    <row r="619" spans="1:49" ht="27.6">
      <c r="A619" s="198">
        <v>58</v>
      </c>
      <c r="B619" s="195" t="s">
        <v>307</v>
      </c>
      <c r="C619" s="196">
        <v>703675.57</v>
      </c>
      <c r="D619" s="196"/>
      <c r="E619" s="196"/>
      <c r="F619" s="196"/>
      <c r="G619" s="196"/>
      <c r="H619" s="196"/>
      <c r="I619" s="196"/>
      <c r="J619" s="196"/>
      <c r="K619" s="196">
        <v>0</v>
      </c>
      <c r="L619" s="194">
        <v>0</v>
      </c>
      <c r="M619" s="196">
        <v>0</v>
      </c>
      <c r="N619" s="196">
        <v>378</v>
      </c>
      <c r="O619" s="196">
        <v>703675.57</v>
      </c>
      <c r="P619" s="194">
        <v>0</v>
      </c>
      <c r="Q619" s="196">
        <v>0</v>
      </c>
      <c r="R619" s="197">
        <v>0</v>
      </c>
      <c r="S619" s="196">
        <v>0</v>
      </c>
      <c r="T619" s="197">
        <v>0</v>
      </c>
      <c r="U619" s="288">
        <v>0</v>
      </c>
      <c r="V619" s="282">
        <f>C619-'часть 1'!L630</f>
        <v>-166073.43000000005</v>
      </c>
      <c r="W619" s="282"/>
      <c r="X619" s="28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296"/>
    </row>
    <row r="620" spans="1:49">
      <c r="A620" s="198">
        <v>59</v>
      </c>
      <c r="B620" s="195" t="s">
        <v>268</v>
      </c>
      <c r="C620" s="196">
        <v>1053533.22</v>
      </c>
      <c r="D620" s="196"/>
      <c r="E620" s="196"/>
      <c r="F620" s="196"/>
      <c r="G620" s="196"/>
      <c r="H620" s="196"/>
      <c r="I620" s="196"/>
      <c r="J620" s="196"/>
      <c r="K620" s="196">
        <v>1053533.22</v>
      </c>
      <c r="L620" s="194">
        <v>0</v>
      </c>
      <c r="M620" s="196">
        <v>0</v>
      </c>
      <c r="N620" s="196">
        <v>0</v>
      </c>
      <c r="O620" s="196">
        <v>0</v>
      </c>
      <c r="P620" s="194">
        <v>0</v>
      </c>
      <c r="Q620" s="196">
        <v>0</v>
      </c>
      <c r="R620" s="197">
        <v>0</v>
      </c>
      <c r="S620" s="196">
        <v>0</v>
      </c>
      <c r="T620" s="197">
        <v>0</v>
      </c>
      <c r="U620" s="288">
        <v>0</v>
      </c>
      <c r="V620" s="282">
        <f>C620-'часть 1'!L631</f>
        <v>183653.21999999997</v>
      </c>
      <c r="W620" s="282"/>
      <c r="X620" s="28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296"/>
      <c r="AJ620" s="11"/>
      <c r="AK620" s="11"/>
      <c r="AL620" s="11"/>
    </row>
    <row r="621" spans="1:49">
      <c r="A621" s="198">
        <v>60</v>
      </c>
      <c r="B621" s="195" t="s">
        <v>246</v>
      </c>
      <c r="C621" s="196">
        <v>1253738</v>
      </c>
      <c r="D621" s="196"/>
      <c r="E621" s="196"/>
      <c r="F621" s="196"/>
      <c r="G621" s="196"/>
      <c r="H621" s="196"/>
      <c r="I621" s="196"/>
      <c r="J621" s="196"/>
      <c r="K621" s="196">
        <v>0</v>
      </c>
      <c r="L621" s="194">
        <v>0</v>
      </c>
      <c r="M621" s="196">
        <v>0</v>
      </c>
      <c r="N621" s="196">
        <v>622</v>
      </c>
      <c r="O621" s="196">
        <v>1253738</v>
      </c>
      <c r="P621" s="194">
        <v>0</v>
      </c>
      <c r="Q621" s="196">
        <v>0</v>
      </c>
      <c r="R621" s="200">
        <v>0</v>
      </c>
      <c r="S621" s="196">
        <v>0</v>
      </c>
      <c r="T621" s="197">
        <v>0</v>
      </c>
      <c r="U621" s="288">
        <v>0</v>
      </c>
      <c r="V621" s="282">
        <f>C621-'часть 1'!L632</f>
        <v>1081436</v>
      </c>
      <c r="W621" s="282"/>
      <c r="X621" s="28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296"/>
    </row>
    <row r="622" spans="1:49" s="11" customFormat="1">
      <c r="A622" s="198">
        <v>61</v>
      </c>
      <c r="B622" s="195" t="s">
        <v>470</v>
      </c>
      <c r="C622" s="196">
        <v>1870046</v>
      </c>
      <c r="D622" s="196"/>
      <c r="E622" s="196"/>
      <c r="F622" s="196"/>
      <c r="G622" s="196"/>
      <c r="H622" s="196"/>
      <c r="I622" s="196"/>
      <c r="J622" s="196"/>
      <c r="K622" s="196">
        <v>0</v>
      </c>
      <c r="L622" s="194">
        <v>1</v>
      </c>
      <c r="M622" s="196">
        <v>1870046</v>
      </c>
      <c r="N622" s="196">
        <v>0</v>
      </c>
      <c r="O622" s="196">
        <v>0</v>
      </c>
      <c r="P622" s="194">
        <v>0</v>
      </c>
      <c r="Q622" s="196">
        <v>0</v>
      </c>
      <c r="R622" s="197">
        <v>0</v>
      </c>
      <c r="S622" s="196">
        <v>0</v>
      </c>
      <c r="T622" s="197">
        <v>0</v>
      </c>
      <c r="U622" s="288">
        <v>0</v>
      </c>
      <c r="V622" s="282">
        <f>C622-'часть 1'!L633</f>
        <v>-1836347</v>
      </c>
      <c r="W622" s="282"/>
      <c r="X622" s="28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296"/>
      <c r="AJ622" s="1"/>
      <c r="AK622" s="1"/>
      <c r="AL622" s="1"/>
    </row>
    <row r="623" spans="1:49">
      <c r="A623" s="198">
        <v>62</v>
      </c>
      <c r="B623" s="195" t="s">
        <v>350</v>
      </c>
      <c r="C623" s="196">
        <v>3720676</v>
      </c>
      <c r="D623" s="196"/>
      <c r="E623" s="196"/>
      <c r="F623" s="196"/>
      <c r="G623" s="196"/>
      <c r="H623" s="196"/>
      <c r="I623" s="196"/>
      <c r="J623" s="196"/>
      <c r="K623" s="196">
        <v>0</v>
      </c>
      <c r="L623" s="194">
        <v>2</v>
      </c>
      <c r="M623" s="196">
        <v>3720676</v>
      </c>
      <c r="N623" s="196">
        <v>0</v>
      </c>
      <c r="O623" s="196">
        <v>0</v>
      </c>
      <c r="P623" s="194">
        <v>0</v>
      </c>
      <c r="Q623" s="196">
        <v>0</v>
      </c>
      <c r="R623" s="197">
        <v>0</v>
      </c>
      <c r="S623" s="196">
        <v>0</v>
      </c>
      <c r="T623" s="197">
        <v>0</v>
      </c>
      <c r="U623" s="288">
        <v>0</v>
      </c>
      <c r="V623" s="282">
        <f>C623-'часть 1'!L634</f>
        <v>3022091</v>
      </c>
      <c r="W623" s="282"/>
      <c r="X623" s="28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296"/>
    </row>
    <row r="624" spans="1:49">
      <c r="A624" s="198">
        <v>63</v>
      </c>
      <c r="B624" s="195" t="s">
        <v>251</v>
      </c>
      <c r="C624" s="196">
        <v>3687908</v>
      </c>
      <c r="D624" s="196"/>
      <c r="E624" s="196"/>
      <c r="F624" s="196"/>
      <c r="G624" s="196"/>
      <c r="H624" s="196"/>
      <c r="I624" s="196"/>
      <c r="J624" s="196"/>
      <c r="K624" s="196">
        <v>3687908</v>
      </c>
      <c r="L624" s="194">
        <v>0</v>
      </c>
      <c r="M624" s="196">
        <v>0</v>
      </c>
      <c r="N624" s="196">
        <v>0</v>
      </c>
      <c r="O624" s="196">
        <v>0</v>
      </c>
      <c r="P624" s="194">
        <v>0</v>
      </c>
      <c r="Q624" s="196">
        <v>0</v>
      </c>
      <c r="R624" s="200">
        <v>0</v>
      </c>
      <c r="S624" s="196">
        <v>0</v>
      </c>
      <c r="T624" s="197">
        <v>0</v>
      </c>
      <c r="U624" s="288">
        <v>0</v>
      </c>
      <c r="V624" s="282">
        <f>C624-'часть 1'!L635</f>
        <v>2736168</v>
      </c>
      <c r="W624" s="282"/>
      <c r="X624" s="282"/>
      <c r="Y624" s="12"/>
      <c r="Z624" s="12"/>
      <c r="AA624" s="12"/>
      <c r="AB624" s="12"/>
      <c r="AC624" s="12"/>
      <c r="AD624" s="12"/>
      <c r="AE624" s="64"/>
      <c r="AF624" s="12"/>
      <c r="AG624" s="12"/>
      <c r="AH624" s="12"/>
      <c r="AI624" s="296"/>
    </row>
    <row r="625" spans="1:35">
      <c r="A625" s="198">
        <v>64</v>
      </c>
      <c r="B625" s="195" t="s">
        <v>226</v>
      </c>
      <c r="C625" s="196">
        <v>1760967.35</v>
      </c>
      <c r="D625" s="196"/>
      <c r="E625" s="196"/>
      <c r="F625" s="196"/>
      <c r="G625" s="196"/>
      <c r="H625" s="196"/>
      <c r="I625" s="196"/>
      <c r="J625" s="196"/>
      <c r="K625" s="196">
        <v>0</v>
      </c>
      <c r="L625" s="194">
        <v>0</v>
      </c>
      <c r="M625" s="196">
        <v>0</v>
      </c>
      <c r="N625" s="196">
        <v>881</v>
      </c>
      <c r="O625" s="196">
        <v>1760967.35</v>
      </c>
      <c r="P625" s="194">
        <v>0</v>
      </c>
      <c r="Q625" s="196">
        <v>0</v>
      </c>
      <c r="R625" s="200">
        <v>0</v>
      </c>
      <c r="S625" s="196">
        <v>0</v>
      </c>
      <c r="T625" s="197">
        <v>0</v>
      </c>
      <c r="U625" s="288">
        <v>0</v>
      </c>
      <c r="V625" s="282">
        <f>C625-'часть 1'!L636</f>
        <v>-295171.64999999991</v>
      </c>
      <c r="W625" s="282"/>
      <c r="X625" s="28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296"/>
    </row>
    <row r="626" spans="1:35">
      <c r="A626" s="198">
        <v>65</v>
      </c>
      <c r="B626" s="195" t="s">
        <v>271</v>
      </c>
      <c r="C626" s="196">
        <v>881947</v>
      </c>
      <c r="D626" s="196"/>
      <c r="E626" s="196"/>
      <c r="F626" s="196"/>
      <c r="G626" s="196"/>
      <c r="H626" s="196"/>
      <c r="I626" s="196"/>
      <c r="J626" s="196"/>
      <c r="K626" s="196">
        <v>881947</v>
      </c>
      <c r="L626" s="194">
        <v>0</v>
      </c>
      <c r="M626" s="196">
        <v>0</v>
      </c>
      <c r="N626" s="196">
        <v>0</v>
      </c>
      <c r="O626" s="196">
        <v>0</v>
      </c>
      <c r="P626" s="194">
        <v>0</v>
      </c>
      <c r="Q626" s="196">
        <v>0</v>
      </c>
      <c r="R626" s="197">
        <v>0</v>
      </c>
      <c r="S626" s="196">
        <v>0</v>
      </c>
      <c r="T626" s="197">
        <v>0</v>
      </c>
      <c r="U626" s="288">
        <v>0</v>
      </c>
      <c r="V626" s="282">
        <f>C626-'часть 1'!L637</f>
        <v>-439409</v>
      </c>
      <c r="W626" s="282"/>
      <c r="X626" s="282"/>
      <c r="Y626" s="4"/>
      <c r="Z626" s="12"/>
      <c r="AA626" s="12"/>
      <c r="AB626" s="12"/>
      <c r="AC626" s="12"/>
      <c r="AD626" s="12"/>
      <c r="AE626" s="12"/>
      <c r="AF626" s="12"/>
      <c r="AG626" s="12"/>
      <c r="AH626" s="12"/>
      <c r="AI626" s="296"/>
    </row>
    <row r="627" spans="1:35">
      <c r="A627" s="198">
        <v>66</v>
      </c>
      <c r="B627" s="195" t="s">
        <v>287</v>
      </c>
      <c r="C627" s="196">
        <v>517739</v>
      </c>
      <c r="D627" s="196"/>
      <c r="E627" s="196"/>
      <c r="F627" s="196"/>
      <c r="G627" s="196"/>
      <c r="H627" s="196"/>
      <c r="I627" s="196"/>
      <c r="J627" s="196"/>
      <c r="K627" s="196">
        <v>0</v>
      </c>
      <c r="L627" s="194">
        <v>0</v>
      </c>
      <c r="M627" s="196">
        <v>0</v>
      </c>
      <c r="N627" s="196">
        <v>252</v>
      </c>
      <c r="O627" s="199">
        <v>517739</v>
      </c>
      <c r="P627" s="194">
        <v>0</v>
      </c>
      <c r="Q627" s="196">
        <v>0</v>
      </c>
      <c r="R627" s="197">
        <v>0</v>
      </c>
      <c r="S627" s="196">
        <v>0</v>
      </c>
      <c r="T627" s="197">
        <v>0</v>
      </c>
      <c r="U627" s="288">
        <v>0</v>
      </c>
      <c r="V627" s="282">
        <f>C627-'часть 1'!L638</f>
        <v>-1161539</v>
      </c>
      <c r="W627" s="282"/>
      <c r="X627" s="28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296"/>
    </row>
    <row r="628" spans="1:35">
      <c r="A628" s="198">
        <v>67</v>
      </c>
      <c r="B628" s="195" t="s">
        <v>289</v>
      </c>
      <c r="C628" s="196">
        <v>1728895</v>
      </c>
      <c r="D628" s="196"/>
      <c r="E628" s="196"/>
      <c r="F628" s="196"/>
      <c r="G628" s="196"/>
      <c r="H628" s="196"/>
      <c r="I628" s="196"/>
      <c r="J628" s="196"/>
      <c r="K628" s="196">
        <v>0</v>
      </c>
      <c r="L628" s="194">
        <v>0</v>
      </c>
      <c r="M628" s="196">
        <v>0</v>
      </c>
      <c r="N628" s="196">
        <v>873.06</v>
      </c>
      <c r="O628" s="196">
        <v>1728895</v>
      </c>
      <c r="P628" s="201">
        <v>0</v>
      </c>
      <c r="Q628" s="196">
        <v>0</v>
      </c>
      <c r="R628" s="200">
        <v>0</v>
      </c>
      <c r="S628" s="196">
        <v>0</v>
      </c>
      <c r="T628" s="197">
        <v>0</v>
      </c>
      <c r="U628" s="288">
        <v>0</v>
      </c>
      <c r="V628" s="282">
        <f>C628-'часть 1'!L639</f>
        <v>627999</v>
      </c>
      <c r="W628" s="282"/>
      <c r="X628" s="28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296"/>
    </row>
    <row r="629" spans="1:35">
      <c r="A629" s="198">
        <v>68</v>
      </c>
      <c r="B629" s="195" t="s">
        <v>259</v>
      </c>
      <c r="C629" s="196">
        <v>682529</v>
      </c>
      <c r="D629" s="196"/>
      <c r="E629" s="196"/>
      <c r="F629" s="196"/>
      <c r="G629" s="196"/>
      <c r="H629" s="196"/>
      <c r="I629" s="196"/>
      <c r="J629" s="196"/>
      <c r="K629" s="196">
        <v>0</v>
      </c>
      <c r="L629" s="194">
        <v>0</v>
      </c>
      <c r="M629" s="196">
        <v>0</v>
      </c>
      <c r="N629" s="196">
        <v>335.6</v>
      </c>
      <c r="O629" s="196">
        <v>682529</v>
      </c>
      <c r="P629" s="194">
        <v>0</v>
      </c>
      <c r="Q629" s="196">
        <v>0</v>
      </c>
      <c r="R629" s="197">
        <v>0</v>
      </c>
      <c r="S629" s="196">
        <v>0</v>
      </c>
      <c r="T629" s="197">
        <v>0</v>
      </c>
      <c r="U629" s="288">
        <v>0</v>
      </c>
      <c r="V629" s="282">
        <f>C629-'часть 1'!L640</f>
        <v>-1047178</v>
      </c>
      <c r="W629" s="282"/>
      <c r="X629" s="28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296"/>
    </row>
    <row r="630" spans="1:35">
      <c r="A630" s="198">
        <v>69</v>
      </c>
      <c r="B630" s="195" t="s">
        <v>291</v>
      </c>
      <c r="C630" s="196">
        <v>582157</v>
      </c>
      <c r="D630" s="196"/>
      <c r="E630" s="196"/>
      <c r="F630" s="196"/>
      <c r="G630" s="196"/>
      <c r="H630" s="196"/>
      <c r="I630" s="196"/>
      <c r="J630" s="196"/>
      <c r="K630" s="196">
        <v>0</v>
      </c>
      <c r="L630" s="194">
        <v>0</v>
      </c>
      <c r="M630" s="196">
        <v>0</v>
      </c>
      <c r="N630" s="196">
        <v>285</v>
      </c>
      <c r="O630" s="196">
        <v>582157</v>
      </c>
      <c r="P630" s="194">
        <v>0</v>
      </c>
      <c r="Q630" s="196">
        <v>0</v>
      </c>
      <c r="R630" s="200">
        <v>0</v>
      </c>
      <c r="S630" s="196">
        <v>0</v>
      </c>
      <c r="T630" s="197">
        <v>0</v>
      </c>
      <c r="U630" s="288">
        <v>0</v>
      </c>
      <c r="V630" s="282">
        <f>C630-'часть 1'!L641</f>
        <v>130934.43</v>
      </c>
      <c r="W630" s="282"/>
      <c r="X630" s="28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296"/>
    </row>
    <row r="631" spans="1:35">
      <c r="A631" s="198">
        <v>70</v>
      </c>
      <c r="B631" s="195" t="s">
        <v>224</v>
      </c>
      <c r="C631" s="196">
        <v>701704</v>
      </c>
      <c r="D631" s="196"/>
      <c r="E631" s="196"/>
      <c r="F631" s="196"/>
      <c r="G631" s="196"/>
      <c r="H631" s="196"/>
      <c r="I631" s="196"/>
      <c r="J631" s="196"/>
      <c r="K631" s="196">
        <v>701704</v>
      </c>
      <c r="L631" s="194">
        <v>0</v>
      </c>
      <c r="M631" s="196">
        <v>0</v>
      </c>
      <c r="N631" s="199">
        <v>0</v>
      </c>
      <c r="O631" s="196">
        <v>0</v>
      </c>
      <c r="P631" s="194">
        <v>0</v>
      </c>
      <c r="Q631" s="196">
        <v>0</v>
      </c>
      <c r="R631" s="200">
        <v>0</v>
      </c>
      <c r="S631" s="196">
        <v>0</v>
      </c>
      <c r="T631" s="197">
        <v>0</v>
      </c>
      <c r="U631" s="288">
        <v>0</v>
      </c>
      <c r="V631" s="282">
        <f>C631-'часть 1'!L642</f>
        <v>-1971.5699999999488</v>
      </c>
      <c r="W631" s="282"/>
      <c r="X631" s="282"/>
      <c r="Y631" s="4"/>
      <c r="Z631" s="12"/>
      <c r="AA631" s="12"/>
      <c r="AB631" s="12"/>
      <c r="AC631" s="12"/>
      <c r="AD631" s="12"/>
      <c r="AE631" s="12"/>
      <c r="AF631" s="12"/>
      <c r="AG631" s="12"/>
      <c r="AH631" s="12"/>
      <c r="AI631" s="296"/>
    </row>
    <row r="632" spans="1:35">
      <c r="A632" s="198">
        <v>71</v>
      </c>
      <c r="B632" s="195" t="s">
        <v>261</v>
      </c>
      <c r="C632" s="196">
        <v>1969149</v>
      </c>
      <c r="D632" s="196"/>
      <c r="E632" s="196"/>
      <c r="F632" s="196"/>
      <c r="G632" s="196"/>
      <c r="H632" s="196"/>
      <c r="I632" s="196"/>
      <c r="J632" s="196"/>
      <c r="K632" s="196">
        <v>0</v>
      </c>
      <c r="L632" s="194">
        <v>0</v>
      </c>
      <c r="M632" s="196">
        <v>0</v>
      </c>
      <c r="N632" s="196">
        <v>995.8</v>
      </c>
      <c r="O632" s="196">
        <v>1969149</v>
      </c>
      <c r="P632" s="194">
        <v>0</v>
      </c>
      <c r="Q632" s="196">
        <v>0</v>
      </c>
      <c r="R632" s="197">
        <v>0</v>
      </c>
      <c r="S632" s="196">
        <v>0</v>
      </c>
      <c r="T632" s="197">
        <v>0</v>
      </c>
      <c r="U632" s="288">
        <v>0</v>
      </c>
      <c r="V632" s="282">
        <f>C632-'часть 1'!L643</f>
        <v>915615.78</v>
      </c>
      <c r="W632" s="282"/>
      <c r="X632" s="28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296"/>
    </row>
    <row r="633" spans="1:35">
      <c r="A633" s="198">
        <v>72</v>
      </c>
      <c r="B633" s="195" t="s">
        <v>239</v>
      </c>
      <c r="C633" s="196">
        <v>1023088</v>
      </c>
      <c r="D633" s="196"/>
      <c r="E633" s="196"/>
      <c r="F633" s="196"/>
      <c r="G633" s="196"/>
      <c r="H633" s="196"/>
      <c r="I633" s="196"/>
      <c r="J633" s="196"/>
      <c r="K633" s="196">
        <v>0</v>
      </c>
      <c r="L633" s="194">
        <v>0</v>
      </c>
      <c r="M633" s="196">
        <v>0</v>
      </c>
      <c r="N633" s="196">
        <v>0</v>
      </c>
      <c r="O633" s="196">
        <v>0</v>
      </c>
      <c r="P633" s="194">
        <v>0</v>
      </c>
      <c r="Q633" s="196">
        <v>0</v>
      </c>
      <c r="R633" s="196">
        <v>694</v>
      </c>
      <c r="S633" s="199">
        <v>1023088</v>
      </c>
      <c r="T633" s="197">
        <v>0</v>
      </c>
      <c r="U633" s="288">
        <v>0</v>
      </c>
      <c r="V633" s="282">
        <f>C633-'часть 1'!L644</f>
        <v>-230650</v>
      </c>
      <c r="W633" s="282"/>
      <c r="X633" s="28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296"/>
    </row>
    <row r="634" spans="1:35">
      <c r="A634" s="198">
        <v>73</v>
      </c>
      <c r="B634" s="195" t="s">
        <v>336</v>
      </c>
      <c r="C634" s="196">
        <v>3334570</v>
      </c>
      <c r="D634" s="196"/>
      <c r="E634" s="196"/>
      <c r="F634" s="196"/>
      <c r="G634" s="196"/>
      <c r="H634" s="196"/>
      <c r="I634" s="196"/>
      <c r="J634" s="196"/>
      <c r="K634" s="196" t="e">
        <f>#REF!</f>
        <v>#REF!</v>
      </c>
      <c r="L634" s="194">
        <v>0</v>
      </c>
      <c r="M634" s="196">
        <v>0</v>
      </c>
      <c r="N634" s="199">
        <v>0</v>
      </c>
      <c r="O634" s="196">
        <v>0</v>
      </c>
      <c r="P634" s="194">
        <v>0</v>
      </c>
      <c r="Q634" s="196">
        <v>0</v>
      </c>
      <c r="R634" s="197">
        <v>0</v>
      </c>
      <c r="S634" s="196">
        <v>0</v>
      </c>
      <c r="T634" s="197">
        <v>0</v>
      </c>
      <c r="U634" s="288">
        <v>0</v>
      </c>
      <c r="V634" s="282">
        <f>C634-'часть 1'!L645</f>
        <v>1464524</v>
      </c>
      <c r="W634" s="282"/>
      <c r="X634" s="282"/>
      <c r="Y634" s="12"/>
      <c r="Z634" s="12"/>
      <c r="AA634" s="12"/>
      <c r="AB634" s="12"/>
      <c r="AC634" s="12"/>
      <c r="AD634" s="12"/>
      <c r="AE634" s="15"/>
      <c r="AF634" s="12"/>
      <c r="AG634" s="12"/>
      <c r="AH634" s="12"/>
      <c r="AI634" s="296"/>
    </row>
    <row r="635" spans="1:35">
      <c r="A635" s="198">
        <v>74</v>
      </c>
      <c r="B635" s="195" t="s">
        <v>306</v>
      </c>
      <c r="C635" s="196">
        <v>1127374.33</v>
      </c>
      <c r="D635" s="196"/>
      <c r="E635" s="196"/>
      <c r="F635" s="196"/>
      <c r="G635" s="196"/>
      <c r="H635" s="196"/>
      <c r="I635" s="196"/>
      <c r="J635" s="196"/>
      <c r="K635" s="196">
        <v>1127374.33</v>
      </c>
      <c r="L635" s="194">
        <v>0</v>
      </c>
      <c r="M635" s="196">
        <v>0</v>
      </c>
      <c r="N635" s="196">
        <v>0</v>
      </c>
      <c r="O635" s="196">
        <v>0</v>
      </c>
      <c r="P635" s="194">
        <v>0</v>
      </c>
      <c r="Q635" s="196">
        <v>0</v>
      </c>
      <c r="R635" s="197">
        <v>0</v>
      </c>
      <c r="S635" s="196">
        <v>0</v>
      </c>
      <c r="T635" s="197">
        <v>0</v>
      </c>
      <c r="U635" s="288">
        <v>0</v>
      </c>
      <c r="V635" s="282">
        <f>C635-'часть 1'!L646</f>
        <v>-2593301.67</v>
      </c>
      <c r="W635" s="282"/>
      <c r="X635" s="28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296"/>
    </row>
    <row r="636" spans="1:35">
      <c r="A636" s="198">
        <v>75</v>
      </c>
      <c r="B636" s="195" t="s">
        <v>234</v>
      </c>
      <c r="C636" s="196">
        <v>1161456</v>
      </c>
      <c r="D636" s="196"/>
      <c r="E636" s="196"/>
      <c r="F636" s="196"/>
      <c r="G636" s="196"/>
      <c r="H636" s="196"/>
      <c r="I636" s="196"/>
      <c r="J636" s="196"/>
      <c r="K636" s="196">
        <v>1161456</v>
      </c>
      <c r="L636" s="194">
        <v>0</v>
      </c>
      <c r="M636" s="196">
        <v>0</v>
      </c>
      <c r="N636" s="196">
        <v>0</v>
      </c>
      <c r="O636" s="196">
        <v>0</v>
      </c>
      <c r="P636" s="194">
        <v>0</v>
      </c>
      <c r="Q636" s="196">
        <v>0</v>
      </c>
      <c r="R636" s="197">
        <v>0</v>
      </c>
      <c r="S636" s="196">
        <v>0</v>
      </c>
      <c r="T636" s="197">
        <v>0</v>
      </c>
      <c r="U636" s="288">
        <v>0</v>
      </c>
      <c r="V636" s="282">
        <f>C636-'часть 1'!L647</f>
        <v>-2526452</v>
      </c>
      <c r="W636" s="282"/>
      <c r="X636" s="28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296"/>
    </row>
    <row r="637" spans="1:35">
      <c r="A637" s="198">
        <v>76</v>
      </c>
      <c r="B637" s="195" t="s">
        <v>277</v>
      </c>
      <c r="C637" s="196">
        <v>1197250.23</v>
      </c>
      <c r="D637" s="196"/>
      <c r="E637" s="196"/>
      <c r="F637" s="196"/>
      <c r="G637" s="196"/>
      <c r="H637" s="196"/>
      <c r="I637" s="196"/>
      <c r="J637" s="196"/>
      <c r="K637" s="196">
        <v>1197250.23</v>
      </c>
      <c r="L637" s="194">
        <v>0</v>
      </c>
      <c r="M637" s="196">
        <v>0</v>
      </c>
      <c r="N637" s="199">
        <v>0</v>
      </c>
      <c r="O637" s="196">
        <v>0</v>
      </c>
      <c r="P637" s="194">
        <v>0</v>
      </c>
      <c r="Q637" s="196">
        <v>0</v>
      </c>
      <c r="R637" s="197">
        <v>0</v>
      </c>
      <c r="S637" s="196">
        <v>0</v>
      </c>
      <c r="T637" s="197">
        <v>0</v>
      </c>
      <c r="U637" s="288">
        <v>0</v>
      </c>
      <c r="V637" s="282">
        <f>C637-'часть 1'!L648</f>
        <v>-563717.12000000011</v>
      </c>
      <c r="W637" s="282"/>
      <c r="X637" s="28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296"/>
    </row>
    <row r="638" spans="1:35">
      <c r="A638" s="198">
        <v>77</v>
      </c>
      <c r="B638" s="195" t="s">
        <v>303</v>
      </c>
      <c r="C638" s="196">
        <v>2784233</v>
      </c>
      <c r="D638" s="196"/>
      <c r="E638" s="196"/>
      <c r="F638" s="196"/>
      <c r="G638" s="196"/>
      <c r="H638" s="196"/>
      <c r="I638" s="196"/>
      <c r="J638" s="196"/>
      <c r="K638" s="196">
        <v>0</v>
      </c>
      <c r="L638" s="194">
        <v>0</v>
      </c>
      <c r="M638" s="196">
        <v>0</v>
      </c>
      <c r="N638" s="196">
        <v>1391</v>
      </c>
      <c r="O638" s="196">
        <v>2784233</v>
      </c>
      <c r="P638" s="194">
        <v>0</v>
      </c>
      <c r="Q638" s="196">
        <v>0</v>
      </c>
      <c r="R638" s="197">
        <v>0</v>
      </c>
      <c r="S638" s="196">
        <v>0</v>
      </c>
      <c r="T638" s="197">
        <v>0</v>
      </c>
      <c r="U638" s="288">
        <v>0</v>
      </c>
      <c r="V638" s="282">
        <f>C638-'часть 1'!L649</f>
        <v>1902286</v>
      </c>
      <c r="W638" s="282"/>
      <c r="X638" s="28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296"/>
    </row>
    <row r="639" spans="1:35">
      <c r="A639" s="198">
        <v>78</v>
      </c>
      <c r="B639" s="195" t="s">
        <v>293</v>
      </c>
      <c r="C639" s="196">
        <v>2369961</v>
      </c>
      <c r="D639" s="196"/>
      <c r="E639" s="196"/>
      <c r="F639" s="196"/>
      <c r="G639" s="196"/>
      <c r="H639" s="196"/>
      <c r="I639" s="196"/>
      <c r="J639" s="196"/>
      <c r="K639" s="196">
        <v>2369961</v>
      </c>
      <c r="L639" s="194">
        <v>0</v>
      </c>
      <c r="M639" s="196">
        <v>0</v>
      </c>
      <c r="N639" s="196">
        <v>0</v>
      </c>
      <c r="O639" s="196">
        <v>0</v>
      </c>
      <c r="P639" s="194">
        <v>0</v>
      </c>
      <c r="Q639" s="196">
        <v>0</v>
      </c>
      <c r="R639" s="200">
        <v>0</v>
      </c>
      <c r="S639" s="196">
        <v>0</v>
      </c>
      <c r="T639" s="197">
        <v>0</v>
      </c>
      <c r="U639" s="288">
        <v>0</v>
      </c>
      <c r="V639" s="282">
        <f>C639-'часть 1'!L650</f>
        <v>1852222</v>
      </c>
      <c r="W639" s="282"/>
      <c r="X639" s="28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296"/>
    </row>
    <row r="640" spans="1:35">
      <c r="A640" s="198">
        <v>79</v>
      </c>
      <c r="B640" s="195" t="s">
        <v>463</v>
      </c>
      <c r="C640" s="196">
        <v>672819</v>
      </c>
      <c r="D640" s="196"/>
      <c r="E640" s="196"/>
      <c r="F640" s="196"/>
      <c r="G640" s="196"/>
      <c r="H640" s="196"/>
      <c r="I640" s="196"/>
      <c r="J640" s="196"/>
      <c r="K640" s="196">
        <v>0</v>
      </c>
      <c r="L640" s="194">
        <v>0</v>
      </c>
      <c r="M640" s="196">
        <v>0</v>
      </c>
      <c r="N640" s="196">
        <v>331.4</v>
      </c>
      <c r="O640" s="196">
        <v>672819</v>
      </c>
      <c r="P640" s="194">
        <v>0</v>
      </c>
      <c r="Q640" s="196">
        <v>0</v>
      </c>
      <c r="R640" s="200">
        <v>0</v>
      </c>
      <c r="S640" s="196">
        <v>0</v>
      </c>
      <c r="T640" s="197">
        <v>0</v>
      </c>
      <c r="U640" s="288">
        <v>0</v>
      </c>
      <c r="V640" s="282">
        <f>C640-'часть 1'!L651</f>
        <v>-1056076</v>
      </c>
      <c r="W640" s="282"/>
      <c r="X640" s="28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296"/>
    </row>
    <row r="641" spans="1:35">
      <c r="A641" s="198">
        <v>80</v>
      </c>
      <c r="B641" s="195" t="s">
        <v>340</v>
      </c>
      <c r="C641" s="196">
        <v>1651491</v>
      </c>
      <c r="D641" s="196"/>
      <c r="E641" s="196"/>
      <c r="F641" s="196"/>
      <c r="G641" s="196"/>
      <c r="H641" s="196"/>
      <c r="I641" s="196"/>
      <c r="J641" s="196"/>
      <c r="K641" s="196">
        <v>1651491</v>
      </c>
      <c r="L641" s="194">
        <v>0</v>
      </c>
      <c r="M641" s="196">
        <v>0</v>
      </c>
      <c r="N641" s="196">
        <v>0</v>
      </c>
      <c r="O641" s="196">
        <v>0</v>
      </c>
      <c r="P641" s="194">
        <v>0</v>
      </c>
      <c r="Q641" s="196">
        <v>0</v>
      </c>
      <c r="R641" s="197">
        <v>0</v>
      </c>
      <c r="S641" s="196">
        <v>0</v>
      </c>
      <c r="T641" s="197">
        <v>0</v>
      </c>
      <c r="U641" s="288">
        <v>0</v>
      </c>
      <c r="V641" s="282">
        <f>C641-'часть 1'!L652</f>
        <v>968962</v>
      </c>
      <c r="W641" s="282"/>
      <c r="X641" s="28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296"/>
    </row>
    <row r="642" spans="1:35">
      <c r="A642" s="198">
        <v>81</v>
      </c>
      <c r="B642" s="195" t="s">
        <v>254</v>
      </c>
      <c r="C642" s="196">
        <v>1432926</v>
      </c>
      <c r="D642" s="196"/>
      <c r="E642" s="196"/>
      <c r="F642" s="196"/>
      <c r="G642" s="196"/>
      <c r="H642" s="196"/>
      <c r="I642" s="196"/>
      <c r="J642" s="196"/>
      <c r="K642" s="196">
        <v>0</v>
      </c>
      <c r="L642" s="194">
        <v>0</v>
      </c>
      <c r="M642" s="196">
        <v>0</v>
      </c>
      <c r="N642" s="196">
        <v>710.73</v>
      </c>
      <c r="O642" s="196">
        <v>1432926</v>
      </c>
      <c r="P642" s="194">
        <v>0</v>
      </c>
      <c r="Q642" s="196">
        <v>0</v>
      </c>
      <c r="R642" s="200">
        <v>0</v>
      </c>
      <c r="S642" s="196">
        <v>0</v>
      </c>
      <c r="T642" s="197">
        <v>0</v>
      </c>
      <c r="U642" s="288">
        <v>0</v>
      </c>
      <c r="V642" s="282">
        <f>C642-'часть 1'!L653</f>
        <v>850769</v>
      </c>
      <c r="W642" s="282"/>
      <c r="X642" s="28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296"/>
    </row>
    <row r="643" spans="1:35">
      <c r="A643" s="198">
        <v>82</v>
      </c>
      <c r="B643" s="195" t="s">
        <v>343</v>
      </c>
      <c r="C643" s="196">
        <v>1137886</v>
      </c>
      <c r="D643" s="196"/>
      <c r="E643" s="196"/>
      <c r="F643" s="196"/>
      <c r="G643" s="196"/>
      <c r="H643" s="196"/>
      <c r="I643" s="196"/>
      <c r="J643" s="196"/>
      <c r="K643" s="196">
        <v>0</v>
      </c>
      <c r="L643" s="194">
        <v>0</v>
      </c>
      <c r="M643" s="196">
        <v>0</v>
      </c>
      <c r="N643" s="196">
        <v>0</v>
      </c>
      <c r="O643" s="196">
        <v>0</v>
      </c>
      <c r="P643" s="194">
        <v>0</v>
      </c>
      <c r="Q643" s="196">
        <v>0</v>
      </c>
      <c r="R643" s="199">
        <v>785.5</v>
      </c>
      <c r="S643" s="196">
        <v>1137886</v>
      </c>
      <c r="T643" s="197">
        <v>0</v>
      </c>
      <c r="U643" s="288">
        <v>0</v>
      </c>
      <c r="V643" s="282">
        <f>C643-'часть 1'!L654</f>
        <v>436182</v>
      </c>
      <c r="W643" s="282"/>
      <c r="X643" s="28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296"/>
    </row>
    <row r="644" spans="1:35">
      <c r="A644" s="198">
        <v>83</v>
      </c>
      <c r="B644" s="195" t="s">
        <v>305</v>
      </c>
      <c r="C644" s="196">
        <v>1814838</v>
      </c>
      <c r="D644" s="196"/>
      <c r="E644" s="196"/>
      <c r="F644" s="196"/>
      <c r="G644" s="196"/>
      <c r="H644" s="196"/>
      <c r="I644" s="196"/>
      <c r="J644" s="196"/>
      <c r="K644" s="196">
        <v>0</v>
      </c>
      <c r="L644" s="194">
        <v>0</v>
      </c>
      <c r="M644" s="196">
        <v>0</v>
      </c>
      <c r="N644" s="196">
        <v>917</v>
      </c>
      <c r="O644" s="196">
        <v>1814838</v>
      </c>
      <c r="P644" s="194">
        <v>0</v>
      </c>
      <c r="Q644" s="196">
        <v>0</v>
      </c>
      <c r="R644" s="197">
        <v>0</v>
      </c>
      <c r="S644" s="196">
        <v>0</v>
      </c>
      <c r="T644" s="197">
        <v>0</v>
      </c>
      <c r="U644" s="288">
        <v>0</v>
      </c>
      <c r="V644" s="282">
        <f>C644-'часть 1'!L655</f>
        <v>-154311</v>
      </c>
      <c r="W644" s="282"/>
      <c r="X644" s="28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296"/>
    </row>
    <row r="645" spans="1:35">
      <c r="A645" s="198">
        <v>84</v>
      </c>
      <c r="B645" s="195" t="s">
        <v>345</v>
      </c>
      <c r="C645" s="196">
        <v>1544359.54</v>
      </c>
      <c r="D645" s="196"/>
      <c r="E645" s="196"/>
      <c r="F645" s="196"/>
      <c r="G645" s="196"/>
      <c r="H645" s="196"/>
      <c r="I645" s="196"/>
      <c r="J645" s="196"/>
      <c r="K645" s="196">
        <v>1544359.54</v>
      </c>
      <c r="L645" s="194">
        <v>0</v>
      </c>
      <c r="M645" s="196">
        <v>0</v>
      </c>
      <c r="N645" s="196">
        <v>0</v>
      </c>
      <c r="O645" s="196">
        <v>0</v>
      </c>
      <c r="P645" s="194">
        <v>0</v>
      </c>
      <c r="Q645" s="196">
        <v>0</v>
      </c>
      <c r="R645" s="197">
        <v>0</v>
      </c>
      <c r="S645" s="196">
        <v>0</v>
      </c>
      <c r="T645" s="197">
        <v>0</v>
      </c>
      <c r="U645" s="288">
        <v>0</v>
      </c>
      <c r="V645" s="282">
        <f>C645-'часть 1'!L656</f>
        <v>521271.54000000004</v>
      </c>
      <c r="W645" s="282"/>
      <c r="X645" s="28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297"/>
    </row>
    <row r="646" spans="1:35" ht="28.2">
      <c r="A646" s="198">
        <v>85</v>
      </c>
      <c r="B646" s="195" t="s">
        <v>454</v>
      </c>
      <c r="C646" s="196">
        <v>1787034</v>
      </c>
      <c r="D646" s="196"/>
      <c r="E646" s="196"/>
      <c r="F646" s="196"/>
      <c r="G646" s="196"/>
      <c r="H646" s="196"/>
      <c r="I646" s="196"/>
      <c r="J646" s="196"/>
      <c r="K646" s="196">
        <v>0</v>
      </c>
      <c r="L646" s="194">
        <v>1</v>
      </c>
      <c r="M646" s="196">
        <v>1787034</v>
      </c>
      <c r="N646" s="196">
        <v>0</v>
      </c>
      <c r="O646" s="196">
        <v>0</v>
      </c>
      <c r="P646" s="194">
        <v>0</v>
      </c>
      <c r="Q646" s="196">
        <v>0</v>
      </c>
      <c r="R646" s="200">
        <v>0</v>
      </c>
      <c r="S646" s="196">
        <v>0</v>
      </c>
      <c r="T646" s="197">
        <v>0</v>
      </c>
      <c r="U646" s="288">
        <v>0</v>
      </c>
      <c r="V646" s="282">
        <f>C646-'часть 1'!L657</f>
        <v>-1547536</v>
      </c>
      <c r="W646" s="282"/>
      <c r="X646" s="28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296"/>
    </row>
    <row r="647" spans="1:35" ht="28.2">
      <c r="A647" s="198">
        <v>86</v>
      </c>
      <c r="B647" s="195" t="s">
        <v>455</v>
      </c>
      <c r="C647" s="196">
        <v>437998.57</v>
      </c>
      <c r="D647" s="196"/>
      <c r="E647" s="196"/>
      <c r="F647" s="196"/>
      <c r="G647" s="196"/>
      <c r="H647" s="196"/>
      <c r="I647" s="196"/>
      <c r="J647" s="196"/>
      <c r="K647" s="196">
        <v>437998.57</v>
      </c>
      <c r="L647" s="194">
        <v>0</v>
      </c>
      <c r="M647" s="196">
        <v>0</v>
      </c>
      <c r="N647" s="199">
        <v>0</v>
      </c>
      <c r="O647" s="196">
        <v>0</v>
      </c>
      <c r="P647" s="194">
        <v>0</v>
      </c>
      <c r="Q647" s="196">
        <v>0</v>
      </c>
      <c r="R647" s="200">
        <v>0</v>
      </c>
      <c r="S647" s="196">
        <v>0</v>
      </c>
      <c r="T647" s="197">
        <v>0</v>
      </c>
      <c r="U647" s="288">
        <v>0</v>
      </c>
      <c r="V647" s="282">
        <f>C647-'часть 1'!L658</f>
        <v>-689375.76</v>
      </c>
      <c r="W647" s="282"/>
      <c r="X647" s="28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296"/>
    </row>
    <row r="648" spans="1:35" ht="28.2">
      <c r="A648" s="198">
        <v>87</v>
      </c>
      <c r="B648" s="195" t="s">
        <v>456</v>
      </c>
      <c r="C648" s="196">
        <v>1116228</v>
      </c>
      <c r="D648" s="196"/>
      <c r="E648" s="196"/>
      <c r="F648" s="196"/>
      <c r="G648" s="196"/>
      <c r="H648" s="196"/>
      <c r="I648" s="196"/>
      <c r="J648" s="196"/>
      <c r="K648" s="196">
        <v>0</v>
      </c>
      <c r="L648" s="194">
        <v>0</v>
      </c>
      <c r="M648" s="196">
        <v>0</v>
      </c>
      <c r="N648" s="196">
        <v>734</v>
      </c>
      <c r="O648" s="196">
        <v>1116228</v>
      </c>
      <c r="P648" s="194">
        <v>0</v>
      </c>
      <c r="Q648" s="196">
        <v>0</v>
      </c>
      <c r="R648" s="200">
        <v>0</v>
      </c>
      <c r="S648" s="196">
        <v>0</v>
      </c>
      <c r="T648" s="197">
        <v>0</v>
      </c>
      <c r="U648" s="288">
        <v>0</v>
      </c>
      <c r="V648" s="282">
        <f>C648-'часть 1'!L659</f>
        <v>-45228</v>
      </c>
      <c r="W648" s="282"/>
      <c r="X648" s="28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296"/>
    </row>
    <row r="649" spans="1:35" ht="28.2">
      <c r="A649" s="198">
        <v>88</v>
      </c>
      <c r="B649" s="195" t="s">
        <v>457</v>
      </c>
      <c r="C649" s="196">
        <v>1313728</v>
      </c>
      <c r="D649" s="196"/>
      <c r="E649" s="196"/>
      <c r="F649" s="196"/>
      <c r="G649" s="196"/>
      <c r="H649" s="196"/>
      <c r="I649" s="196"/>
      <c r="J649" s="196"/>
      <c r="K649" s="196">
        <v>0</v>
      </c>
      <c r="L649" s="194">
        <v>0</v>
      </c>
      <c r="M649" s="196">
        <v>0</v>
      </c>
      <c r="N649" s="199">
        <v>660.7</v>
      </c>
      <c r="O649" s="196">
        <v>1313728</v>
      </c>
      <c r="P649" s="194">
        <v>0</v>
      </c>
      <c r="Q649" s="196">
        <v>0</v>
      </c>
      <c r="R649" s="197">
        <v>0</v>
      </c>
      <c r="S649" s="196">
        <v>0</v>
      </c>
      <c r="T649" s="197">
        <v>0</v>
      </c>
      <c r="U649" s="288">
        <v>0</v>
      </c>
      <c r="V649" s="282">
        <f>C649-'часть 1'!L660</f>
        <v>116477.77000000002</v>
      </c>
      <c r="W649" s="282"/>
      <c r="X649" s="28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296"/>
    </row>
    <row r="650" spans="1:35">
      <c r="A650" s="198">
        <v>89</v>
      </c>
      <c r="B650" s="195" t="s">
        <v>241</v>
      </c>
      <c r="C650" s="196">
        <v>359651</v>
      </c>
      <c r="D650" s="196"/>
      <c r="E650" s="196"/>
      <c r="F650" s="196"/>
      <c r="G650" s="196"/>
      <c r="H650" s="196"/>
      <c r="I650" s="196"/>
      <c r="J650" s="196"/>
      <c r="K650" s="196">
        <v>359651</v>
      </c>
      <c r="L650" s="194">
        <v>0</v>
      </c>
      <c r="M650" s="196">
        <v>0</v>
      </c>
      <c r="N650" s="196">
        <v>0</v>
      </c>
      <c r="O650" s="196">
        <v>0</v>
      </c>
      <c r="P650" s="194">
        <v>0</v>
      </c>
      <c r="Q650" s="196">
        <v>0</v>
      </c>
      <c r="R650" s="197">
        <v>0</v>
      </c>
      <c r="S650" s="196">
        <v>0</v>
      </c>
      <c r="T650" s="197">
        <v>0</v>
      </c>
      <c r="U650" s="288">
        <v>0</v>
      </c>
      <c r="V650" s="282">
        <f>C650-'часть 1'!L661</f>
        <v>-2424582</v>
      </c>
      <c r="W650" s="282"/>
      <c r="X650" s="282"/>
      <c r="Y650" s="12"/>
      <c r="Z650" s="12"/>
      <c r="AA650" s="12"/>
      <c r="AB650" s="12"/>
      <c r="AC650" s="4"/>
      <c r="AD650" s="12"/>
      <c r="AE650" s="12"/>
      <c r="AF650" s="12"/>
      <c r="AG650" s="12"/>
      <c r="AH650" s="12"/>
      <c r="AI650" s="296"/>
    </row>
    <row r="651" spans="1:35">
      <c r="A651" s="198">
        <v>90</v>
      </c>
      <c r="B651" s="195" t="s">
        <v>233</v>
      </c>
      <c r="C651" s="196">
        <v>906779</v>
      </c>
      <c r="D651" s="196"/>
      <c r="E651" s="196"/>
      <c r="F651" s="196"/>
      <c r="G651" s="196"/>
      <c r="H651" s="196"/>
      <c r="I651" s="196"/>
      <c r="J651" s="196"/>
      <c r="K651" s="196">
        <v>906779</v>
      </c>
      <c r="L651" s="194">
        <v>0</v>
      </c>
      <c r="M651" s="196">
        <v>0</v>
      </c>
      <c r="N651" s="196">
        <v>0</v>
      </c>
      <c r="O651" s="196">
        <v>0</v>
      </c>
      <c r="P651" s="194">
        <v>0</v>
      </c>
      <c r="Q651" s="196">
        <v>0</v>
      </c>
      <c r="R651" s="197">
        <v>0</v>
      </c>
      <c r="S651" s="196">
        <v>0</v>
      </c>
      <c r="T651" s="197">
        <v>0</v>
      </c>
      <c r="U651" s="288">
        <v>0</v>
      </c>
      <c r="V651" s="282">
        <f>C651-'часть 1'!L662</f>
        <v>-1463182</v>
      </c>
      <c r="W651" s="282"/>
      <c r="X651" s="28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296"/>
    </row>
    <row r="652" spans="1:35">
      <c r="A652" s="198">
        <v>91</v>
      </c>
      <c r="B652" s="195" t="s">
        <v>278</v>
      </c>
      <c r="C652" s="196">
        <v>886559</v>
      </c>
      <c r="D652" s="196"/>
      <c r="E652" s="196"/>
      <c r="F652" s="196"/>
      <c r="G652" s="196"/>
      <c r="H652" s="196"/>
      <c r="I652" s="196"/>
      <c r="J652" s="196"/>
      <c r="K652" s="196">
        <v>0</v>
      </c>
      <c r="L652" s="194">
        <v>0</v>
      </c>
      <c r="M652" s="196">
        <v>0</v>
      </c>
      <c r="N652" s="196">
        <v>440</v>
      </c>
      <c r="O652" s="199">
        <v>886559</v>
      </c>
      <c r="P652" s="194">
        <v>0</v>
      </c>
      <c r="Q652" s="196">
        <v>0</v>
      </c>
      <c r="R652" s="197">
        <v>0</v>
      </c>
      <c r="S652" s="196">
        <v>0</v>
      </c>
      <c r="T652" s="197">
        <v>0</v>
      </c>
      <c r="U652" s="288">
        <v>0</v>
      </c>
      <c r="V652" s="282">
        <f>C652-'часть 1'!L663</f>
        <v>213740</v>
      </c>
      <c r="W652" s="282"/>
      <c r="X652" s="28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296"/>
    </row>
    <row r="653" spans="1:35">
      <c r="A653" s="198">
        <v>92</v>
      </c>
      <c r="B653" s="195" t="s">
        <v>347</v>
      </c>
      <c r="C653" s="196">
        <v>642210</v>
      </c>
      <c r="D653" s="196"/>
      <c r="E653" s="196"/>
      <c r="F653" s="196"/>
      <c r="G653" s="196"/>
      <c r="H653" s="196"/>
      <c r="I653" s="196"/>
      <c r="J653" s="196"/>
      <c r="K653" s="196">
        <v>0</v>
      </c>
      <c r="L653" s="194">
        <v>0</v>
      </c>
      <c r="M653" s="196">
        <v>0</v>
      </c>
      <c r="N653" s="196">
        <v>0</v>
      </c>
      <c r="O653" s="196">
        <v>0</v>
      </c>
      <c r="P653" s="194">
        <v>0</v>
      </c>
      <c r="Q653" s="196">
        <v>0</v>
      </c>
      <c r="R653" s="196">
        <v>440</v>
      </c>
      <c r="S653" s="196">
        <v>642210</v>
      </c>
      <c r="T653" s="197">
        <v>0</v>
      </c>
      <c r="U653" s="288">
        <v>0</v>
      </c>
      <c r="V653" s="282">
        <f>C653-'часть 1'!L664</f>
        <v>-1009281</v>
      </c>
      <c r="W653" s="282"/>
      <c r="X653" s="28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296"/>
    </row>
    <row r="654" spans="1:35">
      <c r="A654" s="198">
        <v>93</v>
      </c>
      <c r="B654" s="195" t="s">
        <v>266</v>
      </c>
      <c r="C654" s="196">
        <v>1952489</v>
      </c>
      <c r="D654" s="196"/>
      <c r="E654" s="196"/>
      <c r="F654" s="196"/>
      <c r="G654" s="196"/>
      <c r="H654" s="196"/>
      <c r="I654" s="196"/>
      <c r="J654" s="196"/>
      <c r="K654" s="196">
        <v>0</v>
      </c>
      <c r="L654" s="194">
        <v>0</v>
      </c>
      <c r="M654" s="196">
        <v>0</v>
      </c>
      <c r="N654" s="196">
        <v>965</v>
      </c>
      <c r="O654" s="196">
        <v>1952489</v>
      </c>
      <c r="P654" s="194">
        <v>0</v>
      </c>
      <c r="Q654" s="196">
        <v>0</v>
      </c>
      <c r="R654" s="200">
        <v>0</v>
      </c>
      <c r="S654" s="196">
        <v>0</v>
      </c>
      <c r="T654" s="197">
        <v>0</v>
      </c>
      <c r="U654" s="288">
        <v>0</v>
      </c>
      <c r="V654" s="282">
        <f>C654-'часть 1'!L665</f>
        <v>519563</v>
      </c>
      <c r="W654" s="282"/>
      <c r="X654" s="28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296"/>
    </row>
    <row r="655" spans="1:35">
      <c r="A655" s="198">
        <v>94</v>
      </c>
      <c r="B655" s="195" t="s">
        <v>310</v>
      </c>
      <c r="C655" s="196">
        <v>15157748</v>
      </c>
      <c r="D655" s="196"/>
      <c r="E655" s="196"/>
      <c r="F655" s="196"/>
      <c r="G655" s="196"/>
      <c r="H655" s="196"/>
      <c r="I655" s="196"/>
      <c r="J655" s="196"/>
      <c r="K655" s="196">
        <v>0</v>
      </c>
      <c r="L655" s="194">
        <v>8</v>
      </c>
      <c r="M655" s="196">
        <v>15157748</v>
      </c>
      <c r="N655" s="196">
        <v>0</v>
      </c>
      <c r="O655" s="196">
        <v>0</v>
      </c>
      <c r="P655" s="194">
        <v>0</v>
      </c>
      <c r="Q655" s="196">
        <v>0</v>
      </c>
      <c r="R655" s="197">
        <v>0</v>
      </c>
      <c r="S655" s="196">
        <v>0</v>
      </c>
      <c r="T655" s="197">
        <v>0</v>
      </c>
      <c r="U655" s="288">
        <v>0</v>
      </c>
      <c r="V655" s="282">
        <f>C655-'часть 1'!L666</f>
        <v>14019862</v>
      </c>
      <c r="W655" s="282"/>
      <c r="X655" s="28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296"/>
    </row>
    <row r="656" spans="1:35">
      <c r="A656" s="198">
        <v>95</v>
      </c>
      <c r="B656" s="195" t="s">
        <v>281</v>
      </c>
      <c r="C656" s="196">
        <v>2542298.37</v>
      </c>
      <c r="D656" s="196"/>
      <c r="E656" s="196"/>
      <c r="F656" s="196"/>
      <c r="G656" s="196"/>
      <c r="H656" s="196"/>
      <c r="I656" s="196"/>
      <c r="J656" s="196"/>
      <c r="K656" s="196">
        <v>0</v>
      </c>
      <c r="L656" s="194">
        <v>0</v>
      </c>
      <c r="M656" s="196">
        <v>0</v>
      </c>
      <c r="N656" s="196">
        <v>1350</v>
      </c>
      <c r="O656" s="196">
        <v>2542298.37</v>
      </c>
      <c r="P656" s="194">
        <v>0</v>
      </c>
      <c r="Q656" s="196">
        <v>0</v>
      </c>
      <c r="R656" s="197">
        <v>0</v>
      </c>
      <c r="S656" s="196">
        <v>0</v>
      </c>
      <c r="T656" s="197">
        <v>0</v>
      </c>
      <c r="U656" s="288">
        <v>0</v>
      </c>
      <c r="V656" s="282">
        <f>C656-'часть 1'!L667</f>
        <v>727460.37000000011</v>
      </c>
      <c r="W656" s="282"/>
      <c r="X656" s="28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296"/>
    </row>
    <row r="657" spans="1:35">
      <c r="A657" s="198">
        <v>96</v>
      </c>
      <c r="B657" s="195" t="s">
        <v>248</v>
      </c>
      <c r="C657" s="196">
        <v>1114586</v>
      </c>
      <c r="D657" s="196"/>
      <c r="E657" s="196"/>
      <c r="F657" s="196"/>
      <c r="G657" s="196"/>
      <c r="H657" s="196"/>
      <c r="I657" s="196"/>
      <c r="J657" s="196"/>
      <c r="K657" s="196">
        <v>0</v>
      </c>
      <c r="L657" s="194">
        <v>0</v>
      </c>
      <c r="M657" s="196">
        <v>0</v>
      </c>
      <c r="N657" s="196">
        <v>550</v>
      </c>
      <c r="O657" s="196">
        <v>1114586</v>
      </c>
      <c r="P657" s="194">
        <v>0</v>
      </c>
      <c r="Q657" s="196">
        <v>0</v>
      </c>
      <c r="R657" s="200">
        <v>0</v>
      </c>
      <c r="S657" s="196">
        <v>0</v>
      </c>
      <c r="T657" s="197">
        <v>0</v>
      </c>
      <c r="U657" s="288">
        <v>0</v>
      </c>
      <c r="V657" s="282">
        <f>C657-'часть 1'!L668</f>
        <v>-429773.54000000004</v>
      </c>
      <c r="W657" s="282"/>
      <c r="X657" s="28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296"/>
    </row>
    <row r="658" spans="1:35">
      <c r="A658" s="198">
        <v>97</v>
      </c>
      <c r="B658" s="195" t="s">
        <v>301</v>
      </c>
      <c r="C658" s="196">
        <v>5623853</v>
      </c>
      <c r="D658" s="196"/>
      <c r="E658" s="196"/>
      <c r="F658" s="196"/>
      <c r="G658" s="196"/>
      <c r="H658" s="196"/>
      <c r="I658" s="196"/>
      <c r="J658" s="196"/>
      <c r="K658" s="196">
        <v>0</v>
      </c>
      <c r="L658" s="194">
        <v>3</v>
      </c>
      <c r="M658" s="202">
        <v>5623853</v>
      </c>
      <c r="N658" s="196">
        <v>0</v>
      </c>
      <c r="O658" s="196">
        <v>0</v>
      </c>
      <c r="P658" s="194">
        <v>0</v>
      </c>
      <c r="Q658" s="196">
        <v>0</v>
      </c>
      <c r="R658" s="200">
        <v>0</v>
      </c>
      <c r="S658" s="196">
        <v>0</v>
      </c>
      <c r="T658" s="197">
        <v>0</v>
      </c>
      <c r="U658" s="288">
        <v>0</v>
      </c>
      <c r="V658" s="282">
        <f>C658-'часть 1'!L669</f>
        <v>3836819</v>
      </c>
      <c r="W658" s="282"/>
      <c r="X658" s="28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296"/>
    </row>
    <row r="659" spans="1:35">
      <c r="A659" s="198">
        <v>98</v>
      </c>
      <c r="B659" s="195" t="s">
        <v>244</v>
      </c>
      <c r="C659" s="196">
        <v>2721106</v>
      </c>
      <c r="D659" s="196"/>
      <c r="E659" s="196"/>
      <c r="F659" s="196"/>
      <c r="G659" s="196"/>
      <c r="H659" s="196"/>
      <c r="I659" s="196"/>
      <c r="J659" s="196"/>
      <c r="K659" s="196">
        <v>0</v>
      </c>
      <c r="L659" s="194">
        <v>0</v>
      </c>
      <c r="M659" s="196">
        <v>0</v>
      </c>
      <c r="N659" s="196">
        <v>1371</v>
      </c>
      <c r="O659" s="196">
        <v>2721106</v>
      </c>
      <c r="P659" s="194">
        <v>0</v>
      </c>
      <c r="Q659" s="196">
        <v>0</v>
      </c>
      <c r="R659" s="197">
        <v>0</v>
      </c>
      <c r="S659" s="196">
        <v>0</v>
      </c>
      <c r="T659" s="197">
        <v>0</v>
      </c>
      <c r="U659" s="288">
        <v>0</v>
      </c>
      <c r="V659" s="282">
        <f>C659-'часть 1'!L670</f>
        <v>2283107.4300000002</v>
      </c>
      <c r="W659" s="282"/>
      <c r="X659" s="28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296"/>
    </row>
    <row r="660" spans="1:35">
      <c r="A660" s="198">
        <v>99</v>
      </c>
      <c r="B660" s="195" t="s">
        <v>288</v>
      </c>
      <c r="C660" s="196">
        <v>9789326.5500000007</v>
      </c>
      <c r="D660" s="196"/>
      <c r="E660" s="196"/>
      <c r="F660" s="196"/>
      <c r="G660" s="196"/>
      <c r="H660" s="196"/>
      <c r="I660" s="196"/>
      <c r="J660" s="196"/>
      <c r="K660" s="196">
        <v>6592990.5599999996</v>
      </c>
      <c r="L660" s="194">
        <v>0</v>
      </c>
      <c r="M660" s="196">
        <v>0</v>
      </c>
      <c r="N660" s="196">
        <v>2090</v>
      </c>
      <c r="O660" s="196">
        <v>3196335.99</v>
      </c>
      <c r="P660" s="194">
        <v>0</v>
      </c>
      <c r="Q660" s="196">
        <v>0</v>
      </c>
      <c r="R660" s="197">
        <v>0</v>
      </c>
      <c r="S660" s="196">
        <v>0</v>
      </c>
      <c r="T660" s="197">
        <v>0</v>
      </c>
      <c r="U660" s="288">
        <v>0</v>
      </c>
      <c r="V660" s="282">
        <f>C660-'часть 1'!L671</f>
        <v>8673098.5500000007</v>
      </c>
      <c r="W660" s="282"/>
      <c r="X660" s="28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296"/>
    </row>
    <row r="661" spans="1:35">
      <c r="A661" s="198">
        <v>100</v>
      </c>
      <c r="B661" s="195" t="s">
        <v>249</v>
      </c>
      <c r="C661" s="196">
        <v>1615074</v>
      </c>
      <c r="D661" s="196"/>
      <c r="E661" s="196"/>
      <c r="F661" s="196"/>
      <c r="G661" s="196"/>
      <c r="H661" s="196"/>
      <c r="I661" s="196"/>
      <c r="J661" s="196"/>
      <c r="K661" s="196" t="e">
        <f>#REF!</f>
        <v>#REF!</v>
      </c>
      <c r="L661" s="194">
        <v>0</v>
      </c>
      <c r="M661" s="196">
        <v>0</v>
      </c>
      <c r="N661" s="196">
        <v>0</v>
      </c>
      <c r="O661" s="196">
        <v>0</v>
      </c>
      <c r="P661" s="194">
        <v>0</v>
      </c>
      <c r="Q661" s="196">
        <v>0</v>
      </c>
      <c r="R661" s="200">
        <v>0</v>
      </c>
      <c r="S661" s="196">
        <v>0</v>
      </c>
      <c r="T661" s="197">
        <v>0</v>
      </c>
      <c r="U661" s="288">
        <v>0</v>
      </c>
      <c r="V661" s="282">
        <f>C661-'часть 1'!L672</f>
        <v>301346</v>
      </c>
      <c r="W661" s="282"/>
      <c r="X661" s="28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296"/>
    </row>
    <row r="662" spans="1:35">
      <c r="A662" s="198">
        <v>101</v>
      </c>
      <c r="B662" s="195" t="s">
        <v>265</v>
      </c>
      <c r="C662" s="196">
        <v>824390</v>
      </c>
      <c r="D662" s="196"/>
      <c r="E662" s="196"/>
      <c r="F662" s="196"/>
      <c r="G662" s="196"/>
      <c r="H662" s="196"/>
      <c r="I662" s="196"/>
      <c r="J662" s="196"/>
      <c r="K662" s="196">
        <v>824390</v>
      </c>
      <c r="L662" s="194">
        <v>0</v>
      </c>
      <c r="M662" s="196">
        <v>0</v>
      </c>
      <c r="N662" s="196">
        <v>0</v>
      </c>
      <c r="O662" s="196">
        <v>0</v>
      </c>
      <c r="P662" s="194">
        <v>0</v>
      </c>
      <c r="Q662" s="196">
        <v>0</v>
      </c>
      <c r="R662" s="197">
        <v>0</v>
      </c>
      <c r="S662" s="196">
        <v>0</v>
      </c>
      <c r="T662" s="197">
        <v>0</v>
      </c>
      <c r="U662" s="288">
        <v>0</v>
      </c>
      <c r="V662" s="282">
        <f>C662-'часть 1'!L673</f>
        <v>464739</v>
      </c>
      <c r="W662" s="282"/>
      <c r="X662" s="282"/>
      <c r="Y662" s="12"/>
      <c r="Z662" s="12"/>
      <c r="AA662" s="4"/>
      <c r="AB662" s="12"/>
      <c r="AC662" s="12"/>
      <c r="AD662" s="12"/>
      <c r="AE662" s="12"/>
      <c r="AF662" s="12"/>
      <c r="AG662" s="12"/>
      <c r="AH662" s="12"/>
      <c r="AI662" s="296"/>
    </row>
    <row r="663" spans="1:35">
      <c r="A663" s="198">
        <v>102</v>
      </c>
      <c r="B663" s="195" t="s">
        <v>292</v>
      </c>
      <c r="C663" s="196">
        <v>2661189</v>
      </c>
      <c r="D663" s="196"/>
      <c r="E663" s="196"/>
      <c r="F663" s="196"/>
      <c r="G663" s="196"/>
      <c r="H663" s="196"/>
      <c r="I663" s="196"/>
      <c r="J663" s="196"/>
      <c r="K663" s="196">
        <v>0</v>
      </c>
      <c r="L663" s="194">
        <v>0</v>
      </c>
      <c r="M663" s="196">
        <v>0</v>
      </c>
      <c r="N663" s="196">
        <v>1338.7</v>
      </c>
      <c r="O663" s="196">
        <v>2661189</v>
      </c>
      <c r="P663" s="194">
        <v>0</v>
      </c>
      <c r="Q663" s="196">
        <v>0</v>
      </c>
      <c r="R663" s="200">
        <v>0</v>
      </c>
      <c r="S663" s="196">
        <v>0</v>
      </c>
      <c r="T663" s="197">
        <v>0</v>
      </c>
      <c r="U663" s="288">
        <v>0</v>
      </c>
      <c r="V663" s="282">
        <f>C663-'часть 1'!L674</f>
        <v>1754410</v>
      </c>
      <c r="W663" s="282"/>
      <c r="X663" s="28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296"/>
    </row>
    <row r="664" spans="1:35">
      <c r="A664" s="198">
        <v>103</v>
      </c>
      <c r="B664" s="195" t="s">
        <v>276</v>
      </c>
      <c r="C664" s="196">
        <v>278220</v>
      </c>
      <c r="D664" s="196"/>
      <c r="E664" s="196"/>
      <c r="F664" s="196"/>
      <c r="G664" s="196"/>
      <c r="H664" s="196"/>
      <c r="I664" s="196"/>
      <c r="J664" s="196"/>
      <c r="K664" s="196">
        <v>278220</v>
      </c>
      <c r="L664" s="194">
        <v>0</v>
      </c>
      <c r="M664" s="196">
        <v>0</v>
      </c>
      <c r="N664" s="196">
        <v>0</v>
      </c>
      <c r="O664" s="196">
        <v>0</v>
      </c>
      <c r="P664" s="194">
        <v>0</v>
      </c>
      <c r="Q664" s="196">
        <v>0</v>
      </c>
      <c r="R664" s="197">
        <v>0</v>
      </c>
      <c r="S664" s="196">
        <v>0</v>
      </c>
      <c r="T664" s="197">
        <v>0</v>
      </c>
      <c r="U664" s="288">
        <v>0</v>
      </c>
      <c r="V664" s="282">
        <f>C664-'часть 1'!L675</f>
        <v>-608339</v>
      </c>
      <c r="W664" s="282"/>
      <c r="X664" s="28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296"/>
    </row>
    <row r="665" spans="1:35">
      <c r="A665" s="198">
        <v>104</v>
      </c>
      <c r="B665" s="195" t="s">
        <v>229</v>
      </c>
      <c r="C665" s="196">
        <v>2511472</v>
      </c>
      <c r="D665" s="196"/>
      <c r="E665" s="196"/>
      <c r="F665" s="196"/>
      <c r="G665" s="196"/>
      <c r="H665" s="196"/>
      <c r="I665" s="196"/>
      <c r="J665" s="196"/>
      <c r="K665" s="196">
        <v>2511472</v>
      </c>
      <c r="L665" s="194">
        <v>0</v>
      </c>
      <c r="M665" s="196">
        <v>0</v>
      </c>
      <c r="N665" s="196">
        <v>0</v>
      </c>
      <c r="O665" s="196">
        <v>0</v>
      </c>
      <c r="P665" s="194">
        <v>0</v>
      </c>
      <c r="Q665" s="196">
        <v>0</v>
      </c>
      <c r="R665" s="197">
        <v>0</v>
      </c>
      <c r="S665" s="196">
        <v>0</v>
      </c>
      <c r="T665" s="197">
        <v>0</v>
      </c>
      <c r="U665" s="288">
        <v>0</v>
      </c>
      <c r="V665" s="282">
        <f>C665-'часть 1'!L676</f>
        <v>1869262</v>
      </c>
      <c r="W665" s="282"/>
      <c r="X665" s="28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296"/>
    </row>
    <row r="666" spans="1:35">
      <c r="A666" s="198">
        <v>105</v>
      </c>
      <c r="B666" s="195" t="s">
        <v>309</v>
      </c>
      <c r="C666" s="196">
        <v>871988</v>
      </c>
      <c r="D666" s="196"/>
      <c r="E666" s="196"/>
      <c r="F666" s="196"/>
      <c r="G666" s="196"/>
      <c r="H666" s="196"/>
      <c r="I666" s="196"/>
      <c r="J666" s="196"/>
      <c r="K666" s="196">
        <v>0</v>
      </c>
      <c r="L666" s="194">
        <v>0</v>
      </c>
      <c r="M666" s="196">
        <v>0</v>
      </c>
      <c r="N666" s="196">
        <v>438.23</v>
      </c>
      <c r="O666" s="196">
        <v>871988</v>
      </c>
      <c r="P666" s="194">
        <v>0</v>
      </c>
      <c r="Q666" s="196">
        <v>0</v>
      </c>
      <c r="R666" s="197">
        <v>0</v>
      </c>
      <c r="S666" s="196">
        <v>0</v>
      </c>
      <c r="T666" s="197">
        <v>0</v>
      </c>
      <c r="U666" s="288">
        <v>0</v>
      </c>
      <c r="V666" s="282">
        <f>C666-'часть 1'!L677</f>
        <v>-1080501</v>
      </c>
      <c r="W666" s="282"/>
      <c r="X666" s="28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296"/>
    </row>
    <row r="667" spans="1:35">
      <c r="A667" s="198">
        <v>106</v>
      </c>
      <c r="B667" s="195" t="s">
        <v>308</v>
      </c>
      <c r="C667" s="196">
        <v>2113335</v>
      </c>
      <c r="D667" s="196"/>
      <c r="E667" s="196"/>
      <c r="F667" s="196"/>
      <c r="G667" s="196"/>
      <c r="H667" s="196"/>
      <c r="I667" s="196"/>
      <c r="J667" s="196"/>
      <c r="K667" s="196" t="e">
        <f>#REF!</f>
        <v>#REF!</v>
      </c>
      <c r="L667" s="194">
        <v>0</v>
      </c>
      <c r="M667" s="196">
        <v>0</v>
      </c>
      <c r="N667" s="196">
        <v>0</v>
      </c>
      <c r="O667" s="196">
        <v>0</v>
      </c>
      <c r="P667" s="194">
        <v>0</v>
      </c>
      <c r="Q667" s="196">
        <v>0</v>
      </c>
      <c r="R667" s="197">
        <v>0</v>
      </c>
      <c r="S667" s="196">
        <v>0</v>
      </c>
      <c r="T667" s="197">
        <v>0</v>
      </c>
      <c r="U667" s="288">
        <v>0</v>
      </c>
      <c r="V667" s="282">
        <f>C667-'часть 1'!L678</f>
        <v>-13044413</v>
      </c>
      <c r="W667" s="282"/>
      <c r="X667" s="28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296"/>
    </row>
    <row r="668" spans="1:35">
      <c r="A668" s="198">
        <v>107</v>
      </c>
      <c r="B668" s="195" t="s">
        <v>296</v>
      </c>
      <c r="C668" s="196">
        <v>996585</v>
      </c>
      <c r="D668" s="196"/>
      <c r="E668" s="196"/>
      <c r="F668" s="196"/>
      <c r="G668" s="196"/>
      <c r="H668" s="196"/>
      <c r="I668" s="196"/>
      <c r="J668" s="196"/>
      <c r="K668" s="196">
        <v>0</v>
      </c>
      <c r="L668" s="194">
        <v>0</v>
      </c>
      <c r="M668" s="196">
        <v>0</v>
      </c>
      <c r="N668" s="196">
        <v>496.2</v>
      </c>
      <c r="O668" s="196">
        <v>996585</v>
      </c>
      <c r="P668" s="194">
        <v>0</v>
      </c>
      <c r="Q668" s="196">
        <v>0</v>
      </c>
      <c r="R668" s="197">
        <v>0</v>
      </c>
      <c r="S668" s="196">
        <v>0</v>
      </c>
      <c r="T668" s="197">
        <v>0</v>
      </c>
      <c r="U668" s="288">
        <v>0</v>
      </c>
      <c r="V668" s="282">
        <f>C668-'часть 1'!L679</f>
        <v>-1545713.37</v>
      </c>
      <c r="W668" s="282"/>
      <c r="X668" s="28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296"/>
    </row>
    <row r="669" spans="1:35">
      <c r="A669" s="198">
        <v>108</v>
      </c>
      <c r="B669" s="195" t="s">
        <v>240</v>
      </c>
      <c r="C669" s="196">
        <v>637739</v>
      </c>
      <c r="D669" s="196"/>
      <c r="E669" s="196"/>
      <c r="F669" s="196"/>
      <c r="G669" s="196"/>
      <c r="H669" s="196"/>
      <c r="I669" s="196"/>
      <c r="J669" s="196"/>
      <c r="K669" s="196">
        <v>637739</v>
      </c>
      <c r="L669" s="194">
        <v>0</v>
      </c>
      <c r="M669" s="196">
        <v>0</v>
      </c>
      <c r="N669" s="196">
        <v>0</v>
      </c>
      <c r="O669" s="196">
        <v>0</v>
      </c>
      <c r="P669" s="194">
        <v>0</v>
      </c>
      <c r="Q669" s="196">
        <v>0</v>
      </c>
      <c r="R669" s="197">
        <v>0</v>
      </c>
      <c r="S669" s="196">
        <v>0</v>
      </c>
      <c r="T669" s="197">
        <v>0</v>
      </c>
      <c r="U669" s="288">
        <v>0</v>
      </c>
      <c r="V669" s="282">
        <f>C669-'часть 1'!L680</f>
        <v>-476847</v>
      </c>
      <c r="W669" s="282"/>
      <c r="X669" s="28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296"/>
    </row>
    <row r="670" spans="1:35">
      <c r="A670" s="198">
        <v>109</v>
      </c>
      <c r="B670" s="195" t="s">
        <v>243</v>
      </c>
      <c r="C670" s="196">
        <v>1357217</v>
      </c>
      <c r="D670" s="196"/>
      <c r="E670" s="196"/>
      <c r="F670" s="196"/>
      <c r="G670" s="196"/>
      <c r="H670" s="196"/>
      <c r="I670" s="196"/>
      <c r="J670" s="196"/>
      <c r="K670" s="196">
        <v>0</v>
      </c>
      <c r="L670" s="194">
        <v>0</v>
      </c>
      <c r="M670" s="196">
        <v>0</v>
      </c>
      <c r="N670" s="196">
        <v>675</v>
      </c>
      <c r="O670" s="196">
        <v>1357217</v>
      </c>
      <c r="P670" s="194">
        <v>0</v>
      </c>
      <c r="Q670" s="196">
        <v>0</v>
      </c>
      <c r="R670" s="197">
        <v>0</v>
      </c>
      <c r="S670" s="196">
        <v>0</v>
      </c>
      <c r="T670" s="197">
        <v>0</v>
      </c>
      <c r="U670" s="288">
        <v>0</v>
      </c>
      <c r="V670" s="282">
        <f>C670-'часть 1'!L681</f>
        <v>-4266636</v>
      </c>
      <c r="W670" s="282"/>
      <c r="X670" s="28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296"/>
    </row>
    <row r="671" spans="1:35">
      <c r="A671" s="198">
        <v>110</v>
      </c>
      <c r="B671" s="195" t="s">
        <v>269</v>
      </c>
      <c r="C671" s="196">
        <v>836226</v>
      </c>
      <c r="D671" s="196"/>
      <c r="E671" s="196"/>
      <c r="F671" s="196"/>
      <c r="G671" s="196"/>
      <c r="H671" s="196"/>
      <c r="I671" s="196"/>
      <c r="J671" s="196"/>
      <c r="K671" s="196">
        <v>0</v>
      </c>
      <c r="L671" s="194">
        <v>0</v>
      </c>
      <c r="M671" s="196">
        <v>0</v>
      </c>
      <c r="N671" s="196">
        <v>414.1</v>
      </c>
      <c r="O671" s="199">
        <v>836226</v>
      </c>
      <c r="P671" s="194">
        <v>0</v>
      </c>
      <c r="Q671" s="196">
        <v>0</v>
      </c>
      <c r="R671" s="197">
        <v>0</v>
      </c>
      <c r="S671" s="196">
        <v>0</v>
      </c>
      <c r="T671" s="197">
        <v>0</v>
      </c>
      <c r="U671" s="288">
        <v>0</v>
      </c>
      <c r="V671" s="282">
        <f>C671-'часть 1'!L682</f>
        <v>-1884880</v>
      </c>
      <c r="W671" s="282"/>
      <c r="X671" s="28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296"/>
    </row>
    <row r="672" spans="1:35">
      <c r="A672" s="198">
        <v>111</v>
      </c>
      <c r="B672" s="195" t="s">
        <v>299</v>
      </c>
      <c r="C672" s="196">
        <v>640078</v>
      </c>
      <c r="D672" s="196"/>
      <c r="E672" s="196"/>
      <c r="F672" s="196"/>
      <c r="G672" s="196"/>
      <c r="H672" s="196"/>
      <c r="I672" s="196"/>
      <c r="J672" s="196"/>
      <c r="K672" s="196">
        <v>640078</v>
      </c>
      <c r="L672" s="194">
        <v>0</v>
      </c>
      <c r="M672" s="196">
        <v>0</v>
      </c>
      <c r="N672" s="196">
        <v>0</v>
      </c>
      <c r="O672" s="196">
        <v>0</v>
      </c>
      <c r="P672" s="194">
        <v>0</v>
      </c>
      <c r="Q672" s="196">
        <v>0</v>
      </c>
      <c r="R672" s="197">
        <v>0</v>
      </c>
      <c r="S672" s="196">
        <v>0</v>
      </c>
      <c r="T672" s="197">
        <v>0</v>
      </c>
      <c r="U672" s="288">
        <v>0</v>
      </c>
      <c r="V672" s="282">
        <f>C672-'часть 1'!L683</f>
        <v>-9149248.5500000007</v>
      </c>
      <c r="W672" s="282"/>
      <c r="X672" s="28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296"/>
    </row>
    <row r="673" spans="1:35">
      <c r="A673" s="198">
        <v>112</v>
      </c>
      <c r="B673" s="195" t="s">
        <v>236</v>
      </c>
      <c r="C673" s="196">
        <v>202649</v>
      </c>
      <c r="D673" s="196"/>
      <c r="E673" s="196"/>
      <c r="F673" s="196"/>
      <c r="G673" s="196"/>
      <c r="H673" s="196"/>
      <c r="I673" s="196"/>
      <c r="J673" s="196"/>
      <c r="K673" s="196" t="e">
        <f>#REF!</f>
        <v>#REF!</v>
      </c>
      <c r="L673" s="194">
        <v>0</v>
      </c>
      <c r="M673" s="196">
        <v>0</v>
      </c>
      <c r="N673" s="196">
        <v>0</v>
      </c>
      <c r="O673" s="196">
        <v>0</v>
      </c>
      <c r="P673" s="194">
        <v>0</v>
      </c>
      <c r="Q673" s="196">
        <v>0</v>
      </c>
      <c r="R673" s="200">
        <v>0</v>
      </c>
      <c r="S673" s="196">
        <v>0</v>
      </c>
      <c r="T673" s="197">
        <v>0</v>
      </c>
      <c r="U673" s="288">
        <v>0</v>
      </c>
      <c r="V673" s="282">
        <f>C673-'часть 1'!L684</f>
        <v>-1412425</v>
      </c>
      <c r="W673" s="282"/>
      <c r="X673" s="28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296"/>
    </row>
    <row r="674" spans="1:35">
      <c r="A674" s="198">
        <v>113</v>
      </c>
      <c r="B674" s="195" t="s">
        <v>285</v>
      </c>
      <c r="C674" s="196">
        <v>7892437</v>
      </c>
      <c r="D674" s="196"/>
      <c r="E674" s="196"/>
      <c r="F674" s="196"/>
      <c r="G674" s="196"/>
      <c r="H674" s="196"/>
      <c r="I674" s="196"/>
      <c r="J674" s="196"/>
      <c r="K674" s="196">
        <v>7892437</v>
      </c>
      <c r="L674" s="194">
        <v>0</v>
      </c>
      <c r="M674" s="196">
        <v>0</v>
      </c>
      <c r="N674" s="196">
        <v>0</v>
      </c>
      <c r="O674" s="196">
        <v>0</v>
      </c>
      <c r="P674" s="194">
        <v>0</v>
      </c>
      <c r="Q674" s="196">
        <v>0</v>
      </c>
      <c r="R674" s="197">
        <v>0</v>
      </c>
      <c r="S674" s="196">
        <v>0</v>
      </c>
      <c r="T674" s="197">
        <v>0</v>
      </c>
      <c r="U674" s="288">
        <v>0</v>
      </c>
      <c r="V674" s="282">
        <f>C674-'часть 1'!L685</f>
        <v>7068047</v>
      </c>
      <c r="W674" s="282"/>
      <c r="X674" s="28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296"/>
    </row>
    <row r="675" spans="1:35">
      <c r="A675" s="198">
        <v>114</v>
      </c>
      <c r="B675" s="195" t="s">
        <v>237</v>
      </c>
      <c r="C675" s="196">
        <v>523389</v>
      </c>
      <c r="D675" s="196"/>
      <c r="E675" s="196"/>
      <c r="F675" s="196"/>
      <c r="G675" s="196"/>
      <c r="H675" s="196"/>
      <c r="I675" s="196"/>
      <c r="J675" s="196"/>
      <c r="K675" s="196">
        <v>0</v>
      </c>
      <c r="L675" s="194">
        <v>0</v>
      </c>
      <c r="M675" s="196">
        <v>0</v>
      </c>
      <c r="N675" s="196">
        <v>255</v>
      </c>
      <c r="O675" s="196">
        <v>523389</v>
      </c>
      <c r="P675" s="194">
        <v>0</v>
      </c>
      <c r="Q675" s="196">
        <v>0</v>
      </c>
      <c r="R675" s="200">
        <v>0</v>
      </c>
      <c r="S675" s="196">
        <v>0</v>
      </c>
      <c r="T675" s="197">
        <v>0</v>
      </c>
      <c r="U675" s="288">
        <v>0</v>
      </c>
      <c r="V675" s="282">
        <f>C675-'часть 1'!L686</f>
        <v>-2137800</v>
      </c>
      <c r="W675" s="282"/>
      <c r="X675" s="28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296"/>
    </row>
    <row r="676" spans="1:35">
      <c r="A676" s="198">
        <v>115</v>
      </c>
      <c r="B676" s="195" t="s">
        <v>264</v>
      </c>
      <c r="C676" s="196">
        <v>1038920</v>
      </c>
      <c r="D676" s="196"/>
      <c r="E676" s="196"/>
      <c r="F676" s="196"/>
      <c r="G676" s="196"/>
      <c r="H676" s="196"/>
      <c r="I676" s="196"/>
      <c r="J676" s="196"/>
      <c r="K676" s="196">
        <v>1038920</v>
      </c>
      <c r="L676" s="194">
        <v>0</v>
      </c>
      <c r="M676" s="196">
        <v>0</v>
      </c>
      <c r="N676" s="196">
        <v>0</v>
      </c>
      <c r="O676" s="196">
        <v>0</v>
      </c>
      <c r="P676" s="194">
        <v>0</v>
      </c>
      <c r="Q676" s="196">
        <v>0</v>
      </c>
      <c r="R676" s="197">
        <v>0</v>
      </c>
      <c r="S676" s="196">
        <v>0</v>
      </c>
      <c r="T676" s="197">
        <v>0</v>
      </c>
      <c r="U676" s="288">
        <v>0</v>
      </c>
      <c r="V676" s="282">
        <f>C676-'часть 1'!L687</f>
        <v>760700</v>
      </c>
      <c r="W676" s="282"/>
      <c r="X676" s="282"/>
      <c r="Y676" s="12"/>
      <c r="Z676" s="12"/>
      <c r="AA676" s="12"/>
      <c r="AB676" s="12"/>
      <c r="AC676" s="4"/>
      <c r="AD676" s="12"/>
      <c r="AE676" s="12"/>
      <c r="AF676" s="12"/>
      <c r="AG676" s="12"/>
      <c r="AH676" s="12"/>
      <c r="AI676" s="296"/>
    </row>
    <row r="677" spans="1:35">
      <c r="A677" s="194">
        <v>116</v>
      </c>
      <c r="B677" s="195" t="s">
        <v>258</v>
      </c>
      <c r="C677" s="196">
        <v>1742553</v>
      </c>
      <c r="D677" s="196"/>
      <c r="E677" s="196"/>
      <c r="F677" s="196"/>
      <c r="G677" s="196"/>
      <c r="H677" s="196"/>
      <c r="I677" s="196"/>
      <c r="J677" s="196"/>
      <c r="K677" s="196">
        <v>0</v>
      </c>
      <c r="L677" s="194">
        <v>0</v>
      </c>
      <c r="M677" s="196">
        <v>0</v>
      </c>
      <c r="N677" s="196">
        <v>874.22</v>
      </c>
      <c r="O677" s="199">
        <v>1742553</v>
      </c>
      <c r="P677" s="194">
        <v>0</v>
      </c>
      <c r="Q677" s="196">
        <v>0</v>
      </c>
      <c r="R677" s="197">
        <v>0</v>
      </c>
      <c r="S677" s="196">
        <v>0</v>
      </c>
      <c r="T677" s="197">
        <v>0</v>
      </c>
      <c r="U677" s="288">
        <v>0</v>
      </c>
      <c r="V677" s="282">
        <f>C677-'часть 1'!L688</f>
        <v>-768919</v>
      </c>
      <c r="W677" s="282"/>
      <c r="X677" s="28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296"/>
    </row>
    <row r="678" spans="1:35">
      <c r="A678" s="194">
        <v>117</v>
      </c>
      <c r="B678" s="195" t="s">
        <v>250</v>
      </c>
      <c r="C678" s="196">
        <v>2124581</v>
      </c>
      <c r="D678" s="196"/>
      <c r="E678" s="196"/>
      <c r="F678" s="196"/>
      <c r="G678" s="196"/>
      <c r="H678" s="196"/>
      <c r="I678" s="196"/>
      <c r="J678" s="196"/>
      <c r="K678" s="196">
        <v>0</v>
      </c>
      <c r="L678" s="194">
        <v>0</v>
      </c>
      <c r="M678" s="196">
        <v>0</v>
      </c>
      <c r="N678" s="196">
        <v>1070</v>
      </c>
      <c r="O678" s="199">
        <v>2124581</v>
      </c>
      <c r="P678" s="194">
        <v>0</v>
      </c>
      <c r="Q678" s="196">
        <v>0</v>
      </c>
      <c r="R678" s="200">
        <v>0</v>
      </c>
      <c r="S678" s="196">
        <v>0</v>
      </c>
      <c r="T678" s="197">
        <v>0</v>
      </c>
      <c r="U678" s="288">
        <v>0</v>
      </c>
      <c r="V678" s="282">
        <f>C678-'часть 1'!L689</f>
        <v>1252593</v>
      </c>
      <c r="W678" s="282"/>
      <c r="X678" s="28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296"/>
    </row>
    <row r="679" spans="1:35">
      <c r="A679" s="194">
        <v>118</v>
      </c>
      <c r="B679" s="195" t="s">
        <v>282</v>
      </c>
      <c r="C679" s="196">
        <v>2347478</v>
      </c>
      <c r="D679" s="196"/>
      <c r="E679" s="196"/>
      <c r="F679" s="196"/>
      <c r="G679" s="196"/>
      <c r="H679" s="196"/>
      <c r="I679" s="196"/>
      <c r="J679" s="196"/>
      <c r="K679" s="196">
        <v>0</v>
      </c>
      <c r="L679" s="194">
        <v>0</v>
      </c>
      <c r="M679" s="196">
        <v>0</v>
      </c>
      <c r="N679" s="196">
        <v>1185.07</v>
      </c>
      <c r="O679" s="196">
        <v>2347478</v>
      </c>
      <c r="P679" s="194">
        <v>0</v>
      </c>
      <c r="Q679" s="196">
        <v>0</v>
      </c>
      <c r="R679" s="197">
        <v>0</v>
      </c>
      <c r="S679" s="196">
        <v>0</v>
      </c>
      <c r="T679" s="197">
        <v>0</v>
      </c>
      <c r="U679" s="288">
        <v>0</v>
      </c>
      <c r="V679" s="282">
        <f>C679-'часть 1'!L690</f>
        <v>234143</v>
      </c>
      <c r="W679" s="282"/>
      <c r="X679" s="28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296"/>
    </row>
    <row r="680" spans="1:35">
      <c r="A680" s="194">
        <v>119</v>
      </c>
      <c r="B680" s="195" t="s">
        <v>267</v>
      </c>
      <c r="C680" s="196">
        <v>2468472</v>
      </c>
      <c r="D680" s="196"/>
      <c r="E680" s="196"/>
      <c r="F680" s="196"/>
      <c r="G680" s="196"/>
      <c r="H680" s="196"/>
      <c r="I680" s="196"/>
      <c r="J680" s="196"/>
      <c r="K680" s="196">
        <v>0</v>
      </c>
      <c r="L680" s="194">
        <v>0</v>
      </c>
      <c r="M680" s="196">
        <v>0</v>
      </c>
      <c r="N680" s="199">
        <v>1246.5</v>
      </c>
      <c r="O680" s="196">
        <v>2468472</v>
      </c>
      <c r="P680" s="194">
        <v>0</v>
      </c>
      <c r="Q680" s="196">
        <v>0</v>
      </c>
      <c r="R680" s="197">
        <v>0</v>
      </c>
      <c r="S680" s="196">
        <v>0</v>
      </c>
      <c r="T680" s="197">
        <v>0</v>
      </c>
      <c r="U680" s="288">
        <v>0</v>
      </c>
      <c r="V680" s="282">
        <f>C680-'часть 1'!L691</f>
        <v>1471887</v>
      </c>
      <c r="W680" s="282"/>
      <c r="X680" s="28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296"/>
    </row>
    <row r="681" spans="1:35">
      <c r="A681" s="194">
        <v>120</v>
      </c>
      <c r="B681" s="195" t="s">
        <v>284</v>
      </c>
      <c r="C681" s="196">
        <v>1612780</v>
      </c>
      <c r="D681" s="196"/>
      <c r="E681" s="196"/>
      <c r="F681" s="196"/>
      <c r="G681" s="196"/>
      <c r="H681" s="196"/>
      <c r="I681" s="196"/>
      <c r="J681" s="196"/>
      <c r="K681" s="196">
        <v>0</v>
      </c>
      <c r="L681" s="194">
        <v>0</v>
      </c>
      <c r="M681" s="196">
        <v>0</v>
      </c>
      <c r="N681" s="196">
        <v>810.5</v>
      </c>
      <c r="O681" s="196">
        <v>1612780</v>
      </c>
      <c r="P681" s="194">
        <v>0</v>
      </c>
      <c r="Q681" s="196">
        <v>0</v>
      </c>
      <c r="R681" s="197">
        <v>0</v>
      </c>
      <c r="S681" s="196">
        <v>0</v>
      </c>
      <c r="T681" s="197">
        <v>0</v>
      </c>
      <c r="U681" s="288">
        <v>0</v>
      </c>
      <c r="V681" s="282">
        <f>C681-'часть 1'!L692</f>
        <v>975041</v>
      </c>
      <c r="W681" s="282"/>
      <c r="X681" s="28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296"/>
    </row>
    <row r="682" spans="1:35">
      <c r="A682" s="194">
        <v>121</v>
      </c>
      <c r="B682" s="195" t="s">
        <v>256</v>
      </c>
      <c r="C682" s="196">
        <v>2580419</v>
      </c>
      <c r="D682" s="196"/>
      <c r="E682" s="196"/>
      <c r="F682" s="196"/>
      <c r="G682" s="196"/>
      <c r="H682" s="196"/>
      <c r="I682" s="196"/>
      <c r="J682" s="196"/>
      <c r="K682" s="196">
        <v>0</v>
      </c>
      <c r="L682" s="194">
        <v>0</v>
      </c>
      <c r="M682" s="196">
        <v>0</v>
      </c>
      <c r="N682" s="196">
        <v>786.3</v>
      </c>
      <c r="O682" s="196">
        <v>1565675</v>
      </c>
      <c r="P682" s="194">
        <v>0</v>
      </c>
      <c r="Q682" s="196">
        <v>0</v>
      </c>
      <c r="R682" s="196">
        <v>700</v>
      </c>
      <c r="S682" s="196">
        <v>1014744</v>
      </c>
      <c r="T682" s="197">
        <v>0</v>
      </c>
      <c r="U682" s="288">
        <v>0</v>
      </c>
      <c r="V682" s="282">
        <f>C682-'часть 1'!L693</f>
        <v>1223202</v>
      </c>
      <c r="W682" s="282"/>
      <c r="X682" s="28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296"/>
    </row>
    <row r="683" spans="1:35">
      <c r="A683" s="194">
        <v>122</v>
      </c>
      <c r="B683" s="195" t="s">
        <v>335</v>
      </c>
      <c r="C683" s="196">
        <v>1681645</v>
      </c>
      <c r="D683" s="196"/>
      <c r="E683" s="196"/>
      <c r="F683" s="196"/>
      <c r="G683" s="196"/>
      <c r="H683" s="196"/>
      <c r="I683" s="196"/>
      <c r="J683" s="196"/>
      <c r="K683" s="196">
        <v>0</v>
      </c>
      <c r="L683" s="194">
        <v>0</v>
      </c>
      <c r="M683" s="196">
        <v>0</v>
      </c>
      <c r="N683" s="196">
        <v>848.59</v>
      </c>
      <c r="O683" s="196">
        <v>1681645</v>
      </c>
      <c r="P683" s="194">
        <v>0</v>
      </c>
      <c r="Q683" s="196">
        <v>0</v>
      </c>
      <c r="R683" s="200">
        <v>0</v>
      </c>
      <c r="S683" s="196">
        <v>0</v>
      </c>
      <c r="T683" s="197">
        <v>0</v>
      </c>
      <c r="U683" s="288">
        <v>0</v>
      </c>
      <c r="V683" s="282">
        <f>C683-'часть 1'!L694</f>
        <v>845419</v>
      </c>
      <c r="W683" s="282"/>
      <c r="X683" s="28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296"/>
    </row>
    <row r="684" spans="1:35">
      <c r="A684" s="194">
        <v>123</v>
      </c>
      <c r="B684" s="195" t="s">
        <v>255</v>
      </c>
      <c r="C684" s="196">
        <v>1318880</v>
      </c>
      <c r="D684" s="196"/>
      <c r="E684" s="196"/>
      <c r="F684" s="196"/>
      <c r="G684" s="196"/>
      <c r="H684" s="196"/>
      <c r="I684" s="196"/>
      <c r="J684" s="196"/>
      <c r="K684" s="196">
        <v>0</v>
      </c>
      <c r="L684" s="194">
        <v>0</v>
      </c>
      <c r="M684" s="196">
        <v>0</v>
      </c>
      <c r="N684" s="196">
        <v>660</v>
      </c>
      <c r="O684" s="196">
        <v>1318880</v>
      </c>
      <c r="P684" s="194">
        <v>0</v>
      </c>
      <c r="Q684" s="196">
        <v>0</v>
      </c>
      <c r="R684" s="200">
        <v>0</v>
      </c>
      <c r="S684" s="196">
        <v>0</v>
      </c>
      <c r="T684" s="197">
        <v>0</v>
      </c>
      <c r="U684" s="288">
        <v>0</v>
      </c>
      <c r="V684" s="282">
        <f>C684-'часть 1'!L695</f>
        <v>678802</v>
      </c>
      <c r="W684" s="282"/>
      <c r="X684" s="28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296"/>
    </row>
    <row r="685" spans="1:35">
      <c r="A685" s="194">
        <v>124</v>
      </c>
      <c r="B685" s="195" t="s">
        <v>245</v>
      </c>
      <c r="C685" s="196">
        <v>1566345</v>
      </c>
      <c r="D685" s="196"/>
      <c r="E685" s="196"/>
      <c r="F685" s="196"/>
      <c r="G685" s="196"/>
      <c r="H685" s="196"/>
      <c r="I685" s="196"/>
      <c r="J685" s="196"/>
      <c r="K685" s="196">
        <v>0</v>
      </c>
      <c r="L685" s="194">
        <v>0</v>
      </c>
      <c r="M685" s="196">
        <v>0</v>
      </c>
      <c r="N685" s="196">
        <v>422</v>
      </c>
      <c r="O685" s="196">
        <v>850468</v>
      </c>
      <c r="P685" s="194">
        <v>0</v>
      </c>
      <c r="Q685" s="196">
        <v>0</v>
      </c>
      <c r="R685" s="196">
        <v>492</v>
      </c>
      <c r="S685" s="196">
        <v>715877</v>
      </c>
      <c r="T685" s="197">
        <v>0</v>
      </c>
      <c r="U685" s="288">
        <v>0</v>
      </c>
      <c r="V685" s="282">
        <f>C685-'часть 1'!L696</f>
        <v>1363696</v>
      </c>
      <c r="W685" s="282"/>
      <c r="X685" s="28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296"/>
    </row>
    <row r="686" spans="1:35" ht="27.6">
      <c r="A686" s="194">
        <v>125</v>
      </c>
      <c r="B686" s="195" t="s">
        <v>451</v>
      </c>
      <c r="C686" s="196">
        <v>1910088</v>
      </c>
      <c r="D686" s="196"/>
      <c r="E686" s="196"/>
      <c r="F686" s="196"/>
      <c r="G686" s="196"/>
      <c r="H686" s="196"/>
      <c r="I686" s="196"/>
      <c r="J686" s="196"/>
      <c r="K686" s="196">
        <v>1910088</v>
      </c>
      <c r="L686" s="194">
        <v>0</v>
      </c>
      <c r="M686" s="196">
        <v>0</v>
      </c>
      <c r="N686" s="196">
        <v>0</v>
      </c>
      <c r="O686" s="196">
        <v>0</v>
      </c>
      <c r="P686" s="194">
        <v>0</v>
      </c>
      <c r="Q686" s="196">
        <v>0</v>
      </c>
      <c r="R686" s="200">
        <v>0</v>
      </c>
      <c r="S686" s="196">
        <v>0</v>
      </c>
      <c r="T686" s="197">
        <v>0</v>
      </c>
      <c r="U686" s="288">
        <v>0</v>
      </c>
      <c r="V686" s="282">
        <f>C686-'часть 1'!L697</f>
        <v>-5982349</v>
      </c>
      <c r="W686" s="282"/>
      <c r="X686" s="28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296"/>
    </row>
    <row r="687" spans="1:35">
      <c r="A687" s="194">
        <v>126</v>
      </c>
      <c r="B687" s="195" t="s">
        <v>280</v>
      </c>
      <c r="C687" s="196">
        <v>2694957</v>
      </c>
      <c r="D687" s="196"/>
      <c r="E687" s="196"/>
      <c r="F687" s="196"/>
      <c r="G687" s="196"/>
      <c r="H687" s="196"/>
      <c r="I687" s="196"/>
      <c r="J687" s="196"/>
      <c r="K687" s="196">
        <v>710638</v>
      </c>
      <c r="L687" s="194">
        <v>0</v>
      </c>
      <c r="M687" s="196">
        <v>0</v>
      </c>
      <c r="N687" s="196">
        <v>0</v>
      </c>
      <c r="O687" s="196">
        <v>0</v>
      </c>
      <c r="P687" s="194">
        <v>0</v>
      </c>
      <c r="Q687" s="196">
        <v>0</v>
      </c>
      <c r="R687" s="196">
        <v>1359.5</v>
      </c>
      <c r="S687" s="196">
        <v>1984319</v>
      </c>
      <c r="T687" s="197">
        <v>0</v>
      </c>
      <c r="U687" s="288">
        <v>0</v>
      </c>
      <c r="V687" s="282">
        <f>C687-'часть 1'!L698</f>
        <v>2171568</v>
      </c>
      <c r="W687" s="282"/>
      <c r="X687" s="28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296"/>
    </row>
    <row r="688" spans="1:35">
      <c r="A688" s="194">
        <v>127</v>
      </c>
      <c r="B688" s="195" t="s">
        <v>367</v>
      </c>
      <c r="C688" s="196">
        <v>580578</v>
      </c>
      <c r="D688" s="196"/>
      <c r="E688" s="196"/>
      <c r="F688" s="196"/>
      <c r="G688" s="196"/>
      <c r="H688" s="196"/>
      <c r="I688" s="196"/>
      <c r="J688" s="196"/>
      <c r="K688" s="196">
        <v>0</v>
      </c>
      <c r="L688" s="194">
        <v>0</v>
      </c>
      <c r="M688" s="196">
        <v>0</v>
      </c>
      <c r="N688" s="196">
        <v>293.5</v>
      </c>
      <c r="O688" s="196">
        <v>580578</v>
      </c>
      <c r="P688" s="194">
        <v>0</v>
      </c>
      <c r="Q688" s="196">
        <v>0</v>
      </c>
      <c r="R688" s="197">
        <v>0</v>
      </c>
      <c r="S688" s="196">
        <v>0</v>
      </c>
      <c r="T688" s="197">
        <v>0</v>
      </c>
      <c r="U688" s="288">
        <v>0</v>
      </c>
      <c r="V688" s="282">
        <f>C688-'часть 1'!L699</f>
        <v>-458342</v>
      </c>
      <c r="W688" s="282"/>
      <c r="X688" s="28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296"/>
    </row>
    <row r="689" spans="1:35">
      <c r="A689" s="194">
        <v>128</v>
      </c>
      <c r="B689" s="195" t="s">
        <v>464</v>
      </c>
      <c r="C689" s="196">
        <v>615357</v>
      </c>
      <c r="D689" s="196"/>
      <c r="E689" s="196"/>
      <c r="F689" s="196"/>
      <c r="G689" s="196"/>
      <c r="H689" s="196"/>
      <c r="I689" s="196"/>
      <c r="J689" s="196"/>
      <c r="K689" s="196">
        <v>0</v>
      </c>
      <c r="L689" s="194">
        <v>0</v>
      </c>
      <c r="M689" s="196">
        <v>0</v>
      </c>
      <c r="N689" s="196">
        <v>301</v>
      </c>
      <c r="O689" s="196">
        <v>615357</v>
      </c>
      <c r="P689" s="194">
        <v>0</v>
      </c>
      <c r="Q689" s="196">
        <v>0</v>
      </c>
      <c r="R689" s="197">
        <v>0</v>
      </c>
      <c r="S689" s="196">
        <v>0</v>
      </c>
      <c r="T689" s="197">
        <v>0</v>
      </c>
      <c r="U689" s="288">
        <v>0</v>
      </c>
      <c r="V689" s="282">
        <f>C689-'часть 1'!L700</f>
        <v>-1127196</v>
      </c>
      <c r="W689" s="282"/>
      <c r="X689" s="28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296"/>
    </row>
    <row r="690" spans="1:35">
      <c r="A690" s="194">
        <v>129</v>
      </c>
      <c r="B690" s="195" t="s">
        <v>385</v>
      </c>
      <c r="C690" s="196">
        <v>269948.13</v>
      </c>
      <c r="D690" s="196"/>
      <c r="E690" s="196"/>
      <c r="F690" s="196"/>
      <c r="G690" s="196"/>
      <c r="H690" s="196"/>
      <c r="I690" s="196"/>
      <c r="J690" s="196"/>
      <c r="K690" s="196">
        <v>269948.13</v>
      </c>
      <c r="L690" s="194">
        <v>0</v>
      </c>
      <c r="M690" s="196">
        <v>0</v>
      </c>
      <c r="N690" s="196">
        <v>0</v>
      </c>
      <c r="O690" s="196">
        <v>0</v>
      </c>
      <c r="P690" s="194">
        <v>0</v>
      </c>
      <c r="Q690" s="196">
        <v>0</v>
      </c>
      <c r="R690" s="197">
        <v>0</v>
      </c>
      <c r="S690" s="196">
        <v>0</v>
      </c>
      <c r="T690" s="197">
        <v>0</v>
      </c>
      <c r="U690" s="288">
        <v>0</v>
      </c>
      <c r="V690" s="282">
        <f>C690-'часть 1'!L701</f>
        <v>-1854632.87</v>
      </c>
      <c r="W690" s="282"/>
      <c r="X690" s="28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296"/>
    </row>
    <row r="691" spans="1:35">
      <c r="A691" s="194">
        <v>130</v>
      </c>
      <c r="B691" s="195" t="s">
        <v>238</v>
      </c>
      <c r="C691" s="196">
        <v>807980</v>
      </c>
      <c r="D691" s="196"/>
      <c r="E691" s="196"/>
      <c r="F691" s="196"/>
      <c r="G691" s="196"/>
      <c r="H691" s="196"/>
      <c r="I691" s="196"/>
      <c r="J691" s="196"/>
      <c r="K691" s="196">
        <v>0</v>
      </c>
      <c r="L691" s="194">
        <v>0</v>
      </c>
      <c r="M691" s="196">
        <v>0</v>
      </c>
      <c r="N691" s="196">
        <v>400</v>
      </c>
      <c r="O691" s="196">
        <v>807980</v>
      </c>
      <c r="P691" s="194">
        <v>0</v>
      </c>
      <c r="Q691" s="196">
        <v>0</v>
      </c>
      <c r="R691" s="200">
        <v>0</v>
      </c>
      <c r="S691" s="196">
        <v>0</v>
      </c>
      <c r="T691" s="197">
        <v>0</v>
      </c>
      <c r="U691" s="288">
        <v>0</v>
      </c>
      <c r="V691" s="282">
        <f>C691-'часть 1'!L702</f>
        <v>-1539498</v>
      </c>
      <c r="W691" s="282"/>
      <c r="X691" s="28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296"/>
    </row>
    <row r="692" spans="1:35">
      <c r="A692" s="194">
        <v>131</v>
      </c>
      <c r="B692" s="195" t="s">
        <v>273</v>
      </c>
      <c r="C692" s="196">
        <v>661525</v>
      </c>
      <c r="D692" s="196"/>
      <c r="E692" s="196"/>
      <c r="F692" s="196"/>
      <c r="G692" s="196"/>
      <c r="H692" s="196"/>
      <c r="I692" s="196"/>
      <c r="J692" s="196"/>
      <c r="K692" s="196">
        <v>0</v>
      </c>
      <c r="L692" s="194">
        <v>0</v>
      </c>
      <c r="M692" s="196">
        <v>0</v>
      </c>
      <c r="N692" s="196">
        <v>325</v>
      </c>
      <c r="O692" s="199">
        <v>661525</v>
      </c>
      <c r="P692" s="194">
        <v>0</v>
      </c>
      <c r="Q692" s="196">
        <v>0</v>
      </c>
      <c r="R692" s="197">
        <v>0</v>
      </c>
      <c r="S692" s="196">
        <v>0</v>
      </c>
      <c r="T692" s="197">
        <v>0</v>
      </c>
      <c r="U692" s="288">
        <v>0</v>
      </c>
      <c r="V692" s="282">
        <f>C692-'часть 1'!L703</f>
        <v>-1806947</v>
      </c>
      <c r="W692" s="282"/>
      <c r="X692" s="28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296"/>
    </row>
    <row r="693" spans="1:35">
      <c r="A693" s="198">
        <v>132</v>
      </c>
      <c r="B693" s="195" t="s">
        <v>297</v>
      </c>
      <c r="C693" s="196">
        <v>3719885</v>
      </c>
      <c r="D693" s="196"/>
      <c r="E693" s="196"/>
      <c r="F693" s="196"/>
      <c r="G693" s="196"/>
      <c r="H693" s="196"/>
      <c r="I693" s="196"/>
      <c r="J693" s="196"/>
      <c r="K693" s="196">
        <v>0</v>
      </c>
      <c r="L693" s="194">
        <v>2</v>
      </c>
      <c r="M693" s="196">
        <v>3719885</v>
      </c>
      <c r="N693" s="196">
        <v>0</v>
      </c>
      <c r="O693" s="196">
        <v>0</v>
      </c>
      <c r="P693" s="194">
        <v>0</v>
      </c>
      <c r="Q693" s="196">
        <v>0</v>
      </c>
      <c r="R693" s="197">
        <v>0</v>
      </c>
      <c r="S693" s="196">
        <v>0</v>
      </c>
      <c r="T693" s="197">
        <v>0</v>
      </c>
      <c r="U693" s="288">
        <v>0</v>
      </c>
      <c r="V693" s="282">
        <f>C693-'часть 1'!L704</f>
        <v>2107105</v>
      </c>
      <c r="W693" s="282"/>
      <c r="X693" s="28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296"/>
    </row>
    <row r="694" spans="1:35">
      <c r="A694" s="198">
        <v>133</v>
      </c>
      <c r="B694" s="195" t="s">
        <v>263</v>
      </c>
      <c r="C694" s="196">
        <v>1726391</v>
      </c>
      <c r="D694" s="196"/>
      <c r="E694" s="196"/>
      <c r="F694" s="196"/>
      <c r="G694" s="196"/>
      <c r="H694" s="196"/>
      <c r="I694" s="196"/>
      <c r="J694" s="196"/>
      <c r="K694" s="196">
        <v>0</v>
      </c>
      <c r="L694" s="194">
        <v>0</v>
      </c>
      <c r="M694" s="196">
        <v>0</v>
      </c>
      <c r="N694" s="196">
        <v>866.8</v>
      </c>
      <c r="O694" s="196">
        <v>1726391</v>
      </c>
      <c r="P694" s="194">
        <v>0</v>
      </c>
      <c r="Q694" s="196">
        <v>0</v>
      </c>
      <c r="R694" s="197">
        <v>0</v>
      </c>
      <c r="S694" s="196">
        <v>0</v>
      </c>
      <c r="T694" s="197">
        <v>0</v>
      </c>
      <c r="U694" s="288">
        <v>0</v>
      </c>
      <c r="V694" s="282">
        <f>C694-'часть 1'!L705</f>
        <v>-854028</v>
      </c>
      <c r="W694" s="282"/>
      <c r="X694" s="28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296"/>
    </row>
    <row r="695" spans="1:35">
      <c r="A695" s="198">
        <v>134</v>
      </c>
      <c r="B695" s="195" t="s">
        <v>235</v>
      </c>
      <c r="C695" s="196">
        <v>1521754</v>
      </c>
      <c r="D695" s="196"/>
      <c r="E695" s="196"/>
      <c r="F695" s="196"/>
      <c r="G695" s="196"/>
      <c r="H695" s="196"/>
      <c r="I695" s="196"/>
      <c r="J695" s="196"/>
      <c r="K695" s="196">
        <v>0</v>
      </c>
      <c r="L695" s="194">
        <v>0</v>
      </c>
      <c r="M695" s="196">
        <v>0</v>
      </c>
      <c r="N695" s="196">
        <v>430</v>
      </c>
      <c r="O695" s="196">
        <v>866735</v>
      </c>
      <c r="P695" s="194">
        <v>0</v>
      </c>
      <c r="Q695" s="196">
        <v>0</v>
      </c>
      <c r="R695" s="196">
        <v>449</v>
      </c>
      <c r="S695" s="196">
        <v>655019</v>
      </c>
      <c r="T695" s="197">
        <v>0</v>
      </c>
      <c r="U695" s="288">
        <v>0</v>
      </c>
      <c r="V695" s="282">
        <f>C695-'часть 1'!L706</f>
        <v>-159891</v>
      </c>
      <c r="W695" s="282"/>
      <c r="X695" s="28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296"/>
    </row>
    <row r="696" spans="1:35">
      <c r="A696" s="198">
        <v>135</v>
      </c>
      <c r="B696" s="195" t="s">
        <v>227</v>
      </c>
      <c r="C696" s="196">
        <v>671505</v>
      </c>
      <c r="D696" s="196"/>
      <c r="E696" s="196"/>
      <c r="F696" s="196"/>
      <c r="G696" s="196"/>
      <c r="H696" s="196"/>
      <c r="I696" s="196"/>
      <c r="J696" s="196"/>
      <c r="K696" s="196" t="e">
        <f>#REF!</f>
        <v>#REF!</v>
      </c>
      <c r="L696" s="194">
        <v>0</v>
      </c>
      <c r="M696" s="196">
        <v>0</v>
      </c>
      <c r="N696" s="196">
        <v>0</v>
      </c>
      <c r="O696" s="196">
        <v>0</v>
      </c>
      <c r="P696" s="194">
        <v>0</v>
      </c>
      <c r="Q696" s="196">
        <v>0</v>
      </c>
      <c r="R696" s="196">
        <v>404.5</v>
      </c>
      <c r="S696" s="196">
        <v>591227</v>
      </c>
      <c r="T696" s="197">
        <v>0</v>
      </c>
      <c r="U696" s="288">
        <v>0</v>
      </c>
      <c r="V696" s="282">
        <f>C696-'часть 1'!L707</f>
        <v>-647375</v>
      </c>
      <c r="W696" s="282"/>
      <c r="X696" s="282"/>
      <c r="Y696" s="12"/>
      <c r="Z696" s="274"/>
      <c r="AA696" s="12"/>
      <c r="AB696" s="12"/>
      <c r="AC696" s="12"/>
      <c r="AD696" s="12"/>
      <c r="AE696" s="12"/>
      <c r="AF696" s="12"/>
      <c r="AG696" s="12"/>
      <c r="AH696" s="12"/>
      <c r="AI696" s="296"/>
    </row>
    <row r="697" spans="1:35">
      <c r="A697" s="198">
        <v>136</v>
      </c>
      <c r="B697" s="195" t="s">
        <v>339</v>
      </c>
      <c r="C697" s="196">
        <v>1081718</v>
      </c>
      <c r="D697" s="196"/>
      <c r="E697" s="196"/>
      <c r="F697" s="196"/>
      <c r="G697" s="196"/>
      <c r="H697" s="196"/>
      <c r="I697" s="196"/>
      <c r="J697" s="196"/>
      <c r="K697" s="196">
        <v>0</v>
      </c>
      <c r="L697" s="194">
        <v>0</v>
      </c>
      <c r="M697" s="196">
        <v>0</v>
      </c>
      <c r="N697" s="196">
        <v>531.70000000000005</v>
      </c>
      <c r="O697" s="196">
        <v>1081718</v>
      </c>
      <c r="P697" s="194">
        <v>0</v>
      </c>
      <c r="Q697" s="196">
        <v>0</v>
      </c>
      <c r="R697" s="197">
        <v>0</v>
      </c>
      <c r="S697" s="196">
        <v>0</v>
      </c>
      <c r="T697" s="197">
        <v>0</v>
      </c>
      <c r="U697" s="288">
        <v>0</v>
      </c>
      <c r="V697" s="282">
        <f>C697-'часть 1'!L708</f>
        <v>-484627</v>
      </c>
      <c r="W697" s="282"/>
      <c r="X697" s="28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296"/>
    </row>
    <row r="698" spans="1:35">
      <c r="A698" s="198">
        <v>137</v>
      </c>
      <c r="B698" s="195" t="s">
        <v>231</v>
      </c>
      <c r="C698" s="196">
        <v>206635</v>
      </c>
      <c r="D698" s="196"/>
      <c r="E698" s="196"/>
      <c r="F698" s="196"/>
      <c r="G698" s="196"/>
      <c r="H698" s="196"/>
      <c r="I698" s="196"/>
      <c r="J698" s="196"/>
      <c r="K698" s="196">
        <v>206635</v>
      </c>
      <c r="L698" s="194">
        <v>0</v>
      </c>
      <c r="M698" s="196">
        <v>0</v>
      </c>
      <c r="N698" s="196">
        <v>0</v>
      </c>
      <c r="O698" s="196">
        <v>0</v>
      </c>
      <c r="P698" s="194">
        <v>0</v>
      </c>
      <c r="Q698" s="196">
        <v>0</v>
      </c>
      <c r="R698" s="197">
        <v>0</v>
      </c>
      <c r="S698" s="196">
        <v>0</v>
      </c>
      <c r="T698" s="197">
        <v>0</v>
      </c>
      <c r="U698" s="288">
        <v>0</v>
      </c>
      <c r="V698" s="282">
        <f>C698-'часть 1'!L709</f>
        <v>-1703453</v>
      </c>
      <c r="W698" s="282"/>
      <c r="X698" s="28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296"/>
    </row>
    <row r="699" spans="1:35">
      <c r="A699" s="198">
        <v>138</v>
      </c>
      <c r="B699" s="195" t="s">
        <v>300</v>
      </c>
      <c r="C699" s="196">
        <v>1044081.04</v>
      </c>
      <c r="D699" s="196"/>
      <c r="E699" s="196"/>
      <c r="F699" s="196"/>
      <c r="G699" s="196"/>
      <c r="H699" s="196"/>
      <c r="I699" s="196"/>
      <c r="J699" s="196"/>
      <c r="K699" s="196">
        <v>0</v>
      </c>
      <c r="L699" s="194">
        <v>0</v>
      </c>
      <c r="M699" s="196">
        <v>0</v>
      </c>
      <c r="N699" s="196">
        <v>516.5</v>
      </c>
      <c r="O699" s="196">
        <v>1044081.04</v>
      </c>
      <c r="P699" s="194">
        <v>0</v>
      </c>
      <c r="Q699" s="196">
        <v>0</v>
      </c>
      <c r="R699" s="200">
        <v>0</v>
      </c>
      <c r="S699" s="196">
        <v>0</v>
      </c>
      <c r="T699" s="197">
        <v>0</v>
      </c>
      <c r="U699" s="288">
        <v>0</v>
      </c>
      <c r="V699" s="282">
        <f>C699-'часть 1'!L710</f>
        <v>-1650875.96</v>
      </c>
      <c r="W699" s="282"/>
      <c r="X699" s="28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296"/>
    </row>
    <row r="700" spans="1:35">
      <c r="A700" s="198">
        <v>139</v>
      </c>
      <c r="B700" s="195" t="s">
        <v>283</v>
      </c>
      <c r="C700" s="196">
        <v>1340000</v>
      </c>
      <c r="D700" s="196"/>
      <c r="E700" s="196"/>
      <c r="F700" s="196"/>
      <c r="G700" s="196"/>
      <c r="H700" s="196"/>
      <c r="I700" s="196"/>
      <c r="J700" s="196"/>
      <c r="K700" s="196">
        <v>1340000</v>
      </c>
      <c r="L700" s="194">
        <v>0</v>
      </c>
      <c r="M700" s="196">
        <v>0</v>
      </c>
      <c r="N700" s="196">
        <v>0</v>
      </c>
      <c r="O700" s="196">
        <v>0</v>
      </c>
      <c r="P700" s="194">
        <v>0</v>
      </c>
      <c r="Q700" s="196">
        <v>0</v>
      </c>
      <c r="R700" s="197">
        <v>0</v>
      </c>
      <c r="S700" s="196">
        <v>0</v>
      </c>
      <c r="T700" s="197">
        <v>0</v>
      </c>
      <c r="U700" s="288">
        <v>0</v>
      </c>
      <c r="V700" s="282">
        <f>C700-'часть 1'!L711</f>
        <v>759422</v>
      </c>
      <c r="W700" s="282"/>
      <c r="X700" s="28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296"/>
    </row>
    <row r="701" spans="1:35">
      <c r="A701" s="198">
        <v>140</v>
      </c>
      <c r="B701" s="195" t="s">
        <v>450</v>
      </c>
      <c r="C701" s="196">
        <v>2294529</v>
      </c>
      <c r="D701" s="196"/>
      <c r="E701" s="196"/>
      <c r="F701" s="196"/>
      <c r="G701" s="196"/>
      <c r="H701" s="196"/>
      <c r="I701" s="196"/>
      <c r="J701" s="196"/>
      <c r="K701" s="196">
        <v>0</v>
      </c>
      <c r="L701" s="194">
        <v>0</v>
      </c>
      <c r="M701" s="196">
        <v>0</v>
      </c>
      <c r="N701" s="196">
        <v>1162</v>
      </c>
      <c r="O701" s="196">
        <v>2294529</v>
      </c>
      <c r="P701" s="194">
        <v>0</v>
      </c>
      <c r="Q701" s="196">
        <v>0</v>
      </c>
      <c r="R701" s="197">
        <v>0</v>
      </c>
      <c r="S701" s="196">
        <v>0</v>
      </c>
      <c r="T701" s="197">
        <v>0</v>
      </c>
      <c r="U701" s="288">
        <v>0</v>
      </c>
      <c r="V701" s="282">
        <f>C701-'часть 1'!L712</f>
        <v>1679172</v>
      </c>
      <c r="W701" s="282"/>
      <c r="X701" s="28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296"/>
    </row>
    <row r="702" spans="1:35">
      <c r="A702" s="198">
        <v>141</v>
      </c>
      <c r="B702" s="195" t="s">
        <v>230</v>
      </c>
      <c r="C702" s="196">
        <v>2615616.2000000002</v>
      </c>
      <c r="D702" s="196"/>
      <c r="E702" s="196"/>
      <c r="F702" s="196"/>
      <c r="G702" s="196"/>
      <c r="H702" s="196"/>
      <c r="I702" s="196"/>
      <c r="J702" s="196"/>
      <c r="K702" s="196">
        <v>0</v>
      </c>
      <c r="L702" s="194">
        <v>0</v>
      </c>
      <c r="M702" s="196">
        <v>0</v>
      </c>
      <c r="N702" s="196">
        <v>0</v>
      </c>
      <c r="O702" s="196">
        <v>0</v>
      </c>
      <c r="P702" s="194">
        <v>0</v>
      </c>
      <c r="Q702" s="196">
        <v>0</v>
      </c>
      <c r="R702" s="196">
        <v>2540</v>
      </c>
      <c r="S702" s="196">
        <v>2615616.2000000002</v>
      </c>
      <c r="T702" s="197">
        <v>0</v>
      </c>
      <c r="U702" s="288">
        <v>0</v>
      </c>
      <c r="V702" s="282">
        <f>C702-'часть 1'!L713</f>
        <v>2345668.0700000003</v>
      </c>
      <c r="W702" s="282"/>
      <c r="X702" s="28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296"/>
    </row>
    <row r="703" spans="1:35">
      <c r="A703" s="198">
        <v>142</v>
      </c>
      <c r="B703" s="195" t="s">
        <v>295</v>
      </c>
      <c r="C703" s="196">
        <v>1561539</v>
      </c>
      <c r="D703" s="196"/>
      <c r="E703" s="196"/>
      <c r="F703" s="196"/>
      <c r="G703" s="196"/>
      <c r="H703" s="196"/>
      <c r="I703" s="196"/>
      <c r="J703" s="196"/>
      <c r="K703" s="196">
        <v>0</v>
      </c>
      <c r="L703" s="194">
        <v>0</v>
      </c>
      <c r="M703" s="196">
        <v>0</v>
      </c>
      <c r="N703" s="196">
        <v>787.85</v>
      </c>
      <c r="O703" s="196">
        <v>1561539</v>
      </c>
      <c r="P703" s="201">
        <v>0</v>
      </c>
      <c r="Q703" s="196">
        <v>0</v>
      </c>
      <c r="R703" s="200">
        <v>0</v>
      </c>
      <c r="S703" s="196">
        <v>0</v>
      </c>
      <c r="T703" s="197">
        <v>0</v>
      </c>
      <c r="U703" s="288">
        <v>0</v>
      </c>
      <c r="V703" s="282">
        <f>C703-'часть 1'!L714</f>
        <v>753559</v>
      </c>
      <c r="W703" s="282"/>
      <c r="X703" s="28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296"/>
    </row>
    <row r="704" spans="1:35">
      <c r="A704" s="198">
        <v>143</v>
      </c>
      <c r="B704" s="195" t="s">
        <v>294</v>
      </c>
      <c r="C704" s="196">
        <v>1421187</v>
      </c>
      <c r="D704" s="196"/>
      <c r="E704" s="196"/>
      <c r="F704" s="196"/>
      <c r="G704" s="196"/>
      <c r="H704" s="196"/>
      <c r="I704" s="196"/>
      <c r="J704" s="196"/>
      <c r="K704" s="196">
        <v>0</v>
      </c>
      <c r="L704" s="194">
        <v>0</v>
      </c>
      <c r="M704" s="196">
        <v>0</v>
      </c>
      <c r="N704" s="196">
        <v>687</v>
      </c>
      <c r="O704" s="199">
        <v>1421187</v>
      </c>
      <c r="P704" s="194">
        <v>0</v>
      </c>
      <c r="Q704" s="196">
        <v>0</v>
      </c>
      <c r="R704" s="200">
        <v>0</v>
      </c>
      <c r="S704" s="196">
        <v>0</v>
      </c>
      <c r="T704" s="197">
        <v>0</v>
      </c>
      <c r="U704" s="288">
        <v>0</v>
      </c>
      <c r="V704" s="282">
        <f>C704-'часть 1'!L715</f>
        <v>759662</v>
      </c>
      <c r="W704" s="282"/>
      <c r="X704" s="28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296"/>
    </row>
    <row r="705" spans="1:35">
      <c r="A705" s="198">
        <v>144</v>
      </c>
      <c r="B705" s="195" t="s">
        <v>270</v>
      </c>
      <c r="C705" s="196">
        <v>2469740</v>
      </c>
      <c r="D705" s="196"/>
      <c r="E705" s="196"/>
      <c r="F705" s="196"/>
      <c r="G705" s="196"/>
      <c r="H705" s="196"/>
      <c r="I705" s="196"/>
      <c r="J705" s="196"/>
      <c r="K705" s="196">
        <v>757154</v>
      </c>
      <c r="L705" s="194">
        <v>0</v>
      </c>
      <c r="M705" s="196">
        <v>0</v>
      </c>
      <c r="N705" s="196">
        <v>868.1</v>
      </c>
      <c r="O705" s="196">
        <v>1712586</v>
      </c>
      <c r="P705" s="194">
        <v>0</v>
      </c>
      <c r="Q705" s="196">
        <v>0</v>
      </c>
      <c r="R705" s="197">
        <v>0</v>
      </c>
      <c r="S705" s="196">
        <v>0</v>
      </c>
      <c r="T705" s="197">
        <v>0</v>
      </c>
      <c r="U705" s="288">
        <v>0</v>
      </c>
      <c r="V705" s="282">
        <f>C705-'часть 1'!L716</f>
        <v>-1250145</v>
      </c>
      <c r="W705" s="282"/>
      <c r="X705" s="28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296"/>
    </row>
    <row r="706" spans="1:35">
      <c r="A706" s="198">
        <v>145</v>
      </c>
      <c r="B706" s="195" t="s">
        <v>252</v>
      </c>
      <c r="C706" s="196">
        <v>1104857</v>
      </c>
      <c r="D706" s="196"/>
      <c r="E706" s="196"/>
      <c r="F706" s="196"/>
      <c r="G706" s="196"/>
      <c r="H706" s="196"/>
      <c r="I706" s="196"/>
      <c r="J706" s="196"/>
      <c r="K706" s="196">
        <v>0</v>
      </c>
      <c r="L706" s="194">
        <v>0</v>
      </c>
      <c r="M706" s="196">
        <v>0</v>
      </c>
      <c r="N706" s="196">
        <v>545.6</v>
      </c>
      <c r="O706" s="196">
        <v>1104857</v>
      </c>
      <c r="P706" s="194">
        <v>0</v>
      </c>
      <c r="Q706" s="196">
        <v>0</v>
      </c>
      <c r="R706" s="200">
        <v>0</v>
      </c>
      <c r="S706" s="196">
        <v>0</v>
      </c>
      <c r="T706" s="197">
        <v>0</v>
      </c>
      <c r="U706" s="288">
        <v>0</v>
      </c>
      <c r="V706" s="282">
        <f>C706-'часть 1'!L717</f>
        <v>-621534</v>
      </c>
      <c r="W706" s="282"/>
      <c r="X706" s="28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296"/>
    </row>
    <row r="707" spans="1:35">
      <c r="A707" s="198">
        <v>146</v>
      </c>
      <c r="B707" s="195" t="s">
        <v>304</v>
      </c>
      <c r="C707" s="196">
        <v>1877378</v>
      </c>
      <c r="D707" s="196"/>
      <c r="E707" s="196"/>
      <c r="F707" s="196"/>
      <c r="G707" s="196"/>
      <c r="H707" s="196"/>
      <c r="I707" s="196"/>
      <c r="J707" s="196"/>
      <c r="K707" s="196">
        <v>0</v>
      </c>
      <c r="L707" s="194">
        <v>1</v>
      </c>
      <c r="M707" s="199">
        <v>1877378</v>
      </c>
      <c r="N707" s="196">
        <v>0</v>
      </c>
      <c r="O707" s="196">
        <v>0</v>
      </c>
      <c r="P707" s="194">
        <v>0</v>
      </c>
      <c r="Q707" s="196">
        <v>0</v>
      </c>
      <c r="R707" s="197">
        <v>0</v>
      </c>
      <c r="S707" s="196">
        <v>0</v>
      </c>
      <c r="T707" s="197">
        <v>0</v>
      </c>
      <c r="U707" s="288">
        <v>0</v>
      </c>
      <c r="V707" s="282">
        <f>C707-'часть 1'!L718</f>
        <v>355624</v>
      </c>
      <c r="W707" s="282"/>
      <c r="X707" s="28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296"/>
    </row>
    <row r="708" spans="1:35">
      <c r="A708" s="198">
        <v>147</v>
      </c>
      <c r="B708" s="195" t="s">
        <v>228</v>
      </c>
      <c r="C708" s="196">
        <v>2945836</v>
      </c>
      <c r="D708" s="196"/>
      <c r="E708" s="196"/>
      <c r="F708" s="196"/>
      <c r="G708" s="196"/>
      <c r="H708" s="196"/>
      <c r="I708" s="196"/>
      <c r="J708" s="196"/>
      <c r="K708" s="196" t="e">
        <f>#REF!</f>
        <v>#REF!</v>
      </c>
      <c r="L708" s="194">
        <v>0</v>
      </c>
      <c r="M708" s="196">
        <v>0</v>
      </c>
      <c r="N708" s="196">
        <v>0</v>
      </c>
      <c r="O708" s="196">
        <v>0</v>
      </c>
      <c r="P708" s="194">
        <v>0</v>
      </c>
      <c r="Q708" s="196">
        <v>0</v>
      </c>
      <c r="R708" s="197">
        <v>0</v>
      </c>
      <c r="S708" s="196">
        <v>0</v>
      </c>
      <c r="T708" s="197">
        <v>0</v>
      </c>
      <c r="U708" s="288">
        <v>0</v>
      </c>
      <c r="V708" s="282">
        <f>C708-'часть 1'!L719</f>
        <v>2274331</v>
      </c>
      <c r="W708" s="282"/>
      <c r="X708" s="282"/>
      <c r="Y708" s="12"/>
      <c r="Z708" s="12"/>
      <c r="AA708" s="12"/>
      <c r="AB708" s="274"/>
      <c r="AC708" s="12"/>
      <c r="AD708" s="12"/>
      <c r="AE708" s="12"/>
      <c r="AF708" s="274"/>
      <c r="AG708" s="12"/>
      <c r="AH708" s="12"/>
      <c r="AI708" s="296"/>
    </row>
    <row r="709" spans="1:35">
      <c r="A709" s="198">
        <v>148</v>
      </c>
      <c r="B709" s="195" t="s">
        <v>225</v>
      </c>
      <c r="C709" s="196">
        <v>1118494</v>
      </c>
      <c r="D709" s="196"/>
      <c r="E709" s="196"/>
      <c r="F709" s="196"/>
      <c r="G709" s="196"/>
      <c r="H709" s="196"/>
      <c r="I709" s="196"/>
      <c r="J709" s="196"/>
      <c r="K709" s="196">
        <v>1118494</v>
      </c>
      <c r="L709" s="194">
        <v>0</v>
      </c>
      <c r="M709" s="196">
        <v>0</v>
      </c>
      <c r="N709" s="199">
        <v>0</v>
      </c>
      <c r="O709" s="196">
        <v>0</v>
      </c>
      <c r="P709" s="194">
        <v>0</v>
      </c>
      <c r="Q709" s="196">
        <v>0</v>
      </c>
      <c r="R709" s="200">
        <v>0</v>
      </c>
      <c r="S709" s="196">
        <v>0</v>
      </c>
      <c r="T709" s="197">
        <v>0</v>
      </c>
      <c r="U709" s="288">
        <v>0</v>
      </c>
      <c r="V709" s="282">
        <f>C709-'часть 1'!L720</f>
        <v>36776</v>
      </c>
      <c r="W709" s="282"/>
      <c r="X709" s="28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296"/>
    </row>
    <row r="710" spans="1:35">
      <c r="A710" s="198">
        <v>149</v>
      </c>
      <c r="B710" s="195" t="s">
        <v>232</v>
      </c>
      <c r="C710" s="196">
        <v>2540427</v>
      </c>
      <c r="D710" s="196"/>
      <c r="E710" s="196"/>
      <c r="F710" s="196"/>
      <c r="G710" s="196"/>
      <c r="H710" s="196"/>
      <c r="I710" s="196"/>
      <c r="J710" s="196"/>
      <c r="K710" s="196">
        <v>0</v>
      </c>
      <c r="L710" s="194">
        <v>0</v>
      </c>
      <c r="M710" s="196">
        <v>0</v>
      </c>
      <c r="N710" s="196">
        <v>592</v>
      </c>
      <c r="O710" s="196">
        <v>1201460</v>
      </c>
      <c r="P710" s="194">
        <v>0</v>
      </c>
      <c r="Q710" s="196">
        <v>0</v>
      </c>
      <c r="R710" s="196">
        <v>922</v>
      </c>
      <c r="S710" s="196">
        <v>1338967</v>
      </c>
      <c r="T710" s="197">
        <v>0</v>
      </c>
      <c r="U710" s="288">
        <v>0</v>
      </c>
      <c r="V710" s="282">
        <f>C710-'часть 1'!L721</f>
        <v>2333792</v>
      </c>
      <c r="W710" s="282"/>
      <c r="X710" s="28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296"/>
    </row>
    <row r="711" spans="1:35">
      <c r="A711" s="198">
        <v>150</v>
      </c>
      <c r="B711" s="195" t="s">
        <v>275</v>
      </c>
      <c r="C711" s="196">
        <v>2253297</v>
      </c>
      <c r="D711" s="196"/>
      <c r="E711" s="196"/>
      <c r="F711" s="196"/>
      <c r="G711" s="196"/>
      <c r="H711" s="196"/>
      <c r="I711" s="196"/>
      <c r="J711" s="196"/>
      <c r="K711" s="196">
        <v>0</v>
      </c>
      <c r="L711" s="194">
        <v>0</v>
      </c>
      <c r="M711" s="196">
        <v>0</v>
      </c>
      <c r="N711" s="196">
        <v>1126</v>
      </c>
      <c r="O711" s="196">
        <v>2253297</v>
      </c>
      <c r="P711" s="194">
        <v>0</v>
      </c>
      <c r="Q711" s="196">
        <v>0</v>
      </c>
      <c r="R711" s="197">
        <v>0</v>
      </c>
      <c r="S711" s="196">
        <v>0</v>
      </c>
      <c r="T711" s="197">
        <v>0</v>
      </c>
      <c r="U711" s="288">
        <v>0</v>
      </c>
      <c r="V711" s="282">
        <f>C711-'часть 1'!L722</f>
        <v>1209215.96</v>
      </c>
      <c r="W711" s="282"/>
      <c r="X711" s="28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296"/>
    </row>
    <row r="712" spans="1:35" s="278" customFormat="1">
      <c r="A712" s="194">
        <v>151</v>
      </c>
      <c r="B712" s="195" t="s">
        <v>286</v>
      </c>
      <c r="C712" s="196">
        <v>1390061</v>
      </c>
      <c r="D712" s="196"/>
      <c r="E712" s="196"/>
      <c r="F712" s="196"/>
      <c r="G712" s="196"/>
      <c r="H712" s="196"/>
      <c r="I712" s="196"/>
      <c r="J712" s="196"/>
      <c r="K712" s="196" t="e">
        <f>#REF!</f>
        <v>#REF!</v>
      </c>
      <c r="L712" s="194">
        <v>0</v>
      </c>
      <c r="M712" s="196">
        <v>0</v>
      </c>
      <c r="N712" s="196">
        <v>0</v>
      </c>
      <c r="O712" s="196">
        <v>0</v>
      </c>
      <c r="P712" s="194">
        <v>0</v>
      </c>
      <c r="Q712" s="196">
        <v>0</v>
      </c>
      <c r="R712" s="197">
        <v>0</v>
      </c>
      <c r="S712" s="196">
        <v>0</v>
      </c>
      <c r="T712" s="197">
        <v>0</v>
      </c>
      <c r="U712" s="288">
        <v>0</v>
      </c>
      <c r="V712" s="282">
        <f>C712-'часть 1'!L723</f>
        <v>50061</v>
      </c>
      <c r="W712" s="282"/>
      <c r="X712" s="28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296"/>
    </row>
    <row r="713" spans="1:35" ht="27.6">
      <c r="A713" s="198">
        <v>152</v>
      </c>
      <c r="B713" s="195" t="s">
        <v>342</v>
      </c>
      <c r="C713" s="196">
        <v>3213804</v>
      </c>
      <c r="D713" s="196"/>
      <c r="E713" s="196"/>
      <c r="F713" s="196"/>
      <c r="G713" s="196"/>
      <c r="H713" s="196"/>
      <c r="I713" s="196"/>
      <c r="J713" s="196"/>
      <c r="K713" s="196">
        <v>846948</v>
      </c>
      <c r="L713" s="194">
        <v>0</v>
      </c>
      <c r="M713" s="196">
        <v>0</v>
      </c>
      <c r="N713" s="196">
        <v>1200</v>
      </c>
      <c r="O713" s="196">
        <v>2366856</v>
      </c>
      <c r="P713" s="194">
        <v>0</v>
      </c>
      <c r="Q713" s="196">
        <v>0</v>
      </c>
      <c r="R713" s="197">
        <v>0</v>
      </c>
      <c r="S713" s="196">
        <v>0</v>
      </c>
      <c r="T713" s="197">
        <v>0</v>
      </c>
      <c r="U713" s="288">
        <v>0</v>
      </c>
      <c r="V713" s="282">
        <f>C713-'часть 1'!L724</f>
        <v>919275</v>
      </c>
      <c r="W713" s="282"/>
      <c r="X713" s="28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296"/>
    </row>
    <row r="714" spans="1:35">
      <c r="A714" s="198">
        <v>153</v>
      </c>
      <c r="B714" s="195" t="s">
        <v>298</v>
      </c>
      <c r="C714" s="196">
        <v>3202371</v>
      </c>
      <c r="D714" s="196"/>
      <c r="E714" s="196"/>
      <c r="F714" s="196"/>
      <c r="G714" s="196"/>
      <c r="H714" s="196"/>
      <c r="I714" s="196"/>
      <c r="J714" s="196"/>
      <c r="K714" s="196">
        <v>0</v>
      </c>
      <c r="L714" s="194">
        <v>0</v>
      </c>
      <c r="M714" s="196">
        <v>0</v>
      </c>
      <c r="N714" s="196">
        <v>0</v>
      </c>
      <c r="O714" s="196">
        <v>0</v>
      </c>
      <c r="P714" s="194">
        <v>0</v>
      </c>
      <c r="Q714" s="196">
        <v>0</v>
      </c>
      <c r="R714" s="196">
        <v>2220.83</v>
      </c>
      <c r="S714" s="196">
        <v>3202371</v>
      </c>
      <c r="T714" s="197">
        <v>0</v>
      </c>
      <c r="U714" s="288">
        <v>0</v>
      </c>
      <c r="V714" s="282">
        <f>C714-'часть 1'!L725</f>
        <v>586754.79999999981</v>
      </c>
      <c r="W714" s="282"/>
      <c r="X714" s="28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296"/>
    </row>
    <row r="715" spans="1:35">
      <c r="A715" s="198">
        <v>154</v>
      </c>
      <c r="B715" s="195" t="s">
        <v>253</v>
      </c>
      <c r="C715" s="196">
        <v>709022</v>
      </c>
      <c r="D715" s="196"/>
      <c r="E715" s="196"/>
      <c r="F715" s="196"/>
      <c r="G715" s="196"/>
      <c r="H715" s="196"/>
      <c r="I715" s="196"/>
      <c r="J715" s="196"/>
      <c r="K715" s="196">
        <v>0</v>
      </c>
      <c r="L715" s="194">
        <v>0</v>
      </c>
      <c r="M715" s="196">
        <v>0</v>
      </c>
      <c r="N715" s="196">
        <v>0</v>
      </c>
      <c r="O715" s="196">
        <v>0</v>
      </c>
      <c r="P715" s="194">
        <v>0</v>
      </c>
      <c r="Q715" s="196">
        <v>0</v>
      </c>
      <c r="R715" s="196">
        <v>486.6</v>
      </c>
      <c r="S715" s="199">
        <v>709022</v>
      </c>
      <c r="T715" s="197">
        <v>0</v>
      </c>
      <c r="U715" s="288">
        <v>0</v>
      </c>
      <c r="V715" s="282">
        <f>C715-'часть 1'!L726</f>
        <v>-852517</v>
      </c>
      <c r="W715" s="282"/>
      <c r="X715" s="28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296"/>
    </row>
    <row r="716" spans="1:35">
      <c r="A716" s="194">
        <v>155</v>
      </c>
      <c r="B716" s="195" t="s">
        <v>260</v>
      </c>
      <c r="C716" s="196">
        <v>1136930</v>
      </c>
      <c r="D716" s="196"/>
      <c r="E716" s="196"/>
      <c r="F716" s="196"/>
      <c r="G716" s="196"/>
      <c r="H716" s="196"/>
      <c r="I716" s="196"/>
      <c r="J716" s="196"/>
      <c r="K716" s="196">
        <v>0</v>
      </c>
      <c r="L716" s="194">
        <v>0</v>
      </c>
      <c r="M716" s="196">
        <v>0</v>
      </c>
      <c r="N716" s="196">
        <v>278</v>
      </c>
      <c r="O716" s="196">
        <v>570382</v>
      </c>
      <c r="P716" s="194">
        <v>0</v>
      </c>
      <c r="Q716" s="196">
        <v>0</v>
      </c>
      <c r="R716" s="196">
        <v>386.88</v>
      </c>
      <c r="S716" s="196">
        <v>566548</v>
      </c>
      <c r="T716" s="197">
        <v>0</v>
      </c>
      <c r="U716" s="288">
        <v>0</v>
      </c>
      <c r="V716" s="282">
        <f>C716-'часть 1'!L727</f>
        <v>-284257</v>
      </c>
      <c r="W716" s="282"/>
      <c r="X716" s="28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296"/>
    </row>
    <row r="717" spans="1:35">
      <c r="A717" s="198">
        <v>156</v>
      </c>
      <c r="B717" s="195" t="s">
        <v>349</v>
      </c>
      <c r="C717" s="196">
        <v>1320636</v>
      </c>
      <c r="D717" s="196"/>
      <c r="E717" s="196"/>
      <c r="F717" s="196"/>
      <c r="G717" s="196"/>
      <c r="H717" s="196"/>
      <c r="I717" s="196"/>
      <c r="J717" s="196"/>
      <c r="K717" s="196">
        <v>0</v>
      </c>
      <c r="L717" s="194">
        <v>0</v>
      </c>
      <c r="M717" s="196">
        <v>0</v>
      </c>
      <c r="N717" s="203">
        <v>662</v>
      </c>
      <c r="O717" s="199">
        <v>1320636</v>
      </c>
      <c r="P717" s="194">
        <v>0</v>
      </c>
      <c r="Q717" s="196">
        <v>0</v>
      </c>
      <c r="R717" s="197">
        <v>0</v>
      </c>
      <c r="S717" s="196">
        <v>0</v>
      </c>
      <c r="T717" s="197">
        <v>0</v>
      </c>
      <c r="U717" s="288">
        <v>0</v>
      </c>
      <c r="V717" s="282">
        <f>C717-'часть 1'!L728</f>
        <v>-1149104</v>
      </c>
      <c r="W717" s="282"/>
      <c r="X717" s="28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296"/>
    </row>
    <row r="718" spans="1:35">
      <c r="A718" s="198">
        <v>157</v>
      </c>
      <c r="B718" s="195" t="s">
        <v>302</v>
      </c>
      <c r="C718" s="196">
        <v>4265098</v>
      </c>
      <c r="D718" s="196"/>
      <c r="E718" s="196"/>
      <c r="F718" s="196"/>
      <c r="G718" s="196"/>
      <c r="H718" s="196"/>
      <c r="I718" s="196"/>
      <c r="J718" s="196"/>
      <c r="K718" s="196">
        <v>0</v>
      </c>
      <c r="L718" s="194">
        <v>0</v>
      </c>
      <c r="M718" s="196">
        <v>0</v>
      </c>
      <c r="N718" s="196">
        <v>0</v>
      </c>
      <c r="O718" s="196">
        <v>0</v>
      </c>
      <c r="P718" s="194">
        <v>0</v>
      </c>
      <c r="Q718" s="196">
        <v>0</v>
      </c>
      <c r="R718" s="196">
        <v>2927.5</v>
      </c>
      <c r="S718" s="196">
        <v>4265098</v>
      </c>
      <c r="T718" s="197">
        <v>0</v>
      </c>
      <c r="U718" s="288">
        <v>0</v>
      </c>
      <c r="V718" s="282">
        <f>C718-'часть 1'!L729</f>
        <v>3160241</v>
      </c>
      <c r="W718" s="282"/>
      <c r="X718" s="28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296"/>
    </row>
    <row r="719" spans="1:35">
      <c r="A719" s="198">
        <v>158</v>
      </c>
      <c r="B719" s="195" t="s">
        <v>341</v>
      </c>
      <c r="C719" s="196">
        <v>2115890</v>
      </c>
      <c r="D719" s="196"/>
      <c r="E719" s="196"/>
      <c r="F719" s="196"/>
      <c r="G719" s="196"/>
      <c r="H719" s="196"/>
      <c r="I719" s="196"/>
      <c r="J719" s="196"/>
      <c r="K719" s="196">
        <v>2115890</v>
      </c>
      <c r="L719" s="194">
        <v>0</v>
      </c>
      <c r="M719" s="196">
        <v>0</v>
      </c>
      <c r="N719" s="196">
        <v>0</v>
      </c>
      <c r="O719" s="196">
        <v>0</v>
      </c>
      <c r="P719" s="194">
        <v>0</v>
      </c>
      <c r="Q719" s="196">
        <v>0</v>
      </c>
      <c r="R719" s="197">
        <v>0</v>
      </c>
      <c r="S719" s="196">
        <v>0</v>
      </c>
      <c r="T719" s="197">
        <v>0</v>
      </c>
      <c r="U719" s="288">
        <v>0</v>
      </c>
      <c r="V719" s="282">
        <f>C719-'часть 1'!L730</f>
        <v>238512</v>
      </c>
      <c r="W719" s="282"/>
      <c r="X719" s="28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296"/>
    </row>
    <row r="720" spans="1:35">
      <c r="A720" s="198">
        <v>159</v>
      </c>
      <c r="B720" s="195" t="s">
        <v>242</v>
      </c>
      <c r="C720" s="196">
        <v>482251.51</v>
      </c>
      <c r="D720" s="196"/>
      <c r="E720" s="196"/>
      <c r="F720" s="196"/>
      <c r="G720" s="196"/>
      <c r="H720" s="196"/>
      <c r="I720" s="196"/>
      <c r="J720" s="196"/>
      <c r="K720" s="196">
        <v>482251.51</v>
      </c>
      <c r="L720" s="194">
        <v>0</v>
      </c>
      <c r="M720" s="196">
        <v>0</v>
      </c>
      <c r="N720" s="196">
        <v>0</v>
      </c>
      <c r="O720" s="196">
        <v>0</v>
      </c>
      <c r="P720" s="194">
        <v>0</v>
      </c>
      <c r="Q720" s="196">
        <v>0</v>
      </c>
      <c r="R720" s="197">
        <v>0</v>
      </c>
      <c r="S720" s="196">
        <v>0</v>
      </c>
      <c r="T720" s="197">
        <v>0</v>
      </c>
      <c r="U720" s="288">
        <v>0</v>
      </c>
      <c r="V720" s="282">
        <f>C720-'часть 1'!L731</f>
        <v>-2463584.4900000002</v>
      </c>
      <c r="W720" s="282"/>
      <c r="X720" s="28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296"/>
    </row>
    <row r="721" spans="1:35">
      <c r="A721" s="198">
        <v>160</v>
      </c>
      <c r="B721" s="195" t="s">
        <v>279</v>
      </c>
      <c r="C721" s="196">
        <v>1018040.92</v>
      </c>
      <c r="D721" s="196"/>
      <c r="E721" s="196"/>
      <c r="F721" s="196"/>
      <c r="G721" s="196"/>
      <c r="H721" s="196"/>
      <c r="I721" s="196"/>
      <c r="J721" s="196"/>
      <c r="K721" s="196">
        <v>0</v>
      </c>
      <c r="L721" s="194">
        <v>0</v>
      </c>
      <c r="M721" s="196">
        <v>0</v>
      </c>
      <c r="N721" s="196">
        <v>516.5</v>
      </c>
      <c r="O721" s="196">
        <v>1018040.92</v>
      </c>
      <c r="P721" s="194">
        <v>0</v>
      </c>
      <c r="Q721" s="196">
        <v>0</v>
      </c>
      <c r="R721" s="197">
        <v>0</v>
      </c>
      <c r="S721" s="196">
        <v>0</v>
      </c>
      <c r="T721" s="197">
        <v>0</v>
      </c>
      <c r="U721" s="288">
        <v>0</v>
      </c>
      <c r="V721" s="282">
        <f>C721-'часть 1'!L732</f>
        <v>-100453.07999999996</v>
      </c>
      <c r="W721" s="282"/>
      <c r="X721" s="28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296"/>
    </row>
    <row r="722" spans="1:35">
      <c r="A722" s="198">
        <v>161</v>
      </c>
      <c r="B722" s="195" t="s">
        <v>262</v>
      </c>
      <c r="C722" s="196">
        <v>1871554</v>
      </c>
      <c r="D722" s="196"/>
      <c r="E722" s="196"/>
      <c r="F722" s="196"/>
      <c r="G722" s="196"/>
      <c r="H722" s="196"/>
      <c r="I722" s="196"/>
      <c r="J722" s="196"/>
      <c r="K722" s="196">
        <v>0</v>
      </c>
      <c r="L722" s="194">
        <v>1</v>
      </c>
      <c r="M722" s="196">
        <v>1871554</v>
      </c>
      <c r="N722" s="196">
        <v>0</v>
      </c>
      <c r="O722" s="196">
        <v>0</v>
      </c>
      <c r="P722" s="194">
        <v>0</v>
      </c>
      <c r="Q722" s="196">
        <v>0</v>
      </c>
      <c r="R722" s="197">
        <v>0</v>
      </c>
      <c r="S722" s="196">
        <v>0</v>
      </c>
      <c r="T722" s="197">
        <v>0</v>
      </c>
      <c r="U722" s="288">
        <v>0</v>
      </c>
      <c r="V722" s="282">
        <f>C722-'часть 1'!L733</f>
        <v>-668873</v>
      </c>
      <c r="W722" s="282"/>
      <c r="X722" s="28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296"/>
    </row>
    <row r="723" spans="1:35">
      <c r="A723" s="198">
        <v>162</v>
      </c>
      <c r="B723" s="195" t="s">
        <v>290</v>
      </c>
      <c r="C723" s="196">
        <v>2652530</v>
      </c>
      <c r="D723" s="196"/>
      <c r="E723" s="196"/>
      <c r="F723" s="196"/>
      <c r="G723" s="196"/>
      <c r="H723" s="196"/>
      <c r="I723" s="196"/>
      <c r="J723" s="196"/>
      <c r="K723" s="196">
        <v>2652530</v>
      </c>
      <c r="L723" s="194">
        <v>0</v>
      </c>
      <c r="M723" s="196">
        <v>0</v>
      </c>
      <c r="N723" s="199">
        <v>0</v>
      </c>
      <c r="O723" s="196">
        <v>0</v>
      </c>
      <c r="P723" s="194">
        <v>0</v>
      </c>
      <c r="Q723" s="196">
        <v>0</v>
      </c>
      <c r="R723" s="200">
        <v>0</v>
      </c>
      <c r="S723" s="196">
        <v>0</v>
      </c>
      <c r="T723" s="197">
        <v>0</v>
      </c>
      <c r="U723" s="288">
        <v>0</v>
      </c>
      <c r="V723" s="282">
        <f>C723-'часть 1'!L734</f>
        <v>399233</v>
      </c>
      <c r="W723" s="282"/>
      <c r="X723" s="28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296"/>
    </row>
    <row r="724" spans="1:35">
      <c r="A724" s="198">
        <v>163</v>
      </c>
      <c r="B724" s="195" t="s">
        <v>356</v>
      </c>
      <c r="C724" s="196">
        <v>3645969</v>
      </c>
      <c r="D724" s="196"/>
      <c r="E724" s="196"/>
      <c r="F724" s="196"/>
      <c r="G724" s="196"/>
      <c r="H724" s="196"/>
      <c r="I724" s="196"/>
      <c r="J724" s="196"/>
      <c r="K724" s="196" t="e">
        <f>#REF!</f>
        <v>#REF!</v>
      </c>
      <c r="L724" s="194">
        <v>0</v>
      </c>
      <c r="M724" s="196">
        <v>0</v>
      </c>
      <c r="N724" s="196">
        <v>0</v>
      </c>
      <c r="O724" s="196">
        <v>0</v>
      </c>
      <c r="P724" s="194">
        <v>0</v>
      </c>
      <c r="Q724" s="196">
        <v>0</v>
      </c>
      <c r="R724" s="200">
        <v>0</v>
      </c>
      <c r="S724" s="196">
        <v>0</v>
      </c>
      <c r="T724" s="197">
        <v>0</v>
      </c>
      <c r="U724" s="288">
        <v>0</v>
      </c>
      <c r="V724" s="282">
        <f>C724-'часть 1'!L735</f>
        <v>2255908</v>
      </c>
      <c r="W724" s="282"/>
      <c r="X724" s="282"/>
      <c r="Y724" s="12"/>
      <c r="Z724" s="12"/>
      <c r="AA724" s="12"/>
      <c r="AB724" s="12"/>
      <c r="AC724" s="4"/>
      <c r="AD724" s="12"/>
      <c r="AE724" s="12"/>
      <c r="AF724" s="12"/>
      <c r="AG724" s="12"/>
      <c r="AH724" s="12"/>
      <c r="AI724" s="296"/>
    </row>
    <row r="725" spans="1:35">
      <c r="A725" s="198">
        <v>164</v>
      </c>
      <c r="B725" s="195" t="s">
        <v>354</v>
      </c>
      <c r="C725" s="196">
        <v>771330</v>
      </c>
      <c r="D725" s="196"/>
      <c r="E725" s="196"/>
      <c r="F725" s="196"/>
      <c r="G725" s="196"/>
      <c r="H725" s="196"/>
      <c r="I725" s="196"/>
      <c r="J725" s="196"/>
      <c r="K725" s="196">
        <v>0</v>
      </c>
      <c r="L725" s="194">
        <v>0</v>
      </c>
      <c r="M725" s="196">
        <v>0</v>
      </c>
      <c r="N725" s="196">
        <v>376</v>
      </c>
      <c r="O725" s="196">
        <v>771330</v>
      </c>
      <c r="P725" s="194">
        <v>0</v>
      </c>
      <c r="Q725" s="196">
        <v>0</v>
      </c>
      <c r="R725" s="197">
        <v>0</v>
      </c>
      <c r="S725" s="196">
        <v>0</v>
      </c>
      <c r="T725" s="197">
        <v>0</v>
      </c>
      <c r="U725" s="288">
        <v>0</v>
      </c>
      <c r="V725" s="282">
        <f>C725-'часть 1'!L736</f>
        <v>-2442474</v>
      </c>
      <c r="W725" s="282"/>
      <c r="X725" s="28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296"/>
    </row>
    <row r="726" spans="1:35">
      <c r="A726" s="198">
        <v>165</v>
      </c>
      <c r="B726" s="195" t="s">
        <v>352</v>
      </c>
      <c r="C726" s="196">
        <v>1894719</v>
      </c>
      <c r="D726" s="196"/>
      <c r="E726" s="196"/>
      <c r="F726" s="196"/>
      <c r="G726" s="196"/>
      <c r="H726" s="196"/>
      <c r="I726" s="196"/>
      <c r="J726" s="196"/>
      <c r="K726" s="196">
        <v>0</v>
      </c>
      <c r="L726" s="194">
        <v>1</v>
      </c>
      <c r="M726" s="196">
        <v>1894719</v>
      </c>
      <c r="N726" s="196">
        <v>0</v>
      </c>
      <c r="O726" s="196">
        <v>0</v>
      </c>
      <c r="P726" s="194">
        <v>0</v>
      </c>
      <c r="Q726" s="196">
        <v>0</v>
      </c>
      <c r="R726" s="197">
        <v>0</v>
      </c>
      <c r="S726" s="196">
        <v>0</v>
      </c>
      <c r="T726" s="197">
        <v>0</v>
      </c>
      <c r="U726" s="288">
        <v>0</v>
      </c>
      <c r="V726" s="282">
        <f>C726-'часть 1'!L737</f>
        <v>-1307652</v>
      </c>
      <c r="W726" s="282"/>
      <c r="X726" s="28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296"/>
    </row>
    <row r="727" spans="1:35">
      <c r="A727" s="198">
        <v>166</v>
      </c>
      <c r="B727" s="195" t="s">
        <v>355</v>
      </c>
      <c r="C727" s="196">
        <v>1492412</v>
      </c>
      <c r="D727" s="196"/>
      <c r="E727" s="196"/>
      <c r="F727" s="196"/>
      <c r="G727" s="196"/>
      <c r="H727" s="196"/>
      <c r="I727" s="196"/>
      <c r="J727" s="196"/>
      <c r="K727" s="196">
        <v>0</v>
      </c>
      <c r="L727" s="194">
        <v>0</v>
      </c>
      <c r="M727" s="196">
        <v>0</v>
      </c>
      <c r="N727" s="196">
        <v>752</v>
      </c>
      <c r="O727" s="196">
        <v>1492412</v>
      </c>
      <c r="P727" s="194">
        <v>0</v>
      </c>
      <c r="Q727" s="196">
        <v>0</v>
      </c>
      <c r="R727" s="197">
        <v>0</v>
      </c>
      <c r="S727" s="196">
        <v>0</v>
      </c>
      <c r="T727" s="197">
        <v>0</v>
      </c>
      <c r="U727" s="288">
        <v>0</v>
      </c>
      <c r="V727" s="282">
        <f>C727-'часть 1'!L738</f>
        <v>783390</v>
      </c>
      <c r="W727" s="282"/>
      <c r="X727" s="28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296"/>
    </row>
    <row r="728" spans="1:35">
      <c r="A728" s="198">
        <v>167</v>
      </c>
      <c r="B728" s="195" t="s">
        <v>318</v>
      </c>
      <c r="C728" s="196">
        <v>651523.25</v>
      </c>
      <c r="D728" s="196"/>
      <c r="E728" s="196"/>
      <c r="F728" s="196"/>
      <c r="G728" s="196"/>
      <c r="H728" s="196"/>
      <c r="I728" s="196"/>
      <c r="J728" s="196"/>
      <c r="K728" s="196">
        <v>651523.25</v>
      </c>
      <c r="L728" s="194">
        <v>0</v>
      </c>
      <c r="M728" s="196">
        <v>0</v>
      </c>
      <c r="N728" s="199">
        <v>0</v>
      </c>
      <c r="O728" s="196">
        <v>0</v>
      </c>
      <c r="P728" s="194">
        <v>0</v>
      </c>
      <c r="Q728" s="196">
        <v>0</v>
      </c>
      <c r="R728" s="200">
        <v>0</v>
      </c>
      <c r="S728" s="196">
        <v>0</v>
      </c>
      <c r="T728" s="197">
        <v>0</v>
      </c>
      <c r="U728" s="288">
        <v>0</v>
      </c>
      <c r="V728" s="282">
        <f>C728-'часть 1'!L739</f>
        <v>-485406.75</v>
      </c>
      <c r="W728" s="282"/>
      <c r="X728" s="28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296"/>
    </row>
    <row r="729" spans="1:35" ht="15" thickBot="1">
      <c r="A729" s="198">
        <v>168</v>
      </c>
      <c r="B729" s="195" t="s">
        <v>353</v>
      </c>
      <c r="C729" s="196">
        <v>1221424.83</v>
      </c>
      <c r="D729" s="196"/>
      <c r="E729" s="196"/>
      <c r="F729" s="196"/>
      <c r="G729" s="196"/>
      <c r="H729" s="196"/>
      <c r="I729" s="196"/>
      <c r="J729" s="196"/>
      <c r="K729" s="196">
        <v>0</v>
      </c>
      <c r="L729" s="194">
        <v>0</v>
      </c>
      <c r="M729" s="196">
        <v>0</v>
      </c>
      <c r="N729" s="196">
        <v>640</v>
      </c>
      <c r="O729" s="196">
        <v>1221424.83</v>
      </c>
      <c r="P729" s="194">
        <v>0</v>
      </c>
      <c r="Q729" s="196">
        <v>0</v>
      </c>
      <c r="R729" s="200">
        <v>0</v>
      </c>
      <c r="S729" s="196">
        <v>0</v>
      </c>
      <c r="T729" s="197">
        <v>0</v>
      </c>
      <c r="U729" s="288">
        <v>0</v>
      </c>
      <c r="V729" s="282">
        <f>C729-'часть 1'!L740</f>
        <v>-99211.169999999925</v>
      </c>
      <c r="W729" s="282"/>
      <c r="X729" s="282"/>
      <c r="Y729" s="65"/>
      <c r="Z729" s="12"/>
      <c r="AA729" s="65"/>
      <c r="AB729" s="12"/>
      <c r="AC729" s="65"/>
      <c r="AD729" s="12"/>
      <c r="AE729" s="65"/>
      <c r="AF729" s="12"/>
      <c r="AG729" s="65"/>
      <c r="AH729" s="12"/>
      <c r="AI729" s="299"/>
    </row>
    <row r="730" spans="1:35" ht="31.5" customHeight="1">
      <c r="A730" s="198"/>
      <c r="B730" s="195" t="s">
        <v>91</v>
      </c>
      <c r="C730" s="196">
        <f>C731+C732+C733+C734+C735+C736+C737+C738+C739+C740+C741+C742+C743</f>
        <v>21022265</v>
      </c>
      <c r="D730" s="196">
        <f t="shared" ref="D730:V730" si="89">D731+D732+D733+D734+D735+D736+D737+D738+D739+D740+D741+D742+D743</f>
        <v>0</v>
      </c>
      <c r="E730" s="196">
        <f t="shared" si="89"/>
        <v>0</v>
      </c>
      <c r="F730" s="196">
        <f t="shared" si="89"/>
        <v>0</v>
      </c>
      <c r="G730" s="196">
        <f t="shared" si="89"/>
        <v>0</v>
      </c>
      <c r="H730" s="196">
        <f t="shared" si="89"/>
        <v>0</v>
      </c>
      <c r="I730" s="196">
        <f t="shared" si="89"/>
        <v>0</v>
      </c>
      <c r="J730" s="196">
        <f t="shared" si="89"/>
        <v>0</v>
      </c>
      <c r="K730" s="196">
        <f t="shared" si="89"/>
        <v>0</v>
      </c>
      <c r="L730" s="196">
        <f t="shared" si="89"/>
        <v>0</v>
      </c>
      <c r="M730" s="196">
        <f t="shared" si="89"/>
        <v>0</v>
      </c>
      <c r="N730" s="196">
        <f t="shared" si="89"/>
        <v>7004.99</v>
      </c>
      <c r="O730" s="196">
        <f t="shared" si="89"/>
        <v>21022265</v>
      </c>
      <c r="P730" s="196">
        <f t="shared" si="89"/>
        <v>0</v>
      </c>
      <c r="Q730" s="196">
        <f t="shared" si="89"/>
        <v>0</v>
      </c>
      <c r="R730" s="196">
        <f t="shared" si="89"/>
        <v>0</v>
      </c>
      <c r="S730" s="196">
        <f t="shared" si="89"/>
        <v>0</v>
      </c>
      <c r="T730" s="196">
        <f t="shared" si="89"/>
        <v>0</v>
      </c>
      <c r="U730" s="196">
        <f t="shared" si="89"/>
        <v>0</v>
      </c>
      <c r="V730" s="196">
        <f t="shared" si="89"/>
        <v>0</v>
      </c>
      <c r="W730" s="282"/>
      <c r="X730" s="282"/>
    </row>
    <row r="731" spans="1:35" ht="15.6">
      <c r="A731" s="198">
        <v>169</v>
      </c>
      <c r="B731" s="941" t="s">
        <v>949</v>
      </c>
      <c r="C731" s="196">
        <f>'часть 1'!L754</f>
        <v>2589031</v>
      </c>
      <c r="D731" s="196">
        <v>0</v>
      </c>
      <c r="E731" s="196">
        <v>0</v>
      </c>
      <c r="F731" s="196">
        <v>0</v>
      </c>
      <c r="G731" s="196">
        <v>0</v>
      </c>
      <c r="H731" s="196">
        <v>0</v>
      </c>
      <c r="I731" s="196">
        <v>0</v>
      </c>
      <c r="J731" s="196">
        <v>0</v>
      </c>
      <c r="K731" s="196">
        <v>0</v>
      </c>
      <c r="L731" s="207">
        <v>0</v>
      </c>
      <c r="M731" s="199">
        <v>0</v>
      </c>
      <c r="N731" s="199">
        <v>1034</v>
      </c>
      <c r="O731" s="199">
        <f>C731</f>
        <v>2589031</v>
      </c>
      <c r="P731" s="208">
        <v>0</v>
      </c>
      <c r="Q731" s="199">
        <v>0</v>
      </c>
      <c r="R731" s="200">
        <v>0</v>
      </c>
      <c r="S731" s="209">
        <v>0</v>
      </c>
      <c r="T731" s="208">
        <v>0</v>
      </c>
      <c r="U731" s="289">
        <v>0</v>
      </c>
      <c r="V731" s="282"/>
      <c r="W731" s="282">
        <f>O731/N731</f>
        <v>2503.8984526112185</v>
      </c>
      <c r="X731" s="282"/>
    </row>
    <row r="732" spans="1:35" ht="15.6">
      <c r="A732" s="198">
        <v>170</v>
      </c>
      <c r="B732" s="941" t="s">
        <v>950</v>
      </c>
      <c r="C732" s="196">
        <f>'часть 1'!L755</f>
        <v>2100989</v>
      </c>
      <c r="D732" s="196">
        <v>0</v>
      </c>
      <c r="E732" s="196">
        <v>0</v>
      </c>
      <c r="F732" s="196">
        <v>0</v>
      </c>
      <c r="G732" s="196">
        <v>0</v>
      </c>
      <c r="H732" s="196">
        <v>0</v>
      </c>
      <c r="I732" s="196">
        <v>0</v>
      </c>
      <c r="J732" s="196">
        <v>0</v>
      </c>
      <c r="K732" s="196">
        <v>0</v>
      </c>
      <c r="L732" s="207">
        <v>0</v>
      </c>
      <c r="M732" s="199">
        <v>0</v>
      </c>
      <c r="N732" s="199">
        <v>660</v>
      </c>
      <c r="O732" s="199">
        <f t="shared" ref="O732:O743" si="90">C732</f>
        <v>2100989</v>
      </c>
      <c r="P732" s="208">
        <v>0</v>
      </c>
      <c r="Q732" s="199">
        <v>0</v>
      </c>
      <c r="R732" s="200">
        <v>0</v>
      </c>
      <c r="S732" s="209">
        <v>0</v>
      </c>
      <c r="T732" s="208">
        <v>0</v>
      </c>
      <c r="U732" s="289">
        <v>0</v>
      </c>
      <c r="V732" s="282"/>
      <c r="W732" s="282">
        <f t="shared" ref="W732:W743" si="91">O732/N732</f>
        <v>3183.3166666666666</v>
      </c>
      <c r="X732" s="282"/>
    </row>
    <row r="733" spans="1:35" ht="15.6">
      <c r="A733" s="198">
        <v>171</v>
      </c>
      <c r="B733" s="941" t="s">
        <v>951</v>
      </c>
      <c r="C733" s="196">
        <f>'часть 1'!L756</f>
        <v>1913404</v>
      </c>
      <c r="D733" s="196">
        <v>0</v>
      </c>
      <c r="E733" s="196">
        <v>0</v>
      </c>
      <c r="F733" s="196">
        <v>0</v>
      </c>
      <c r="G733" s="196">
        <v>0</v>
      </c>
      <c r="H733" s="196">
        <v>0</v>
      </c>
      <c r="I733" s="196">
        <v>0</v>
      </c>
      <c r="J733" s="196">
        <v>0</v>
      </c>
      <c r="K733" s="196">
        <v>0</v>
      </c>
      <c r="L733" s="207">
        <v>0</v>
      </c>
      <c r="M733" s="199">
        <v>0</v>
      </c>
      <c r="N733" s="199">
        <v>600</v>
      </c>
      <c r="O733" s="199">
        <f t="shared" si="90"/>
        <v>1913404</v>
      </c>
      <c r="P733" s="208">
        <v>0</v>
      </c>
      <c r="Q733" s="199">
        <v>0</v>
      </c>
      <c r="R733" s="200">
        <v>0</v>
      </c>
      <c r="S733" s="209">
        <v>0</v>
      </c>
      <c r="T733" s="208">
        <v>0</v>
      </c>
      <c r="U733" s="289">
        <v>0</v>
      </c>
      <c r="V733" s="282"/>
      <c r="W733" s="282">
        <f t="shared" si="91"/>
        <v>3189.0066666666667</v>
      </c>
      <c r="X733" s="282"/>
    </row>
    <row r="734" spans="1:35" ht="15.6">
      <c r="A734" s="198">
        <v>172</v>
      </c>
      <c r="B734" s="941" t="s">
        <v>952</v>
      </c>
      <c r="C734" s="196">
        <f>'часть 1'!L757</f>
        <v>2563779</v>
      </c>
      <c r="D734" s="196">
        <v>0</v>
      </c>
      <c r="E734" s="196">
        <v>0</v>
      </c>
      <c r="F734" s="196">
        <v>0</v>
      </c>
      <c r="G734" s="196">
        <v>0</v>
      </c>
      <c r="H734" s="196">
        <v>0</v>
      </c>
      <c r="I734" s="196">
        <v>0</v>
      </c>
      <c r="J734" s="196">
        <v>0</v>
      </c>
      <c r="K734" s="196">
        <v>0</v>
      </c>
      <c r="L734" s="207">
        <v>0</v>
      </c>
      <c r="M734" s="199">
        <v>0</v>
      </c>
      <c r="N734" s="199">
        <v>1024</v>
      </c>
      <c r="O734" s="199">
        <f t="shared" si="90"/>
        <v>2563779</v>
      </c>
      <c r="P734" s="208">
        <v>0</v>
      </c>
      <c r="Q734" s="199">
        <v>0</v>
      </c>
      <c r="R734" s="200">
        <v>0</v>
      </c>
      <c r="S734" s="209">
        <v>0</v>
      </c>
      <c r="T734" s="208">
        <v>0</v>
      </c>
      <c r="U734" s="289">
        <v>0</v>
      </c>
      <c r="V734" s="282"/>
      <c r="W734" s="282">
        <f t="shared" si="91"/>
        <v>2503.6904296875</v>
      </c>
      <c r="X734" s="282"/>
    </row>
    <row r="735" spans="1:35" ht="15.6">
      <c r="A735" s="198">
        <v>173</v>
      </c>
      <c r="B735" s="941" t="s">
        <v>953</v>
      </c>
      <c r="C735" s="196">
        <f>'часть 1'!L758</f>
        <v>1211476</v>
      </c>
      <c r="D735" s="196">
        <v>0</v>
      </c>
      <c r="E735" s="196">
        <v>0</v>
      </c>
      <c r="F735" s="196">
        <v>0</v>
      </c>
      <c r="G735" s="196">
        <v>0</v>
      </c>
      <c r="H735" s="196">
        <v>0</v>
      </c>
      <c r="I735" s="196">
        <v>0</v>
      </c>
      <c r="J735" s="196">
        <v>0</v>
      </c>
      <c r="K735" s="196">
        <v>0</v>
      </c>
      <c r="L735" s="207">
        <v>0</v>
      </c>
      <c r="M735" s="199">
        <v>0</v>
      </c>
      <c r="N735" s="199">
        <v>373.39</v>
      </c>
      <c r="O735" s="199">
        <f t="shared" si="90"/>
        <v>1211476</v>
      </c>
      <c r="P735" s="208">
        <v>0</v>
      </c>
      <c r="Q735" s="199">
        <v>0</v>
      </c>
      <c r="R735" s="200">
        <v>0</v>
      </c>
      <c r="S735" s="209">
        <v>0</v>
      </c>
      <c r="T735" s="208">
        <v>0</v>
      </c>
      <c r="U735" s="289">
        <v>0</v>
      </c>
      <c r="V735" s="282"/>
      <c r="W735" s="282">
        <f t="shared" si="91"/>
        <v>3244.5325263129703</v>
      </c>
      <c r="X735" s="282"/>
    </row>
    <row r="736" spans="1:35" ht="15.6">
      <c r="A736" s="198">
        <v>174</v>
      </c>
      <c r="B736" s="941" t="s">
        <v>954</v>
      </c>
      <c r="C736" s="196">
        <f>'часть 1'!L759</f>
        <v>3154876</v>
      </c>
      <c r="D736" s="196">
        <v>0</v>
      </c>
      <c r="E736" s="196">
        <v>0</v>
      </c>
      <c r="F736" s="196">
        <v>0</v>
      </c>
      <c r="G736" s="196">
        <v>0</v>
      </c>
      <c r="H736" s="196">
        <v>0</v>
      </c>
      <c r="I736" s="196">
        <v>0</v>
      </c>
      <c r="J736" s="196">
        <v>0</v>
      </c>
      <c r="K736" s="196">
        <v>0</v>
      </c>
      <c r="L736" s="207">
        <v>0</v>
      </c>
      <c r="M736" s="199">
        <v>0</v>
      </c>
      <c r="N736" s="199">
        <v>997</v>
      </c>
      <c r="O736" s="199">
        <f t="shared" si="90"/>
        <v>3154876</v>
      </c>
      <c r="P736" s="208">
        <v>0</v>
      </c>
      <c r="Q736" s="199">
        <v>0</v>
      </c>
      <c r="R736" s="200">
        <v>0</v>
      </c>
      <c r="S736" s="209">
        <v>0</v>
      </c>
      <c r="T736" s="208">
        <v>0</v>
      </c>
      <c r="U736" s="289">
        <v>0</v>
      </c>
      <c r="V736" s="282"/>
      <c r="W736" s="282">
        <f t="shared" si="91"/>
        <v>3164.3691073219661</v>
      </c>
      <c r="X736" s="282"/>
    </row>
    <row r="737" spans="1:27" ht="15.6">
      <c r="A737" s="198">
        <v>175</v>
      </c>
      <c r="B737" s="941" t="s">
        <v>955</v>
      </c>
      <c r="C737" s="196">
        <f>'часть 1'!L760</f>
        <v>869705</v>
      </c>
      <c r="D737" s="196">
        <v>0</v>
      </c>
      <c r="E737" s="196">
        <v>0</v>
      </c>
      <c r="F737" s="196">
        <v>0</v>
      </c>
      <c r="G737" s="196">
        <v>0</v>
      </c>
      <c r="H737" s="196">
        <v>0</v>
      </c>
      <c r="I737" s="196">
        <v>0</v>
      </c>
      <c r="J737" s="196">
        <v>0</v>
      </c>
      <c r="K737" s="196">
        <v>0</v>
      </c>
      <c r="L737" s="207">
        <v>0</v>
      </c>
      <c r="M737" s="199">
        <v>0</v>
      </c>
      <c r="N737" s="199">
        <v>269</v>
      </c>
      <c r="O737" s="199">
        <f t="shared" si="90"/>
        <v>869705</v>
      </c>
      <c r="P737" s="208">
        <v>0</v>
      </c>
      <c r="Q737" s="199">
        <v>0</v>
      </c>
      <c r="R737" s="200">
        <v>0</v>
      </c>
      <c r="S737" s="209">
        <v>0</v>
      </c>
      <c r="T737" s="208">
        <v>0</v>
      </c>
      <c r="U737" s="289">
        <v>0</v>
      </c>
      <c r="V737" s="282"/>
      <c r="W737" s="282">
        <f t="shared" si="91"/>
        <v>3233.1040892193309</v>
      </c>
      <c r="X737" s="282"/>
    </row>
    <row r="738" spans="1:27" ht="15.6">
      <c r="A738" s="198"/>
      <c r="B738" s="941" t="s">
        <v>956</v>
      </c>
      <c r="C738" s="196">
        <f>'часть 1'!L761</f>
        <v>1873863</v>
      </c>
      <c r="D738" s="196">
        <v>0</v>
      </c>
      <c r="E738" s="196">
        <v>0</v>
      </c>
      <c r="F738" s="196">
        <v>0</v>
      </c>
      <c r="G738" s="196">
        <v>0</v>
      </c>
      <c r="H738" s="196">
        <v>0</v>
      </c>
      <c r="I738" s="196">
        <v>0</v>
      </c>
      <c r="J738" s="196">
        <v>0</v>
      </c>
      <c r="K738" s="196">
        <v>0</v>
      </c>
      <c r="L738" s="207">
        <v>0</v>
      </c>
      <c r="M738" s="199">
        <v>0</v>
      </c>
      <c r="N738" s="199">
        <v>585</v>
      </c>
      <c r="O738" s="199">
        <f t="shared" si="90"/>
        <v>1873863</v>
      </c>
      <c r="P738" s="208">
        <v>0</v>
      </c>
      <c r="Q738" s="199">
        <v>0</v>
      </c>
      <c r="R738" s="200">
        <v>0</v>
      </c>
      <c r="S738" s="209">
        <v>0</v>
      </c>
      <c r="T738" s="208">
        <v>0</v>
      </c>
      <c r="U738" s="289">
        <v>0</v>
      </c>
      <c r="V738" s="282"/>
      <c r="W738" s="282">
        <f t="shared" si="91"/>
        <v>3203.1846153846154</v>
      </c>
      <c r="X738" s="282"/>
    </row>
    <row r="739" spans="1:27" ht="15.6">
      <c r="A739" s="198"/>
      <c r="B739" s="941" t="s">
        <v>957</v>
      </c>
      <c r="C739" s="196">
        <f>'часть 1'!L762</f>
        <v>1044244</v>
      </c>
      <c r="D739" s="196">
        <v>0</v>
      </c>
      <c r="E739" s="196">
        <v>0</v>
      </c>
      <c r="F739" s="196">
        <v>0</v>
      </c>
      <c r="G739" s="196">
        <v>0</v>
      </c>
      <c r="H739" s="196">
        <v>0</v>
      </c>
      <c r="I739" s="196">
        <v>0</v>
      </c>
      <c r="J739" s="196">
        <v>0</v>
      </c>
      <c r="K739" s="196">
        <v>0</v>
      </c>
      <c r="L739" s="207">
        <v>0</v>
      </c>
      <c r="M739" s="199">
        <v>0</v>
      </c>
      <c r="N739" s="199">
        <v>320</v>
      </c>
      <c r="O739" s="199">
        <f t="shared" si="90"/>
        <v>1044244</v>
      </c>
      <c r="P739" s="208">
        <v>0</v>
      </c>
      <c r="Q739" s="199">
        <v>0</v>
      </c>
      <c r="R739" s="200">
        <v>0</v>
      </c>
      <c r="S739" s="209">
        <v>0</v>
      </c>
      <c r="T739" s="208">
        <v>0</v>
      </c>
      <c r="U739" s="289">
        <v>0</v>
      </c>
      <c r="V739" s="282"/>
      <c r="W739" s="282">
        <f t="shared" si="91"/>
        <v>3263.2624999999998</v>
      </c>
      <c r="X739" s="282"/>
    </row>
    <row r="740" spans="1:27" ht="15.6">
      <c r="A740" s="198"/>
      <c r="B740" s="941" t="s">
        <v>958</v>
      </c>
      <c r="C740" s="196">
        <f>'часть 1'!L763</f>
        <v>831874</v>
      </c>
      <c r="D740" s="196">
        <v>0</v>
      </c>
      <c r="E740" s="196">
        <v>0</v>
      </c>
      <c r="F740" s="196">
        <v>0</v>
      </c>
      <c r="G740" s="196">
        <v>0</v>
      </c>
      <c r="H740" s="196">
        <v>0</v>
      </c>
      <c r="I740" s="196">
        <v>0</v>
      </c>
      <c r="J740" s="196">
        <v>0</v>
      </c>
      <c r="K740" s="196">
        <v>0</v>
      </c>
      <c r="L740" s="207">
        <v>0</v>
      </c>
      <c r="M740" s="199">
        <v>0</v>
      </c>
      <c r="N740" s="199">
        <v>253</v>
      </c>
      <c r="O740" s="199">
        <f t="shared" si="90"/>
        <v>831874</v>
      </c>
      <c r="P740" s="208">
        <v>0</v>
      </c>
      <c r="Q740" s="199">
        <v>0</v>
      </c>
      <c r="R740" s="200">
        <v>0</v>
      </c>
      <c r="S740" s="209">
        <v>0</v>
      </c>
      <c r="T740" s="208">
        <v>0</v>
      </c>
      <c r="U740" s="289">
        <v>0</v>
      </c>
      <c r="V740" s="282"/>
      <c r="W740" s="282">
        <f t="shared" si="91"/>
        <v>3288.0395256916995</v>
      </c>
      <c r="X740" s="282"/>
    </row>
    <row r="741" spans="1:27" ht="15.6">
      <c r="A741" s="198"/>
      <c r="B741" s="941" t="s">
        <v>959</v>
      </c>
      <c r="C741" s="196">
        <f>'часть 1'!L764</f>
        <v>1249958</v>
      </c>
      <c r="D741" s="196">
        <v>0</v>
      </c>
      <c r="E741" s="196">
        <v>0</v>
      </c>
      <c r="F741" s="196">
        <v>0</v>
      </c>
      <c r="G741" s="196">
        <v>0</v>
      </c>
      <c r="H741" s="196">
        <v>0</v>
      </c>
      <c r="I741" s="196">
        <v>0</v>
      </c>
      <c r="J741" s="196">
        <v>0</v>
      </c>
      <c r="K741" s="196">
        <v>0</v>
      </c>
      <c r="L741" s="207">
        <v>0</v>
      </c>
      <c r="M741" s="199">
        <v>0</v>
      </c>
      <c r="N741" s="199">
        <v>390</v>
      </c>
      <c r="O741" s="199">
        <f t="shared" si="90"/>
        <v>1249958</v>
      </c>
      <c r="P741" s="208">
        <v>0</v>
      </c>
      <c r="Q741" s="199">
        <v>0</v>
      </c>
      <c r="R741" s="200">
        <v>0</v>
      </c>
      <c r="S741" s="209">
        <v>0</v>
      </c>
      <c r="T741" s="208">
        <v>0</v>
      </c>
      <c r="U741" s="289">
        <v>0</v>
      </c>
      <c r="V741" s="282"/>
      <c r="W741" s="282">
        <f t="shared" si="91"/>
        <v>3205.020512820513</v>
      </c>
      <c r="X741" s="282"/>
    </row>
    <row r="742" spans="1:27" ht="15.6">
      <c r="A742" s="198"/>
      <c r="B742" s="941" t="s">
        <v>960</v>
      </c>
      <c r="C742" s="196">
        <f>'часть 1'!L765</f>
        <v>1054021</v>
      </c>
      <c r="D742" s="196">
        <v>0</v>
      </c>
      <c r="E742" s="196">
        <v>0</v>
      </c>
      <c r="F742" s="196">
        <v>0</v>
      </c>
      <c r="G742" s="196">
        <v>0</v>
      </c>
      <c r="H742" s="196">
        <v>0</v>
      </c>
      <c r="I742" s="196">
        <v>0</v>
      </c>
      <c r="J742" s="196">
        <v>0</v>
      </c>
      <c r="K742" s="196">
        <v>0</v>
      </c>
      <c r="L742" s="207">
        <v>0</v>
      </c>
      <c r="M742" s="199">
        <v>0</v>
      </c>
      <c r="N742" s="199">
        <v>327.60000000000002</v>
      </c>
      <c r="O742" s="199">
        <f t="shared" si="90"/>
        <v>1054021</v>
      </c>
      <c r="P742" s="208">
        <v>0</v>
      </c>
      <c r="Q742" s="199">
        <v>0</v>
      </c>
      <c r="R742" s="200">
        <v>0</v>
      </c>
      <c r="S742" s="209">
        <v>0</v>
      </c>
      <c r="T742" s="208">
        <v>0</v>
      </c>
      <c r="U742" s="289">
        <v>0</v>
      </c>
      <c r="V742" s="282"/>
      <c r="W742" s="282">
        <f t="shared" si="91"/>
        <v>3217.4023199023195</v>
      </c>
      <c r="X742" s="282"/>
    </row>
    <row r="743" spans="1:27" ht="15.6">
      <c r="A743" s="198">
        <v>176</v>
      </c>
      <c r="B743" s="941" t="s">
        <v>961</v>
      </c>
      <c r="C743" s="196">
        <f>'часть 1'!L766</f>
        <v>565045</v>
      </c>
      <c r="D743" s="196">
        <v>0</v>
      </c>
      <c r="E743" s="196">
        <v>0</v>
      </c>
      <c r="F743" s="196">
        <v>0</v>
      </c>
      <c r="G743" s="196">
        <v>0</v>
      </c>
      <c r="H743" s="196">
        <v>0</v>
      </c>
      <c r="I743" s="196">
        <v>0</v>
      </c>
      <c r="J743" s="196">
        <v>0</v>
      </c>
      <c r="K743" s="196">
        <v>0</v>
      </c>
      <c r="L743" s="207">
        <v>0</v>
      </c>
      <c r="M743" s="199">
        <v>0</v>
      </c>
      <c r="N743" s="199">
        <v>172</v>
      </c>
      <c r="O743" s="199">
        <f t="shared" si="90"/>
        <v>565045</v>
      </c>
      <c r="P743" s="208">
        <v>0</v>
      </c>
      <c r="Q743" s="199">
        <v>0</v>
      </c>
      <c r="R743" s="200">
        <v>0</v>
      </c>
      <c r="S743" s="209">
        <v>0</v>
      </c>
      <c r="T743" s="208">
        <v>0</v>
      </c>
      <c r="U743" s="289">
        <v>0</v>
      </c>
      <c r="V743" s="282"/>
      <c r="W743" s="282">
        <f t="shared" si="91"/>
        <v>3285.1453488372094</v>
      </c>
      <c r="X743" s="282"/>
    </row>
    <row r="744" spans="1:27" ht="18.75" customHeight="1">
      <c r="A744" s="487"/>
      <c r="B744" s="506" t="s">
        <v>92</v>
      </c>
      <c r="C744" s="489">
        <f>C745+C746</f>
        <v>1681461</v>
      </c>
      <c r="D744" s="489">
        <f t="shared" ref="D744:V744" si="92">D745+D746</f>
        <v>409319</v>
      </c>
      <c r="E744" s="489">
        <f t="shared" si="92"/>
        <v>0</v>
      </c>
      <c r="F744" s="489">
        <f t="shared" si="92"/>
        <v>409319</v>
      </c>
      <c r="G744" s="489">
        <f t="shared" si="92"/>
        <v>0</v>
      </c>
      <c r="H744" s="489">
        <f t="shared" si="92"/>
        <v>0</v>
      </c>
      <c r="I744" s="489">
        <f t="shared" si="92"/>
        <v>0</v>
      </c>
      <c r="J744" s="489">
        <f t="shared" si="92"/>
        <v>0</v>
      </c>
      <c r="K744" s="489">
        <f t="shared" si="92"/>
        <v>0</v>
      </c>
      <c r="L744" s="489">
        <f t="shared" si="92"/>
        <v>0</v>
      </c>
      <c r="M744" s="489">
        <f t="shared" si="92"/>
        <v>0</v>
      </c>
      <c r="N744" s="489">
        <f t="shared" si="92"/>
        <v>396.5</v>
      </c>
      <c r="O744" s="489">
        <f t="shared" si="92"/>
        <v>1272142</v>
      </c>
      <c r="P744" s="489">
        <f t="shared" si="92"/>
        <v>0</v>
      </c>
      <c r="Q744" s="489">
        <f t="shared" si="92"/>
        <v>0</v>
      </c>
      <c r="R744" s="489">
        <f t="shared" si="92"/>
        <v>0</v>
      </c>
      <c r="S744" s="489">
        <f t="shared" si="92"/>
        <v>0</v>
      </c>
      <c r="T744" s="489">
        <f t="shared" si="92"/>
        <v>0</v>
      </c>
      <c r="U744" s="489">
        <f t="shared" si="92"/>
        <v>0</v>
      </c>
      <c r="V744" s="196">
        <f t="shared" si="92"/>
        <v>0</v>
      </c>
      <c r="W744" s="282"/>
      <c r="X744" s="282"/>
    </row>
    <row r="745" spans="1:27" ht="18.75" customHeight="1">
      <c r="A745" s="487"/>
      <c r="B745" s="506" t="s">
        <v>647</v>
      </c>
      <c r="C745" s="489">
        <f>'часть 1'!L768</f>
        <v>409319</v>
      </c>
      <c r="D745" s="489">
        <f>E745+F745+G745+H745+I745+J745+K745</f>
        <v>409319</v>
      </c>
      <c r="E745" s="489">
        <v>0</v>
      </c>
      <c r="F745" s="489">
        <v>409319</v>
      </c>
      <c r="G745" s="489">
        <v>0</v>
      </c>
      <c r="H745" s="489">
        <v>0</v>
      </c>
      <c r="I745" s="489">
        <v>0</v>
      </c>
      <c r="J745" s="489">
        <v>0</v>
      </c>
      <c r="K745" s="489">
        <v>0</v>
      </c>
      <c r="L745" s="500">
        <v>0</v>
      </c>
      <c r="M745" s="489">
        <v>0</v>
      </c>
      <c r="N745" s="489">
        <v>0</v>
      </c>
      <c r="O745" s="489">
        <v>0</v>
      </c>
      <c r="P745" s="500">
        <v>0</v>
      </c>
      <c r="Q745" s="489">
        <v>0</v>
      </c>
      <c r="R745" s="490">
        <v>0</v>
      </c>
      <c r="S745" s="489">
        <v>0</v>
      </c>
      <c r="T745" s="500">
        <v>0</v>
      </c>
      <c r="U745" s="491">
        <v>0</v>
      </c>
      <c r="V745" s="282"/>
      <c r="W745" s="282"/>
      <c r="X745" s="282"/>
      <c r="AA745" s="1">
        <f>F745/'часть 1'!I768</f>
        <v>1035.7262145748989</v>
      </c>
    </row>
    <row r="746" spans="1:27">
      <c r="A746" s="487">
        <v>177</v>
      </c>
      <c r="B746" s="506" t="s">
        <v>648</v>
      </c>
      <c r="C746" s="489">
        <f>'часть 1'!L769</f>
        <v>1272142</v>
      </c>
      <c r="D746" s="489">
        <f>E746+F746+G746+H746+I746+J746+K746</f>
        <v>0</v>
      </c>
      <c r="E746" s="489">
        <v>0</v>
      </c>
      <c r="F746" s="489">
        <v>0</v>
      </c>
      <c r="G746" s="489">
        <v>0</v>
      </c>
      <c r="H746" s="489">
        <v>0</v>
      </c>
      <c r="I746" s="489">
        <v>0</v>
      </c>
      <c r="J746" s="489">
        <v>0</v>
      </c>
      <c r="K746" s="489">
        <v>0</v>
      </c>
      <c r="L746" s="500">
        <v>0</v>
      </c>
      <c r="M746" s="492">
        <v>0</v>
      </c>
      <c r="N746" s="557">
        <v>396.5</v>
      </c>
      <c r="O746" s="492">
        <v>1272142</v>
      </c>
      <c r="P746" s="493">
        <v>0</v>
      </c>
      <c r="Q746" s="492">
        <v>0</v>
      </c>
      <c r="R746" s="494">
        <v>0</v>
      </c>
      <c r="S746" s="495">
        <v>0</v>
      </c>
      <c r="T746" s="493">
        <v>0</v>
      </c>
      <c r="U746" s="903">
        <v>0</v>
      </c>
      <c r="V746" s="282"/>
      <c r="W746" s="282">
        <f>O746/N746</f>
        <v>3208.4287515762926</v>
      </c>
      <c r="X746" s="282"/>
    </row>
    <row r="747" spans="1:27" ht="18.75" customHeight="1">
      <c r="A747" s="487"/>
      <c r="B747" s="488" t="s">
        <v>93</v>
      </c>
      <c r="C747" s="489">
        <f>C748+C749</f>
        <v>4013524</v>
      </c>
      <c r="D747" s="489">
        <f t="shared" ref="D747:U747" si="93">D748+D749</f>
        <v>0</v>
      </c>
      <c r="E747" s="489">
        <f t="shared" si="93"/>
        <v>0</v>
      </c>
      <c r="F747" s="489">
        <f t="shared" si="93"/>
        <v>0</v>
      </c>
      <c r="G747" s="489">
        <f t="shared" si="93"/>
        <v>0</v>
      </c>
      <c r="H747" s="489">
        <f t="shared" si="93"/>
        <v>0</v>
      </c>
      <c r="I747" s="489">
        <f t="shared" si="93"/>
        <v>0</v>
      </c>
      <c r="J747" s="489">
        <f t="shared" si="93"/>
        <v>0</v>
      </c>
      <c r="K747" s="489">
        <f t="shared" si="93"/>
        <v>0</v>
      </c>
      <c r="L747" s="489">
        <f t="shared" si="93"/>
        <v>0</v>
      </c>
      <c r="M747" s="489">
        <f t="shared" si="93"/>
        <v>0</v>
      </c>
      <c r="N747" s="489">
        <f t="shared" si="93"/>
        <v>1514.82</v>
      </c>
      <c r="O747" s="489">
        <f t="shared" si="93"/>
        <v>4013524</v>
      </c>
      <c r="P747" s="489">
        <f t="shared" si="93"/>
        <v>0</v>
      </c>
      <c r="Q747" s="489">
        <f t="shared" si="93"/>
        <v>0</v>
      </c>
      <c r="R747" s="489">
        <f t="shared" si="93"/>
        <v>0</v>
      </c>
      <c r="S747" s="489">
        <f t="shared" si="93"/>
        <v>0</v>
      </c>
      <c r="T747" s="489">
        <f t="shared" si="93"/>
        <v>0</v>
      </c>
      <c r="U747" s="489">
        <f t="shared" si="93"/>
        <v>0</v>
      </c>
      <c r="V747" s="282"/>
      <c r="W747" s="282"/>
      <c r="X747" s="282"/>
    </row>
    <row r="748" spans="1:27" s="23" customFormat="1">
      <c r="A748" s="487">
        <v>178</v>
      </c>
      <c r="B748" s="700" t="s">
        <v>788</v>
      </c>
      <c r="C748" s="498">
        <f>'часть 1'!L771</f>
        <v>2978035</v>
      </c>
      <c r="D748" s="498">
        <v>0</v>
      </c>
      <c r="E748" s="498">
        <v>0</v>
      </c>
      <c r="F748" s="498">
        <v>0</v>
      </c>
      <c r="G748" s="498">
        <v>0</v>
      </c>
      <c r="H748" s="498">
        <v>0</v>
      </c>
      <c r="I748" s="498">
        <v>0</v>
      </c>
      <c r="J748" s="498">
        <v>0</v>
      </c>
      <c r="K748" s="498">
        <v>0</v>
      </c>
      <c r="L748" s="502">
        <v>0</v>
      </c>
      <c r="M748" s="498">
        <v>0</v>
      </c>
      <c r="N748" s="498">
        <v>1190.5</v>
      </c>
      <c r="O748" s="498">
        <v>2978035</v>
      </c>
      <c r="P748" s="502">
        <v>0</v>
      </c>
      <c r="Q748" s="498">
        <v>0</v>
      </c>
      <c r="R748" s="503">
        <v>0</v>
      </c>
      <c r="S748" s="498">
        <v>0</v>
      </c>
      <c r="T748" s="502">
        <v>0</v>
      </c>
      <c r="U748" s="504">
        <v>0</v>
      </c>
      <c r="V748" s="282"/>
      <c r="W748" s="282">
        <f>O748/N748</f>
        <v>2501.4993700125997</v>
      </c>
      <c r="X748" s="282"/>
    </row>
    <row r="749" spans="1:27" s="23" customFormat="1">
      <c r="A749" s="487">
        <v>179</v>
      </c>
      <c r="B749" s="700" t="s">
        <v>789</v>
      </c>
      <c r="C749" s="498">
        <f>'часть 1'!L772</f>
        <v>1035489</v>
      </c>
      <c r="D749" s="498">
        <v>0</v>
      </c>
      <c r="E749" s="498">
        <v>0</v>
      </c>
      <c r="F749" s="498">
        <v>0</v>
      </c>
      <c r="G749" s="498">
        <v>0</v>
      </c>
      <c r="H749" s="498">
        <v>0</v>
      </c>
      <c r="I749" s="498">
        <v>0</v>
      </c>
      <c r="J749" s="498">
        <v>0</v>
      </c>
      <c r="K749" s="498">
        <v>0</v>
      </c>
      <c r="L749" s="502">
        <v>0</v>
      </c>
      <c r="M749" s="498">
        <v>0</v>
      </c>
      <c r="N749" s="498">
        <v>324.32</v>
      </c>
      <c r="O749" s="498">
        <v>1035489</v>
      </c>
      <c r="P749" s="502">
        <v>0</v>
      </c>
      <c r="Q749" s="498">
        <v>0</v>
      </c>
      <c r="R749" s="503">
        <v>0</v>
      </c>
      <c r="S749" s="498">
        <v>0</v>
      </c>
      <c r="T749" s="502">
        <v>0</v>
      </c>
      <c r="U749" s="504">
        <v>0</v>
      </c>
      <c r="V749" s="282"/>
      <c r="W749" s="282">
        <f>O749/N749</f>
        <v>3192.8003206709423</v>
      </c>
      <c r="X749" s="282"/>
    </row>
    <row r="750" spans="1:27" s="23" customFormat="1">
      <c r="A750" s="487"/>
      <c r="B750" s="700"/>
      <c r="C750" s="498"/>
      <c r="D750" s="498"/>
      <c r="E750" s="498"/>
      <c r="F750" s="498"/>
      <c r="G750" s="498"/>
      <c r="H750" s="498"/>
      <c r="I750" s="498"/>
      <c r="J750" s="498"/>
      <c r="K750" s="498"/>
      <c r="L750" s="502"/>
      <c r="M750" s="498"/>
      <c r="N750" s="498"/>
      <c r="O750" s="498"/>
      <c r="P750" s="502"/>
      <c r="Q750" s="498"/>
      <c r="R750" s="503"/>
      <c r="S750" s="498"/>
      <c r="T750" s="502"/>
      <c r="U750" s="504"/>
      <c r="V750" s="282"/>
      <c r="W750" s="282"/>
      <c r="X750" s="282"/>
    </row>
    <row r="751" spans="1:27" s="23" customFormat="1">
      <c r="A751" s="487"/>
      <c r="B751" s="700"/>
      <c r="C751" s="498"/>
      <c r="D751" s="498"/>
      <c r="E751" s="498"/>
      <c r="F751" s="498"/>
      <c r="G751" s="498"/>
      <c r="H751" s="498"/>
      <c r="I751" s="498"/>
      <c r="J751" s="498"/>
      <c r="K751" s="498"/>
      <c r="L751" s="502"/>
      <c r="M751" s="498"/>
      <c r="N751" s="498"/>
      <c r="O751" s="498"/>
      <c r="P751" s="502"/>
      <c r="Q751" s="498"/>
      <c r="R751" s="503"/>
      <c r="S751" s="498"/>
      <c r="T751" s="502"/>
      <c r="U751" s="504"/>
      <c r="V751" s="282"/>
      <c r="W751" s="282"/>
      <c r="X751" s="282"/>
    </row>
    <row r="752" spans="1:27" s="23" customFormat="1">
      <c r="A752" s="487"/>
      <c r="B752" s="700"/>
      <c r="C752" s="498"/>
      <c r="D752" s="498"/>
      <c r="E752" s="498"/>
      <c r="F752" s="498"/>
      <c r="G752" s="498"/>
      <c r="H752" s="498"/>
      <c r="I752" s="498"/>
      <c r="J752" s="498"/>
      <c r="K752" s="498"/>
      <c r="L752" s="502"/>
      <c r="M752" s="498"/>
      <c r="N752" s="498"/>
      <c r="O752" s="498"/>
      <c r="P752" s="502"/>
      <c r="Q752" s="498"/>
      <c r="R752" s="503"/>
      <c r="S752" s="498"/>
      <c r="T752" s="502"/>
      <c r="U752" s="504"/>
      <c r="V752" s="282"/>
      <c r="W752" s="282"/>
      <c r="X752" s="282"/>
    </row>
    <row r="753" spans="1:24" s="23" customFormat="1">
      <c r="A753" s="487"/>
      <c r="B753" s="700"/>
      <c r="C753" s="498"/>
      <c r="D753" s="498"/>
      <c r="E753" s="498"/>
      <c r="F753" s="498"/>
      <c r="G753" s="498"/>
      <c r="H753" s="498"/>
      <c r="I753" s="498"/>
      <c r="J753" s="498"/>
      <c r="K753" s="498"/>
      <c r="L753" s="502"/>
      <c r="M753" s="498"/>
      <c r="N753" s="498"/>
      <c r="O753" s="498"/>
      <c r="P753" s="502"/>
      <c r="Q753" s="498"/>
      <c r="R753" s="503"/>
      <c r="S753" s="498"/>
      <c r="T753" s="502"/>
      <c r="U753" s="504"/>
      <c r="V753" s="282"/>
      <c r="W753" s="282"/>
      <c r="X753" s="282"/>
    </row>
    <row r="754" spans="1:24" s="23" customFormat="1">
      <c r="A754" s="487"/>
      <c r="B754" s="700"/>
      <c r="C754" s="498"/>
      <c r="D754" s="498"/>
      <c r="E754" s="498"/>
      <c r="F754" s="498"/>
      <c r="G754" s="498"/>
      <c r="H754" s="498"/>
      <c r="I754" s="498"/>
      <c r="J754" s="498"/>
      <c r="K754" s="498"/>
      <c r="L754" s="502"/>
      <c r="M754" s="498"/>
      <c r="N754" s="498"/>
      <c r="O754" s="498"/>
      <c r="P754" s="502"/>
      <c r="Q754" s="498"/>
      <c r="R754" s="503"/>
      <c r="S754" s="498"/>
      <c r="T754" s="502"/>
      <c r="U754" s="504"/>
      <c r="V754" s="282"/>
      <c r="W754" s="282"/>
      <c r="X754" s="282"/>
    </row>
    <row r="755" spans="1:24" s="23" customFormat="1">
      <c r="A755" s="487"/>
      <c r="B755" s="700"/>
      <c r="C755" s="498"/>
      <c r="D755" s="498"/>
      <c r="E755" s="498"/>
      <c r="F755" s="498"/>
      <c r="G755" s="498"/>
      <c r="H755" s="498"/>
      <c r="I755" s="498"/>
      <c r="J755" s="498"/>
      <c r="K755" s="498"/>
      <c r="L755" s="502"/>
      <c r="M755" s="498"/>
      <c r="N755" s="498"/>
      <c r="O755" s="498"/>
      <c r="P755" s="502"/>
      <c r="Q755" s="498"/>
      <c r="R755" s="503"/>
      <c r="S755" s="498"/>
      <c r="T755" s="502"/>
      <c r="U755" s="504"/>
      <c r="V755" s="282"/>
      <c r="W755" s="282"/>
      <c r="X755" s="282"/>
    </row>
    <row r="756" spans="1:24" s="23" customFormat="1">
      <c r="A756" s="487"/>
      <c r="B756" s="700"/>
      <c r="C756" s="498"/>
      <c r="D756" s="498"/>
      <c r="E756" s="498"/>
      <c r="F756" s="498"/>
      <c r="G756" s="498"/>
      <c r="H756" s="498"/>
      <c r="I756" s="498"/>
      <c r="J756" s="498"/>
      <c r="K756" s="498"/>
      <c r="L756" s="502"/>
      <c r="M756" s="498"/>
      <c r="N756" s="498"/>
      <c r="O756" s="498"/>
      <c r="P756" s="502"/>
      <c r="Q756" s="498"/>
      <c r="R756" s="503"/>
      <c r="S756" s="498"/>
      <c r="T756" s="502"/>
      <c r="U756" s="504"/>
      <c r="V756" s="282"/>
      <c r="W756" s="282"/>
      <c r="X756" s="282"/>
    </row>
    <row r="757" spans="1:24" s="23" customFormat="1">
      <c r="A757" s="487"/>
      <c r="B757" s="700"/>
      <c r="C757" s="498"/>
      <c r="D757" s="498"/>
      <c r="E757" s="498"/>
      <c r="F757" s="498"/>
      <c r="G757" s="498"/>
      <c r="H757" s="498"/>
      <c r="I757" s="498"/>
      <c r="J757" s="498"/>
      <c r="K757" s="498"/>
      <c r="L757" s="502"/>
      <c r="M757" s="498"/>
      <c r="N757" s="498"/>
      <c r="O757" s="498"/>
      <c r="P757" s="502"/>
      <c r="Q757" s="498"/>
      <c r="R757" s="503"/>
      <c r="S757" s="498"/>
      <c r="T757" s="502"/>
      <c r="U757" s="504"/>
      <c r="V757" s="282"/>
      <c r="W757" s="282"/>
      <c r="X757" s="282"/>
    </row>
    <row r="758" spans="1:24" s="23" customFormat="1">
      <c r="A758" s="487"/>
      <c r="B758" s="700"/>
      <c r="C758" s="498"/>
      <c r="D758" s="498"/>
      <c r="E758" s="498"/>
      <c r="F758" s="498"/>
      <c r="G758" s="498"/>
      <c r="H758" s="498"/>
      <c r="I758" s="498"/>
      <c r="J758" s="498"/>
      <c r="K758" s="498"/>
      <c r="L758" s="502"/>
      <c r="M758" s="498"/>
      <c r="N758" s="498"/>
      <c r="O758" s="498"/>
      <c r="P758" s="502"/>
      <c r="Q758" s="498"/>
      <c r="R758" s="503"/>
      <c r="S758" s="498"/>
      <c r="T758" s="502"/>
      <c r="U758" s="504"/>
      <c r="V758" s="282"/>
      <c r="W758" s="282"/>
      <c r="X758" s="282"/>
    </row>
    <row r="759" spans="1:24" s="23" customFormat="1">
      <c r="A759" s="487"/>
      <c r="B759" s="700"/>
      <c r="C759" s="498"/>
      <c r="D759" s="498"/>
      <c r="E759" s="498"/>
      <c r="F759" s="498"/>
      <c r="G759" s="498"/>
      <c r="H759" s="498"/>
      <c r="I759" s="498"/>
      <c r="J759" s="498"/>
      <c r="K759" s="498"/>
      <c r="L759" s="502"/>
      <c r="M759" s="498"/>
      <c r="N759" s="498"/>
      <c r="O759" s="498"/>
      <c r="P759" s="502"/>
      <c r="Q759" s="498"/>
      <c r="R759" s="503"/>
      <c r="S759" s="498"/>
      <c r="T759" s="502"/>
      <c r="U759" s="504"/>
      <c r="V759" s="282"/>
      <c r="W759" s="282"/>
      <c r="X759" s="282"/>
    </row>
    <row r="760" spans="1:24" s="23" customFormat="1">
      <c r="A760" s="487"/>
      <c r="B760" s="700"/>
      <c r="C760" s="498"/>
      <c r="D760" s="498"/>
      <c r="E760" s="498"/>
      <c r="F760" s="498"/>
      <c r="G760" s="498"/>
      <c r="H760" s="498"/>
      <c r="I760" s="498"/>
      <c r="J760" s="498"/>
      <c r="K760" s="498"/>
      <c r="L760" s="502"/>
      <c r="M760" s="498"/>
      <c r="N760" s="498"/>
      <c r="O760" s="498"/>
      <c r="P760" s="502"/>
      <c r="Q760" s="498"/>
      <c r="R760" s="503"/>
      <c r="S760" s="498"/>
      <c r="T760" s="502"/>
      <c r="U760" s="504"/>
      <c r="V760" s="282"/>
      <c r="W760" s="282"/>
      <c r="X760" s="282"/>
    </row>
    <row r="761" spans="1:24" s="23" customFormat="1">
      <c r="A761" s="487"/>
      <c r="B761" s="700"/>
      <c r="C761" s="498"/>
      <c r="D761" s="498"/>
      <c r="E761" s="498"/>
      <c r="F761" s="498"/>
      <c r="G761" s="498"/>
      <c r="H761" s="498"/>
      <c r="I761" s="498"/>
      <c r="J761" s="498"/>
      <c r="K761" s="498"/>
      <c r="L761" s="502"/>
      <c r="M761" s="498"/>
      <c r="N761" s="498"/>
      <c r="O761" s="498"/>
      <c r="P761" s="502"/>
      <c r="Q761" s="498"/>
      <c r="R761" s="503"/>
      <c r="S761" s="498"/>
      <c r="T761" s="502"/>
      <c r="U761" s="504"/>
      <c r="V761" s="282"/>
      <c r="W761" s="282"/>
      <c r="X761" s="282"/>
    </row>
    <row r="762" spans="1:24" s="23" customFormat="1">
      <c r="A762" s="487"/>
      <c r="B762" s="700"/>
      <c r="C762" s="498"/>
      <c r="D762" s="498"/>
      <c r="E762" s="498"/>
      <c r="F762" s="498"/>
      <c r="G762" s="498"/>
      <c r="H762" s="498"/>
      <c r="I762" s="498"/>
      <c r="J762" s="498"/>
      <c r="K762" s="498"/>
      <c r="L762" s="502"/>
      <c r="M762" s="498"/>
      <c r="N762" s="498"/>
      <c r="O762" s="498"/>
      <c r="P762" s="502"/>
      <c r="Q762" s="498"/>
      <c r="R762" s="503"/>
      <c r="S762" s="498"/>
      <c r="T762" s="502"/>
      <c r="U762" s="504"/>
      <c r="V762" s="282"/>
      <c r="W762" s="282"/>
      <c r="X762" s="282"/>
    </row>
    <row r="763" spans="1:24" s="23" customFormat="1">
      <c r="A763" s="487"/>
      <c r="B763" s="700"/>
      <c r="C763" s="498"/>
      <c r="D763" s="498"/>
      <c r="E763" s="498"/>
      <c r="F763" s="498"/>
      <c r="G763" s="498"/>
      <c r="H763" s="498"/>
      <c r="I763" s="498"/>
      <c r="J763" s="498"/>
      <c r="K763" s="498"/>
      <c r="L763" s="502"/>
      <c r="M763" s="498"/>
      <c r="N763" s="498"/>
      <c r="O763" s="498"/>
      <c r="P763" s="502"/>
      <c r="Q763" s="498"/>
      <c r="R763" s="503"/>
      <c r="S763" s="498"/>
      <c r="T763" s="502"/>
      <c r="U763" s="504"/>
      <c r="V763" s="282"/>
      <c r="W763" s="282"/>
      <c r="X763" s="282"/>
    </row>
    <row r="764" spans="1:24" s="23" customFormat="1">
      <c r="A764" s="487"/>
      <c r="B764" s="700"/>
      <c r="C764" s="498"/>
      <c r="D764" s="498"/>
      <c r="E764" s="498"/>
      <c r="F764" s="498"/>
      <c r="G764" s="498"/>
      <c r="H764" s="498"/>
      <c r="I764" s="498"/>
      <c r="J764" s="498"/>
      <c r="K764" s="498"/>
      <c r="L764" s="502"/>
      <c r="M764" s="498"/>
      <c r="N764" s="498"/>
      <c r="O764" s="498"/>
      <c r="P764" s="502"/>
      <c r="Q764" s="498"/>
      <c r="R764" s="503"/>
      <c r="S764" s="498"/>
      <c r="T764" s="502"/>
      <c r="U764" s="504"/>
      <c r="V764" s="282"/>
      <c r="W764" s="282"/>
      <c r="X764" s="282"/>
    </row>
    <row r="765" spans="1:24" s="23" customFormat="1">
      <c r="A765" s="487"/>
      <c r="B765" s="700"/>
      <c r="C765" s="498"/>
      <c r="D765" s="498"/>
      <c r="E765" s="498"/>
      <c r="F765" s="498"/>
      <c r="G765" s="498"/>
      <c r="H765" s="498"/>
      <c r="I765" s="498"/>
      <c r="J765" s="498"/>
      <c r="K765" s="498"/>
      <c r="L765" s="502"/>
      <c r="M765" s="498"/>
      <c r="N765" s="498"/>
      <c r="O765" s="498"/>
      <c r="P765" s="502"/>
      <c r="Q765" s="498"/>
      <c r="R765" s="503"/>
      <c r="S765" s="498"/>
      <c r="T765" s="502"/>
      <c r="U765" s="504"/>
      <c r="V765" s="282"/>
      <c r="W765" s="282"/>
      <c r="X765" s="282"/>
    </row>
    <row r="766" spans="1:24" s="23" customFormat="1">
      <c r="A766" s="487"/>
      <c r="B766" s="700"/>
      <c r="C766" s="498"/>
      <c r="D766" s="498"/>
      <c r="E766" s="498"/>
      <c r="F766" s="498"/>
      <c r="G766" s="498"/>
      <c r="H766" s="498"/>
      <c r="I766" s="498"/>
      <c r="J766" s="498"/>
      <c r="K766" s="498"/>
      <c r="L766" s="502"/>
      <c r="M766" s="498"/>
      <c r="N766" s="498"/>
      <c r="O766" s="498"/>
      <c r="P766" s="502"/>
      <c r="Q766" s="498"/>
      <c r="R766" s="503"/>
      <c r="S766" s="498"/>
      <c r="T766" s="502"/>
      <c r="U766" s="504"/>
      <c r="V766" s="282"/>
      <c r="W766" s="282"/>
      <c r="X766" s="282"/>
    </row>
    <row r="767" spans="1:24" s="23" customFormat="1">
      <c r="A767" s="487"/>
      <c r="B767" s="700"/>
      <c r="C767" s="498"/>
      <c r="D767" s="498"/>
      <c r="E767" s="498"/>
      <c r="F767" s="498"/>
      <c r="G767" s="498"/>
      <c r="H767" s="498"/>
      <c r="I767" s="498"/>
      <c r="J767" s="498"/>
      <c r="K767" s="498"/>
      <c r="L767" s="502"/>
      <c r="M767" s="498"/>
      <c r="N767" s="498"/>
      <c r="O767" s="498"/>
      <c r="P767" s="502"/>
      <c r="Q767" s="498"/>
      <c r="R767" s="503"/>
      <c r="S767" s="498"/>
      <c r="T767" s="502"/>
      <c r="U767" s="504"/>
      <c r="V767" s="282"/>
      <c r="W767" s="282"/>
      <c r="X767" s="282"/>
    </row>
    <row r="768" spans="1:24" s="23" customFormat="1">
      <c r="A768" s="487"/>
      <c r="B768" s="700"/>
      <c r="C768" s="498"/>
      <c r="D768" s="498"/>
      <c r="E768" s="498"/>
      <c r="F768" s="498"/>
      <c r="G768" s="498"/>
      <c r="H768" s="498"/>
      <c r="I768" s="498"/>
      <c r="J768" s="498"/>
      <c r="K768" s="498"/>
      <c r="L768" s="502"/>
      <c r="M768" s="498"/>
      <c r="N768" s="498"/>
      <c r="O768" s="498"/>
      <c r="P768" s="502"/>
      <c r="Q768" s="498"/>
      <c r="R768" s="503"/>
      <c r="S768" s="498"/>
      <c r="T768" s="502"/>
      <c r="U768" s="504"/>
      <c r="V768" s="282"/>
      <c r="W768" s="282"/>
      <c r="X768" s="282"/>
    </row>
    <row r="769" spans="1:28" s="23" customFormat="1">
      <c r="A769" s="487"/>
      <c r="B769" s="700"/>
      <c r="C769" s="498"/>
      <c r="D769" s="498"/>
      <c r="E769" s="498"/>
      <c r="F769" s="498"/>
      <c r="G769" s="498"/>
      <c r="H769" s="498"/>
      <c r="I769" s="498"/>
      <c r="J769" s="498"/>
      <c r="K769" s="498"/>
      <c r="L769" s="502"/>
      <c r="M769" s="498"/>
      <c r="N769" s="498"/>
      <c r="O769" s="498"/>
      <c r="P769" s="502"/>
      <c r="Q769" s="498"/>
      <c r="R769" s="503"/>
      <c r="S769" s="498"/>
      <c r="T769" s="502"/>
      <c r="U769" s="504"/>
      <c r="V769" s="282"/>
      <c r="W769" s="282"/>
      <c r="X769" s="282"/>
    </row>
    <row r="770" spans="1:28" s="23" customFormat="1">
      <c r="A770" s="487"/>
      <c r="B770" s="700"/>
      <c r="C770" s="498"/>
      <c r="D770" s="498"/>
      <c r="E770" s="498"/>
      <c r="F770" s="498"/>
      <c r="G770" s="498"/>
      <c r="H770" s="498"/>
      <c r="I770" s="498"/>
      <c r="J770" s="498"/>
      <c r="K770" s="498"/>
      <c r="L770" s="502"/>
      <c r="M770" s="498"/>
      <c r="N770" s="498"/>
      <c r="O770" s="498"/>
      <c r="P770" s="502"/>
      <c r="Q770" s="498"/>
      <c r="R770" s="503"/>
      <c r="S770" s="498"/>
      <c r="T770" s="502"/>
      <c r="U770" s="504"/>
      <c r="V770" s="282"/>
      <c r="W770" s="282"/>
      <c r="X770" s="282"/>
    </row>
    <row r="771" spans="1:28" s="23" customFormat="1">
      <c r="A771" s="487"/>
      <c r="B771" s="700"/>
      <c r="C771" s="498"/>
      <c r="D771" s="498"/>
      <c r="E771" s="498"/>
      <c r="F771" s="498"/>
      <c r="G771" s="498"/>
      <c r="H771" s="498"/>
      <c r="I771" s="498"/>
      <c r="J771" s="498"/>
      <c r="K771" s="498"/>
      <c r="L771" s="502"/>
      <c r="M771" s="498"/>
      <c r="N771" s="498"/>
      <c r="O771" s="498"/>
      <c r="P771" s="502"/>
      <c r="Q771" s="498"/>
      <c r="R771" s="503"/>
      <c r="S771" s="498"/>
      <c r="T771" s="502"/>
      <c r="U771" s="504"/>
      <c r="V771" s="282"/>
      <c r="W771" s="282"/>
      <c r="X771" s="282"/>
    </row>
    <row r="772" spans="1:28" s="23" customFormat="1">
      <c r="A772" s="487"/>
      <c r="B772" s="700"/>
      <c r="C772" s="498"/>
      <c r="D772" s="498"/>
      <c r="E772" s="498"/>
      <c r="F772" s="498"/>
      <c r="G772" s="498"/>
      <c r="H772" s="498"/>
      <c r="I772" s="498"/>
      <c r="J772" s="498"/>
      <c r="K772" s="498"/>
      <c r="L772" s="502"/>
      <c r="M772" s="498"/>
      <c r="N772" s="498"/>
      <c r="O772" s="498"/>
      <c r="P772" s="502"/>
      <c r="Q772" s="498"/>
      <c r="R772" s="503"/>
      <c r="S772" s="498"/>
      <c r="T772" s="502"/>
      <c r="U772" s="504"/>
      <c r="V772" s="282"/>
      <c r="W772" s="282"/>
      <c r="X772" s="282"/>
    </row>
    <row r="773" spans="1:28" ht="18.75" customHeight="1">
      <c r="A773" s="198"/>
      <c r="B773" s="214" t="s">
        <v>94</v>
      </c>
      <c r="C773" s="211">
        <f>C774+C775+C776+C777+C778+C779+C780+C781+C782</f>
        <v>17682419</v>
      </c>
      <c r="D773" s="211">
        <f t="shared" ref="D773" si="94">D774+D775+D776+D777+D778+D779+D780+D781+D782</f>
        <v>3294030</v>
      </c>
      <c r="E773" s="211">
        <f t="shared" ref="E773" si="95">E774+E775+E776+E777+E778+E779+E780+E781+E782</f>
        <v>203023</v>
      </c>
      <c r="F773" s="211">
        <f t="shared" ref="F773" si="96">F774+F775+F776+F777+F778+F779+F780+F781+F782</f>
        <v>3091007</v>
      </c>
      <c r="G773" s="211">
        <f t="shared" ref="G773" si="97">G774+G775+G776+G777+G778+G779+G780+G781+G782</f>
        <v>0</v>
      </c>
      <c r="H773" s="211">
        <f t="shared" ref="H773" si="98">H774+H775+H776+H777+H778+H779+H780+H781+H782</f>
        <v>0</v>
      </c>
      <c r="I773" s="211">
        <f t="shared" ref="I773" si="99">I774+I775+I776+I777+I778+I779+I780+I781+I782</f>
        <v>0</v>
      </c>
      <c r="J773" s="211">
        <f t="shared" ref="J773" si="100">J774+J775+J776+J777+J778+J779+J780+J781+J782</f>
        <v>0</v>
      </c>
      <c r="K773" s="211">
        <f t="shared" ref="K773" si="101">K774+K775+K776+K777+K778+K779+K780+K781+K782</f>
        <v>0</v>
      </c>
      <c r="L773" s="211">
        <f t="shared" ref="L773" si="102">L774+L775+L776+L777+L778+L779+L780+L781+L782</f>
        <v>0</v>
      </c>
      <c r="M773" s="211">
        <f t="shared" ref="M773" si="103">M774+M775+M776+M777+M778+M779+M780+M781+M782</f>
        <v>0</v>
      </c>
      <c r="N773" s="211">
        <f t="shared" ref="N773" si="104">N774+N775+N776+N777+N778+N779+N780+N781+N782</f>
        <v>4817.45</v>
      </c>
      <c r="O773" s="211">
        <f t="shared" ref="O773" si="105">O774+O775+O776+O777+O778+O779+O780+O781+O782</f>
        <v>14388389</v>
      </c>
      <c r="P773" s="211">
        <f t="shared" ref="P773" si="106">P774+P775+P776+P777+P778+P779+P780+P781+P782</f>
        <v>0</v>
      </c>
      <c r="Q773" s="211">
        <f t="shared" ref="Q773" si="107">Q774+Q775+Q776+Q777+Q778+Q779+Q780+Q781+Q782</f>
        <v>0</v>
      </c>
      <c r="R773" s="211">
        <f t="shared" ref="R773" si="108">R774+R775+R776+R777+R778+R779+R780+R781+R782</f>
        <v>0</v>
      </c>
      <c r="S773" s="211">
        <f t="shared" ref="S773" si="109">S774+S775+S776+S777+S778+S779+S780+S781+S782</f>
        <v>0</v>
      </c>
      <c r="T773" s="211">
        <f t="shared" ref="T773" si="110">T774+T775+T776+T777+T778+T779+T780+T781+T782</f>
        <v>0</v>
      </c>
      <c r="U773" s="211">
        <f t="shared" ref="U773" si="111">U774+U775+U776+U777+U778+U779+U780+U781+U782</f>
        <v>0</v>
      </c>
      <c r="V773" s="282"/>
      <c r="W773" s="282"/>
      <c r="X773" s="282"/>
      <c r="Y773" s="10"/>
      <c r="Z773" s="10"/>
      <c r="AA773" s="10"/>
      <c r="AB773" s="10"/>
    </row>
    <row r="774" spans="1:28" s="5" customFormat="1">
      <c r="A774" s="487">
        <v>203</v>
      </c>
      <c r="B774" s="824" t="s">
        <v>577</v>
      </c>
      <c r="C774" s="492">
        <v>1329885</v>
      </c>
      <c r="D774" s="492">
        <f>E774+F774+G774+H774+I774+J774+K774</f>
        <v>0</v>
      </c>
      <c r="E774" s="492">
        <v>0</v>
      </c>
      <c r="F774" s="492">
        <v>0</v>
      </c>
      <c r="G774" s="492">
        <v>0</v>
      </c>
      <c r="H774" s="492">
        <v>0</v>
      </c>
      <c r="I774" s="492">
        <v>0</v>
      </c>
      <c r="J774" s="492">
        <v>0</v>
      </c>
      <c r="K774" s="492">
        <v>0</v>
      </c>
      <c r="L774" s="493">
        <v>0</v>
      </c>
      <c r="M774" s="492">
        <v>0</v>
      </c>
      <c r="N774" s="492">
        <v>415</v>
      </c>
      <c r="O774" s="492">
        <v>1329885</v>
      </c>
      <c r="P774" s="493">
        <v>0</v>
      </c>
      <c r="Q774" s="492">
        <v>0</v>
      </c>
      <c r="R774" s="494">
        <v>0</v>
      </c>
      <c r="S774" s="495">
        <v>0</v>
      </c>
      <c r="T774" s="496">
        <v>0</v>
      </c>
      <c r="U774" s="497">
        <v>0</v>
      </c>
      <c r="V774" s="282"/>
      <c r="W774" s="282">
        <f>O774/N774</f>
        <v>3204.5421686746986</v>
      </c>
      <c r="X774" s="282"/>
      <c r="Y774" s="24"/>
      <c r="Z774" s="24"/>
      <c r="AA774" s="8"/>
      <c r="AB774" s="8"/>
    </row>
    <row r="775" spans="1:28" s="5" customFormat="1">
      <c r="A775" s="487">
        <v>204</v>
      </c>
      <c r="B775" s="824" t="s">
        <v>578</v>
      </c>
      <c r="C775" s="492">
        <v>1856453</v>
      </c>
      <c r="D775" s="492">
        <f t="shared" ref="D775:D782" si="112">E775+F775+G775+H775+I775+J775+K775</f>
        <v>0</v>
      </c>
      <c r="E775" s="492">
        <v>0</v>
      </c>
      <c r="F775" s="492">
        <v>0</v>
      </c>
      <c r="G775" s="492">
        <v>0</v>
      </c>
      <c r="H775" s="492">
        <v>0</v>
      </c>
      <c r="I775" s="492">
        <v>0</v>
      </c>
      <c r="J775" s="492">
        <v>0</v>
      </c>
      <c r="K775" s="492">
        <v>0</v>
      </c>
      <c r="L775" s="493">
        <v>0</v>
      </c>
      <c r="M775" s="492">
        <v>0</v>
      </c>
      <c r="N775" s="492">
        <v>572.4</v>
      </c>
      <c r="O775" s="492">
        <v>1856453</v>
      </c>
      <c r="P775" s="493">
        <v>0</v>
      </c>
      <c r="Q775" s="492">
        <v>0</v>
      </c>
      <c r="R775" s="494">
        <v>0</v>
      </c>
      <c r="S775" s="495">
        <v>0</v>
      </c>
      <c r="T775" s="496">
        <v>0</v>
      </c>
      <c r="U775" s="497">
        <v>0</v>
      </c>
      <c r="V775" s="282"/>
      <c r="W775" s="282">
        <f t="shared" ref="W775:W782" si="113">O775/N775</f>
        <v>3243.2791754018172</v>
      </c>
      <c r="X775" s="282"/>
      <c r="Y775" s="24"/>
      <c r="Z775" s="24"/>
      <c r="AA775" s="8"/>
      <c r="AB775" s="8"/>
    </row>
    <row r="776" spans="1:28" s="5" customFormat="1">
      <c r="A776" s="487">
        <v>205</v>
      </c>
      <c r="B776" s="824" t="s">
        <v>579</v>
      </c>
      <c r="C776" s="492">
        <v>1518210</v>
      </c>
      <c r="D776" s="492">
        <f t="shared" si="112"/>
        <v>0</v>
      </c>
      <c r="E776" s="492">
        <v>0</v>
      </c>
      <c r="F776" s="492">
        <v>0</v>
      </c>
      <c r="G776" s="492">
        <v>0</v>
      </c>
      <c r="H776" s="492">
        <v>0</v>
      </c>
      <c r="I776" s="492">
        <v>0</v>
      </c>
      <c r="J776" s="492">
        <v>0</v>
      </c>
      <c r="K776" s="492">
        <v>0</v>
      </c>
      <c r="L776" s="493">
        <v>0</v>
      </c>
      <c r="M776" s="492">
        <v>0</v>
      </c>
      <c r="N776" s="492">
        <v>474.85</v>
      </c>
      <c r="O776" s="492">
        <v>1518210</v>
      </c>
      <c r="P776" s="493">
        <v>0</v>
      </c>
      <c r="Q776" s="492">
        <v>0</v>
      </c>
      <c r="R776" s="494">
        <v>0</v>
      </c>
      <c r="S776" s="495">
        <v>0</v>
      </c>
      <c r="T776" s="496">
        <v>0</v>
      </c>
      <c r="U776" s="497">
        <v>0</v>
      </c>
      <c r="V776" s="282"/>
      <c r="W776" s="282">
        <f>O776/N776</f>
        <v>3197.2412340739179</v>
      </c>
      <c r="X776" s="526"/>
      <c r="Y776" s="24"/>
      <c r="Z776" s="24"/>
      <c r="AA776" s="8"/>
      <c r="AB776" s="8"/>
    </row>
    <row r="777" spans="1:28" s="5" customFormat="1">
      <c r="A777" s="487">
        <v>206</v>
      </c>
      <c r="B777" s="824" t="s">
        <v>580</v>
      </c>
      <c r="C777" s="492">
        <v>203023</v>
      </c>
      <c r="D777" s="492">
        <f t="shared" si="112"/>
        <v>203023</v>
      </c>
      <c r="E777" s="492">
        <v>203023</v>
      </c>
      <c r="F777" s="492">
        <v>0</v>
      </c>
      <c r="G777" s="492">
        <v>0</v>
      </c>
      <c r="H777" s="492">
        <v>0</v>
      </c>
      <c r="I777" s="492">
        <v>0</v>
      </c>
      <c r="J777" s="492">
        <v>0</v>
      </c>
      <c r="K777" s="492">
        <v>0</v>
      </c>
      <c r="L777" s="493">
        <v>0</v>
      </c>
      <c r="M777" s="492">
        <v>0</v>
      </c>
      <c r="N777" s="492">
        <v>0</v>
      </c>
      <c r="O777" s="492">
        <v>0</v>
      </c>
      <c r="P777" s="493">
        <v>0</v>
      </c>
      <c r="Q777" s="492">
        <v>0</v>
      </c>
      <c r="R777" s="494">
        <v>0</v>
      </c>
      <c r="S777" s="495">
        <v>0</v>
      </c>
      <c r="T777" s="496">
        <v>0</v>
      </c>
      <c r="U777" s="497">
        <v>0</v>
      </c>
      <c r="V777" s="282"/>
      <c r="W777" s="282"/>
      <c r="X777" s="282"/>
      <c r="Y777" s="24">
        <f>E777/'часть 1'!I800</f>
        <v>450.46150432660306</v>
      </c>
      <c r="Z777" s="24"/>
      <c r="AA777" s="8"/>
      <c r="AB777" s="8"/>
    </row>
    <row r="778" spans="1:28" s="5" customFormat="1">
      <c r="A778" s="487">
        <v>207</v>
      </c>
      <c r="B778" s="824" t="s">
        <v>581</v>
      </c>
      <c r="C778" s="492">
        <v>2925993</v>
      </c>
      <c r="D778" s="492">
        <f t="shared" si="112"/>
        <v>0</v>
      </c>
      <c r="E778" s="492">
        <v>0</v>
      </c>
      <c r="F778" s="492">
        <v>0</v>
      </c>
      <c r="G778" s="492">
        <v>0</v>
      </c>
      <c r="H778" s="492">
        <v>0</v>
      </c>
      <c r="I778" s="492">
        <v>0</v>
      </c>
      <c r="J778" s="492">
        <v>0</v>
      </c>
      <c r="K778" s="492">
        <v>0</v>
      </c>
      <c r="L778" s="493">
        <v>0</v>
      </c>
      <c r="M778" s="492">
        <v>0</v>
      </c>
      <c r="N778" s="498">
        <v>922</v>
      </c>
      <c r="O778" s="492">
        <v>2925993</v>
      </c>
      <c r="P778" s="493">
        <v>0</v>
      </c>
      <c r="Q778" s="492">
        <v>0</v>
      </c>
      <c r="R778" s="494">
        <v>0</v>
      </c>
      <c r="S778" s="495">
        <v>0</v>
      </c>
      <c r="T778" s="496">
        <v>0</v>
      </c>
      <c r="U778" s="497">
        <v>0</v>
      </c>
      <c r="V778" s="282"/>
      <c r="W778" s="282">
        <f t="shared" si="113"/>
        <v>3173.5281995661603</v>
      </c>
      <c r="X778" s="282"/>
      <c r="Y778" s="24"/>
      <c r="Z778" s="24"/>
      <c r="AA778" s="8"/>
      <c r="AB778" s="8"/>
    </row>
    <row r="779" spans="1:28" s="5" customFormat="1">
      <c r="A779" s="487">
        <v>208</v>
      </c>
      <c r="B779" s="824" t="s">
        <v>582</v>
      </c>
      <c r="C779" s="492">
        <v>1413679</v>
      </c>
      <c r="D779" s="492">
        <f t="shared" si="112"/>
        <v>0</v>
      </c>
      <c r="E779" s="492">
        <v>0</v>
      </c>
      <c r="F779" s="492">
        <v>0</v>
      </c>
      <c r="G779" s="492">
        <v>0</v>
      </c>
      <c r="H779" s="492">
        <v>0</v>
      </c>
      <c r="I779" s="492">
        <v>0</v>
      </c>
      <c r="J779" s="492">
        <v>0</v>
      </c>
      <c r="K779" s="492">
        <v>0</v>
      </c>
      <c r="L779" s="493">
        <v>0</v>
      </c>
      <c r="M779" s="492">
        <v>0</v>
      </c>
      <c r="N779" s="492">
        <v>442</v>
      </c>
      <c r="O779" s="492">
        <v>1413679</v>
      </c>
      <c r="P779" s="493">
        <v>0</v>
      </c>
      <c r="Q779" s="492">
        <v>0</v>
      </c>
      <c r="R779" s="494">
        <v>0</v>
      </c>
      <c r="S779" s="495">
        <v>0</v>
      </c>
      <c r="T779" s="496">
        <v>0</v>
      </c>
      <c r="U779" s="497">
        <v>0</v>
      </c>
      <c r="V779" s="282"/>
      <c r="W779" s="282">
        <f t="shared" si="113"/>
        <v>3198.3687782805432</v>
      </c>
      <c r="X779" s="282"/>
      <c r="Y779" s="24"/>
      <c r="Z779" s="24"/>
      <c r="AA779" s="8"/>
      <c r="AB779" s="8"/>
    </row>
    <row r="780" spans="1:28" s="5" customFormat="1">
      <c r="A780" s="487">
        <v>209</v>
      </c>
      <c r="B780" s="824" t="s">
        <v>583</v>
      </c>
      <c r="C780" s="492">
        <v>3624132</v>
      </c>
      <c r="D780" s="492">
        <f t="shared" si="112"/>
        <v>0</v>
      </c>
      <c r="E780" s="492">
        <v>0</v>
      </c>
      <c r="F780" s="492">
        <v>0</v>
      </c>
      <c r="G780" s="492">
        <v>0</v>
      </c>
      <c r="H780" s="492">
        <v>0</v>
      </c>
      <c r="I780" s="492">
        <v>0</v>
      </c>
      <c r="J780" s="492">
        <v>0</v>
      </c>
      <c r="K780" s="492">
        <v>0</v>
      </c>
      <c r="L780" s="493">
        <v>0</v>
      </c>
      <c r="M780" s="492">
        <v>0</v>
      </c>
      <c r="N780" s="492">
        <v>1451.9</v>
      </c>
      <c r="O780" s="492">
        <v>3624132</v>
      </c>
      <c r="P780" s="493">
        <v>0</v>
      </c>
      <c r="Q780" s="492">
        <v>0</v>
      </c>
      <c r="R780" s="494">
        <v>0</v>
      </c>
      <c r="S780" s="495">
        <v>0</v>
      </c>
      <c r="T780" s="496">
        <v>0</v>
      </c>
      <c r="U780" s="497">
        <v>0</v>
      </c>
      <c r="V780" s="282"/>
      <c r="W780" s="282">
        <f t="shared" si="113"/>
        <v>2496.1305875060266</v>
      </c>
      <c r="X780" s="282"/>
      <c r="Y780" s="24"/>
      <c r="Z780" s="24"/>
      <c r="AA780" s="8"/>
      <c r="AB780" s="8"/>
    </row>
    <row r="781" spans="1:28" s="5" customFormat="1">
      <c r="A781" s="487">
        <v>210</v>
      </c>
      <c r="B781" s="824" t="s">
        <v>584</v>
      </c>
      <c r="C781" s="492">
        <v>3091007</v>
      </c>
      <c r="D781" s="492">
        <f t="shared" si="112"/>
        <v>3091007</v>
      </c>
      <c r="E781" s="492">
        <v>0</v>
      </c>
      <c r="F781" s="492">
        <v>3091007</v>
      </c>
      <c r="G781" s="492">
        <v>0</v>
      </c>
      <c r="H781" s="492">
        <v>0</v>
      </c>
      <c r="I781" s="492">
        <v>0</v>
      </c>
      <c r="J781" s="492">
        <v>0</v>
      </c>
      <c r="K781" s="492">
        <v>0</v>
      </c>
      <c r="L781" s="493">
        <v>0</v>
      </c>
      <c r="M781" s="492">
        <v>0</v>
      </c>
      <c r="N781" s="492">
        <v>0</v>
      </c>
      <c r="O781" s="492">
        <v>0</v>
      </c>
      <c r="P781" s="493">
        <v>0</v>
      </c>
      <c r="Q781" s="492">
        <v>0</v>
      </c>
      <c r="R781" s="494">
        <v>0</v>
      </c>
      <c r="S781" s="495">
        <v>0</v>
      </c>
      <c r="T781" s="496">
        <v>0</v>
      </c>
      <c r="U781" s="497">
        <v>0</v>
      </c>
      <c r="V781" s="282"/>
      <c r="W781" s="282"/>
      <c r="X781" s="282"/>
      <c r="Y781" s="24"/>
      <c r="Z781" s="24"/>
      <c r="AA781" s="8">
        <f>F781/'часть 1'!I804</f>
        <v>972.93264085615363</v>
      </c>
      <c r="AB781" s="8"/>
    </row>
    <row r="782" spans="1:28" s="5" customFormat="1">
      <c r="A782" s="487">
        <v>211</v>
      </c>
      <c r="B782" s="824" t="s">
        <v>585</v>
      </c>
      <c r="C782" s="492">
        <v>1720037</v>
      </c>
      <c r="D782" s="492">
        <f t="shared" si="112"/>
        <v>0</v>
      </c>
      <c r="E782" s="492">
        <v>0</v>
      </c>
      <c r="F782" s="492">
        <v>0</v>
      </c>
      <c r="G782" s="492">
        <v>0</v>
      </c>
      <c r="H782" s="492">
        <v>0</v>
      </c>
      <c r="I782" s="492">
        <v>0</v>
      </c>
      <c r="J782" s="492">
        <v>0</v>
      </c>
      <c r="K782" s="492">
        <v>0</v>
      </c>
      <c r="L782" s="493">
        <v>0</v>
      </c>
      <c r="M782" s="492">
        <v>0</v>
      </c>
      <c r="N782" s="492">
        <v>539.29999999999995</v>
      </c>
      <c r="O782" s="492">
        <v>1720037</v>
      </c>
      <c r="P782" s="493">
        <v>0</v>
      </c>
      <c r="Q782" s="492">
        <v>0</v>
      </c>
      <c r="R782" s="494">
        <v>0</v>
      </c>
      <c r="S782" s="495">
        <v>0</v>
      </c>
      <c r="T782" s="496">
        <v>0</v>
      </c>
      <c r="U782" s="497">
        <v>0</v>
      </c>
      <c r="V782" s="282"/>
      <c r="W782" s="282">
        <f t="shared" si="113"/>
        <v>3189.3880956795847</v>
      </c>
      <c r="X782" s="282"/>
      <c r="Y782" s="6"/>
      <c r="Z782" s="6"/>
      <c r="AA782" s="7"/>
      <c r="AB782" s="7"/>
    </row>
    <row r="783" spans="1:28" s="5" customFormat="1" ht="15.6">
      <c r="A783" s="487"/>
      <c r="B783" s="422"/>
      <c r="C783" s="492"/>
      <c r="D783" s="492"/>
      <c r="E783" s="492"/>
      <c r="F783" s="492"/>
      <c r="G783" s="492"/>
      <c r="H783" s="492"/>
      <c r="I783" s="492"/>
      <c r="J783" s="492"/>
      <c r="K783" s="492"/>
      <c r="L783" s="493"/>
      <c r="M783" s="492"/>
      <c r="N783" s="492"/>
      <c r="O783" s="492"/>
      <c r="P783" s="493"/>
      <c r="Q783" s="492"/>
      <c r="R783" s="494"/>
      <c r="S783" s="495"/>
      <c r="T783" s="496"/>
      <c r="U783" s="497"/>
      <c r="V783" s="282"/>
      <c r="W783" s="282"/>
      <c r="X783" s="282"/>
      <c r="Y783" s="24"/>
      <c r="Z783" s="24"/>
      <c r="AA783" s="8"/>
      <c r="AB783" s="8"/>
    </row>
    <row r="784" spans="1:28" s="5" customFormat="1" ht="15.6">
      <c r="A784" s="487"/>
      <c r="B784" s="416"/>
      <c r="C784" s="492"/>
      <c r="D784" s="492"/>
      <c r="E784" s="492"/>
      <c r="F784" s="492"/>
      <c r="G784" s="492"/>
      <c r="H784" s="492"/>
      <c r="I784" s="492"/>
      <c r="J784" s="492"/>
      <c r="K784" s="492"/>
      <c r="L784" s="493"/>
      <c r="M784" s="492"/>
      <c r="N784" s="492"/>
      <c r="O784" s="492"/>
      <c r="P784" s="493"/>
      <c r="Q784" s="492"/>
      <c r="R784" s="494"/>
      <c r="S784" s="495"/>
      <c r="T784" s="496"/>
      <c r="U784" s="497"/>
      <c r="V784" s="282"/>
      <c r="W784" s="282"/>
      <c r="X784" s="282"/>
      <c r="Y784" s="24"/>
      <c r="Z784" s="24"/>
      <c r="AA784" s="8"/>
      <c r="AB784" s="8"/>
    </row>
    <row r="785" spans="1:28" s="5" customFormat="1" ht="15.6">
      <c r="A785" s="487"/>
      <c r="B785" s="421"/>
      <c r="C785" s="492"/>
      <c r="D785" s="492"/>
      <c r="E785" s="492"/>
      <c r="F785" s="492"/>
      <c r="G785" s="492"/>
      <c r="H785" s="492"/>
      <c r="I785" s="492"/>
      <c r="J785" s="492"/>
      <c r="K785" s="492"/>
      <c r="L785" s="493"/>
      <c r="M785" s="492"/>
      <c r="N785" s="492"/>
      <c r="O785" s="492"/>
      <c r="P785" s="493"/>
      <c r="Q785" s="492"/>
      <c r="R785" s="494"/>
      <c r="S785" s="495"/>
      <c r="T785" s="496"/>
      <c r="U785" s="497"/>
      <c r="V785" s="282"/>
      <c r="W785" s="282"/>
      <c r="X785" s="282"/>
      <c r="Y785" s="24"/>
      <c r="Z785" s="24"/>
      <c r="AA785" s="8"/>
      <c r="AB785" s="8"/>
    </row>
    <row r="786" spans="1:28" ht="18.75" customHeight="1">
      <c r="A786" s="487"/>
      <c r="B786" s="488" t="s">
        <v>123</v>
      </c>
      <c r="C786" s="489">
        <f>C787+C788+C789+C790+C791</f>
        <v>12904489</v>
      </c>
      <c r="D786" s="489">
        <f t="shared" ref="D786:U786" si="114">D787+D788+D789+D790+D791</f>
        <v>0</v>
      </c>
      <c r="E786" s="489">
        <f t="shared" si="114"/>
        <v>0</v>
      </c>
      <c r="F786" s="489">
        <f t="shared" si="114"/>
        <v>0</v>
      </c>
      <c r="G786" s="489">
        <f t="shared" si="114"/>
        <v>0</v>
      </c>
      <c r="H786" s="489">
        <f t="shared" si="114"/>
        <v>0</v>
      </c>
      <c r="I786" s="489">
        <f t="shared" si="114"/>
        <v>0</v>
      </c>
      <c r="J786" s="489">
        <f t="shared" si="114"/>
        <v>0</v>
      </c>
      <c r="K786" s="489">
        <f t="shared" si="114"/>
        <v>0</v>
      </c>
      <c r="L786" s="489">
        <f t="shared" si="114"/>
        <v>0</v>
      </c>
      <c r="M786" s="489">
        <f t="shared" si="114"/>
        <v>0</v>
      </c>
      <c r="N786" s="489">
        <f t="shared" si="114"/>
        <v>5152</v>
      </c>
      <c r="O786" s="489">
        <f t="shared" si="114"/>
        <v>12904489</v>
      </c>
      <c r="P786" s="489">
        <f t="shared" si="114"/>
        <v>0</v>
      </c>
      <c r="Q786" s="489">
        <f t="shared" si="114"/>
        <v>0</v>
      </c>
      <c r="R786" s="489">
        <f t="shared" si="114"/>
        <v>0</v>
      </c>
      <c r="S786" s="489">
        <f t="shared" si="114"/>
        <v>0</v>
      </c>
      <c r="T786" s="489">
        <f t="shared" si="114"/>
        <v>0</v>
      </c>
      <c r="U786" s="489">
        <f t="shared" si="114"/>
        <v>0</v>
      </c>
      <c r="V786" s="282"/>
      <c r="W786" s="282"/>
      <c r="X786" s="282"/>
    </row>
    <row r="787" spans="1:28" ht="15.6">
      <c r="A787" s="487">
        <v>215</v>
      </c>
      <c r="B787" s="876" t="s">
        <v>736</v>
      </c>
      <c r="C787" s="489">
        <f>'часть 1'!L810</f>
        <v>2291418</v>
      </c>
      <c r="D787" s="489">
        <v>0</v>
      </c>
      <c r="E787" s="489">
        <v>0</v>
      </c>
      <c r="F787" s="489">
        <v>0</v>
      </c>
      <c r="G787" s="489">
        <v>0</v>
      </c>
      <c r="H787" s="489">
        <v>0</v>
      </c>
      <c r="I787" s="489">
        <v>0</v>
      </c>
      <c r="J787" s="489">
        <v>0</v>
      </c>
      <c r="K787" s="557">
        <v>0</v>
      </c>
      <c r="L787" s="649">
        <v>0</v>
      </c>
      <c r="M787" s="510">
        <v>0</v>
      </c>
      <c r="N787" s="510">
        <v>914</v>
      </c>
      <c r="O787" s="510">
        <v>2291418</v>
      </c>
      <c r="P787" s="649">
        <v>0</v>
      </c>
      <c r="Q787" s="510">
        <v>0</v>
      </c>
      <c r="R787" s="650">
        <v>0</v>
      </c>
      <c r="S787" s="510">
        <v>0</v>
      </c>
      <c r="T787" s="649">
        <v>0</v>
      </c>
      <c r="U787" s="497">
        <v>0</v>
      </c>
      <c r="V787" s="282"/>
      <c r="W787" s="282">
        <f>O787/N787</f>
        <v>2507.0218818380745</v>
      </c>
      <c r="X787" s="282"/>
    </row>
    <row r="788" spans="1:28" ht="15.6">
      <c r="A788" s="487">
        <v>216</v>
      </c>
      <c r="B788" s="876" t="s">
        <v>737</v>
      </c>
      <c r="C788" s="489">
        <f>'часть 1'!L811</f>
        <v>3059197</v>
      </c>
      <c r="D788" s="489">
        <v>0</v>
      </c>
      <c r="E788" s="489">
        <v>0</v>
      </c>
      <c r="F788" s="489">
        <v>0</v>
      </c>
      <c r="G788" s="489">
        <v>0</v>
      </c>
      <c r="H788" s="489">
        <v>0</v>
      </c>
      <c r="I788" s="489">
        <v>0</v>
      </c>
      <c r="J788" s="489">
        <v>0</v>
      </c>
      <c r="K788" s="557">
        <v>0</v>
      </c>
      <c r="L788" s="649">
        <v>0</v>
      </c>
      <c r="M788" s="510">
        <v>0</v>
      </c>
      <c r="N788" s="510">
        <v>1223</v>
      </c>
      <c r="O788" s="510">
        <v>3059197</v>
      </c>
      <c r="P788" s="649">
        <v>0</v>
      </c>
      <c r="Q788" s="510">
        <v>0</v>
      </c>
      <c r="R788" s="650">
        <v>0</v>
      </c>
      <c r="S788" s="510">
        <v>0</v>
      </c>
      <c r="T788" s="649">
        <v>0</v>
      </c>
      <c r="U788" s="497">
        <v>0</v>
      </c>
      <c r="V788" s="282"/>
      <c r="W788" s="282">
        <f t="shared" ref="W788:W791" si="115">O788/N788</f>
        <v>2501.3875715453801</v>
      </c>
      <c r="X788" s="282"/>
    </row>
    <row r="789" spans="1:28" ht="15.6">
      <c r="A789" s="487">
        <v>217</v>
      </c>
      <c r="B789" s="876" t="s">
        <v>738</v>
      </c>
      <c r="C789" s="489">
        <f>'часть 1'!L812</f>
        <v>2247330</v>
      </c>
      <c r="D789" s="489">
        <v>0</v>
      </c>
      <c r="E789" s="489">
        <v>0</v>
      </c>
      <c r="F789" s="489">
        <v>0</v>
      </c>
      <c r="G789" s="489">
        <v>0</v>
      </c>
      <c r="H789" s="489">
        <v>0</v>
      </c>
      <c r="I789" s="489">
        <v>0</v>
      </c>
      <c r="J789" s="489">
        <v>0</v>
      </c>
      <c r="K789" s="489">
        <v>0</v>
      </c>
      <c r="L789" s="649">
        <v>0</v>
      </c>
      <c r="M789" s="510">
        <v>0</v>
      </c>
      <c r="N789" s="510">
        <v>896</v>
      </c>
      <c r="O789" s="510">
        <v>2247330</v>
      </c>
      <c r="P789" s="649">
        <v>0</v>
      </c>
      <c r="Q789" s="510">
        <v>0</v>
      </c>
      <c r="R789" s="650">
        <v>0</v>
      </c>
      <c r="S789" s="510">
        <v>0</v>
      </c>
      <c r="T789" s="649">
        <v>0</v>
      </c>
      <c r="U789" s="497">
        <v>0</v>
      </c>
      <c r="V789" s="282"/>
      <c r="W789" s="282">
        <f t="shared" si="115"/>
        <v>2508.1808035714284</v>
      </c>
      <c r="X789" s="282"/>
    </row>
    <row r="790" spans="1:28" ht="15.6">
      <c r="A790" s="487">
        <v>218</v>
      </c>
      <c r="B790" s="876" t="s">
        <v>739</v>
      </c>
      <c r="C790" s="489">
        <f>'часть 1'!L813</f>
        <v>3059179</v>
      </c>
      <c r="D790" s="489">
        <v>0</v>
      </c>
      <c r="E790" s="489">
        <v>0</v>
      </c>
      <c r="F790" s="489">
        <v>0</v>
      </c>
      <c r="G790" s="489">
        <v>0</v>
      </c>
      <c r="H790" s="489">
        <v>0</v>
      </c>
      <c r="I790" s="489">
        <v>0</v>
      </c>
      <c r="J790" s="489">
        <v>0</v>
      </c>
      <c r="K790" s="557">
        <v>0</v>
      </c>
      <c r="L790" s="649">
        <v>0</v>
      </c>
      <c r="M790" s="510">
        <v>0</v>
      </c>
      <c r="N790" s="510">
        <v>1223</v>
      </c>
      <c r="O790" s="510">
        <v>3059179</v>
      </c>
      <c r="P790" s="649">
        <v>0</v>
      </c>
      <c r="Q790" s="510">
        <v>0</v>
      </c>
      <c r="R790" s="650">
        <v>0</v>
      </c>
      <c r="S790" s="510">
        <v>0</v>
      </c>
      <c r="T790" s="649">
        <v>0</v>
      </c>
      <c r="U790" s="497">
        <v>0</v>
      </c>
      <c r="V790" s="282"/>
      <c r="W790" s="282">
        <f t="shared" si="115"/>
        <v>2501.3728536385938</v>
      </c>
      <c r="X790" s="282"/>
    </row>
    <row r="791" spans="1:28" ht="15.6">
      <c r="A791" s="487">
        <v>219</v>
      </c>
      <c r="B791" s="876" t="s">
        <v>740</v>
      </c>
      <c r="C791" s="489">
        <f>'часть 1'!L814</f>
        <v>2247365</v>
      </c>
      <c r="D791" s="489">
        <v>0</v>
      </c>
      <c r="E791" s="489">
        <v>0</v>
      </c>
      <c r="F791" s="489">
        <v>0</v>
      </c>
      <c r="G791" s="489">
        <v>0</v>
      </c>
      <c r="H791" s="489">
        <v>0</v>
      </c>
      <c r="I791" s="489">
        <v>0</v>
      </c>
      <c r="J791" s="489">
        <v>0</v>
      </c>
      <c r="K791" s="489">
        <v>0</v>
      </c>
      <c r="L791" s="649">
        <v>0</v>
      </c>
      <c r="M791" s="510">
        <v>0</v>
      </c>
      <c r="N791" s="510">
        <v>896</v>
      </c>
      <c r="O791" s="510">
        <v>2247365</v>
      </c>
      <c r="P791" s="649">
        <v>0</v>
      </c>
      <c r="Q791" s="510">
        <v>0</v>
      </c>
      <c r="R791" s="650">
        <v>0</v>
      </c>
      <c r="S791" s="510">
        <v>0</v>
      </c>
      <c r="T791" s="649">
        <v>0</v>
      </c>
      <c r="U791" s="497">
        <v>0</v>
      </c>
      <c r="V791" s="282"/>
      <c r="W791" s="282">
        <f t="shared" si="115"/>
        <v>2508.2198660714284</v>
      </c>
      <c r="X791" s="282"/>
    </row>
    <row r="792" spans="1:28">
      <c r="A792" s="487"/>
      <c r="B792" s="501"/>
      <c r="C792" s="489"/>
      <c r="D792" s="489"/>
      <c r="E792" s="489"/>
      <c r="F792" s="489"/>
      <c r="G792" s="489"/>
      <c r="H792" s="489"/>
      <c r="I792" s="489"/>
      <c r="J792" s="489"/>
      <c r="K792" s="557"/>
      <c r="L792" s="649"/>
      <c r="M792" s="510"/>
      <c r="N792" s="510"/>
      <c r="O792" s="510"/>
      <c r="P792" s="649"/>
      <c r="Q792" s="510"/>
      <c r="R792" s="650"/>
      <c r="S792" s="510"/>
      <c r="T792" s="649"/>
      <c r="U792" s="497"/>
      <c r="V792" s="282"/>
      <c r="W792" s="282"/>
      <c r="X792" s="282"/>
    </row>
    <row r="793" spans="1:28">
      <c r="A793" s="487"/>
      <c r="B793" s="501"/>
      <c r="C793" s="489"/>
      <c r="D793" s="489"/>
      <c r="E793" s="489"/>
      <c r="F793" s="489"/>
      <c r="G793" s="489"/>
      <c r="H793" s="489"/>
      <c r="I793" s="489"/>
      <c r="J793" s="489"/>
      <c r="K793" s="489"/>
      <c r="L793" s="649"/>
      <c r="M793" s="510"/>
      <c r="N793" s="510"/>
      <c r="O793" s="510"/>
      <c r="P793" s="649"/>
      <c r="Q793" s="510"/>
      <c r="R793" s="650"/>
      <c r="S793" s="510"/>
      <c r="T793" s="649"/>
      <c r="U793" s="497"/>
      <c r="V793" s="282"/>
      <c r="W793" s="282"/>
      <c r="X793" s="282"/>
    </row>
    <row r="794" spans="1:28">
      <c r="A794" s="487"/>
      <c r="B794" s="501"/>
      <c r="C794" s="489"/>
      <c r="D794" s="489"/>
      <c r="E794" s="489"/>
      <c r="F794" s="489"/>
      <c r="G794" s="489"/>
      <c r="H794" s="489"/>
      <c r="I794" s="489"/>
      <c r="J794" s="489"/>
      <c r="K794" s="489"/>
      <c r="L794" s="649"/>
      <c r="M794" s="510"/>
      <c r="N794" s="510"/>
      <c r="O794" s="510"/>
      <c r="P794" s="649"/>
      <c r="Q794" s="510"/>
      <c r="R794" s="650"/>
      <c r="S794" s="510"/>
      <c r="T794" s="649"/>
      <c r="U794" s="497"/>
      <c r="V794" s="282"/>
      <c r="W794" s="282"/>
      <c r="X794" s="282"/>
    </row>
    <row r="795" spans="1:28">
      <c r="A795" s="487"/>
      <c r="B795" s="501"/>
      <c r="C795" s="489"/>
      <c r="D795" s="489"/>
      <c r="E795" s="489"/>
      <c r="F795" s="489"/>
      <c r="G795" s="489"/>
      <c r="H795" s="489"/>
      <c r="I795" s="489"/>
      <c r="J795" s="489"/>
      <c r="K795" s="557"/>
      <c r="L795" s="649"/>
      <c r="M795" s="510"/>
      <c r="N795" s="510"/>
      <c r="O795" s="510"/>
      <c r="P795" s="649"/>
      <c r="Q795" s="510"/>
      <c r="R795" s="650"/>
      <c r="S795" s="510"/>
      <c r="T795" s="649"/>
      <c r="U795" s="497"/>
      <c r="V795" s="282"/>
      <c r="W795" s="282"/>
      <c r="X795" s="282"/>
    </row>
    <row r="796" spans="1:28">
      <c r="A796" s="487"/>
      <c r="B796" s="501"/>
      <c r="C796" s="489"/>
      <c r="D796" s="489"/>
      <c r="E796" s="489"/>
      <c r="F796" s="489"/>
      <c r="G796" s="489"/>
      <c r="H796" s="489"/>
      <c r="I796" s="489"/>
      <c r="J796" s="489"/>
      <c r="K796" s="557"/>
      <c r="L796" s="649"/>
      <c r="M796" s="510"/>
      <c r="N796" s="510"/>
      <c r="O796" s="510"/>
      <c r="P796" s="649"/>
      <c r="Q796" s="510"/>
      <c r="R796" s="650"/>
      <c r="S796" s="510"/>
      <c r="T796" s="649"/>
      <c r="U796" s="497"/>
      <c r="V796" s="282"/>
      <c r="W796" s="282"/>
      <c r="X796" s="282"/>
    </row>
    <row r="797" spans="1:28">
      <c r="A797" s="487"/>
      <c r="B797" s="501"/>
      <c r="C797" s="489"/>
      <c r="D797" s="489"/>
      <c r="E797" s="489"/>
      <c r="F797" s="489"/>
      <c r="G797" s="489"/>
      <c r="H797" s="489"/>
      <c r="I797" s="489"/>
      <c r="J797" s="489"/>
      <c r="K797" s="557"/>
      <c r="L797" s="649"/>
      <c r="M797" s="510"/>
      <c r="N797" s="510"/>
      <c r="O797" s="510"/>
      <c r="P797" s="649"/>
      <c r="Q797" s="510"/>
      <c r="R797" s="650"/>
      <c r="S797" s="510"/>
      <c r="T797" s="649"/>
      <c r="U797" s="497"/>
      <c r="V797" s="282"/>
      <c r="W797" s="282"/>
      <c r="X797" s="282"/>
    </row>
    <row r="798" spans="1:28">
      <c r="A798" s="487"/>
      <c r="B798" s="501"/>
      <c r="C798" s="489"/>
      <c r="D798" s="489"/>
      <c r="E798" s="489"/>
      <c r="F798" s="489"/>
      <c r="G798" s="489"/>
      <c r="H798" s="489"/>
      <c r="I798" s="489"/>
      <c r="J798" s="489"/>
      <c r="K798" s="557"/>
      <c r="L798" s="649"/>
      <c r="M798" s="510"/>
      <c r="N798" s="510"/>
      <c r="O798" s="510"/>
      <c r="P798" s="649"/>
      <c r="Q798" s="510"/>
      <c r="R798" s="808"/>
      <c r="S798" s="510"/>
      <c r="T798" s="649"/>
      <c r="U798" s="497"/>
      <c r="V798" s="282"/>
      <c r="W798" s="282"/>
      <c r="X798" s="282"/>
    </row>
    <row r="799" spans="1:28" ht="19.95" customHeight="1">
      <c r="A799" s="487"/>
      <c r="B799" s="501" t="s">
        <v>864</v>
      </c>
      <c r="C799" s="489">
        <f>C800+C801</f>
        <v>3651703</v>
      </c>
      <c r="D799" s="489">
        <f t="shared" ref="D799:U799" si="116">D800+D801</f>
        <v>1371058</v>
      </c>
      <c r="E799" s="489">
        <f t="shared" si="116"/>
        <v>1371058</v>
      </c>
      <c r="F799" s="489">
        <f t="shared" si="116"/>
        <v>0</v>
      </c>
      <c r="G799" s="489">
        <f t="shared" si="116"/>
        <v>0</v>
      </c>
      <c r="H799" s="489">
        <f t="shared" si="116"/>
        <v>0</v>
      </c>
      <c r="I799" s="489">
        <f t="shared" si="116"/>
        <v>0</v>
      </c>
      <c r="J799" s="489">
        <f t="shared" si="116"/>
        <v>0</v>
      </c>
      <c r="K799" s="489">
        <f t="shared" si="116"/>
        <v>0</v>
      </c>
      <c r="L799" s="489">
        <f t="shared" si="116"/>
        <v>0</v>
      </c>
      <c r="M799" s="489">
        <f t="shared" si="116"/>
        <v>0</v>
      </c>
      <c r="N799" s="489">
        <f t="shared" si="116"/>
        <v>0</v>
      </c>
      <c r="O799" s="489">
        <f t="shared" si="116"/>
        <v>0</v>
      </c>
      <c r="P799" s="489">
        <f t="shared" si="116"/>
        <v>0</v>
      </c>
      <c r="Q799" s="489">
        <f t="shared" si="116"/>
        <v>0</v>
      </c>
      <c r="R799" s="489">
        <f t="shared" si="116"/>
        <v>1479.4</v>
      </c>
      <c r="S799" s="489">
        <f t="shared" si="116"/>
        <v>2280645</v>
      </c>
      <c r="T799" s="489">
        <f t="shared" si="116"/>
        <v>0</v>
      </c>
      <c r="U799" s="489">
        <f t="shared" si="116"/>
        <v>0</v>
      </c>
      <c r="V799" s="282"/>
      <c r="W799" s="282"/>
      <c r="X799" s="282"/>
    </row>
    <row r="800" spans="1:28">
      <c r="A800" s="487"/>
      <c r="B800" s="501" t="s">
        <v>867</v>
      </c>
      <c r="C800" s="489">
        <f>'часть 1'!L823</f>
        <v>2505179</v>
      </c>
      <c r="D800" s="489">
        <f>E800+F800+G800+H800+I800+J800+K800</f>
        <v>1371058</v>
      </c>
      <c r="E800" s="489">
        <v>1371058</v>
      </c>
      <c r="F800" s="489">
        <v>0</v>
      </c>
      <c r="G800" s="489">
        <v>0</v>
      </c>
      <c r="H800" s="489">
        <v>0</v>
      </c>
      <c r="I800" s="489">
        <v>0</v>
      </c>
      <c r="J800" s="489">
        <v>0</v>
      </c>
      <c r="K800" s="557">
        <v>0</v>
      </c>
      <c r="L800" s="649">
        <v>0</v>
      </c>
      <c r="M800" s="510">
        <v>0</v>
      </c>
      <c r="N800" s="557">
        <v>0</v>
      </c>
      <c r="O800" s="557">
        <v>0</v>
      </c>
      <c r="P800" s="649">
        <v>0</v>
      </c>
      <c r="Q800" s="510">
        <v>0</v>
      </c>
      <c r="R800" s="808">
        <v>735.5</v>
      </c>
      <c r="S800" s="510">
        <v>1134121</v>
      </c>
      <c r="T800" s="649">
        <v>0</v>
      </c>
      <c r="U800" s="497">
        <v>0</v>
      </c>
      <c r="V800" s="282"/>
      <c r="W800" s="282"/>
      <c r="X800" s="282">
        <f>S800/R800</f>
        <v>1541.9728076138681</v>
      </c>
      <c r="Y800" s="1">
        <f>E800/'часть 1'!I823</f>
        <v>671.42899118511264</v>
      </c>
    </row>
    <row r="801" spans="1:30">
      <c r="A801" s="487"/>
      <c r="B801" s="501" t="s">
        <v>868</v>
      </c>
      <c r="C801" s="489">
        <f>'часть 1'!L824</f>
        <v>1146524</v>
      </c>
      <c r="D801" s="489">
        <f>E801+F801+G801+H801+I801+J801+K801</f>
        <v>0</v>
      </c>
      <c r="E801" s="489">
        <v>0</v>
      </c>
      <c r="F801" s="489">
        <v>0</v>
      </c>
      <c r="G801" s="489">
        <v>0</v>
      </c>
      <c r="H801" s="489">
        <v>0</v>
      </c>
      <c r="I801" s="489">
        <v>0</v>
      </c>
      <c r="J801" s="489">
        <v>0</v>
      </c>
      <c r="K801" s="557">
        <v>0</v>
      </c>
      <c r="L801" s="649">
        <v>0</v>
      </c>
      <c r="M801" s="510">
        <v>0</v>
      </c>
      <c r="N801" s="557">
        <v>0</v>
      </c>
      <c r="O801" s="557">
        <v>0</v>
      </c>
      <c r="P801" s="649">
        <v>0</v>
      </c>
      <c r="Q801" s="510">
        <v>0</v>
      </c>
      <c r="R801" s="808">
        <v>743.9</v>
      </c>
      <c r="S801" s="510">
        <v>1146524</v>
      </c>
      <c r="T801" s="649">
        <v>0</v>
      </c>
      <c r="U801" s="497">
        <v>0</v>
      </c>
      <c r="V801" s="282"/>
      <c r="W801" s="282"/>
      <c r="X801" s="282">
        <f>S801/R801</f>
        <v>1541.2340368329078</v>
      </c>
    </row>
    <row r="802" spans="1:30" ht="18.75" customHeight="1">
      <c r="A802" s="487"/>
      <c r="B802" s="499" t="s">
        <v>72</v>
      </c>
      <c r="C802" s="489">
        <f>C803</f>
        <v>4218095</v>
      </c>
      <c r="D802" s="489">
        <f t="shared" ref="D802:U802" si="117">D803</f>
        <v>0</v>
      </c>
      <c r="E802" s="489">
        <f t="shared" si="117"/>
        <v>0</v>
      </c>
      <c r="F802" s="489">
        <f t="shared" si="117"/>
        <v>0</v>
      </c>
      <c r="G802" s="489">
        <f t="shared" si="117"/>
        <v>0</v>
      </c>
      <c r="H802" s="489">
        <f t="shared" si="117"/>
        <v>0</v>
      </c>
      <c r="I802" s="489">
        <f t="shared" si="117"/>
        <v>0</v>
      </c>
      <c r="J802" s="489">
        <f t="shared" si="117"/>
        <v>0</v>
      </c>
      <c r="K802" s="489">
        <f t="shared" si="117"/>
        <v>0</v>
      </c>
      <c r="L802" s="489">
        <f t="shared" si="117"/>
        <v>0</v>
      </c>
      <c r="M802" s="489">
        <f t="shared" si="117"/>
        <v>0</v>
      </c>
      <c r="N802" s="489">
        <f t="shared" si="117"/>
        <v>847</v>
      </c>
      <c r="O802" s="489">
        <f t="shared" si="117"/>
        <v>2338924</v>
      </c>
      <c r="P802" s="489">
        <f t="shared" si="117"/>
        <v>0</v>
      </c>
      <c r="Q802" s="489">
        <f t="shared" si="117"/>
        <v>0</v>
      </c>
      <c r="R802" s="489">
        <f t="shared" si="117"/>
        <v>1210</v>
      </c>
      <c r="S802" s="489">
        <f t="shared" si="117"/>
        <v>1879171</v>
      </c>
      <c r="T802" s="489">
        <f t="shared" si="117"/>
        <v>0</v>
      </c>
      <c r="U802" s="489">
        <f t="shared" si="117"/>
        <v>0</v>
      </c>
      <c r="V802" s="282"/>
      <c r="W802" s="282"/>
      <c r="X802" s="282"/>
    </row>
    <row r="803" spans="1:30" ht="30.75" customHeight="1">
      <c r="A803" s="487"/>
      <c r="B803" s="499" t="s">
        <v>95</v>
      </c>
      <c r="C803" s="489">
        <f>C804+C805</f>
        <v>4218095</v>
      </c>
      <c r="D803" s="489">
        <f t="shared" ref="D803:V803" si="118">D804+D805</f>
        <v>0</v>
      </c>
      <c r="E803" s="489">
        <f t="shared" si="118"/>
        <v>0</v>
      </c>
      <c r="F803" s="489">
        <f t="shared" si="118"/>
        <v>0</v>
      </c>
      <c r="G803" s="489">
        <f t="shared" si="118"/>
        <v>0</v>
      </c>
      <c r="H803" s="489">
        <f t="shared" si="118"/>
        <v>0</v>
      </c>
      <c r="I803" s="489">
        <f t="shared" si="118"/>
        <v>0</v>
      </c>
      <c r="J803" s="489">
        <f t="shared" si="118"/>
        <v>0</v>
      </c>
      <c r="K803" s="489">
        <f t="shared" si="118"/>
        <v>0</v>
      </c>
      <c r="L803" s="489">
        <f t="shared" si="118"/>
        <v>0</v>
      </c>
      <c r="M803" s="489">
        <f t="shared" si="118"/>
        <v>0</v>
      </c>
      <c r="N803" s="489">
        <f t="shared" si="118"/>
        <v>847</v>
      </c>
      <c r="O803" s="489">
        <f t="shared" si="118"/>
        <v>2338924</v>
      </c>
      <c r="P803" s="489">
        <f t="shared" si="118"/>
        <v>0</v>
      </c>
      <c r="Q803" s="489">
        <f t="shared" si="118"/>
        <v>0</v>
      </c>
      <c r="R803" s="489">
        <f t="shared" si="118"/>
        <v>1210</v>
      </c>
      <c r="S803" s="489">
        <f t="shared" si="118"/>
        <v>1879171</v>
      </c>
      <c r="T803" s="489">
        <f t="shared" si="118"/>
        <v>0</v>
      </c>
      <c r="U803" s="489">
        <f t="shared" si="118"/>
        <v>0</v>
      </c>
      <c r="V803" s="196">
        <f t="shared" si="118"/>
        <v>0</v>
      </c>
      <c r="W803" s="282"/>
      <c r="X803" s="282"/>
    </row>
    <row r="804" spans="1:30" ht="15.6">
      <c r="A804" s="487">
        <v>231</v>
      </c>
      <c r="B804" s="336" t="s">
        <v>627</v>
      </c>
      <c r="C804" s="489">
        <f>'часть 1'!L827</f>
        <v>2605488</v>
      </c>
      <c r="D804" s="489">
        <v>0</v>
      </c>
      <c r="E804" s="489">
        <v>0</v>
      </c>
      <c r="F804" s="489">
        <v>0</v>
      </c>
      <c r="G804" s="489">
        <v>0</v>
      </c>
      <c r="H804" s="489">
        <v>0</v>
      </c>
      <c r="I804" s="489">
        <v>0</v>
      </c>
      <c r="J804" s="489">
        <v>0</v>
      </c>
      <c r="K804" s="489">
        <v>0</v>
      </c>
      <c r="L804" s="500">
        <v>0</v>
      </c>
      <c r="M804" s="560">
        <v>0</v>
      </c>
      <c r="N804" s="492">
        <v>562</v>
      </c>
      <c r="O804" s="489">
        <v>1417413</v>
      </c>
      <c r="P804" s="500">
        <v>0</v>
      </c>
      <c r="Q804" s="489">
        <v>0</v>
      </c>
      <c r="R804" s="490">
        <v>760</v>
      </c>
      <c r="S804" s="489">
        <v>1188075</v>
      </c>
      <c r="T804" s="500">
        <v>0</v>
      </c>
      <c r="U804" s="561">
        <v>0</v>
      </c>
      <c r="V804" s="282"/>
      <c r="W804" s="282">
        <f>O804/N804</f>
        <v>2522.0871886120995</v>
      </c>
      <c r="X804" s="282">
        <f>S804/R804</f>
        <v>1563.2565789473683</v>
      </c>
    </row>
    <row r="805" spans="1:30" ht="22.2" customHeight="1">
      <c r="A805" s="487">
        <v>232</v>
      </c>
      <c r="B805" s="336" t="s">
        <v>624</v>
      </c>
      <c r="C805" s="489">
        <f>'часть 1'!L828</f>
        <v>1612607</v>
      </c>
      <c r="D805" s="489">
        <v>0</v>
      </c>
      <c r="E805" s="489">
        <v>0</v>
      </c>
      <c r="F805" s="489">
        <v>0</v>
      </c>
      <c r="G805" s="489">
        <v>0</v>
      </c>
      <c r="H805" s="489">
        <v>0</v>
      </c>
      <c r="I805" s="489">
        <v>0</v>
      </c>
      <c r="J805" s="489">
        <v>0</v>
      </c>
      <c r="K805" s="489">
        <v>0</v>
      </c>
      <c r="L805" s="500">
        <v>0</v>
      </c>
      <c r="M805" s="560">
        <v>0</v>
      </c>
      <c r="N805" s="492">
        <v>285</v>
      </c>
      <c r="O805" s="489">
        <v>921511</v>
      </c>
      <c r="P805" s="500">
        <v>0</v>
      </c>
      <c r="Q805" s="489">
        <v>0</v>
      </c>
      <c r="R805" s="490">
        <v>450</v>
      </c>
      <c r="S805" s="489">
        <v>691096</v>
      </c>
      <c r="T805" s="500">
        <v>0</v>
      </c>
      <c r="U805" s="561">
        <v>0</v>
      </c>
      <c r="V805" s="282"/>
      <c r="W805" s="282">
        <f>O805/N805</f>
        <v>3233.3719298245614</v>
      </c>
      <c r="X805" s="282">
        <f>S805/R805</f>
        <v>1535.7688888888888</v>
      </c>
    </row>
    <row r="806" spans="1:30">
      <c r="A806" s="487"/>
      <c r="B806" s="499"/>
      <c r="C806" s="489"/>
      <c r="D806" s="489"/>
      <c r="E806" s="489"/>
      <c r="F806" s="489"/>
      <c r="G806" s="489"/>
      <c r="H806" s="489"/>
      <c r="I806" s="489"/>
      <c r="J806" s="489"/>
      <c r="K806" s="489"/>
      <c r="L806" s="500"/>
      <c r="M806" s="560"/>
      <c r="N806" s="492"/>
      <c r="O806" s="489"/>
      <c r="P806" s="500"/>
      <c r="Q806" s="489"/>
      <c r="R806" s="490"/>
      <c r="S806" s="560"/>
      <c r="T806" s="500"/>
      <c r="U806" s="561"/>
      <c r="V806" s="282"/>
      <c r="W806" s="282"/>
      <c r="X806" s="282"/>
    </row>
    <row r="807" spans="1:30">
      <c r="A807" s="487"/>
      <c r="B807" s="499"/>
      <c r="C807" s="489"/>
      <c r="D807" s="489"/>
      <c r="E807" s="489"/>
      <c r="F807" s="489"/>
      <c r="G807" s="489"/>
      <c r="H807" s="489"/>
      <c r="I807" s="489"/>
      <c r="J807" s="489"/>
      <c r="K807" s="489"/>
      <c r="L807" s="500"/>
      <c r="M807" s="560"/>
      <c r="N807" s="492"/>
      <c r="O807" s="489"/>
      <c r="P807" s="500"/>
      <c r="Q807" s="489"/>
      <c r="R807" s="490"/>
      <c r="S807" s="560"/>
      <c r="T807" s="500"/>
      <c r="U807" s="561"/>
      <c r="V807" s="282"/>
      <c r="W807" s="282"/>
      <c r="X807" s="282"/>
    </row>
    <row r="808" spans="1:30">
      <c r="A808" s="487"/>
      <c r="B808" s="499"/>
      <c r="C808" s="489"/>
      <c r="D808" s="489"/>
      <c r="E808" s="489"/>
      <c r="F808" s="489"/>
      <c r="G808" s="489"/>
      <c r="H808" s="489"/>
      <c r="I808" s="489"/>
      <c r="J808" s="489"/>
      <c r="K808" s="489"/>
      <c r="L808" s="500"/>
      <c r="M808" s="560"/>
      <c r="N808" s="492"/>
      <c r="O808" s="489"/>
      <c r="P808" s="500"/>
      <c r="Q808" s="489"/>
      <c r="R808" s="490"/>
      <c r="S808" s="560"/>
      <c r="T808" s="500"/>
      <c r="U808" s="561"/>
      <c r="V808" s="282"/>
      <c r="W808" s="282"/>
      <c r="X808" s="282"/>
    </row>
    <row r="809" spans="1:30">
      <c r="A809" s="487"/>
      <c r="B809" s="499"/>
      <c r="C809" s="489"/>
      <c r="D809" s="489"/>
      <c r="E809" s="489"/>
      <c r="F809" s="489"/>
      <c r="G809" s="489"/>
      <c r="H809" s="489"/>
      <c r="I809" s="489"/>
      <c r="J809" s="489"/>
      <c r="K809" s="489"/>
      <c r="L809" s="500"/>
      <c r="M809" s="560"/>
      <c r="N809" s="492"/>
      <c r="O809" s="489"/>
      <c r="P809" s="500"/>
      <c r="Q809" s="489"/>
      <c r="R809" s="490"/>
      <c r="S809" s="560"/>
      <c r="T809" s="500"/>
      <c r="U809" s="561"/>
      <c r="V809" s="282"/>
      <c r="W809" s="282"/>
      <c r="X809" s="282"/>
    </row>
    <row r="810" spans="1:30">
      <c r="A810" s="487"/>
      <c r="B810" s="499"/>
      <c r="C810" s="489"/>
      <c r="D810" s="489"/>
      <c r="E810" s="489"/>
      <c r="F810" s="489"/>
      <c r="G810" s="489"/>
      <c r="H810" s="489"/>
      <c r="I810" s="489"/>
      <c r="J810" s="489"/>
      <c r="K810" s="489"/>
      <c r="L810" s="500"/>
      <c r="M810" s="560"/>
      <c r="N810" s="492"/>
      <c r="O810" s="489"/>
      <c r="P810" s="500"/>
      <c r="Q810" s="489"/>
      <c r="R810" s="490"/>
      <c r="S810" s="560"/>
      <c r="T810" s="500"/>
      <c r="U810" s="561"/>
      <c r="V810" s="282"/>
      <c r="W810" s="282"/>
      <c r="X810" s="282"/>
    </row>
    <row r="811" spans="1:30">
      <c r="A811" s="198"/>
      <c r="B811" s="217" t="s">
        <v>41</v>
      </c>
      <c r="C811" s="192">
        <v>12161074</v>
      </c>
      <c r="D811" s="192"/>
      <c r="E811" s="192"/>
      <c r="F811" s="192"/>
      <c r="G811" s="192"/>
      <c r="H811" s="192"/>
      <c r="I811" s="192"/>
      <c r="J811" s="192"/>
      <c r="K811" s="192">
        <v>297717</v>
      </c>
      <c r="L811" s="205">
        <v>3</v>
      </c>
      <c r="M811" s="192">
        <v>5600526</v>
      </c>
      <c r="N811" s="192">
        <f>N812</f>
        <v>1313</v>
      </c>
      <c r="O811" s="192">
        <v>6262831</v>
      </c>
      <c r="P811" s="205">
        <v>0</v>
      </c>
      <c r="Q811" s="192">
        <v>0</v>
      </c>
      <c r="R811" s="193">
        <v>0</v>
      </c>
      <c r="S811" s="192">
        <v>0</v>
      </c>
      <c r="T811" s="205">
        <v>0</v>
      </c>
      <c r="U811" s="287">
        <v>0</v>
      </c>
      <c r="V811" s="282"/>
      <c r="W811" s="282"/>
      <c r="X811" s="282"/>
    </row>
    <row r="812" spans="1:30" ht="27.6">
      <c r="A812" s="785"/>
      <c r="B812" s="195" t="s">
        <v>96</v>
      </c>
      <c r="C812" s="196">
        <f>C813+C814+C815+C816+C817</f>
        <v>9289441</v>
      </c>
      <c r="D812" s="196">
        <f t="shared" ref="D812:U812" si="119">D813+D814+D815+D816+D817</f>
        <v>5111523</v>
      </c>
      <c r="E812" s="196">
        <f t="shared" si="119"/>
        <v>2547087</v>
      </c>
      <c r="F812" s="196">
        <f t="shared" si="119"/>
        <v>1049894</v>
      </c>
      <c r="G812" s="196">
        <f t="shared" si="119"/>
        <v>0</v>
      </c>
      <c r="H812" s="196">
        <f t="shared" si="119"/>
        <v>921204</v>
      </c>
      <c r="I812" s="196">
        <f t="shared" si="119"/>
        <v>0</v>
      </c>
      <c r="J812" s="196">
        <f t="shared" si="119"/>
        <v>593338</v>
      </c>
      <c r="K812" s="196">
        <f t="shared" si="119"/>
        <v>0</v>
      </c>
      <c r="L812" s="196">
        <f t="shared" si="119"/>
        <v>0</v>
      </c>
      <c r="M812" s="196">
        <f t="shared" si="119"/>
        <v>0</v>
      </c>
      <c r="N812" s="196">
        <f t="shared" si="119"/>
        <v>1313</v>
      </c>
      <c r="O812" s="196">
        <f t="shared" si="119"/>
        <v>4177918</v>
      </c>
      <c r="P812" s="196">
        <f t="shared" si="119"/>
        <v>0</v>
      </c>
      <c r="Q812" s="196">
        <f t="shared" si="119"/>
        <v>0</v>
      </c>
      <c r="R812" s="196">
        <f t="shared" si="119"/>
        <v>0</v>
      </c>
      <c r="S812" s="196">
        <f t="shared" si="119"/>
        <v>0</v>
      </c>
      <c r="T812" s="196">
        <f t="shared" si="119"/>
        <v>0</v>
      </c>
      <c r="U812" s="196">
        <f t="shared" si="119"/>
        <v>0</v>
      </c>
      <c r="V812" s="282"/>
      <c r="W812" s="282"/>
      <c r="X812" s="282"/>
    </row>
    <row r="813" spans="1:30">
      <c r="A813" s="785">
        <v>238</v>
      </c>
      <c r="B813" s="787" t="s">
        <v>825</v>
      </c>
      <c r="C813" s="196">
        <f>'часть 1'!L836</f>
        <v>1058186</v>
      </c>
      <c r="D813" s="196">
        <f>E813+F813+G813+H813+I813+J813+K813</f>
        <v>1058186</v>
      </c>
      <c r="E813" s="196">
        <v>1058186</v>
      </c>
      <c r="F813" s="196">
        <v>0</v>
      </c>
      <c r="G813" s="196">
        <v>0</v>
      </c>
      <c r="H813" s="196">
        <v>0</v>
      </c>
      <c r="I813" s="196">
        <v>0</v>
      </c>
      <c r="J813" s="196">
        <v>0</v>
      </c>
      <c r="K813" s="196">
        <v>0</v>
      </c>
      <c r="L813" s="204">
        <v>0</v>
      </c>
      <c r="M813" s="199">
        <v>0</v>
      </c>
      <c r="N813" s="199">
        <v>0</v>
      </c>
      <c r="O813" s="196">
        <v>0</v>
      </c>
      <c r="P813" s="193">
        <v>0</v>
      </c>
      <c r="Q813" s="192">
        <v>0</v>
      </c>
      <c r="R813" s="193">
        <v>0</v>
      </c>
      <c r="S813" s="192">
        <v>0</v>
      </c>
      <c r="T813" s="205">
        <v>0</v>
      </c>
      <c r="U813" s="287">
        <v>0</v>
      </c>
      <c r="V813" s="282"/>
      <c r="W813" s="282"/>
      <c r="X813" s="282"/>
      <c r="Y813" s="1">
        <f>E813/'часть 1'!I836</f>
        <v>758.23015190599028</v>
      </c>
    </row>
    <row r="814" spans="1:30" ht="37.950000000000003" customHeight="1">
      <c r="A814" s="785">
        <v>239</v>
      </c>
      <c r="B814" s="788" t="s">
        <v>826</v>
      </c>
      <c r="C814" s="196">
        <f>'часть 1'!L837</f>
        <v>1264714</v>
      </c>
      <c r="D814" s="196">
        <f t="shared" ref="D814:D817" si="120">E814+F814+G814+H814+I814+J814+K814</f>
        <v>1264714</v>
      </c>
      <c r="E814" s="196">
        <v>295822</v>
      </c>
      <c r="F814" s="196">
        <v>397225</v>
      </c>
      <c r="G814" s="196">
        <v>0</v>
      </c>
      <c r="H814" s="196">
        <v>349155</v>
      </c>
      <c r="I814" s="196">
        <v>0</v>
      </c>
      <c r="J814" s="196">
        <v>222512</v>
      </c>
      <c r="K814" s="196">
        <v>0</v>
      </c>
      <c r="L814" s="204">
        <v>0</v>
      </c>
      <c r="M814" s="199">
        <v>0</v>
      </c>
      <c r="N814" s="199">
        <v>0</v>
      </c>
      <c r="O814" s="196">
        <v>0</v>
      </c>
      <c r="P814" s="193">
        <v>0</v>
      </c>
      <c r="Q814" s="192">
        <v>0</v>
      </c>
      <c r="R814" s="193">
        <v>0</v>
      </c>
      <c r="S814" s="192">
        <v>0</v>
      </c>
      <c r="T814" s="205">
        <v>0</v>
      </c>
      <c r="U814" s="287">
        <v>0</v>
      </c>
      <c r="V814" s="282"/>
      <c r="W814" s="282"/>
      <c r="X814" s="282"/>
      <c r="Y814" s="1">
        <f>E814/'часть 1'!I837</f>
        <v>748.91645569620255</v>
      </c>
      <c r="AA814" s="1">
        <f>F814/'часть 1'!I837</f>
        <v>1005.632911392405</v>
      </c>
      <c r="AB814" s="1">
        <f>H814/'часть 1'!I837</f>
        <v>883.9367088607595</v>
      </c>
      <c r="AD814" s="1">
        <f>J814/'часть 1'!I837</f>
        <v>563.32151898734173</v>
      </c>
    </row>
    <row r="815" spans="1:30">
      <c r="A815" s="785">
        <v>240</v>
      </c>
      <c r="B815" s="787" t="s">
        <v>827</v>
      </c>
      <c r="C815" s="196">
        <f>'часть 1'!L838</f>
        <v>3274864</v>
      </c>
      <c r="D815" s="196">
        <f t="shared" si="120"/>
        <v>436027</v>
      </c>
      <c r="E815" s="196">
        <v>436027</v>
      </c>
      <c r="F815" s="196">
        <v>0</v>
      </c>
      <c r="G815" s="196">
        <v>0</v>
      </c>
      <c r="H815" s="196">
        <v>0</v>
      </c>
      <c r="I815" s="196">
        <v>0</v>
      </c>
      <c r="J815" s="196">
        <v>0</v>
      </c>
      <c r="K815" s="196">
        <v>0</v>
      </c>
      <c r="L815" s="204">
        <v>0</v>
      </c>
      <c r="M815" s="199">
        <v>0</v>
      </c>
      <c r="N815" s="199">
        <v>895</v>
      </c>
      <c r="O815" s="196">
        <v>2838837</v>
      </c>
      <c r="P815" s="193">
        <v>0</v>
      </c>
      <c r="Q815" s="192">
        <v>0</v>
      </c>
      <c r="R815" s="193">
        <v>0</v>
      </c>
      <c r="S815" s="192">
        <v>0</v>
      </c>
      <c r="T815" s="205">
        <v>0</v>
      </c>
      <c r="U815" s="287">
        <v>0</v>
      </c>
      <c r="V815" s="282"/>
      <c r="W815" s="282">
        <f>O815/N815</f>
        <v>3171.8849162011174</v>
      </c>
      <c r="X815" s="282"/>
      <c r="Y815" s="1">
        <f>E815/'часть 1'!I838</f>
        <v>762.15172172697078</v>
      </c>
    </row>
    <row r="816" spans="1:30">
      <c r="A816" s="785">
        <v>241</v>
      </c>
      <c r="B816" s="787" t="s">
        <v>828</v>
      </c>
      <c r="C816" s="196">
        <f>'часть 1'!L839</f>
        <v>2082655</v>
      </c>
      <c r="D816" s="196">
        <f t="shared" si="120"/>
        <v>2082655</v>
      </c>
      <c r="E816" s="196">
        <v>487111</v>
      </c>
      <c r="F816" s="196">
        <v>652669</v>
      </c>
      <c r="G816" s="196">
        <v>0</v>
      </c>
      <c r="H816" s="196">
        <v>572049</v>
      </c>
      <c r="I816" s="196">
        <v>0</v>
      </c>
      <c r="J816" s="196">
        <v>370826</v>
      </c>
      <c r="K816" s="196">
        <v>0</v>
      </c>
      <c r="L816" s="204">
        <v>0</v>
      </c>
      <c r="M816" s="199">
        <v>0</v>
      </c>
      <c r="N816" s="192">
        <v>0</v>
      </c>
      <c r="O816" s="192">
        <v>0</v>
      </c>
      <c r="P816" s="193">
        <v>0</v>
      </c>
      <c r="Q816" s="192">
        <v>0</v>
      </c>
      <c r="R816" s="193">
        <v>0</v>
      </c>
      <c r="S816" s="192">
        <v>0</v>
      </c>
      <c r="T816" s="205">
        <v>0</v>
      </c>
      <c r="U816" s="287">
        <v>0</v>
      </c>
      <c r="V816" s="282"/>
      <c r="W816" s="282"/>
      <c r="X816" s="282"/>
      <c r="Y816" s="1">
        <f>E816/'часть 1'!I839</f>
        <v>684.1446629213483</v>
      </c>
      <c r="AA816" s="1">
        <f>F816/'часть 1'!I839</f>
        <v>916.66994382022472</v>
      </c>
      <c r="AB816" s="1">
        <f>H816/'часть 1'!I839</f>
        <v>803.43960674157302</v>
      </c>
      <c r="AD816" s="1">
        <f>J816/'часть 1'!I839</f>
        <v>520.82303370786519</v>
      </c>
    </row>
    <row r="817" spans="1:35">
      <c r="A817" s="785">
        <v>242</v>
      </c>
      <c r="B817" s="787" t="s">
        <v>829</v>
      </c>
      <c r="C817" s="196">
        <f>'часть 1'!L840</f>
        <v>1609022</v>
      </c>
      <c r="D817" s="196">
        <f t="shared" si="120"/>
        <v>269941</v>
      </c>
      <c r="E817" s="196">
        <v>269941</v>
      </c>
      <c r="F817" s="196">
        <v>0</v>
      </c>
      <c r="G817" s="196">
        <v>0</v>
      </c>
      <c r="H817" s="196">
        <v>0</v>
      </c>
      <c r="I817" s="196">
        <v>0</v>
      </c>
      <c r="J817" s="196">
        <v>0</v>
      </c>
      <c r="K817" s="196">
        <v>0</v>
      </c>
      <c r="L817" s="204">
        <v>0</v>
      </c>
      <c r="M817" s="199">
        <v>0</v>
      </c>
      <c r="N817" s="199">
        <v>418</v>
      </c>
      <c r="O817" s="196">
        <v>1339081</v>
      </c>
      <c r="P817" s="193">
        <v>0</v>
      </c>
      <c r="Q817" s="211">
        <v>0</v>
      </c>
      <c r="R817" s="213">
        <v>0</v>
      </c>
      <c r="S817" s="211">
        <v>0</v>
      </c>
      <c r="T817" s="212">
        <v>0</v>
      </c>
      <c r="U817" s="290">
        <v>0</v>
      </c>
      <c r="V817" s="282"/>
      <c r="W817" s="282">
        <f>O817/N817</f>
        <v>3203.5430622009571</v>
      </c>
      <c r="X817" s="282"/>
      <c r="Y817" s="1">
        <f>E817/'часть 1'!I840</f>
        <v>729.37314239394755</v>
      </c>
    </row>
    <row r="818" spans="1:35">
      <c r="A818" s="785"/>
      <c r="B818" s="218" t="s">
        <v>68</v>
      </c>
      <c r="C818" s="196">
        <f>C819</f>
        <v>443001</v>
      </c>
      <c r="D818" s="196">
        <f t="shared" ref="D818:U819" si="121">D819</f>
        <v>0</v>
      </c>
      <c r="E818" s="196">
        <f t="shared" si="121"/>
        <v>0</v>
      </c>
      <c r="F818" s="196">
        <f t="shared" si="121"/>
        <v>0</v>
      </c>
      <c r="G818" s="196">
        <f t="shared" si="121"/>
        <v>0</v>
      </c>
      <c r="H818" s="196">
        <f t="shared" si="121"/>
        <v>0</v>
      </c>
      <c r="I818" s="196">
        <f t="shared" si="121"/>
        <v>0</v>
      </c>
      <c r="J818" s="196">
        <f t="shared" si="121"/>
        <v>0</v>
      </c>
      <c r="K818" s="196">
        <f t="shared" si="121"/>
        <v>0</v>
      </c>
      <c r="L818" s="196">
        <f t="shared" si="121"/>
        <v>0</v>
      </c>
      <c r="M818" s="196">
        <f t="shared" si="121"/>
        <v>0</v>
      </c>
      <c r="N818" s="196">
        <f t="shared" si="121"/>
        <v>0</v>
      </c>
      <c r="O818" s="196">
        <f t="shared" si="121"/>
        <v>0</v>
      </c>
      <c r="P818" s="196">
        <f t="shared" si="121"/>
        <v>0</v>
      </c>
      <c r="Q818" s="196">
        <f t="shared" si="121"/>
        <v>0</v>
      </c>
      <c r="R818" s="196">
        <f t="shared" si="121"/>
        <v>285.2</v>
      </c>
      <c r="S818" s="196">
        <f t="shared" si="121"/>
        <v>443001</v>
      </c>
      <c r="T818" s="196">
        <f t="shared" si="121"/>
        <v>0</v>
      </c>
      <c r="U818" s="196">
        <f t="shared" si="121"/>
        <v>0</v>
      </c>
      <c r="V818" s="282"/>
      <c r="W818" s="282"/>
      <c r="X818" s="282"/>
    </row>
    <row r="819" spans="1:35" ht="27.6">
      <c r="A819" s="786"/>
      <c r="B819" s="488" t="s">
        <v>97</v>
      </c>
      <c r="C819" s="489">
        <f>C820</f>
        <v>443001</v>
      </c>
      <c r="D819" s="489">
        <f t="shared" si="121"/>
        <v>0</v>
      </c>
      <c r="E819" s="489">
        <f t="shared" si="121"/>
        <v>0</v>
      </c>
      <c r="F819" s="489">
        <f t="shared" si="121"/>
        <v>0</v>
      </c>
      <c r="G819" s="489">
        <f t="shared" si="121"/>
        <v>0</v>
      </c>
      <c r="H819" s="489">
        <f t="shared" si="121"/>
        <v>0</v>
      </c>
      <c r="I819" s="489">
        <f t="shared" si="121"/>
        <v>0</v>
      </c>
      <c r="J819" s="489">
        <f t="shared" si="121"/>
        <v>0</v>
      </c>
      <c r="K819" s="489">
        <f t="shared" si="121"/>
        <v>0</v>
      </c>
      <c r="L819" s="489">
        <f t="shared" si="121"/>
        <v>0</v>
      </c>
      <c r="M819" s="489">
        <f t="shared" si="121"/>
        <v>0</v>
      </c>
      <c r="N819" s="489">
        <f t="shared" si="121"/>
        <v>0</v>
      </c>
      <c r="O819" s="489">
        <f t="shared" si="121"/>
        <v>0</v>
      </c>
      <c r="P819" s="489">
        <f t="shared" si="121"/>
        <v>0</v>
      </c>
      <c r="Q819" s="489">
        <f t="shared" si="121"/>
        <v>0</v>
      </c>
      <c r="R819" s="489">
        <f t="shared" si="121"/>
        <v>285.2</v>
      </c>
      <c r="S819" s="489">
        <f t="shared" si="121"/>
        <v>443001</v>
      </c>
      <c r="T819" s="489">
        <f t="shared" si="121"/>
        <v>0</v>
      </c>
      <c r="U819" s="489">
        <f t="shared" si="121"/>
        <v>0</v>
      </c>
      <c r="V819" s="489">
        <f t="shared" ref="V819" si="122">V820</f>
        <v>0</v>
      </c>
      <c r="W819" s="282"/>
      <c r="X819" s="282"/>
    </row>
    <row r="820" spans="1:35">
      <c r="A820" s="487"/>
      <c r="B820" s="501" t="s">
        <v>769</v>
      </c>
      <c r="C820" s="498">
        <f>'часть 1'!L843</f>
        <v>443001</v>
      </c>
      <c r="D820" s="498">
        <v>0</v>
      </c>
      <c r="E820" s="498">
        <v>0</v>
      </c>
      <c r="F820" s="498">
        <v>0</v>
      </c>
      <c r="G820" s="498">
        <v>0</v>
      </c>
      <c r="H820" s="498">
        <v>0</v>
      </c>
      <c r="I820" s="498">
        <v>0</v>
      </c>
      <c r="J820" s="498">
        <v>0</v>
      </c>
      <c r="K820" s="498">
        <v>0</v>
      </c>
      <c r="L820" s="502">
        <v>0</v>
      </c>
      <c r="M820" s="498">
        <v>0</v>
      </c>
      <c r="N820" s="498">
        <v>0</v>
      </c>
      <c r="O820" s="498">
        <v>0</v>
      </c>
      <c r="P820" s="503">
        <v>0</v>
      </c>
      <c r="Q820" s="498">
        <v>0</v>
      </c>
      <c r="R820" s="819">
        <v>285.2</v>
      </c>
      <c r="S820" s="498">
        <v>443001</v>
      </c>
      <c r="T820" s="502">
        <v>0</v>
      </c>
      <c r="U820" s="504">
        <v>0</v>
      </c>
      <c r="V820" s="282"/>
      <c r="W820" s="282">
        <f>S820/R820</f>
        <v>1553.2994389901824</v>
      </c>
      <c r="X820" s="282"/>
    </row>
    <row r="821" spans="1:35" s="18" customFormat="1">
      <c r="A821" s="198"/>
      <c r="B821" s="216" t="s">
        <v>43</v>
      </c>
      <c r="C821" s="211">
        <v>23032470</v>
      </c>
      <c r="D821" s="211"/>
      <c r="E821" s="211"/>
      <c r="F821" s="211"/>
      <c r="G821" s="211"/>
      <c r="H821" s="211"/>
      <c r="I821" s="211"/>
      <c r="J821" s="211"/>
      <c r="K821" s="211">
        <v>0</v>
      </c>
      <c r="L821" s="213">
        <v>0</v>
      </c>
      <c r="M821" s="211">
        <v>0</v>
      </c>
      <c r="N821" s="211">
        <v>11598.699999999999</v>
      </c>
      <c r="O821" s="211">
        <v>23032470</v>
      </c>
      <c r="P821" s="213">
        <v>0</v>
      </c>
      <c r="Q821" s="211">
        <v>0</v>
      </c>
      <c r="R821" s="213">
        <v>0</v>
      </c>
      <c r="S821" s="211">
        <v>0</v>
      </c>
      <c r="T821" s="213">
        <v>0</v>
      </c>
      <c r="U821" s="290">
        <v>0</v>
      </c>
      <c r="V821" s="282"/>
      <c r="W821" s="282"/>
      <c r="X821" s="282"/>
    </row>
    <row r="822" spans="1:35" ht="27.6">
      <c r="A822" s="198"/>
      <c r="B822" s="214" t="s">
        <v>125</v>
      </c>
      <c r="C822" s="211">
        <v>20696312</v>
      </c>
      <c r="D822" s="211"/>
      <c r="E822" s="211"/>
      <c r="F822" s="211"/>
      <c r="G822" s="211"/>
      <c r="H822" s="211"/>
      <c r="I822" s="211"/>
      <c r="J822" s="211"/>
      <c r="K822" s="211">
        <v>0</v>
      </c>
      <c r="L822" s="212">
        <v>0</v>
      </c>
      <c r="M822" s="211">
        <v>0</v>
      </c>
      <c r="N822" s="211">
        <v>10402.699999999999</v>
      </c>
      <c r="O822" s="211">
        <v>20696312</v>
      </c>
      <c r="P822" s="213">
        <v>0</v>
      </c>
      <c r="Q822" s="211">
        <v>0</v>
      </c>
      <c r="R822" s="213">
        <v>0</v>
      </c>
      <c r="S822" s="211">
        <v>0</v>
      </c>
      <c r="T822" s="212">
        <v>0</v>
      </c>
      <c r="U822" s="290">
        <v>0</v>
      </c>
      <c r="V822" s="282"/>
      <c r="W822" s="282"/>
      <c r="X822" s="282"/>
    </row>
    <row r="823" spans="1:35" s="46" customFormat="1">
      <c r="A823" s="198">
        <v>244</v>
      </c>
      <c r="B823" s="219" t="s">
        <v>405</v>
      </c>
      <c r="C823" s="220">
        <v>2301804</v>
      </c>
      <c r="D823" s="220"/>
      <c r="E823" s="220"/>
      <c r="F823" s="220"/>
      <c r="G823" s="220"/>
      <c r="H823" s="220"/>
      <c r="I823" s="220"/>
      <c r="J823" s="220"/>
      <c r="K823" s="221">
        <v>0</v>
      </c>
      <c r="L823" s="222">
        <v>0</v>
      </c>
      <c r="M823" s="221">
        <v>0</v>
      </c>
      <c r="N823" s="223">
        <v>1167</v>
      </c>
      <c r="O823" s="224">
        <v>2301804</v>
      </c>
      <c r="P823" s="225">
        <v>0</v>
      </c>
      <c r="Q823" s="221">
        <v>0</v>
      </c>
      <c r="R823" s="225">
        <v>0</v>
      </c>
      <c r="S823" s="221">
        <v>0</v>
      </c>
      <c r="T823" s="226">
        <v>0</v>
      </c>
      <c r="U823" s="291">
        <v>0</v>
      </c>
      <c r="V823" s="282"/>
      <c r="W823" s="282"/>
      <c r="X823" s="282"/>
    </row>
    <row r="824" spans="1:35" s="90" customFormat="1">
      <c r="A824" s="198">
        <v>245</v>
      </c>
      <c r="B824" s="219" t="s">
        <v>393</v>
      </c>
      <c r="C824" s="220">
        <v>1743478</v>
      </c>
      <c r="D824" s="220"/>
      <c r="E824" s="220"/>
      <c r="F824" s="220"/>
      <c r="G824" s="220"/>
      <c r="H824" s="220"/>
      <c r="I824" s="220"/>
      <c r="J824" s="220"/>
      <c r="K824" s="227">
        <v>0</v>
      </c>
      <c r="L824" s="208">
        <v>0</v>
      </c>
      <c r="M824" s="227">
        <v>0</v>
      </c>
      <c r="N824" s="228">
        <v>880</v>
      </c>
      <c r="O824" s="224">
        <v>1743478</v>
      </c>
      <c r="P824" s="225">
        <v>0</v>
      </c>
      <c r="Q824" s="221">
        <v>0</v>
      </c>
      <c r="R824" s="225">
        <v>0</v>
      </c>
      <c r="S824" s="221">
        <v>0</v>
      </c>
      <c r="T824" s="226">
        <v>0</v>
      </c>
      <c r="U824" s="291">
        <v>0</v>
      </c>
      <c r="V824" s="282"/>
      <c r="W824" s="282"/>
      <c r="X824" s="282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</row>
    <row r="825" spans="1:35" s="90" customFormat="1">
      <c r="A825" s="198">
        <v>246</v>
      </c>
      <c r="B825" s="219" t="s">
        <v>406</v>
      </c>
      <c r="C825" s="220">
        <v>2485001</v>
      </c>
      <c r="D825" s="220"/>
      <c r="E825" s="220"/>
      <c r="F825" s="220"/>
      <c r="G825" s="220"/>
      <c r="H825" s="220"/>
      <c r="I825" s="220"/>
      <c r="J825" s="220"/>
      <c r="K825" s="221">
        <v>0</v>
      </c>
      <c r="L825" s="222">
        <v>0</v>
      </c>
      <c r="M825" s="221">
        <v>0</v>
      </c>
      <c r="N825" s="229">
        <v>1268.4000000000001</v>
      </c>
      <c r="O825" s="224">
        <v>2485001</v>
      </c>
      <c r="P825" s="225">
        <v>0</v>
      </c>
      <c r="Q825" s="221">
        <v>0</v>
      </c>
      <c r="R825" s="225">
        <v>0</v>
      </c>
      <c r="S825" s="221">
        <v>0</v>
      </c>
      <c r="T825" s="226">
        <v>0</v>
      </c>
      <c r="U825" s="291">
        <v>0</v>
      </c>
      <c r="V825" s="282"/>
      <c r="W825" s="282"/>
      <c r="X825" s="282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</row>
    <row r="826" spans="1:35" s="46" customFormat="1">
      <c r="A826" s="198">
        <v>247</v>
      </c>
      <c r="B826" s="219" t="s">
        <v>402</v>
      </c>
      <c r="C826" s="220">
        <v>1237591</v>
      </c>
      <c r="D826" s="220"/>
      <c r="E826" s="220"/>
      <c r="F826" s="220"/>
      <c r="G826" s="220"/>
      <c r="H826" s="220"/>
      <c r="I826" s="220"/>
      <c r="J826" s="220"/>
      <c r="K826" s="221">
        <v>0</v>
      </c>
      <c r="L826" s="222">
        <v>0</v>
      </c>
      <c r="M826" s="221">
        <v>0</v>
      </c>
      <c r="N826" s="223">
        <v>620</v>
      </c>
      <c r="O826" s="224">
        <v>1237591</v>
      </c>
      <c r="P826" s="225">
        <v>0</v>
      </c>
      <c r="Q826" s="221">
        <v>0</v>
      </c>
      <c r="R826" s="225">
        <v>0</v>
      </c>
      <c r="S826" s="221">
        <v>0</v>
      </c>
      <c r="T826" s="226">
        <v>0</v>
      </c>
      <c r="U826" s="291">
        <v>0</v>
      </c>
      <c r="V826" s="282"/>
      <c r="W826" s="282"/>
      <c r="X826" s="282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</row>
    <row r="827" spans="1:35" s="42" customFormat="1">
      <c r="A827" s="198">
        <v>248</v>
      </c>
      <c r="B827" s="219" t="s">
        <v>397</v>
      </c>
      <c r="C827" s="220">
        <v>1448078</v>
      </c>
      <c r="D827" s="220"/>
      <c r="E827" s="220"/>
      <c r="F827" s="220"/>
      <c r="G827" s="220"/>
      <c r="H827" s="220"/>
      <c r="I827" s="220"/>
      <c r="J827" s="220"/>
      <c r="K827" s="221">
        <v>0</v>
      </c>
      <c r="L827" s="222">
        <v>0</v>
      </c>
      <c r="M827" s="221">
        <v>0</v>
      </c>
      <c r="N827" s="229">
        <v>729</v>
      </c>
      <c r="O827" s="224">
        <v>1448078</v>
      </c>
      <c r="P827" s="225">
        <v>0</v>
      </c>
      <c r="Q827" s="221">
        <v>0</v>
      </c>
      <c r="R827" s="225">
        <v>0</v>
      </c>
      <c r="S827" s="221">
        <v>0</v>
      </c>
      <c r="T827" s="226">
        <v>0</v>
      </c>
      <c r="U827" s="291">
        <v>0</v>
      </c>
      <c r="V827" s="282"/>
      <c r="W827" s="282"/>
      <c r="X827" s="282"/>
    </row>
    <row r="828" spans="1:35" s="46" customFormat="1">
      <c r="A828" s="198">
        <v>249</v>
      </c>
      <c r="B828" s="219" t="s">
        <v>398</v>
      </c>
      <c r="C828" s="220">
        <v>1963797</v>
      </c>
      <c r="D828" s="220"/>
      <c r="E828" s="220"/>
      <c r="F828" s="220"/>
      <c r="G828" s="220"/>
      <c r="H828" s="220"/>
      <c r="I828" s="220"/>
      <c r="J828" s="220"/>
      <c r="K828" s="221">
        <v>0</v>
      </c>
      <c r="L828" s="222">
        <v>0</v>
      </c>
      <c r="M828" s="221">
        <v>0</v>
      </c>
      <c r="N828" s="223">
        <v>991.4</v>
      </c>
      <c r="O828" s="224">
        <v>1963797</v>
      </c>
      <c r="P828" s="225">
        <v>0</v>
      </c>
      <c r="Q828" s="221">
        <v>0</v>
      </c>
      <c r="R828" s="225">
        <v>0</v>
      </c>
      <c r="S828" s="221">
        <v>0</v>
      </c>
      <c r="T828" s="226">
        <v>0</v>
      </c>
      <c r="U828" s="291">
        <v>0</v>
      </c>
      <c r="V828" s="282"/>
      <c r="W828" s="282"/>
      <c r="X828" s="282"/>
    </row>
    <row r="829" spans="1:35" s="46" customFormat="1">
      <c r="A829" s="198">
        <v>250</v>
      </c>
      <c r="B829" s="219" t="s">
        <v>399</v>
      </c>
      <c r="C829" s="220">
        <v>2119530</v>
      </c>
      <c r="D829" s="220"/>
      <c r="E829" s="220"/>
      <c r="F829" s="220"/>
      <c r="G829" s="220"/>
      <c r="H829" s="220"/>
      <c r="I829" s="220"/>
      <c r="J829" s="220"/>
      <c r="K829" s="221">
        <v>0</v>
      </c>
      <c r="L829" s="222">
        <v>0</v>
      </c>
      <c r="M829" s="221">
        <v>0</v>
      </c>
      <c r="N829" s="223">
        <v>1054.5</v>
      </c>
      <c r="O829" s="224">
        <v>2119530</v>
      </c>
      <c r="P829" s="225">
        <v>0</v>
      </c>
      <c r="Q829" s="221">
        <v>0</v>
      </c>
      <c r="R829" s="225">
        <v>0</v>
      </c>
      <c r="S829" s="221">
        <v>0</v>
      </c>
      <c r="T829" s="226">
        <v>0</v>
      </c>
      <c r="U829" s="291">
        <v>0</v>
      </c>
      <c r="V829" s="282"/>
      <c r="W829" s="282"/>
      <c r="X829" s="282"/>
    </row>
    <row r="830" spans="1:35" s="46" customFormat="1">
      <c r="A830" s="198">
        <v>251</v>
      </c>
      <c r="B830" s="219" t="s">
        <v>403</v>
      </c>
      <c r="C830" s="220">
        <v>1098163</v>
      </c>
      <c r="D830" s="220"/>
      <c r="E830" s="220"/>
      <c r="F830" s="220"/>
      <c r="G830" s="220"/>
      <c r="H830" s="220"/>
      <c r="I830" s="220"/>
      <c r="J830" s="220"/>
      <c r="K830" s="221">
        <v>0</v>
      </c>
      <c r="L830" s="222">
        <v>0</v>
      </c>
      <c r="M830" s="221">
        <v>0</v>
      </c>
      <c r="N830" s="223">
        <v>548</v>
      </c>
      <c r="O830" s="224">
        <v>1098163</v>
      </c>
      <c r="P830" s="225">
        <v>0</v>
      </c>
      <c r="Q830" s="221">
        <v>0</v>
      </c>
      <c r="R830" s="225">
        <v>0</v>
      </c>
      <c r="S830" s="221">
        <v>0</v>
      </c>
      <c r="T830" s="226">
        <v>0</v>
      </c>
      <c r="U830" s="291">
        <v>0</v>
      </c>
      <c r="V830" s="282"/>
      <c r="W830" s="282"/>
      <c r="X830" s="282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</row>
    <row r="831" spans="1:35" s="46" customFormat="1">
      <c r="A831" s="198">
        <v>252</v>
      </c>
      <c r="B831" s="219" t="s">
        <v>404</v>
      </c>
      <c r="C831" s="220">
        <v>1241309</v>
      </c>
      <c r="D831" s="220"/>
      <c r="E831" s="220"/>
      <c r="F831" s="220"/>
      <c r="G831" s="220"/>
      <c r="H831" s="220"/>
      <c r="I831" s="220"/>
      <c r="J831" s="220"/>
      <c r="K831" s="221">
        <v>0</v>
      </c>
      <c r="L831" s="222">
        <v>0</v>
      </c>
      <c r="M831" s="221">
        <v>0</v>
      </c>
      <c r="N831" s="223">
        <v>622</v>
      </c>
      <c r="O831" s="224">
        <v>1241309</v>
      </c>
      <c r="P831" s="225">
        <v>0</v>
      </c>
      <c r="Q831" s="221">
        <v>0</v>
      </c>
      <c r="R831" s="225">
        <v>0</v>
      </c>
      <c r="S831" s="221">
        <v>0</v>
      </c>
      <c r="T831" s="226">
        <v>0</v>
      </c>
      <c r="U831" s="291">
        <v>0</v>
      </c>
      <c r="V831" s="282"/>
      <c r="W831" s="282"/>
      <c r="X831" s="282"/>
    </row>
    <row r="832" spans="1:35" s="43" customFormat="1">
      <c r="A832" s="198">
        <v>253</v>
      </c>
      <c r="B832" s="219" t="s">
        <v>400</v>
      </c>
      <c r="C832" s="220">
        <v>1041360</v>
      </c>
      <c r="D832" s="220"/>
      <c r="E832" s="220"/>
      <c r="F832" s="220"/>
      <c r="G832" s="220"/>
      <c r="H832" s="220"/>
      <c r="I832" s="220"/>
      <c r="J832" s="220"/>
      <c r="K832" s="221">
        <v>0</v>
      </c>
      <c r="L832" s="222">
        <v>0</v>
      </c>
      <c r="M832" s="221">
        <v>0</v>
      </c>
      <c r="N832" s="223">
        <v>520</v>
      </c>
      <c r="O832" s="224">
        <v>1041360</v>
      </c>
      <c r="P832" s="225">
        <v>0</v>
      </c>
      <c r="Q832" s="221">
        <v>0</v>
      </c>
      <c r="R832" s="225">
        <v>0</v>
      </c>
      <c r="S832" s="221">
        <v>0</v>
      </c>
      <c r="T832" s="226">
        <v>0</v>
      </c>
      <c r="U832" s="291">
        <v>0</v>
      </c>
      <c r="V832" s="282"/>
      <c r="W832" s="282"/>
      <c r="X832" s="282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</row>
    <row r="833" spans="1:35" s="43" customFormat="1">
      <c r="A833" s="198">
        <v>254</v>
      </c>
      <c r="B833" s="219" t="s">
        <v>401</v>
      </c>
      <c r="C833" s="220">
        <v>1138866</v>
      </c>
      <c r="D833" s="220"/>
      <c r="E833" s="220"/>
      <c r="F833" s="220"/>
      <c r="G833" s="220"/>
      <c r="H833" s="220"/>
      <c r="I833" s="220"/>
      <c r="J833" s="220"/>
      <c r="K833" s="221">
        <v>0</v>
      </c>
      <c r="L833" s="222">
        <v>0</v>
      </c>
      <c r="M833" s="221">
        <v>0</v>
      </c>
      <c r="N833" s="223">
        <v>570</v>
      </c>
      <c r="O833" s="224">
        <v>1138866</v>
      </c>
      <c r="P833" s="225">
        <v>0</v>
      </c>
      <c r="Q833" s="221">
        <v>0</v>
      </c>
      <c r="R833" s="225">
        <v>0</v>
      </c>
      <c r="S833" s="221">
        <v>0</v>
      </c>
      <c r="T833" s="226">
        <v>0</v>
      </c>
      <c r="U833" s="291">
        <v>0</v>
      </c>
      <c r="V833" s="282"/>
      <c r="W833" s="282"/>
      <c r="X833" s="282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</row>
    <row r="834" spans="1:35" s="46" customFormat="1">
      <c r="A834" s="198">
        <v>255</v>
      </c>
      <c r="B834" s="219" t="s">
        <v>394</v>
      </c>
      <c r="C834" s="220">
        <v>848546</v>
      </c>
      <c r="D834" s="220"/>
      <c r="E834" s="220"/>
      <c r="F834" s="220"/>
      <c r="G834" s="220"/>
      <c r="H834" s="220"/>
      <c r="I834" s="220"/>
      <c r="J834" s="220"/>
      <c r="K834" s="221">
        <v>0</v>
      </c>
      <c r="L834" s="222">
        <v>0</v>
      </c>
      <c r="M834" s="221">
        <v>0</v>
      </c>
      <c r="N834" s="229">
        <v>421.2</v>
      </c>
      <c r="O834" s="224">
        <v>848546</v>
      </c>
      <c r="P834" s="225">
        <v>0</v>
      </c>
      <c r="Q834" s="221">
        <v>0</v>
      </c>
      <c r="R834" s="225">
        <v>0</v>
      </c>
      <c r="S834" s="221">
        <v>0</v>
      </c>
      <c r="T834" s="226">
        <v>0</v>
      </c>
      <c r="U834" s="291">
        <v>0</v>
      </c>
      <c r="V834" s="282"/>
      <c r="W834" s="282"/>
      <c r="X834" s="282"/>
      <c r="Y834" s="90"/>
      <c r="Z834" s="90"/>
      <c r="AA834" s="90"/>
      <c r="AB834" s="90"/>
      <c r="AC834" s="90"/>
      <c r="AD834" s="90"/>
      <c r="AE834" s="90"/>
      <c r="AF834" s="90"/>
      <c r="AG834" s="90"/>
      <c r="AH834" s="90"/>
      <c r="AI834" s="90"/>
    </row>
    <row r="835" spans="1:35" s="46" customFormat="1">
      <c r="A835" s="198">
        <v>256</v>
      </c>
      <c r="B835" s="219" t="s">
        <v>395</v>
      </c>
      <c r="C835" s="220">
        <v>848706</v>
      </c>
      <c r="D835" s="220"/>
      <c r="E835" s="220"/>
      <c r="F835" s="220"/>
      <c r="G835" s="220"/>
      <c r="H835" s="220"/>
      <c r="I835" s="220"/>
      <c r="J835" s="220"/>
      <c r="K835" s="221">
        <v>0</v>
      </c>
      <c r="L835" s="222">
        <v>0</v>
      </c>
      <c r="M835" s="221">
        <v>0</v>
      </c>
      <c r="N835" s="229">
        <v>421.2</v>
      </c>
      <c r="O835" s="224">
        <v>848706</v>
      </c>
      <c r="P835" s="225">
        <v>0</v>
      </c>
      <c r="Q835" s="221">
        <v>0</v>
      </c>
      <c r="R835" s="225">
        <v>0</v>
      </c>
      <c r="S835" s="221">
        <v>0</v>
      </c>
      <c r="T835" s="226">
        <v>0</v>
      </c>
      <c r="U835" s="291">
        <v>0</v>
      </c>
      <c r="V835" s="282"/>
      <c r="W835" s="282"/>
      <c r="X835" s="282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90"/>
    </row>
    <row r="836" spans="1:35" s="46" customFormat="1">
      <c r="A836" s="198">
        <v>257</v>
      </c>
      <c r="B836" s="219" t="s">
        <v>396</v>
      </c>
      <c r="C836" s="220">
        <v>1180083</v>
      </c>
      <c r="D836" s="220"/>
      <c r="E836" s="220"/>
      <c r="F836" s="220"/>
      <c r="G836" s="220"/>
      <c r="H836" s="220"/>
      <c r="I836" s="220"/>
      <c r="J836" s="220"/>
      <c r="K836" s="221">
        <v>0</v>
      </c>
      <c r="L836" s="222">
        <v>0</v>
      </c>
      <c r="M836" s="221">
        <v>0</v>
      </c>
      <c r="N836" s="229">
        <v>590</v>
      </c>
      <c r="O836" s="224">
        <v>1180083</v>
      </c>
      <c r="P836" s="225">
        <v>0</v>
      </c>
      <c r="Q836" s="221">
        <v>0</v>
      </c>
      <c r="R836" s="225">
        <v>0</v>
      </c>
      <c r="S836" s="221">
        <v>0</v>
      </c>
      <c r="T836" s="226">
        <v>0</v>
      </c>
      <c r="U836" s="291">
        <v>0</v>
      </c>
      <c r="V836" s="282"/>
      <c r="W836" s="282"/>
      <c r="X836" s="282"/>
    </row>
    <row r="837" spans="1:35" s="46" customFormat="1" ht="27.6">
      <c r="A837" s="198"/>
      <c r="B837" s="214" t="s">
        <v>210</v>
      </c>
      <c r="C837" s="220">
        <v>2336158</v>
      </c>
      <c r="D837" s="220"/>
      <c r="E837" s="220"/>
      <c r="F837" s="220"/>
      <c r="G837" s="220"/>
      <c r="H837" s="220"/>
      <c r="I837" s="220"/>
      <c r="J837" s="220"/>
      <c r="K837" s="220">
        <v>0</v>
      </c>
      <c r="L837" s="222">
        <v>0</v>
      </c>
      <c r="M837" s="220">
        <v>0</v>
      </c>
      <c r="N837" s="220">
        <v>1196</v>
      </c>
      <c r="O837" s="220">
        <v>2336158</v>
      </c>
      <c r="P837" s="230">
        <v>0</v>
      </c>
      <c r="Q837" s="220">
        <v>0</v>
      </c>
      <c r="R837" s="230">
        <v>0</v>
      </c>
      <c r="S837" s="220">
        <v>0</v>
      </c>
      <c r="T837" s="222">
        <v>0</v>
      </c>
      <c r="U837" s="292">
        <v>0</v>
      </c>
      <c r="V837" s="282"/>
      <c r="W837" s="282"/>
      <c r="X837" s="282"/>
    </row>
    <row r="838" spans="1:35" s="46" customFormat="1">
      <c r="A838" s="198">
        <v>258</v>
      </c>
      <c r="B838" s="231" t="s">
        <v>407</v>
      </c>
      <c r="C838" s="220">
        <v>1168079</v>
      </c>
      <c r="D838" s="220"/>
      <c r="E838" s="220"/>
      <c r="F838" s="220"/>
      <c r="G838" s="220"/>
      <c r="H838" s="220"/>
      <c r="I838" s="220"/>
      <c r="J838" s="220"/>
      <c r="K838" s="221">
        <v>0</v>
      </c>
      <c r="L838" s="222">
        <v>0</v>
      </c>
      <c r="M838" s="221">
        <v>0</v>
      </c>
      <c r="N838" s="229">
        <v>598</v>
      </c>
      <c r="O838" s="224">
        <v>1168079</v>
      </c>
      <c r="P838" s="230">
        <v>0</v>
      </c>
      <c r="Q838" s="221">
        <v>0</v>
      </c>
      <c r="R838" s="230">
        <v>0</v>
      </c>
      <c r="S838" s="221">
        <v>0</v>
      </c>
      <c r="T838" s="222">
        <v>0</v>
      </c>
      <c r="U838" s="291">
        <v>0</v>
      </c>
      <c r="V838" s="282"/>
      <c r="W838" s="282"/>
      <c r="X838" s="282"/>
    </row>
    <row r="839" spans="1:35" s="46" customFormat="1">
      <c r="A839" s="198">
        <v>259</v>
      </c>
      <c r="B839" s="231" t="s">
        <v>408</v>
      </c>
      <c r="C839" s="220">
        <v>1168079</v>
      </c>
      <c r="D839" s="220"/>
      <c r="E839" s="220"/>
      <c r="F839" s="220"/>
      <c r="G839" s="220"/>
      <c r="H839" s="220"/>
      <c r="I839" s="220"/>
      <c r="J839" s="220"/>
      <c r="K839" s="221">
        <v>0</v>
      </c>
      <c r="L839" s="222">
        <v>0</v>
      </c>
      <c r="M839" s="221">
        <v>0</v>
      </c>
      <c r="N839" s="229">
        <v>598</v>
      </c>
      <c r="O839" s="224">
        <v>1168079</v>
      </c>
      <c r="P839" s="230">
        <v>0</v>
      </c>
      <c r="Q839" s="221">
        <v>0</v>
      </c>
      <c r="R839" s="230">
        <v>0</v>
      </c>
      <c r="S839" s="221">
        <v>0</v>
      </c>
      <c r="T839" s="222">
        <v>0</v>
      </c>
      <c r="U839" s="291">
        <v>0</v>
      </c>
      <c r="V839" s="282"/>
      <c r="W839" s="282"/>
      <c r="X839" s="282"/>
    </row>
    <row r="840" spans="1:35" s="18" customFormat="1">
      <c r="A840" s="198"/>
      <c r="B840" s="216" t="s">
        <v>44</v>
      </c>
      <c r="C840" s="211">
        <v>4547180</v>
      </c>
      <c r="D840" s="211"/>
      <c r="E840" s="211"/>
      <c r="F840" s="211"/>
      <c r="G840" s="211"/>
      <c r="H840" s="211"/>
      <c r="I840" s="211"/>
      <c r="J840" s="211"/>
      <c r="K840" s="211">
        <v>0</v>
      </c>
      <c r="L840" s="212">
        <v>0</v>
      </c>
      <c r="M840" s="211">
        <v>0</v>
      </c>
      <c r="N840" s="211">
        <v>2270</v>
      </c>
      <c r="O840" s="211">
        <v>4547180</v>
      </c>
      <c r="P840" s="213">
        <v>0</v>
      </c>
      <c r="Q840" s="211">
        <v>0</v>
      </c>
      <c r="R840" s="213">
        <v>0</v>
      </c>
      <c r="S840" s="211">
        <v>0</v>
      </c>
      <c r="T840" s="212">
        <v>0</v>
      </c>
      <c r="U840" s="290">
        <v>0</v>
      </c>
      <c r="V840" s="282"/>
      <c r="W840" s="282"/>
      <c r="X840" s="282"/>
    </row>
    <row r="841" spans="1:35" ht="27.6">
      <c r="A841" s="198"/>
      <c r="B841" s="214" t="s">
        <v>435</v>
      </c>
      <c r="C841" s="211">
        <f>C842</f>
        <v>922687</v>
      </c>
      <c r="D841" s="211">
        <f t="shared" ref="D841:U841" si="123">D842</f>
        <v>0</v>
      </c>
      <c r="E841" s="211">
        <f t="shared" si="123"/>
        <v>0</v>
      </c>
      <c r="F841" s="211">
        <f t="shared" si="123"/>
        <v>0</v>
      </c>
      <c r="G841" s="211">
        <f t="shared" si="123"/>
        <v>0</v>
      </c>
      <c r="H841" s="211">
        <f t="shared" si="123"/>
        <v>0</v>
      </c>
      <c r="I841" s="211">
        <f t="shared" si="123"/>
        <v>0</v>
      </c>
      <c r="J841" s="211">
        <f t="shared" si="123"/>
        <v>0</v>
      </c>
      <c r="K841" s="211">
        <f t="shared" si="123"/>
        <v>0</v>
      </c>
      <c r="L841" s="211">
        <f t="shared" si="123"/>
        <v>0</v>
      </c>
      <c r="M841" s="211">
        <f t="shared" si="123"/>
        <v>0</v>
      </c>
      <c r="N841" s="211">
        <f t="shared" si="123"/>
        <v>285</v>
      </c>
      <c r="O841" s="211">
        <f t="shared" si="123"/>
        <v>922687</v>
      </c>
      <c r="P841" s="211">
        <f t="shared" si="123"/>
        <v>0</v>
      </c>
      <c r="Q841" s="211">
        <f t="shared" si="123"/>
        <v>0</v>
      </c>
      <c r="R841" s="211">
        <f t="shared" si="123"/>
        <v>0</v>
      </c>
      <c r="S841" s="211">
        <f t="shared" si="123"/>
        <v>0</v>
      </c>
      <c r="T841" s="211">
        <f t="shared" si="123"/>
        <v>0</v>
      </c>
      <c r="U841" s="211">
        <f t="shared" si="123"/>
        <v>0</v>
      </c>
      <c r="V841" s="211">
        <f t="shared" ref="V841" si="124">V842+V843</f>
        <v>0</v>
      </c>
      <c r="W841" s="211"/>
      <c r="X841" s="211"/>
      <c r="Y841" s="211"/>
      <c r="Z841" s="211"/>
      <c r="AA841" s="211"/>
      <c r="AB841" s="211"/>
      <c r="AC841" s="211"/>
      <c r="AD841" s="211"/>
      <c r="AE841" s="211"/>
      <c r="AF841" s="211"/>
      <c r="AG841" s="211"/>
      <c r="AH841" s="211"/>
      <c r="AI841" s="211"/>
    </row>
    <row r="842" spans="1:35">
      <c r="A842" s="487">
        <v>260</v>
      </c>
      <c r="B842" s="499" t="s">
        <v>767</v>
      </c>
      <c r="C842" s="498">
        <f>'часть 1'!L865</f>
        <v>922687</v>
      </c>
      <c r="D842" s="498">
        <v>0</v>
      </c>
      <c r="E842" s="498">
        <v>0</v>
      </c>
      <c r="F842" s="498">
        <v>0</v>
      </c>
      <c r="G842" s="498">
        <v>0</v>
      </c>
      <c r="H842" s="498">
        <v>0</v>
      </c>
      <c r="I842" s="498">
        <v>0</v>
      </c>
      <c r="J842" s="498">
        <v>0</v>
      </c>
      <c r="K842" s="498">
        <v>0</v>
      </c>
      <c r="L842" s="502">
        <v>0</v>
      </c>
      <c r="M842" s="498">
        <v>0</v>
      </c>
      <c r="N842" s="492">
        <v>285</v>
      </c>
      <c r="O842" s="498">
        <v>922687</v>
      </c>
      <c r="P842" s="503">
        <v>0</v>
      </c>
      <c r="Q842" s="498">
        <v>0</v>
      </c>
      <c r="R842" s="503">
        <v>0</v>
      </c>
      <c r="S842" s="498">
        <v>0</v>
      </c>
      <c r="T842" s="502">
        <v>0</v>
      </c>
      <c r="U842" s="504">
        <v>0</v>
      </c>
      <c r="V842" s="282"/>
      <c r="W842" s="282">
        <f>O842/N842</f>
        <v>3237.4982456140351</v>
      </c>
      <c r="X842" s="282"/>
    </row>
    <row r="843" spans="1:35">
      <c r="A843" s="487"/>
      <c r="B843" s="499"/>
      <c r="C843" s="498"/>
      <c r="D843" s="498"/>
      <c r="E843" s="498"/>
      <c r="F843" s="498"/>
      <c r="G843" s="498"/>
      <c r="H843" s="498"/>
      <c r="I843" s="498"/>
      <c r="J843" s="498"/>
      <c r="K843" s="498"/>
      <c r="L843" s="502"/>
      <c r="M843" s="498"/>
      <c r="N843" s="492"/>
      <c r="O843" s="498"/>
      <c r="P843" s="503"/>
      <c r="Q843" s="498"/>
      <c r="R843" s="503"/>
      <c r="S843" s="498"/>
      <c r="T843" s="502"/>
      <c r="U843" s="504"/>
      <c r="V843" s="282"/>
      <c r="W843" s="282"/>
      <c r="X843" s="282"/>
    </row>
    <row r="844" spans="1:35" ht="25.2" customHeight="1">
      <c r="A844" s="198"/>
      <c r="B844" s="216" t="s">
        <v>45</v>
      </c>
      <c r="C844" s="211">
        <f t="shared" ref="C844:V844" si="125">C845+C849+C851+C853+C855+C857</f>
        <v>8577331</v>
      </c>
      <c r="D844" s="211">
        <f t="shared" si="125"/>
        <v>0</v>
      </c>
      <c r="E844" s="211">
        <f t="shared" si="125"/>
        <v>0</v>
      </c>
      <c r="F844" s="211">
        <f t="shared" si="125"/>
        <v>0</v>
      </c>
      <c r="G844" s="211">
        <f t="shared" si="125"/>
        <v>0</v>
      </c>
      <c r="H844" s="211">
        <f t="shared" si="125"/>
        <v>0</v>
      </c>
      <c r="I844" s="211">
        <f t="shared" si="125"/>
        <v>0</v>
      </c>
      <c r="J844" s="211">
        <f t="shared" si="125"/>
        <v>0</v>
      </c>
      <c r="K844" s="211">
        <f t="shared" si="125"/>
        <v>0</v>
      </c>
      <c r="L844" s="211">
        <f t="shared" si="125"/>
        <v>0</v>
      </c>
      <c r="M844" s="211">
        <f t="shared" si="125"/>
        <v>0</v>
      </c>
      <c r="N844" s="211">
        <f t="shared" si="125"/>
        <v>2703.45</v>
      </c>
      <c r="O844" s="211">
        <f t="shared" si="125"/>
        <v>7668369</v>
      </c>
      <c r="P844" s="211">
        <f t="shared" si="125"/>
        <v>0</v>
      </c>
      <c r="Q844" s="211">
        <f t="shared" si="125"/>
        <v>0</v>
      </c>
      <c r="R844" s="211">
        <f t="shared" si="125"/>
        <v>595</v>
      </c>
      <c r="S844" s="211">
        <f t="shared" si="125"/>
        <v>908962</v>
      </c>
      <c r="T844" s="211">
        <f t="shared" si="125"/>
        <v>0</v>
      </c>
      <c r="U844" s="211">
        <f t="shared" si="125"/>
        <v>0</v>
      </c>
      <c r="V844" s="211" t="e">
        <f t="shared" si="125"/>
        <v>#REF!</v>
      </c>
      <c r="W844" s="282"/>
      <c r="X844" s="282"/>
    </row>
    <row r="845" spans="1:35" ht="27.6">
      <c r="A845" s="487"/>
      <c r="B845" s="499" t="s">
        <v>98</v>
      </c>
      <c r="C845" s="498">
        <f>C846+C847+C848</f>
        <v>3345596</v>
      </c>
      <c r="D845" s="498">
        <f t="shared" ref="D845:U845" si="126">D846+D847+D848</f>
        <v>0</v>
      </c>
      <c r="E845" s="498">
        <f t="shared" si="126"/>
        <v>0</v>
      </c>
      <c r="F845" s="498">
        <f t="shared" si="126"/>
        <v>0</v>
      </c>
      <c r="G845" s="498">
        <f t="shared" si="126"/>
        <v>0</v>
      </c>
      <c r="H845" s="498">
        <f t="shared" si="126"/>
        <v>0</v>
      </c>
      <c r="I845" s="498">
        <f t="shared" si="126"/>
        <v>0</v>
      </c>
      <c r="J845" s="498">
        <f t="shared" si="126"/>
        <v>0</v>
      </c>
      <c r="K845" s="498">
        <f t="shared" si="126"/>
        <v>0</v>
      </c>
      <c r="L845" s="498">
        <f t="shared" si="126"/>
        <v>0</v>
      </c>
      <c r="M845" s="498">
        <f t="shared" si="126"/>
        <v>0</v>
      </c>
      <c r="N845" s="498">
        <f t="shared" si="126"/>
        <v>1183.25</v>
      </c>
      <c r="O845" s="498">
        <f t="shared" si="126"/>
        <v>3345596</v>
      </c>
      <c r="P845" s="498">
        <f t="shared" si="126"/>
        <v>0</v>
      </c>
      <c r="Q845" s="498">
        <f t="shared" si="126"/>
        <v>0</v>
      </c>
      <c r="R845" s="498">
        <f t="shared" si="126"/>
        <v>0</v>
      </c>
      <c r="S845" s="498">
        <f t="shared" si="126"/>
        <v>0</v>
      </c>
      <c r="T845" s="498">
        <f t="shared" si="126"/>
        <v>0</v>
      </c>
      <c r="U845" s="498">
        <f t="shared" si="126"/>
        <v>0</v>
      </c>
      <c r="V845" s="282"/>
      <c r="W845" s="282"/>
      <c r="X845" s="282"/>
    </row>
    <row r="846" spans="1:35" ht="15.6">
      <c r="A846" s="487">
        <v>262</v>
      </c>
      <c r="B846" s="591" t="s">
        <v>795</v>
      </c>
      <c r="C846" s="498">
        <f>'часть 1'!L869</f>
        <v>1012287</v>
      </c>
      <c r="D846" s="498">
        <v>0</v>
      </c>
      <c r="E846" s="498">
        <v>0</v>
      </c>
      <c r="F846" s="498">
        <v>0</v>
      </c>
      <c r="G846" s="498">
        <v>0</v>
      </c>
      <c r="H846" s="498">
        <v>0</v>
      </c>
      <c r="I846" s="498">
        <v>0</v>
      </c>
      <c r="J846" s="498">
        <v>0</v>
      </c>
      <c r="K846" s="498">
        <v>0</v>
      </c>
      <c r="L846" s="502">
        <v>0</v>
      </c>
      <c r="M846" s="498">
        <v>0</v>
      </c>
      <c r="N846" s="492">
        <v>313.95</v>
      </c>
      <c r="O846" s="498">
        <v>1012287</v>
      </c>
      <c r="P846" s="503">
        <v>0</v>
      </c>
      <c r="Q846" s="498">
        <v>0</v>
      </c>
      <c r="R846" s="503">
        <v>0</v>
      </c>
      <c r="S846" s="498">
        <v>0</v>
      </c>
      <c r="T846" s="502">
        <v>0</v>
      </c>
      <c r="U846" s="504">
        <v>0</v>
      </c>
      <c r="V846" s="282"/>
      <c r="W846" s="282">
        <f>O846/N846</f>
        <v>3224.3573817486863</v>
      </c>
      <c r="X846" s="282"/>
    </row>
    <row r="847" spans="1:35" ht="15.6">
      <c r="A847" s="487">
        <v>263</v>
      </c>
      <c r="B847" s="591" t="s">
        <v>796</v>
      </c>
      <c r="C847" s="498">
        <f>'часть 1'!L870</f>
        <v>710003</v>
      </c>
      <c r="D847" s="498">
        <v>0</v>
      </c>
      <c r="E847" s="498">
        <v>0</v>
      </c>
      <c r="F847" s="498">
        <v>0</v>
      </c>
      <c r="G847" s="498">
        <v>0</v>
      </c>
      <c r="H847" s="498">
        <v>0</v>
      </c>
      <c r="I847" s="498">
        <v>0</v>
      </c>
      <c r="J847" s="498">
        <v>0</v>
      </c>
      <c r="K847" s="498">
        <v>0</v>
      </c>
      <c r="L847" s="502">
        <v>0</v>
      </c>
      <c r="M847" s="498">
        <v>0</v>
      </c>
      <c r="N847" s="492">
        <v>218.1</v>
      </c>
      <c r="O847" s="498">
        <v>710003</v>
      </c>
      <c r="P847" s="503">
        <v>0</v>
      </c>
      <c r="Q847" s="498">
        <v>0</v>
      </c>
      <c r="R847" s="503">
        <v>0</v>
      </c>
      <c r="S847" s="498">
        <v>0</v>
      </c>
      <c r="T847" s="502">
        <v>0</v>
      </c>
      <c r="U847" s="504">
        <v>0</v>
      </c>
      <c r="V847" s="282"/>
      <c r="W847" s="282">
        <f t="shared" ref="W847:W848" si="127">O847/N847</f>
        <v>3255.4011921137094</v>
      </c>
      <c r="X847" s="282"/>
    </row>
    <row r="848" spans="1:35" ht="15.6">
      <c r="A848" s="487">
        <v>264</v>
      </c>
      <c r="B848" s="591" t="s">
        <v>797</v>
      </c>
      <c r="C848" s="498">
        <f>'часть 1'!L871</f>
        <v>1623306</v>
      </c>
      <c r="D848" s="498">
        <v>0</v>
      </c>
      <c r="E848" s="498">
        <v>0</v>
      </c>
      <c r="F848" s="498">
        <v>0</v>
      </c>
      <c r="G848" s="498">
        <v>0</v>
      </c>
      <c r="H848" s="498">
        <v>0</v>
      </c>
      <c r="I848" s="498">
        <v>0</v>
      </c>
      <c r="J848" s="498">
        <v>0</v>
      </c>
      <c r="K848" s="498">
        <v>0</v>
      </c>
      <c r="L848" s="502">
        <v>0</v>
      </c>
      <c r="M848" s="498">
        <v>0</v>
      </c>
      <c r="N848" s="492">
        <v>651.20000000000005</v>
      </c>
      <c r="O848" s="498">
        <v>1623306</v>
      </c>
      <c r="P848" s="503">
        <v>0</v>
      </c>
      <c r="Q848" s="498">
        <v>0</v>
      </c>
      <c r="R848" s="503">
        <v>0</v>
      </c>
      <c r="S848" s="498">
        <v>0</v>
      </c>
      <c r="T848" s="502">
        <v>0</v>
      </c>
      <c r="U848" s="504">
        <v>0</v>
      </c>
      <c r="V848" s="282"/>
      <c r="W848" s="282">
        <f t="shared" si="127"/>
        <v>2492.7917690417689</v>
      </c>
      <c r="X848" s="282"/>
    </row>
    <row r="849" spans="1:24" ht="27.6">
      <c r="A849" s="487"/>
      <c r="B849" s="499" t="s">
        <v>688</v>
      </c>
      <c r="C849" s="498">
        <f>C850</f>
        <v>908962</v>
      </c>
      <c r="D849" s="498">
        <f t="shared" ref="D849:V849" si="128">D850</f>
        <v>0</v>
      </c>
      <c r="E849" s="498">
        <f t="shared" si="128"/>
        <v>0</v>
      </c>
      <c r="F849" s="498">
        <f t="shared" si="128"/>
        <v>0</v>
      </c>
      <c r="G849" s="498">
        <f t="shared" si="128"/>
        <v>0</v>
      </c>
      <c r="H849" s="498">
        <f t="shared" si="128"/>
        <v>0</v>
      </c>
      <c r="I849" s="498">
        <f t="shared" si="128"/>
        <v>0</v>
      </c>
      <c r="J849" s="498">
        <f t="shared" si="128"/>
        <v>0</v>
      </c>
      <c r="K849" s="498">
        <f t="shared" si="128"/>
        <v>0</v>
      </c>
      <c r="L849" s="498">
        <f t="shared" si="128"/>
        <v>0</v>
      </c>
      <c r="M849" s="498">
        <f t="shared" si="128"/>
        <v>0</v>
      </c>
      <c r="N849" s="498">
        <f t="shared" si="128"/>
        <v>0</v>
      </c>
      <c r="O849" s="498">
        <f t="shared" si="128"/>
        <v>0</v>
      </c>
      <c r="P849" s="498">
        <f t="shared" si="128"/>
        <v>0</v>
      </c>
      <c r="Q849" s="498">
        <f t="shared" si="128"/>
        <v>0</v>
      </c>
      <c r="R849" s="498">
        <f t="shared" si="128"/>
        <v>595</v>
      </c>
      <c r="S849" s="498">
        <f t="shared" si="128"/>
        <v>908962</v>
      </c>
      <c r="T849" s="498">
        <f t="shared" si="128"/>
        <v>0</v>
      </c>
      <c r="U849" s="498">
        <f t="shared" si="128"/>
        <v>0</v>
      </c>
      <c r="V849" s="498">
        <f t="shared" si="128"/>
        <v>0</v>
      </c>
      <c r="W849" s="282"/>
      <c r="X849" s="282"/>
    </row>
    <row r="850" spans="1:24" ht="27.6">
      <c r="A850" s="487"/>
      <c r="B850" s="499" t="s">
        <v>692</v>
      </c>
      <c r="C850" s="498">
        <f>'часть 1'!L873</f>
        <v>908962</v>
      </c>
      <c r="D850" s="498">
        <v>0</v>
      </c>
      <c r="E850" s="498">
        <v>0</v>
      </c>
      <c r="F850" s="498">
        <v>0</v>
      </c>
      <c r="G850" s="498">
        <v>0</v>
      </c>
      <c r="H850" s="498">
        <v>0</v>
      </c>
      <c r="I850" s="498">
        <v>0</v>
      </c>
      <c r="J850" s="498">
        <v>0</v>
      </c>
      <c r="K850" s="498">
        <v>0</v>
      </c>
      <c r="L850" s="502">
        <v>0</v>
      </c>
      <c r="M850" s="498">
        <v>0</v>
      </c>
      <c r="N850" s="492">
        <v>0</v>
      </c>
      <c r="O850" s="498">
        <v>0</v>
      </c>
      <c r="P850" s="503">
        <v>0</v>
      </c>
      <c r="Q850" s="498">
        <v>0</v>
      </c>
      <c r="R850" s="503">
        <v>595</v>
      </c>
      <c r="S850" s="498">
        <v>908962</v>
      </c>
      <c r="T850" s="502">
        <v>0</v>
      </c>
      <c r="U850" s="504">
        <v>0</v>
      </c>
      <c r="V850" s="282"/>
      <c r="W850" s="282"/>
      <c r="X850" s="282">
        <f>S850/R850</f>
        <v>1527.6672268907564</v>
      </c>
    </row>
    <row r="851" spans="1:24" ht="27.6">
      <c r="A851" s="487"/>
      <c r="B851" s="499" t="s">
        <v>99</v>
      </c>
      <c r="C851" s="498">
        <f>C852</f>
        <v>655569</v>
      </c>
      <c r="D851" s="498">
        <f t="shared" ref="D851:V851" si="129">D852</f>
        <v>0</v>
      </c>
      <c r="E851" s="498">
        <f t="shared" si="129"/>
        <v>0</v>
      </c>
      <c r="F851" s="498">
        <f t="shared" si="129"/>
        <v>0</v>
      </c>
      <c r="G851" s="498">
        <f t="shared" si="129"/>
        <v>0</v>
      </c>
      <c r="H851" s="498">
        <f t="shared" si="129"/>
        <v>0</v>
      </c>
      <c r="I851" s="498">
        <f t="shared" si="129"/>
        <v>0</v>
      </c>
      <c r="J851" s="498">
        <f t="shared" si="129"/>
        <v>0</v>
      </c>
      <c r="K851" s="498">
        <f t="shared" si="129"/>
        <v>0</v>
      </c>
      <c r="L851" s="498">
        <f t="shared" si="129"/>
        <v>0</v>
      </c>
      <c r="M851" s="498">
        <f t="shared" si="129"/>
        <v>0</v>
      </c>
      <c r="N851" s="498">
        <f t="shared" si="129"/>
        <v>200.3</v>
      </c>
      <c r="O851" s="498">
        <f t="shared" si="129"/>
        <v>655569</v>
      </c>
      <c r="P851" s="498">
        <f t="shared" si="129"/>
        <v>0</v>
      </c>
      <c r="Q851" s="498">
        <f t="shared" si="129"/>
        <v>0</v>
      </c>
      <c r="R851" s="498">
        <f t="shared" si="129"/>
        <v>0</v>
      </c>
      <c r="S851" s="498">
        <f t="shared" si="129"/>
        <v>0</v>
      </c>
      <c r="T851" s="498">
        <f t="shared" si="129"/>
        <v>0</v>
      </c>
      <c r="U851" s="498">
        <f t="shared" si="129"/>
        <v>0</v>
      </c>
      <c r="V851" s="211">
        <f t="shared" si="129"/>
        <v>0</v>
      </c>
      <c r="W851" s="282"/>
      <c r="X851" s="282"/>
    </row>
    <row r="852" spans="1:24" s="951" customFormat="1" ht="31.2">
      <c r="A852" s="321">
        <v>265</v>
      </c>
      <c r="B852" s="946" t="s">
        <v>805</v>
      </c>
      <c r="C852" s="344">
        <f>'часть 1'!L875</f>
        <v>655569</v>
      </c>
      <c r="D852" s="344">
        <v>0</v>
      </c>
      <c r="E852" s="344">
        <v>0</v>
      </c>
      <c r="F852" s="344">
        <v>0</v>
      </c>
      <c r="G852" s="344">
        <v>0</v>
      </c>
      <c r="H852" s="344">
        <v>0</v>
      </c>
      <c r="I852" s="344">
        <v>0</v>
      </c>
      <c r="J852" s="344">
        <v>0</v>
      </c>
      <c r="K852" s="344">
        <v>0</v>
      </c>
      <c r="L852" s="342">
        <v>0</v>
      </c>
      <c r="M852" s="344">
        <v>0</v>
      </c>
      <c r="N852" s="379">
        <v>200.3</v>
      </c>
      <c r="O852" s="344">
        <v>655569</v>
      </c>
      <c r="P852" s="343">
        <v>0</v>
      </c>
      <c r="Q852" s="344">
        <v>0</v>
      </c>
      <c r="R852" s="343">
        <v>0</v>
      </c>
      <c r="S852" s="344">
        <v>0</v>
      </c>
      <c r="T852" s="342">
        <v>0</v>
      </c>
      <c r="U852" s="949">
        <v>0</v>
      </c>
      <c r="V852" s="950"/>
      <c r="W852" s="950">
        <f>O852/N852</f>
        <v>3272.9355966050921</v>
      </c>
      <c r="X852" s="950"/>
    </row>
    <row r="853" spans="1:24" ht="27.6">
      <c r="A853" s="487"/>
      <c r="B853" s="499" t="s">
        <v>100</v>
      </c>
      <c r="C853" s="498">
        <f>C854</f>
        <v>2020412</v>
      </c>
      <c r="D853" s="498">
        <f t="shared" ref="D853:U853" si="130">D854</f>
        <v>0</v>
      </c>
      <c r="E853" s="498">
        <f t="shared" si="130"/>
        <v>0</v>
      </c>
      <c r="F853" s="498">
        <f t="shared" si="130"/>
        <v>0</v>
      </c>
      <c r="G853" s="498">
        <f t="shared" si="130"/>
        <v>0</v>
      </c>
      <c r="H853" s="498">
        <f t="shared" si="130"/>
        <v>0</v>
      </c>
      <c r="I853" s="498">
        <f t="shared" si="130"/>
        <v>0</v>
      </c>
      <c r="J853" s="498">
        <f t="shared" si="130"/>
        <v>0</v>
      </c>
      <c r="K853" s="498">
        <f t="shared" si="130"/>
        <v>0</v>
      </c>
      <c r="L853" s="498">
        <f t="shared" si="130"/>
        <v>0</v>
      </c>
      <c r="M853" s="498">
        <f t="shared" si="130"/>
        <v>0</v>
      </c>
      <c r="N853" s="498">
        <f t="shared" si="130"/>
        <v>804.7</v>
      </c>
      <c r="O853" s="498">
        <f t="shared" si="130"/>
        <v>2020412</v>
      </c>
      <c r="P853" s="498">
        <f t="shared" si="130"/>
        <v>0</v>
      </c>
      <c r="Q853" s="498">
        <f t="shared" si="130"/>
        <v>0</v>
      </c>
      <c r="R853" s="498">
        <f t="shared" si="130"/>
        <v>0</v>
      </c>
      <c r="S853" s="498">
        <f t="shared" si="130"/>
        <v>0</v>
      </c>
      <c r="T853" s="498">
        <f t="shared" si="130"/>
        <v>0</v>
      </c>
      <c r="U853" s="498">
        <f t="shared" si="130"/>
        <v>0</v>
      </c>
      <c r="V853" s="282"/>
      <c r="W853" s="282"/>
      <c r="X853" s="282"/>
    </row>
    <row r="854" spans="1:24" ht="28.2">
      <c r="A854" s="487">
        <v>267</v>
      </c>
      <c r="B854" s="499" t="s">
        <v>696</v>
      </c>
      <c r="C854" s="498">
        <v>2020412</v>
      </c>
      <c r="D854" s="498">
        <v>0</v>
      </c>
      <c r="E854" s="498">
        <v>0</v>
      </c>
      <c r="F854" s="498">
        <v>0</v>
      </c>
      <c r="G854" s="498">
        <v>0</v>
      </c>
      <c r="H854" s="498">
        <v>0</v>
      </c>
      <c r="I854" s="498">
        <v>0</v>
      </c>
      <c r="J854" s="498">
        <v>0</v>
      </c>
      <c r="K854" s="498">
        <v>0</v>
      </c>
      <c r="L854" s="502">
        <v>0</v>
      </c>
      <c r="M854" s="498">
        <v>0</v>
      </c>
      <c r="N854" s="492">
        <v>804.7</v>
      </c>
      <c r="O854" s="498">
        <v>2020412</v>
      </c>
      <c r="P854" s="503">
        <v>0</v>
      </c>
      <c r="Q854" s="498">
        <v>0</v>
      </c>
      <c r="R854" s="503">
        <v>0</v>
      </c>
      <c r="S854" s="498">
        <v>0</v>
      </c>
      <c r="T854" s="502">
        <v>0</v>
      </c>
      <c r="U854" s="504">
        <v>0</v>
      </c>
      <c r="V854" s="282"/>
      <c r="W854" s="282">
        <f>O854/N854</f>
        <v>2510.7642599726605</v>
      </c>
      <c r="X854" s="282"/>
    </row>
    <row r="855" spans="1:24" ht="27.6">
      <c r="A855" s="487"/>
      <c r="B855" s="499" t="s">
        <v>101</v>
      </c>
      <c r="C855" s="498">
        <f>C856</f>
        <v>1646792</v>
      </c>
      <c r="D855" s="498">
        <f t="shared" ref="D855:U855" si="131">D856</f>
        <v>0</v>
      </c>
      <c r="E855" s="498">
        <f t="shared" si="131"/>
        <v>0</v>
      </c>
      <c r="F855" s="498">
        <f t="shared" si="131"/>
        <v>0</v>
      </c>
      <c r="G855" s="498">
        <f t="shared" si="131"/>
        <v>0</v>
      </c>
      <c r="H855" s="498">
        <f t="shared" si="131"/>
        <v>0</v>
      </c>
      <c r="I855" s="498">
        <f t="shared" si="131"/>
        <v>0</v>
      </c>
      <c r="J855" s="498">
        <f t="shared" si="131"/>
        <v>0</v>
      </c>
      <c r="K855" s="498">
        <f t="shared" si="131"/>
        <v>0</v>
      </c>
      <c r="L855" s="498">
        <f t="shared" si="131"/>
        <v>0</v>
      </c>
      <c r="M855" s="498">
        <f t="shared" si="131"/>
        <v>0</v>
      </c>
      <c r="N855" s="498">
        <f t="shared" si="131"/>
        <v>515.20000000000005</v>
      </c>
      <c r="O855" s="498">
        <f t="shared" si="131"/>
        <v>1646792</v>
      </c>
      <c r="P855" s="498">
        <f t="shared" si="131"/>
        <v>0</v>
      </c>
      <c r="Q855" s="498">
        <f t="shared" si="131"/>
        <v>0</v>
      </c>
      <c r="R855" s="498">
        <f t="shared" si="131"/>
        <v>0</v>
      </c>
      <c r="S855" s="498">
        <f t="shared" si="131"/>
        <v>0</v>
      </c>
      <c r="T855" s="498">
        <f t="shared" si="131"/>
        <v>0</v>
      </c>
      <c r="U855" s="498">
        <f t="shared" si="131"/>
        <v>0</v>
      </c>
      <c r="V855" s="282"/>
      <c r="W855" s="282"/>
      <c r="X855" s="282"/>
    </row>
    <row r="856" spans="1:24" ht="27.6">
      <c r="A856" s="487">
        <v>268</v>
      </c>
      <c r="B856" s="499" t="s">
        <v>925</v>
      </c>
      <c r="C856" s="498">
        <f>'часть 1'!L879</f>
        <v>1646792</v>
      </c>
      <c r="D856" s="498">
        <v>0</v>
      </c>
      <c r="E856" s="498">
        <v>0</v>
      </c>
      <c r="F856" s="498">
        <v>0</v>
      </c>
      <c r="G856" s="498">
        <v>0</v>
      </c>
      <c r="H856" s="498">
        <v>0</v>
      </c>
      <c r="I856" s="498">
        <v>0</v>
      </c>
      <c r="J856" s="498">
        <v>0</v>
      </c>
      <c r="K856" s="498">
        <v>0</v>
      </c>
      <c r="L856" s="502">
        <v>0</v>
      </c>
      <c r="M856" s="498">
        <v>0</v>
      </c>
      <c r="N856" s="492">
        <v>515.20000000000005</v>
      </c>
      <c r="O856" s="498">
        <v>1646792</v>
      </c>
      <c r="P856" s="503">
        <v>0</v>
      </c>
      <c r="Q856" s="498">
        <v>0</v>
      </c>
      <c r="R856" s="503">
        <v>0</v>
      </c>
      <c r="S856" s="498">
        <v>0</v>
      </c>
      <c r="T856" s="502">
        <v>0</v>
      </c>
      <c r="U856" s="504">
        <v>0</v>
      </c>
      <c r="V856" s="282"/>
      <c r="W856" s="282">
        <f>O856/N856</f>
        <v>3196.4130434782605</v>
      </c>
      <c r="X856" s="282"/>
    </row>
    <row r="857" spans="1:24" ht="27.6">
      <c r="A857" s="487"/>
      <c r="B857" s="499" t="s">
        <v>126</v>
      </c>
      <c r="C857" s="498">
        <v>0</v>
      </c>
      <c r="D857" s="498">
        <v>0</v>
      </c>
      <c r="E857" s="498">
        <v>0</v>
      </c>
      <c r="F857" s="498">
        <v>0</v>
      </c>
      <c r="G857" s="498">
        <v>0</v>
      </c>
      <c r="H857" s="498">
        <v>0</v>
      </c>
      <c r="I857" s="498">
        <v>0</v>
      </c>
      <c r="J857" s="498">
        <v>0</v>
      </c>
      <c r="K857" s="498">
        <v>0</v>
      </c>
      <c r="L857" s="498">
        <v>0</v>
      </c>
      <c r="M857" s="498">
        <v>0</v>
      </c>
      <c r="N857" s="498">
        <v>0</v>
      </c>
      <c r="O857" s="498">
        <v>0</v>
      </c>
      <c r="P857" s="498">
        <v>0</v>
      </c>
      <c r="Q857" s="498">
        <v>0</v>
      </c>
      <c r="R857" s="498">
        <v>0</v>
      </c>
      <c r="S857" s="498">
        <v>0</v>
      </c>
      <c r="T857" s="498">
        <v>0</v>
      </c>
      <c r="U857" s="498">
        <v>0</v>
      </c>
      <c r="V857" s="498" t="e">
        <f>#REF!</f>
        <v>#REF!</v>
      </c>
      <c r="W857" s="282"/>
      <c r="X857" s="282"/>
    </row>
    <row r="858" spans="1:24">
      <c r="A858" s="198"/>
      <c r="B858" s="216" t="s">
        <v>46</v>
      </c>
      <c r="C858" s="211">
        <f>C859</f>
        <v>674133</v>
      </c>
      <c r="D858" s="211">
        <f t="shared" ref="D858:V858" si="132">D859</f>
        <v>0</v>
      </c>
      <c r="E858" s="211">
        <f t="shared" si="132"/>
        <v>0</v>
      </c>
      <c r="F858" s="211">
        <f t="shared" si="132"/>
        <v>0</v>
      </c>
      <c r="G858" s="211">
        <f t="shared" si="132"/>
        <v>0</v>
      </c>
      <c r="H858" s="211">
        <f t="shared" si="132"/>
        <v>0</v>
      </c>
      <c r="I858" s="211">
        <f t="shared" si="132"/>
        <v>0</v>
      </c>
      <c r="J858" s="211">
        <f t="shared" si="132"/>
        <v>0</v>
      </c>
      <c r="K858" s="211">
        <f t="shared" si="132"/>
        <v>0</v>
      </c>
      <c r="L858" s="211">
        <f t="shared" si="132"/>
        <v>0</v>
      </c>
      <c r="M858" s="211">
        <f t="shared" si="132"/>
        <v>0</v>
      </c>
      <c r="N858" s="211">
        <f t="shared" si="132"/>
        <v>0</v>
      </c>
      <c r="O858" s="211">
        <f t="shared" si="132"/>
        <v>0</v>
      </c>
      <c r="P858" s="211">
        <f t="shared" si="132"/>
        <v>0</v>
      </c>
      <c r="Q858" s="211">
        <f t="shared" si="132"/>
        <v>0</v>
      </c>
      <c r="R858" s="211">
        <f t="shared" si="132"/>
        <v>438.6</v>
      </c>
      <c r="S858" s="211">
        <f t="shared" si="132"/>
        <v>674133</v>
      </c>
      <c r="T858" s="211">
        <f t="shared" si="132"/>
        <v>0</v>
      </c>
      <c r="U858" s="211">
        <f t="shared" si="132"/>
        <v>0</v>
      </c>
      <c r="V858" s="211">
        <f t="shared" si="132"/>
        <v>0</v>
      </c>
      <c r="W858" s="282"/>
      <c r="X858" s="282"/>
    </row>
    <row r="859" spans="1:24" ht="27.6">
      <c r="A859" s="194"/>
      <c r="B859" s="214" t="s">
        <v>102</v>
      </c>
      <c r="C859" s="211">
        <f>C860</f>
        <v>674133</v>
      </c>
      <c r="D859" s="211">
        <f t="shared" ref="D859:U859" si="133">D860</f>
        <v>0</v>
      </c>
      <c r="E859" s="211">
        <f t="shared" si="133"/>
        <v>0</v>
      </c>
      <c r="F859" s="211">
        <f t="shared" si="133"/>
        <v>0</v>
      </c>
      <c r="G859" s="211">
        <f t="shared" si="133"/>
        <v>0</v>
      </c>
      <c r="H859" s="211">
        <f t="shared" si="133"/>
        <v>0</v>
      </c>
      <c r="I859" s="211">
        <f t="shared" si="133"/>
        <v>0</v>
      </c>
      <c r="J859" s="211">
        <f t="shared" si="133"/>
        <v>0</v>
      </c>
      <c r="K859" s="211">
        <f t="shared" si="133"/>
        <v>0</v>
      </c>
      <c r="L859" s="211">
        <f t="shared" si="133"/>
        <v>0</v>
      </c>
      <c r="M859" s="211">
        <f t="shared" si="133"/>
        <v>0</v>
      </c>
      <c r="N859" s="211">
        <f t="shared" si="133"/>
        <v>0</v>
      </c>
      <c r="O859" s="211">
        <f t="shared" si="133"/>
        <v>0</v>
      </c>
      <c r="P859" s="211">
        <f t="shared" si="133"/>
        <v>0</v>
      </c>
      <c r="Q859" s="211">
        <f t="shared" si="133"/>
        <v>0</v>
      </c>
      <c r="R859" s="211">
        <f t="shared" si="133"/>
        <v>438.6</v>
      </c>
      <c r="S859" s="211">
        <f t="shared" si="133"/>
        <v>674133</v>
      </c>
      <c r="T859" s="211">
        <f t="shared" si="133"/>
        <v>0</v>
      </c>
      <c r="U859" s="211">
        <f t="shared" si="133"/>
        <v>0</v>
      </c>
      <c r="V859" s="282"/>
      <c r="W859" s="282"/>
      <c r="X859" s="282"/>
    </row>
    <row r="860" spans="1:24">
      <c r="A860" s="487">
        <v>271</v>
      </c>
      <c r="B860" s="499" t="s">
        <v>484</v>
      </c>
      <c r="C860" s="498">
        <f>'часть 1'!L884</f>
        <v>674133</v>
      </c>
      <c r="D860" s="498">
        <v>0</v>
      </c>
      <c r="E860" s="498">
        <v>0</v>
      </c>
      <c r="F860" s="498">
        <v>0</v>
      </c>
      <c r="G860" s="498">
        <v>0</v>
      </c>
      <c r="H860" s="498">
        <v>0</v>
      </c>
      <c r="I860" s="498">
        <v>0</v>
      </c>
      <c r="J860" s="498">
        <v>0</v>
      </c>
      <c r="K860" s="498">
        <v>0</v>
      </c>
      <c r="L860" s="502">
        <v>0</v>
      </c>
      <c r="M860" s="498">
        <v>0</v>
      </c>
      <c r="N860" s="489">
        <v>0</v>
      </c>
      <c r="O860" s="498">
        <v>0</v>
      </c>
      <c r="P860" s="503">
        <v>0</v>
      </c>
      <c r="Q860" s="498">
        <v>0</v>
      </c>
      <c r="R860" s="498">
        <v>438.6</v>
      </c>
      <c r="S860" s="498">
        <v>674133</v>
      </c>
      <c r="T860" s="502">
        <v>0</v>
      </c>
      <c r="U860" s="504">
        <v>0</v>
      </c>
      <c r="V860" s="282"/>
      <c r="W860" s="282"/>
      <c r="X860" s="282">
        <f>S860/R860</f>
        <v>1537.0109439124485</v>
      </c>
    </row>
    <row r="861" spans="1:24">
      <c r="A861" s="487"/>
      <c r="B861" s="499"/>
      <c r="C861" s="498"/>
      <c r="D861" s="498"/>
      <c r="E861" s="498"/>
      <c r="F861" s="498"/>
      <c r="G861" s="498"/>
      <c r="H861" s="498"/>
      <c r="I861" s="498"/>
      <c r="J861" s="498"/>
      <c r="K861" s="498"/>
      <c r="L861" s="502"/>
      <c r="M861" s="498"/>
      <c r="N861" s="498"/>
      <c r="O861" s="498"/>
      <c r="P861" s="503"/>
      <c r="Q861" s="498"/>
      <c r="R861" s="503"/>
      <c r="S861" s="498"/>
      <c r="T861" s="502"/>
      <c r="U861" s="504"/>
      <c r="V861" s="282"/>
      <c r="W861" s="282"/>
      <c r="X861" s="282"/>
    </row>
    <row r="862" spans="1:24" s="18" customFormat="1" ht="24" customHeight="1">
      <c r="A862" s="198"/>
      <c r="B862" s="216" t="s">
        <v>47</v>
      </c>
      <c r="C862" s="211">
        <f>C863</f>
        <v>1786109</v>
      </c>
      <c r="D862" s="211">
        <f t="shared" ref="D862:V862" si="134">D863</f>
        <v>0</v>
      </c>
      <c r="E862" s="211">
        <f t="shared" si="134"/>
        <v>0</v>
      </c>
      <c r="F862" s="211">
        <f t="shared" si="134"/>
        <v>0</v>
      </c>
      <c r="G862" s="211">
        <f t="shared" si="134"/>
        <v>0</v>
      </c>
      <c r="H862" s="211">
        <f t="shared" si="134"/>
        <v>0</v>
      </c>
      <c r="I862" s="211">
        <f t="shared" si="134"/>
        <v>0</v>
      </c>
      <c r="J862" s="211">
        <f t="shared" si="134"/>
        <v>0</v>
      </c>
      <c r="K862" s="211">
        <f t="shared" si="134"/>
        <v>0</v>
      </c>
      <c r="L862" s="211">
        <f t="shared" si="134"/>
        <v>0</v>
      </c>
      <c r="M862" s="211">
        <f t="shared" si="134"/>
        <v>0</v>
      </c>
      <c r="N862" s="211">
        <f t="shared" si="134"/>
        <v>560</v>
      </c>
      <c r="O862" s="211">
        <f t="shared" si="134"/>
        <v>1786109</v>
      </c>
      <c r="P862" s="211">
        <f t="shared" si="134"/>
        <v>0</v>
      </c>
      <c r="Q862" s="211">
        <f t="shared" si="134"/>
        <v>0</v>
      </c>
      <c r="R862" s="211">
        <f t="shared" si="134"/>
        <v>0</v>
      </c>
      <c r="S862" s="211">
        <f t="shared" si="134"/>
        <v>0</v>
      </c>
      <c r="T862" s="211">
        <f t="shared" si="134"/>
        <v>0</v>
      </c>
      <c r="U862" s="211">
        <f t="shared" si="134"/>
        <v>0</v>
      </c>
      <c r="V862" s="211">
        <f t="shared" si="134"/>
        <v>0</v>
      </c>
      <c r="W862" s="282"/>
      <c r="X862" s="282"/>
    </row>
    <row r="863" spans="1:24" ht="27.6">
      <c r="A863" s="487"/>
      <c r="B863" s="499" t="s">
        <v>103</v>
      </c>
      <c r="C863" s="498">
        <f>C864</f>
        <v>1786109</v>
      </c>
      <c r="D863" s="498">
        <f t="shared" ref="D863:U863" si="135">D864</f>
        <v>0</v>
      </c>
      <c r="E863" s="498">
        <f t="shared" si="135"/>
        <v>0</v>
      </c>
      <c r="F863" s="498">
        <f t="shared" si="135"/>
        <v>0</v>
      </c>
      <c r="G863" s="498">
        <f t="shared" si="135"/>
        <v>0</v>
      </c>
      <c r="H863" s="498">
        <f t="shared" si="135"/>
        <v>0</v>
      </c>
      <c r="I863" s="498">
        <f t="shared" si="135"/>
        <v>0</v>
      </c>
      <c r="J863" s="498">
        <f t="shared" si="135"/>
        <v>0</v>
      </c>
      <c r="K863" s="498">
        <f t="shared" si="135"/>
        <v>0</v>
      </c>
      <c r="L863" s="498">
        <f t="shared" si="135"/>
        <v>0</v>
      </c>
      <c r="M863" s="498">
        <f t="shared" si="135"/>
        <v>0</v>
      </c>
      <c r="N863" s="498">
        <f t="shared" si="135"/>
        <v>560</v>
      </c>
      <c r="O863" s="498">
        <f t="shared" si="135"/>
        <v>1786109</v>
      </c>
      <c r="P863" s="498">
        <f t="shared" si="135"/>
        <v>0</v>
      </c>
      <c r="Q863" s="498">
        <f t="shared" si="135"/>
        <v>0</v>
      </c>
      <c r="R863" s="498">
        <f t="shared" si="135"/>
        <v>0</v>
      </c>
      <c r="S863" s="498">
        <f t="shared" si="135"/>
        <v>0</v>
      </c>
      <c r="T863" s="498">
        <f t="shared" si="135"/>
        <v>0</v>
      </c>
      <c r="U863" s="498">
        <f t="shared" si="135"/>
        <v>0</v>
      </c>
      <c r="V863" s="282"/>
      <c r="W863" s="282"/>
      <c r="X863" s="282"/>
    </row>
    <row r="864" spans="1:24" ht="22.95" customHeight="1">
      <c r="A864" s="487">
        <v>273</v>
      </c>
      <c r="B864" s="499" t="s">
        <v>878</v>
      </c>
      <c r="C864" s="498">
        <f>'часть 1'!L888</f>
        <v>1786109</v>
      </c>
      <c r="D864" s="498">
        <v>0</v>
      </c>
      <c r="E864" s="498">
        <v>0</v>
      </c>
      <c r="F864" s="498">
        <v>0</v>
      </c>
      <c r="G864" s="498">
        <v>0</v>
      </c>
      <c r="H864" s="498">
        <v>0</v>
      </c>
      <c r="I864" s="498">
        <v>0</v>
      </c>
      <c r="J864" s="498">
        <v>0</v>
      </c>
      <c r="K864" s="498">
        <v>0</v>
      </c>
      <c r="L864" s="502">
        <v>0</v>
      </c>
      <c r="M864" s="498">
        <v>0</v>
      </c>
      <c r="N864" s="498">
        <v>560</v>
      </c>
      <c r="O864" s="498">
        <v>1786109</v>
      </c>
      <c r="P864" s="503">
        <v>0</v>
      </c>
      <c r="Q864" s="498">
        <v>0</v>
      </c>
      <c r="R864" s="503">
        <v>0</v>
      </c>
      <c r="S864" s="498">
        <v>0</v>
      </c>
      <c r="T864" s="502">
        <v>0</v>
      </c>
      <c r="U864" s="504">
        <v>0</v>
      </c>
      <c r="V864" s="282"/>
      <c r="W864" s="282">
        <f>O864/N864</f>
        <v>3189.480357142857</v>
      </c>
      <c r="X864" s="282"/>
    </row>
    <row r="865" spans="1:27" s="91" customFormat="1">
      <c r="A865" s="198"/>
      <c r="B865" s="216" t="s">
        <v>48</v>
      </c>
      <c r="C865" s="211">
        <v>3947863</v>
      </c>
      <c r="D865" s="211"/>
      <c r="E865" s="211"/>
      <c r="F865" s="211"/>
      <c r="G865" s="211"/>
      <c r="H865" s="211"/>
      <c r="I865" s="211"/>
      <c r="J865" s="211"/>
      <c r="K865" s="211">
        <v>163315</v>
      </c>
      <c r="L865" s="212">
        <v>0</v>
      </c>
      <c r="M865" s="211">
        <v>0</v>
      </c>
      <c r="N865" s="211">
        <v>1314.93</v>
      </c>
      <c r="O865" s="211">
        <v>2673179</v>
      </c>
      <c r="P865" s="213">
        <v>0</v>
      </c>
      <c r="Q865" s="211">
        <v>0</v>
      </c>
      <c r="R865" s="211">
        <v>759.4</v>
      </c>
      <c r="S865" s="211">
        <v>1111369</v>
      </c>
      <c r="T865" s="212">
        <v>0</v>
      </c>
      <c r="U865" s="290">
        <v>0</v>
      </c>
      <c r="V865" s="282"/>
      <c r="W865" s="282"/>
      <c r="X865" s="282"/>
    </row>
    <row r="866" spans="1:27" ht="27.6">
      <c r="A866" s="487"/>
      <c r="B866" s="499" t="s">
        <v>107</v>
      </c>
      <c r="C866" s="498">
        <f>C867+C868</f>
        <v>2303204</v>
      </c>
      <c r="D866" s="498">
        <f t="shared" ref="D866:V866" si="136">D867+D868</f>
        <v>730832</v>
      </c>
      <c r="E866" s="498">
        <f t="shared" si="136"/>
        <v>0</v>
      </c>
      <c r="F866" s="498">
        <f t="shared" si="136"/>
        <v>730832</v>
      </c>
      <c r="G866" s="498">
        <f t="shared" si="136"/>
        <v>0</v>
      </c>
      <c r="H866" s="498">
        <f t="shared" si="136"/>
        <v>0</v>
      </c>
      <c r="I866" s="498">
        <f t="shared" si="136"/>
        <v>0</v>
      </c>
      <c r="J866" s="498">
        <f t="shared" si="136"/>
        <v>0</v>
      </c>
      <c r="K866" s="498">
        <f t="shared" si="136"/>
        <v>0</v>
      </c>
      <c r="L866" s="498">
        <f t="shared" si="136"/>
        <v>0</v>
      </c>
      <c r="M866" s="498">
        <f t="shared" si="136"/>
        <v>0</v>
      </c>
      <c r="N866" s="498">
        <f t="shared" si="136"/>
        <v>492.1</v>
      </c>
      <c r="O866" s="498">
        <f t="shared" si="136"/>
        <v>1572372</v>
      </c>
      <c r="P866" s="498">
        <f t="shared" si="136"/>
        <v>0</v>
      </c>
      <c r="Q866" s="498">
        <f t="shared" si="136"/>
        <v>0</v>
      </c>
      <c r="R866" s="498">
        <f t="shared" si="136"/>
        <v>0</v>
      </c>
      <c r="S866" s="498">
        <f t="shared" si="136"/>
        <v>0</v>
      </c>
      <c r="T866" s="498">
        <f t="shared" si="136"/>
        <v>0</v>
      </c>
      <c r="U866" s="498">
        <f t="shared" si="136"/>
        <v>0</v>
      </c>
      <c r="V866" s="498">
        <f t="shared" si="136"/>
        <v>0</v>
      </c>
      <c r="W866" s="282"/>
      <c r="X866" s="282"/>
    </row>
    <row r="867" spans="1:27">
      <c r="A867" s="487">
        <v>277</v>
      </c>
      <c r="B867" s="499" t="s">
        <v>772</v>
      </c>
      <c r="C867" s="498">
        <f>'часть 1'!L891</f>
        <v>1572372</v>
      </c>
      <c r="D867" s="498">
        <f>E867+F867+G867+H867+I867+J867+K867</f>
        <v>0</v>
      </c>
      <c r="E867" s="498">
        <v>0</v>
      </c>
      <c r="F867" s="498">
        <v>0</v>
      </c>
      <c r="G867" s="498">
        <v>0</v>
      </c>
      <c r="H867" s="498">
        <v>0</v>
      </c>
      <c r="I867" s="498">
        <v>0</v>
      </c>
      <c r="J867" s="498">
        <v>0</v>
      </c>
      <c r="K867" s="510">
        <v>0</v>
      </c>
      <c r="L867" s="496">
        <v>0</v>
      </c>
      <c r="M867" s="510">
        <v>0</v>
      </c>
      <c r="N867" s="510">
        <v>492.1</v>
      </c>
      <c r="O867" s="507">
        <v>1572372</v>
      </c>
      <c r="P867" s="572">
        <v>0</v>
      </c>
      <c r="Q867" s="510">
        <v>0</v>
      </c>
      <c r="R867" s="510">
        <v>0</v>
      </c>
      <c r="S867" s="510">
        <v>0</v>
      </c>
      <c r="T867" s="496">
        <v>0</v>
      </c>
      <c r="U867" s="497">
        <v>0</v>
      </c>
      <c r="V867" s="282"/>
      <c r="W867" s="282">
        <f>O867/N867</f>
        <v>3195.2286120707172</v>
      </c>
      <c r="X867" s="282"/>
      <c r="Y867" s="25"/>
      <c r="Z867" s="25"/>
    </row>
    <row r="868" spans="1:27">
      <c r="A868" s="487">
        <v>278</v>
      </c>
      <c r="B868" s="499" t="s">
        <v>773</v>
      </c>
      <c r="C868" s="498">
        <f>'часть 1'!L892</f>
        <v>730832</v>
      </c>
      <c r="D868" s="498">
        <f>E868+F868+G868+H868+I868+J868+K868</f>
        <v>730832</v>
      </c>
      <c r="E868" s="498">
        <v>0</v>
      </c>
      <c r="F868" s="498">
        <v>730832</v>
      </c>
      <c r="G868" s="498">
        <v>0</v>
      </c>
      <c r="H868" s="498">
        <v>0</v>
      </c>
      <c r="I868" s="498">
        <v>0</v>
      </c>
      <c r="J868" s="498">
        <v>0</v>
      </c>
      <c r="K868" s="510">
        <v>0</v>
      </c>
      <c r="L868" s="502">
        <v>0</v>
      </c>
      <c r="M868" s="498">
        <v>0</v>
      </c>
      <c r="N868" s="510">
        <v>0</v>
      </c>
      <c r="O868" s="507">
        <v>0</v>
      </c>
      <c r="P868" s="503">
        <v>0</v>
      </c>
      <c r="Q868" s="498">
        <v>0</v>
      </c>
      <c r="R868" s="510">
        <v>0</v>
      </c>
      <c r="S868" s="510">
        <v>0</v>
      </c>
      <c r="T868" s="502">
        <v>0</v>
      </c>
      <c r="U868" s="504">
        <v>0</v>
      </c>
      <c r="V868" s="282"/>
      <c r="W868" s="282"/>
      <c r="X868" s="282"/>
      <c r="Y868" s="25"/>
      <c r="Z868" s="25"/>
      <c r="AA868" s="1">
        <f>F868/'часть 1'!I892</f>
        <v>1001.5513224612854</v>
      </c>
    </row>
    <row r="869" spans="1:27" ht="27.6">
      <c r="A869" s="198"/>
      <c r="B869" s="214" t="s">
        <v>104</v>
      </c>
      <c r="C869" s="211">
        <v>553839</v>
      </c>
      <c r="D869" s="211"/>
      <c r="E869" s="211"/>
      <c r="F869" s="211"/>
      <c r="G869" s="211"/>
      <c r="H869" s="211"/>
      <c r="I869" s="211"/>
      <c r="J869" s="211"/>
      <c r="K869" s="211">
        <v>0</v>
      </c>
      <c r="L869" s="212">
        <v>0</v>
      </c>
      <c r="M869" s="211">
        <v>0</v>
      </c>
      <c r="N869" s="211">
        <v>270.93</v>
      </c>
      <c r="O869" s="211">
        <v>553839</v>
      </c>
      <c r="P869" s="213">
        <v>0</v>
      </c>
      <c r="Q869" s="211">
        <v>0</v>
      </c>
      <c r="R869" s="213">
        <v>0</v>
      </c>
      <c r="S869" s="211">
        <v>0</v>
      </c>
      <c r="T869" s="212">
        <v>0</v>
      </c>
      <c r="U869" s="290">
        <v>0</v>
      </c>
      <c r="V869" s="282"/>
      <c r="W869" s="282"/>
      <c r="X869" s="282"/>
    </row>
    <row r="870" spans="1:27" ht="27.6">
      <c r="A870" s="198">
        <v>280</v>
      </c>
      <c r="B870" s="214" t="s">
        <v>452</v>
      </c>
      <c r="C870" s="211">
        <v>553839</v>
      </c>
      <c r="D870" s="211"/>
      <c r="E870" s="211"/>
      <c r="F870" s="211"/>
      <c r="G870" s="211"/>
      <c r="H870" s="211"/>
      <c r="I870" s="211"/>
      <c r="J870" s="211"/>
      <c r="K870" s="211">
        <v>0</v>
      </c>
      <c r="L870" s="212">
        <v>0</v>
      </c>
      <c r="M870" s="211">
        <v>0</v>
      </c>
      <c r="N870" s="199">
        <v>270.93</v>
      </c>
      <c r="O870" s="211">
        <v>553839</v>
      </c>
      <c r="P870" s="213">
        <v>0</v>
      </c>
      <c r="Q870" s="211">
        <v>0</v>
      </c>
      <c r="R870" s="213">
        <v>0</v>
      </c>
      <c r="S870" s="211">
        <v>0</v>
      </c>
      <c r="T870" s="212">
        <v>0</v>
      </c>
      <c r="U870" s="290">
        <v>0</v>
      </c>
      <c r="V870" s="282"/>
      <c r="W870" s="282"/>
      <c r="X870" s="282"/>
    </row>
    <row r="871" spans="1:27">
      <c r="A871" s="198"/>
      <c r="B871" s="216" t="s">
        <v>49</v>
      </c>
      <c r="C871" s="211">
        <v>8949722</v>
      </c>
      <c r="D871" s="211"/>
      <c r="E871" s="211"/>
      <c r="F871" s="211"/>
      <c r="G871" s="211"/>
      <c r="H871" s="211"/>
      <c r="I871" s="211"/>
      <c r="J871" s="211"/>
      <c r="K871" s="211">
        <v>0</v>
      </c>
      <c r="L871" s="212">
        <v>0</v>
      </c>
      <c r="M871" s="211">
        <v>0</v>
      </c>
      <c r="N871" s="211">
        <v>3313.5</v>
      </c>
      <c r="O871" s="211">
        <v>6652861</v>
      </c>
      <c r="P871" s="213">
        <v>0</v>
      </c>
      <c r="Q871" s="211">
        <v>0</v>
      </c>
      <c r="R871" s="211">
        <v>1589</v>
      </c>
      <c r="S871" s="211">
        <v>2296861</v>
      </c>
      <c r="T871" s="212">
        <v>0</v>
      </c>
      <c r="U871" s="290">
        <v>0</v>
      </c>
      <c r="V871" s="282"/>
      <c r="W871" s="282"/>
      <c r="X871" s="282"/>
    </row>
    <row r="872" spans="1:27" ht="27.6">
      <c r="A872" s="198"/>
      <c r="B872" s="214" t="s">
        <v>105</v>
      </c>
      <c r="C872" s="211">
        <f>C873</f>
        <v>1753559</v>
      </c>
      <c r="D872" s="211">
        <f t="shared" ref="D872:U872" si="137">D873</f>
        <v>0</v>
      </c>
      <c r="E872" s="211">
        <f t="shared" si="137"/>
        <v>0</v>
      </c>
      <c r="F872" s="211">
        <f t="shared" si="137"/>
        <v>0</v>
      </c>
      <c r="G872" s="211">
        <f t="shared" si="137"/>
        <v>0</v>
      </c>
      <c r="H872" s="211">
        <f t="shared" si="137"/>
        <v>0</v>
      </c>
      <c r="I872" s="211">
        <f t="shared" si="137"/>
        <v>0</v>
      </c>
      <c r="J872" s="211">
        <f t="shared" si="137"/>
        <v>0</v>
      </c>
      <c r="K872" s="211">
        <f t="shared" si="137"/>
        <v>0</v>
      </c>
      <c r="L872" s="211">
        <f t="shared" si="137"/>
        <v>0</v>
      </c>
      <c r="M872" s="211">
        <f t="shared" si="137"/>
        <v>0</v>
      </c>
      <c r="N872" s="211">
        <f t="shared" si="137"/>
        <v>549.20000000000005</v>
      </c>
      <c r="O872" s="211">
        <f t="shared" si="137"/>
        <v>1753559</v>
      </c>
      <c r="P872" s="211">
        <f t="shared" si="137"/>
        <v>0</v>
      </c>
      <c r="Q872" s="211">
        <f t="shared" si="137"/>
        <v>0</v>
      </c>
      <c r="R872" s="211">
        <f t="shared" si="137"/>
        <v>0</v>
      </c>
      <c r="S872" s="211">
        <f t="shared" si="137"/>
        <v>0</v>
      </c>
      <c r="T872" s="211">
        <f t="shared" si="137"/>
        <v>0</v>
      </c>
      <c r="U872" s="211">
        <f t="shared" si="137"/>
        <v>0</v>
      </c>
      <c r="V872" s="282"/>
      <c r="W872" s="282"/>
      <c r="X872" s="282"/>
    </row>
    <row r="873" spans="1:27" s="18" customFormat="1">
      <c r="A873" s="487">
        <v>281</v>
      </c>
      <c r="B873" s="501" t="s">
        <v>482</v>
      </c>
      <c r="C873" s="498">
        <v>1753559</v>
      </c>
      <c r="D873" s="498">
        <v>0</v>
      </c>
      <c r="E873" s="498">
        <v>0</v>
      </c>
      <c r="F873" s="498">
        <v>0</v>
      </c>
      <c r="G873" s="498">
        <v>0</v>
      </c>
      <c r="H873" s="498">
        <v>0</v>
      </c>
      <c r="I873" s="498">
        <v>0</v>
      </c>
      <c r="J873" s="498">
        <v>0</v>
      </c>
      <c r="K873" s="498">
        <v>0</v>
      </c>
      <c r="L873" s="502">
        <v>0</v>
      </c>
      <c r="M873" s="498">
        <v>0</v>
      </c>
      <c r="N873" s="498">
        <v>549.20000000000005</v>
      </c>
      <c r="O873" s="498">
        <v>1753559</v>
      </c>
      <c r="P873" s="503">
        <v>0</v>
      </c>
      <c r="Q873" s="498">
        <v>0</v>
      </c>
      <c r="R873" s="503">
        <v>0</v>
      </c>
      <c r="S873" s="498">
        <v>0</v>
      </c>
      <c r="T873" s="502">
        <v>0</v>
      </c>
      <c r="U873" s="504">
        <v>0</v>
      </c>
      <c r="V873" s="282"/>
      <c r="W873" s="282">
        <f>O873/N873</f>
        <v>3192.9333576110703</v>
      </c>
      <c r="X873" s="282"/>
    </row>
    <row r="874" spans="1:27" s="18" customFormat="1">
      <c r="A874" s="487"/>
      <c r="B874" s="501"/>
      <c r="C874" s="498"/>
      <c r="D874" s="498"/>
      <c r="E874" s="498"/>
      <c r="F874" s="498"/>
      <c r="G874" s="498"/>
      <c r="H874" s="498"/>
      <c r="I874" s="498"/>
      <c r="J874" s="498"/>
      <c r="K874" s="498"/>
      <c r="L874" s="502"/>
      <c r="M874" s="498"/>
      <c r="N874" s="498"/>
      <c r="O874" s="498"/>
      <c r="P874" s="503"/>
      <c r="Q874" s="498"/>
      <c r="R874" s="503"/>
      <c r="S874" s="498"/>
      <c r="T874" s="502"/>
      <c r="U874" s="504"/>
      <c r="V874" s="282"/>
      <c r="W874" s="282"/>
      <c r="X874" s="282"/>
    </row>
    <row r="875" spans="1:27" s="18" customFormat="1" ht="27.6">
      <c r="A875" s="198"/>
      <c r="B875" s="214" t="s">
        <v>188</v>
      </c>
      <c r="C875" s="211">
        <v>1905804</v>
      </c>
      <c r="D875" s="211"/>
      <c r="E875" s="211"/>
      <c r="F875" s="211"/>
      <c r="G875" s="211"/>
      <c r="H875" s="211"/>
      <c r="I875" s="211"/>
      <c r="J875" s="211"/>
      <c r="K875" s="211">
        <v>0</v>
      </c>
      <c r="L875" s="212">
        <v>0</v>
      </c>
      <c r="M875" s="211">
        <v>0</v>
      </c>
      <c r="N875" s="211">
        <v>968.7</v>
      </c>
      <c r="O875" s="211">
        <v>1905804</v>
      </c>
      <c r="P875" s="213">
        <v>0</v>
      </c>
      <c r="Q875" s="211">
        <v>0</v>
      </c>
      <c r="R875" s="213">
        <v>0</v>
      </c>
      <c r="S875" s="211">
        <v>0</v>
      </c>
      <c r="T875" s="212">
        <v>0</v>
      </c>
      <c r="U875" s="290">
        <v>0</v>
      </c>
      <c r="V875" s="282"/>
      <c r="W875" s="282"/>
      <c r="X875" s="282"/>
    </row>
    <row r="876" spans="1:27" s="18" customFormat="1">
      <c r="A876" s="198">
        <v>283</v>
      </c>
      <c r="B876" s="214" t="s">
        <v>410</v>
      </c>
      <c r="C876" s="211">
        <v>958459</v>
      </c>
      <c r="D876" s="211"/>
      <c r="E876" s="211"/>
      <c r="F876" s="211"/>
      <c r="G876" s="211"/>
      <c r="H876" s="211"/>
      <c r="I876" s="211"/>
      <c r="J876" s="211"/>
      <c r="K876" s="211">
        <v>0</v>
      </c>
      <c r="L876" s="212">
        <v>0</v>
      </c>
      <c r="M876" s="211">
        <v>0</v>
      </c>
      <c r="N876" s="211">
        <v>487.2</v>
      </c>
      <c r="O876" s="211">
        <v>958459</v>
      </c>
      <c r="P876" s="213">
        <v>0</v>
      </c>
      <c r="Q876" s="211">
        <v>0</v>
      </c>
      <c r="R876" s="213">
        <v>0</v>
      </c>
      <c r="S876" s="211">
        <v>0</v>
      </c>
      <c r="T876" s="212">
        <v>0</v>
      </c>
      <c r="U876" s="290">
        <v>0</v>
      </c>
      <c r="V876" s="282"/>
      <c r="W876" s="282"/>
      <c r="X876" s="282"/>
    </row>
    <row r="877" spans="1:27" s="18" customFormat="1">
      <c r="A877" s="198">
        <v>284</v>
      </c>
      <c r="B877" s="214" t="s">
        <v>411</v>
      </c>
      <c r="C877" s="211">
        <v>947345</v>
      </c>
      <c r="D877" s="211"/>
      <c r="E877" s="211"/>
      <c r="F877" s="211"/>
      <c r="G877" s="211"/>
      <c r="H877" s="211"/>
      <c r="I877" s="211"/>
      <c r="J877" s="211"/>
      <c r="K877" s="211">
        <v>0</v>
      </c>
      <c r="L877" s="212">
        <v>0</v>
      </c>
      <c r="M877" s="211">
        <v>0</v>
      </c>
      <c r="N877" s="211">
        <v>481.5</v>
      </c>
      <c r="O877" s="211">
        <v>947345</v>
      </c>
      <c r="P877" s="213">
        <v>0</v>
      </c>
      <c r="Q877" s="211">
        <v>0</v>
      </c>
      <c r="R877" s="213">
        <v>0</v>
      </c>
      <c r="S877" s="211">
        <v>0</v>
      </c>
      <c r="T877" s="212">
        <v>0</v>
      </c>
      <c r="U877" s="290">
        <v>0</v>
      </c>
      <c r="V877" s="282"/>
      <c r="W877" s="282"/>
      <c r="X877" s="282"/>
    </row>
    <row r="878" spans="1:27" s="18" customFormat="1" ht="27.6">
      <c r="A878" s="198"/>
      <c r="B878" s="214" t="s">
        <v>189</v>
      </c>
      <c r="C878" s="211">
        <v>820660</v>
      </c>
      <c r="D878" s="211"/>
      <c r="E878" s="211"/>
      <c r="F878" s="211"/>
      <c r="G878" s="211"/>
      <c r="H878" s="211"/>
      <c r="I878" s="211"/>
      <c r="J878" s="211"/>
      <c r="K878" s="211">
        <v>0</v>
      </c>
      <c r="L878" s="212">
        <v>0</v>
      </c>
      <c r="M878" s="211">
        <v>0</v>
      </c>
      <c r="N878" s="211">
        <v>406.8</v>
      </c>
      <c r="O878" s="211">
        <v>820660</v>
      </c>
      <c r="P878" s="213">
        <v>0</v>
      </c>
      <c r="Q878" s="211">
        <v>0</v>
      </c>
      <c r="R878" s="213">
        <v>0</v>
      </c>
      <c r="S878" s="211">
        <v>0</v>
      </c>
      <c r="T878" s="212">
        <v>0</v>
      </c>
      <c r="U878" s="290">
        <v>0</v>
      </c>
      <c r="V878" s="282"/>
      <c r="W878" s="282"/>
      <c r="X878" s="282"/>
    </row>
    <row r="879" spans="1:27" s="18" customFormat="1">
      <c r="A879" s="198">
        <v>285</v>
      </c>
      <c r="B879" s="214" t="s">
        <v>412</v>
      </c>
      <c r="C879" s="211">
        <v>820660</v>
      </c>
      <c r="D879" s="211"/>
      <c r="E879" s="211"/>
      <c r="F879" s="211"/>
      <c r="G879" s="211"/>
      <c r="H879" s="211"/>
      <c r="I879" s="211"/>
      <c r="J879" s="211"/>
      <c r="K879" s="211">
        <v>0</v>
      </c>
      <c r="L879" s="212">
        <v>0</v>
      </c>
      <c r="M879" s="211">
        <v>0</v>
      </c>
      <c r="N879" s="211">
        <v>406.8</v>
      </c>
      <c r="O879" s="211">
        <v>820660</v>
      </c>
      <c r="P879" s="213">
        <v>0</v>
      </c>
      <c r="Q879" s="211">
        <v>0</v>
      </c>
      <c r="R879" s="213">
        <v>0</v>
      </c>
      <c r="S879" s="211">
        <v>0</v>
      </c>
      <c r="T879" s="212">
        <v>0</v>
      </c>
      <c r="U879" s="290">
        <v>0</v>
      </c>
      <c r="V879" s="282"/>
      <c r="W879" s="282"/>
      <c r="X879" s="282"/>
    </row>
    <row r="880" spans="1:27" s="18" customFormat="1" ht="27.6">
      <c r="A880" s="198"/>
      <c r="B880" s="214" t="s">
        <v>131</v>
      </c>
      <c r="C880" s="211">
        <f>C881</f>
        <v>1805899</v>
      </c>
      <c r="D880" s="211">
        <f t="shared" ref="D880:U880" si="138">D881</f>
        <v>0</v>
      </c>
      <c r="E880" s="211">
        <f t="shared" si="138"/>
        <v>0</v>
      </c>
      <c r="F880" s="211">
        <f t="shared" si="138"/>
        <v>0</v>
      </c>
      <c r="G880" s="211">
        <f t="shared" si="138"/>
        <v>0</v>
      </c>
      <c r="H880" s="211">
        <f t="shared" si="138"/>
        <v>0</v>
      </c>
      <c r="I880" s="211">
        <f t="shared" si="138"/>
        <v>0</v>
      </c>
      <c r="J880" s="211">
        <f t="shared" si="138"/>
        <v>0</v>
      </c>
      <c r="K880" s="211">
        <f t="shared" si="138"/>
        <v>0</v>
      </c>
      <c r="L880" s="211">
        <f t="shared" si="138"/>
        <v>0</v>
      </c>
      <c r="M880" s="211">
        <f t="shared" si="138"/>
        <v>0</v>
      </c>
      <c r="N880" s="211">
        <f t="shared" si="138"/>
        <v>0</v>
      </c>
      <c r="O880" s="211">
        <f t="shared" si="138"/>
        <v>0</v>
      </c>
      <c r="P880" s="211">
        <f t="shared" si="138"/>
        <v>0</v>
      </c>
      <c r="Q880" s="211">
        <f t="shared" si="138"/>
        <v>0</v>
      </c>
      <c r="R880" s="211">
        <f t="shared" si="138"/>
        <v>1453</v>
      </c>
      <c r="S880" s="211">
        <f t="shared" si="138"/>
        <v>1805899</v>
      </c>
      <c r="T880" s="211">
        <f t="shared" si="138"/>
        <v>0</v>
      </c>
      <c r="U880" s="211">
        <f t="shared" si="138"/>
        <v>0</v>
      </c>
      <c r="V880" s="282"/>
      <c r="W880" s="282"/>
      <c r="X880" s="282"/>
    </row>
    <row r="881" spans="1:24" s="18" customFormat="1">
      <c r="A881" s="198">
        <v>286</v>
      </c>
      <c r="B881" s="214" t="s">
        <v>660</v>
      </c>
      <c r="C881" s="211">
        <v>1805899</v>
      </c>
      <c r="D881" s="211">
        <v>0</v>
      </c>
      <c r="E881" s="211">
        <v>0</v>
      </c>
      <c r="F881" s="211">
        <v>0</v>
      </c>
      <c r="G881" s="211">
        <v>0</v>
      </c>
      <c r="H881" s="211">
        <v>0</v>
      </c>
      <c r="I881" s="211">
        <v>0</v>
      </c>
      <c r="J881" s="211">
        <v>0</v>
      </c>
      <c r="K881" s="211">
        <v>0</v>
      </c>
      <c r="L881" s="212">
        <v>0</v>
      </c>
      <c r="M881" s="211">
        <v>0</v>
      </c>
      <c r="N881" s="233">
        <v>0</v>
      </c>
      <c r="O881" s="211">
        <v>0</v>
      </c>
      <c r="P881" s="213">
        <v>0</v>
      </c>
      <c r="Q881" s="211">
        <v>0</v>
      </c>
      <c r="R881" s="213">
        <v>1453</v>
      </c>
      <c r="S881" s="211">
        <v>1805899</v>
      </c>
      <c r="T881" s="212">
        <v>0</v>
      </c>
      <c r="U881" s="290">
        <v>0</v>
      </c>
      <c r="V881" s="282"/>
      <c r="W881" s="282"/>
      <c r="X881" s="282">
        <f>S881/R881</f>
        <v>1242.8761183757742</v>
      </c>
    </row>
    <row r="882" spans="1:24" s="18" customFormat="1">
      <c r="A882" s="198"/>
      <c r="B882" s="214"/>
      <c r="C882" s="211"/>
      <c r="D882" s="211"/>
      <c r="E882" s="211"/>
      <c r="F882" s="211"/>
      <c r="G882" s="211"/>
      <c r="H882" s="211"/>
      <c r="I882" s="211"/>
      <c r="J882" s="211"/>
      <c r="K882" s="211"/>
      <c r="L882" s="212"/>
      <c r="M882" s="211"/>
      <c r="N882" s="211"/>
      <c r="O882" s="211"/>
      <c r="P882" s="213"/>
      <c r="Q882" s="211"/>
      <c r="R882" s="215"/>
      <c r="S882" s="211"/>
      <c r="T882" s="212"/>
      <c r="U882" s="290"/>
      <c r="V882" s="282"/>
      <c r="W882" s="282"/>
      <c r="X882" s="282"/>
    </row>
    <row r="883" spans="1:24" s="17" customFormat="1">
      <c r="A883" s="198"/>
      <c r="B883" s="216" t="s">
        <v>50</v>
      </c>
      <c r="C883" s="211">
        <v>13937333</v>
      </c>
      <c r="D883" s="211"/>
      <c r="E883" s="211"/>
      <c r="F883" s="211"/>
      <c r="G883" s="211"/>
      <c r="H883" s="211"/>
      <c r="I883" s="211"/>
      <c r="J883" s="211"/>
      <c r="K883" s="211">
        <v>0</v>
      </c>
      <c r="L883" s="212">
        <v>0</v>
      </c>
      <c r="M883" s="211">
        <v>0</v>
      </c>
      <c r="N883" s="211">
        <v>7009.65</v>
      </c>
      <c r="O883" s="211">
        <v>13937333</v>
      </c>
      <c r="P883" s="213">
        <v>0</v>
      </c>
      <c r="Q883" s="211">
        <v>0</v>
      </c>
      <c r="R883" s="213">
        <v>0</v>
      </c>
      <c r="S883" s="211">
        <v>0</v>
      </c>
      <c r="T883" s="212">
        <v>0</v>
      </c>
      <c r="U883" s="290">
        <v>0</v>
      </c>
      <c r="V883" s="282"/>
      <c r="W883" s="282"/>
      <c r="X883" s="282"/>
    </row>
    <row r="884" spans="1:24" ht="27.6">
      <c r="A884" s="198"/>
      <c r="B884" s="214" t="s">
        <v>106</v>
      </c>
      <c r="C884" s="211">
        <f>C885+C886+C887+C888+C889+C890</f>
        <v>13535827</v>
      </c>
      <c r="D884" s="211">
        <f t="shared" ref="D884:V884" si="139">D885+D886+D887+D888+D889+D890</f>
        <v>0</v>
      </c>
      <c r="E884" s="211">
        <f t="shared" si="139"/>
        <v>0</v>
      </c>
      <c r="F884" s="211">
        <f t="shared" si="139"/>
        <v>0</v>
      </c>
      <c r="G884" s="211">
        <f t="shared" si="139"/>
        <v>0</v>
      </c>
      <c r="H884" s="211">
        <f t="shared" si="139"/>
        <v>0</v>
      </c>
      <c r="I884" s="211">
        <f t="shared" si="139"/>
        <v>0</v>
      </c>
      <c r="J884" s="211">
        <f t="shared" si="139"/>
        <v>0</v>
      </c>
      <c r="K884" s="211">
        <f t="shared" si="139"/>
        <v>0</v>
      </c>
      <c r="L884" s="211">
        <f t="shared" si="139"/>
        <v>0</v>
      </c>
      <c r="M884" s="211">
        <f t="shared" si="139"/>
        <v>0</v>
      </c>
      <c r="N884" s="211">
        <f t="shared" si="139"/>
        <v>4858.8500000000004</v>
      </c>
      <c r="O884" s="211">
        <f t="shared" si="139"/>
        <v>13535827</v>
      </c>
      <c r="P884" s="211">
        <f t="shared" si="139"/>
        <v>0</v>
      </c>
      <c r="Q884" s="211">
        <f t="shared" si="139"/>
        <v>0</v>
      </c>
      <c r="R884" s="211">
        <f t="shared" si="139"/>
        <v>0</v>
      </c>
      <c r="S884" s="211">
        <f t="shared" si="139"/>
        <v>0</v>
      </c>
      <c r="T884" s="211">
        <f t="shared" si="139"/>
        <v>0</v>
      </c>
      <c r="U884" s="211">
        <f t="shared" si="139"/>
        <v>0</v>
      </c>
      <c r="V884" s="211">
        <f t="shared" si="139"/>
        <v>0</v>
      </c>
      <c r="W884" s="282"/>
      <c r="X884" s="282"/>
    </row>
    <row r="885" spans="1:24" ht="15.6">
      <c r="A885" s="198">
        <v>288</v>
      </c>
      <c r="B885" s="165" t="s">
        <v>843</v>
      </c>
      <c r="C885" s="211">
        <f>'часть 1'!L910</f>
        <v>2331667</v>
      </c>
      <c r="D885" s="211">
        <v>0</v>
      </c>
      <c r="E885" s="211">
        <v>0</v>
      </c>
      <c r="F885" s="211">
        <v>0</v>
      </c>
      <c r="G885" s="211">
        <v>0</v>
      </c>
      <c r="H885" s="211">
        <v>0</v>
      </c>
      <c r="I885" s="211">
        <v>0</v>
      </c>
      <c r="J885" s="211">
        <v>0</v>
      </c>
      <c r="K885" s="211">
        <v>0</v>
      </c>
      <c r="L885" s="212">
        <v>0</v>
      </c>
      <c r="M885" s="211">
        <v>0</v>
      </c>
      <c r="N885" s="234">
        <v>930.25</v>
      </c>
      <c r="O885" s="211">
        <v>2331667</v>
      </c>
      <c r="P885" s="213">
        <v>0</v>
      </c>
      <c r="Q885" s="211">
        <v>0</v>
      </c>
      <c r="R885" s="213">
        <v>0</v>
      </c>
      <c r="S885" s="211">
        <v>0</v>
      </c>
      <c r="T885" s="212">
        <v>0</v>
      </c>
      <c r="U885" s="290">
        <v>0</v>
      </c>
      <c r="V885" s="282"/>
      <c r="W885" s="282">
        <f>O885/N885</f>
        <v>2506.4950282182208</v>
      </c>
      <c r="X885" s="282"/>
    </row>
    <row r="886" spans="1:24" ht="15.6">
      <c r="A886" s="198">
        <v>289</v>
      </c>
      <c r="B886" s="165" t="s">
        <v>847</v>
      </c>
      <c r="C886" s="211">
        <f>'часть 1'!L911</f>
        <v>2406324</v>
      </c>
      <c r="D886" s="211">
        <v>0</v>
      </c>
      <c r="E886" s="211">
        <v>0</v>
      </c>
      <c r="F886" s="211">
        <v>0</v>
      </c>
      <c r="G886" s="211">
        <v>0</v>
      </c>
      <c r="H886" s="211">
        <v>0</v>
      </c>
      <c r="I886" s="211">
        <v>0</v>
      </c>
      <c r="J886" s="211">
        <v>0</v>
      </c>
      <c r="K886" s="211">
        <v>0</v>
      </c>
      <c r="L886" s="212">
        <v>0</v>
      </c>
      <c r="M886" s="211">
        <v>0</v>
      </c>
      <c r="N886" s="234">
        <v>757</v>
      </c>
      <c r="O886" s="211">
        <v>2406324</v>
      </c>
      <c r="P886" s="213">
        <v>0</v>
      </c>
      <c r="Q886" s="211">
        <v>0</v>
      </c>
      <c r="R886" s="213">
        <v>0</v>
      </c>
      <c r="S886" s="211">
        <v>0</v>
      </c>
      <c r="T886" s="212">
        <v>0</v>
      </c>
      <c r="U886" s="290">
        <v>0</v>
      </c>
      <c r="V886" s="282"/>
      <c r="W886" s="282">
        <f t="shared" ref="W886:W890" si="140">O886/N886</f>
        <v>3178.7635402906208</v>
      </c>
      <c r="X886" s="282"/>
    </row>
    <row r="887" spans="1:24" ht="15.6">
      <c r="A887" s="198">
        <v>290</v>
      </c>
      <c r="B887" s="165" t="s">
        <v>848</v>
      </c>
      <c r="C887" s="211">
        <f>'часть 1'!L912</f>
        <v>1559913</v>
      </c>
      <c r="D887" s="211">
        <v>0</v>
      </c>
      <c r="E887" s="211">
        <v>0</v>
      </c>
      <c r="F887" s="211">
        <v>0</v>
      </c>
      <c r="G887" s="211">
        <v>0</v>
      </c>
      <c r="H887" s="211">
        <v>0</v>
      </c>
      <c r="I887" s="211">
        <v>0</v>
      </c>
      <c r="J887" s="211">
        <v>0</v>
      </c>
      <c r="K887" s="211">
        <v>0</v>
      </c>
      <c r="L887" s="212">
        <v>0</v>
      </c>
      <c r="M887" s="211">
        <v>0</v>
      </c>
      <c r="N887" s="234">
        <v>488</v>
      </c>
      <c r="O887" s="211">
        <v>1559913</v>
      </c>
      <c r="P887" s="213">
        <v>0</v>
      </c>
      <c r="Q887" s="211">
        <v>0</v>
      </c>
      <c r="R887" s="213">
        <v>0</v>
      </c>
      <c r="S887" s="211">
        <v>0</v>
      </c>
      <c r="T887" s="212">
        <v>0</v>
      </c>
      <c r="U887" s="290">
        <v>0</v>
      </c>
      <c r="V887" s="282"/>
      <c r="W887" s="282">
        <f t="shared" si="140"/>
        <v>3196.5430327868853</v>
      </c>
      <c r="X887" s="282"/>
    </row>
    <row r="888" spans="1:24" ht="15.6">
      <c r="A888" s="198">
        <v>291</v>
      </c>
      <c r="B888" s="165" t="s">
        <v>849</v>
      </c>
      <c r="C888" s="211">
        <f>'часть 1'!L913</f>
        <v>1511041</v>
      </c>
      <c r="D888" s="211">
        <v>0</v>
      </c>
      <c r="E888" s="211">
        <v>0</v>
      </c>
      <c r="F888" s="211">
        <v>0</v>
      </c>
      <c r="G888" s="211">
        <v>0</v>
      </c>
      <c r="H888" s="211">
        <v>0</v>
      </c>
      <c r="I888" s="211">
        <v>0</v>
      </c>
      <c r="J888" s="211">
        <v>0</v>
      </c>
      <c r="K888" s="211">
        <v>0</v>
      </c>
      <c r="L888" s="212">
        <v>0</v>
      </c>
      <c r="M888" s="211">
        <v>0</v>
      </c>
      <c r="N888" s="234">
        <v>472.6</v>
      </c>
      <c r="O888" s="211">
        <v>1511041</v>
      </c>
      <c r="P888" s="213">
        <v>0</v>
      </c>
      <c r="Q888" s="211">
        <v>0</v>
      </c>
      <c r="R888" s="213">
        <v>0</v>
      </c>
      <c r="S888" s="211">
        <v>0</v>
      </c>
      <c r="T888" s="212">
        <v>0</v>
      </c>
      <c r="U888" s="290">
        <v>0</v>
      </c>
      <c r="V888" s="282"/>
      <c r="W888" s="282">
        <f t="shared" si="140"/>
        <v>3197.2936944561998</v>
      </c>
      <c r="X888" s="282"/>
    </row>
    <row r="889" spans="1:24" ht="15.6">
      <c r="A889" s="198">
        <v>292</v>
      </c>
      <c r="B889" s="165" t="s">
        <v>851</v>
      </c>
      <c r="C889" s="211">
        <f>'часть 1'!L914</f>
        <v>936676</v>
      </c>
      <c r="D889" s="211">
        <v>0</v>
      </c>
      <c r="E889" s="211">
        <v>0</v>
      </c>
      <c r="F889" s="211">
        <v>0</v>
      </c>
      <c r="G889" s="211">
        <v>0</v>
      </c>
      <c r="H889" s="211">
        <v>0</v>
      </c>
      <c r="I889" s="211">
        <v>0</v>
      </c>
      <c r="J889" s="211">
        <v>0</v>
      </c>
      <c r="K889" s="211">
        <v>0</v>
      </c>
      <c r="L889" s="212">
        <v>0</v>
      </c>
      <c r="M889" s="211">
        <v>0</v>
      </c>
      <c r="N889" s="234">
        <v>290</v>
      </c>
      <c r="O889" s="211">
        <v>936676</v>
      </c>
      <c r="P889" s="213">
        <v>0</v>
      </c>
      <c r="Q889" s="211">
        <v>0</v>
      </c>
      <c r="R889" s="213">
        <v>0</v>
      </c>
      <c r="S889" s="211">
        <v>0</v>
      </c>
      <c r="T889" s="212">
        <v>0</v>
      </c>
      <c r="U889" s="290">
        <v>0</v>
      </c>
      <c r="V889" s="282"/>
      <c r="W889" s="282">
        <f t="shared" si="140"/>
        <v>3229.9172413793103</v>
      </c>
      <c r="X889" s="282"/>
    </row>
    <row r="890" spans="1:24" ht="15.6">
      <c r="A890" s="198">
        <v>293</v>
      </c>
      <c r="B890" s="165" t="s">
        <v>844</v>
      </c>
      <c r="C890" s="211">
        <f>'часть 1'!L915</f>
        <v>4790206</v>
      </c>
      <c r="D890" s="211">
        <v>0</v>
      </c>
      <c r="E890" s="211">
        <v>0</v>
      </c>
      <c r="F890" s="211">
        <v>0</v>
      </c>
      <c r="G890" s="211">
        <v>0</v>
      </c>
      <c r="H890" s="211">
        <v>0</v>
      </c>
      <c r="I890" s="211">
        <v>0</v>
      </c>
      <c r="J890" s="211">
        <v>0</v>
      </c>
      <c r="K890" s="211">
        <v>0</v>
      </c>
      <c r="L890" s="212">
        <v>0</v>
      </c>
      <c r="M890" s="211">
        <v>0</v>
      </c>
      <c r="N890" s="234">
        <v>1921</v>
      </c>
      <c r="O890" s="211">
        <v>4790206</v>
      </c>
      <c r="P890" s="213">
        <v>0</v>
      </c>
      <c r="Q890" s="211">
        <v>0</v>
      </c>
      <c r="R890" s="213">
        <v>0</v>
      </c>
      <c r="S890" s="211">
        <v>0</v>
      </c>
      <c r="T890" s="212">
        <v>0</v>
      </c>
      <c r="U890" s="290">
        <v>0</v>
      </c>
      <c r="V890" s="282"/>
      <c r="W890" s="282">
        <f t="shared" si="140"/>
        <v>2493.6002082248829</v>
      </c>
      <c r="X890" s="282"/>
    </row>
    <row r="891" spans="1:24">
      <c r="A891" s="198"/>
      <c r="B891" s="216" t="s">
        <v>51</v>
      </c>
      <c r="C891" s="211">
        <f>'часть 1'!L916</f>
        <v>11085155</v>
      </c>
      <c r="D891" s="211"/>
      <c r="E891" s="211"/>
      <c r="F891" s="211"/>
      <c r="G891" s="211"/>
      <c r="H891" s="211"/>
      <c r="I891" s="211"/>
      <c r="J891" s="211"/>
      <c r="K891" s="211">
        <v>148073</v>
      </c>
      <c r="L891" s="212">
        <v>0</v>
      </c>
      <c r="M891" s="211">
        <v>0</v>
      </c>
      <c r="N891" s="211">
        <v>6258.7000000000007</v>
      </c>
      <c r="O891" s="211">
        <v>12532204</v>
      </c>
      <c r="P891" s="213">
        <v>0</v>
      </c>
      <c r="Q891" s="211">
        <v>0</v>
      </c>
      <c r="R891" s="211">
        <v>440.1</v>
      </c>
      <c r="S891" s="211">
        <v>641555</v>
      </c>
      <c r="T891" s="212">
        <v>0</v>
      </c>
      <c r="U891" s="290">
        <v>0</v>
      </c>
      <c r="V891" s="282"/>
      <c r="W891" s="282"/>
      <c r="X891" s="282"/>
    </row>
    <row r="892" spans="1:24" ht="27.6">
      <c r="A892" s="198"/>
      <c r="B892" s="214" t="s">
        <v>108</v>
      </c>
      <c r="C892" s="211">
        <f>C893+C894+C895+C896+C897+C898+C899+C900</f>
        <v>11085155</v>
      </c>
      <c r="D892" s="211">
        <f t="shared" ref="D892:U892" si="141">D893+D894+D895+D896+D897+D898+D899+D900</f>
        <v>0</v>
      </c>
      <c r="E892" s="211">
        <f t="shared" si="141"/>
        <v>0</v>
      </c>
      <c r="F892" s="211">
        <f t="shared" si="141"/>
        <v>0</v>
      </c>
      <c r="G892" s="211">
        <f t="shared" si="141"/>
        <v>0</v>
      </c>
      <c r="H892" s="211">
        <f t="shared" si="141"/>
        <v>0</v>
      </c>
      <c r="I892" s="211">
        <f t="shared" si="141"/>
        <v>0</v>
      </c>
      <c r="J892" s="211">
        <f t="shared" si="141"/>
        <v>0</v>
      </c>
      <c r="K892" s="211">
        <f t="shared" si="141"/>
        <v>0</v>
      </c>
      <c r="L892" s="211">
        <f t="shared" si="141"/>
        <v>0</v>
      </c>
      <c r="M892" s="211">
        <f t="shared" si="141"/>
        <v>0</v>
      </c>
      <c r="N892" s="211">
        <f t="shared" si="141"/>
        <v>3775</v>
      </c>
      <c r="O892" s="211">
        <f t="shared" si="141"/>
        <v>11085155</v>
      </c>
      <c r="P892" s="211">
        <f t="shared" si="141"/>
        <v>0</v>
      </c>
      <c r="Q892" s="211">
        <f t="shared" si="141"/>
        <v>0</v>
      </c>
      <c r="R892" s="211">
        <f t="shared" si="141"/>
        <v>0</v>
      </c>
      <c r="S892" s="211">
        <f t="shared" si="141"/>
        <v>0</v>
      </c>
      <c r="T892" s="211">
        <f t="shared" si="141"/>
        <v>0</v>
      </c>
      <c r="U892" s="211">
        <f t="shared" si="141"/>
        <v>0</v>
      </c>
      <c r="V892" s="282"/>
      <c r="W892" s="282"/>
      <c r="X892" s="282"/>
    </row>
    <row r="893" spans="1:24" ht="15.6">
      <c r="A893" s="198">
        <v>298</v>
      </c>
      <c r="B893" s="947" t="s">
        <v>1006</v>
      </c>
      <c r="C893" s="211">
        <f>'часть 1'!L918</f>
        <v>2338689</v>
      </c>
      <c r="D893" s="211">
        <v>0</v>
      </c>
      <c r="E893" s="211">
        <v>0</v>
      </c>
      <c r="F893" s="211">
        <v>0</v>
      </c>
      <c r="G893" s="211">
        <v>0</v>
      </c>
      <c r="H893" s="211">
        <v>0</v>
      </c>
      <c r="I893" s="211">
        <v>0</v>
      </c>
      <c r="J893" s="211">
        <v>0</v>
      </c>
      <c r="K893" s="211">
        <v>0</v>
      </c>
      <c r="L893" s="212">
        <v>0</v>
      </c>
      <c r="M893" s="211">
        <v>0</v>
      </c>
      <c r="N893" s="211">
        <v>944.5</v>
      </c>
      <c r="O893" s="211">
        <f>'часть 1'!L918</f>
        <v>2338689</v>
      </c>
      <c r="P893" s="213">
        <v>0</v>
      </c>
      <c r="Q893" s="211">
        <v>0</v>
      </c>
      <c r="R893" s="213">
        <v>0</v>
      </c>
      <c r="S893" s="211">
        <v>0</v>
      </c>
      <c r="T893" s="212">
        <v>0</v>
      </c>
      <c r="U893" s="290">
        <v>0</v>
      </c>
      <c r="V893" s="282"/>
      <c r="W893" s="282">
        <f>O893/N893</f>
        <v>2476.1132874536793</v>
      </c>
      <c r="X893" s="282"/>
    </row>
    <row r="894" spans="1:24" ht="15.6">
      <c r="A894" s="198">
        <v>299</v>
      </c>
      <c r="B894" s="947" t="s">
        <v>1007</v>
      </c>
      <c r="C894" s="211">
        <f>'часть 1'!L919</f>
        <v>533628</v>
      </c>
      <c r="D894" s="211">
        <v>0</v>
      </c>
      <c r="E894" s="211">
        <v>0</v>
      </c>
      <c r="F894" s="211">
        <v>0</v>
      </c>
      <c r="G894" s="211">
        <v>0</v>
      </c>
      <c r="H894" s="211">
        <v>0</v>
      </c>
      <c r="I894" s="211">
        <v>0</v>
      </c>
      <c r="J894" s="211">
        <v>0</v>
      </c>
      <c r="K894" s="211">
        <v>0</v>
      </c>
      <c r="L894" s="212">
        <v>0</v>
      </c>
      <c r="M894" s="211">
        <v>0</v>
      </c>
      <c r="N894" s="211">
        <v>164.1</v>
      </c>
      <c r="O894" s="211">
        <f>'часть 1'!L919</f>
        <v>533628</v>
      </c>
      <c r="P894" s="213">
        <v>0</v>
      </c>
      <c r="Q894" s="211">
        <v>0</v>
      </c>
      <c r="R894" s="213">
        <v>0</v>
      </c>
      <c r="S894" s="211">
        <v>0</v>
      </c>
      <c r="T894" s="212">
        <v>0</v>
      </c>
      <c r="U894" s="290">
        <v>0</v>
      </c>
      <c r="V894" s="282"/>
      <c r="W894" s="282">
        <f t="shared" ref="W894:W900" si="142">O894/N894</f>
        <v>3251.8464351005487</v>
      </c>
      <c r="X894" s="282"/>
    </row>
    <row r="895" spans="1:24" ht="15.6">
      <c r="A895" s="198">
        <v>300</v>
      </c>
      <c r="B895" s="947" t="s">
        <v>1008</v>
      </c>
      <c r="C895" s="211">
        <f>'часть 1'!L920</f>
        <v>966865</v>
      </c>
      <c r="D895" s="211">
        <v>0</v>
      </c>
      <c r="E895" s="211">
        <v>0</v>
      </c>
      <c r="F895" s="211">
        <v>0</v>
      </c>
      <c r="G895" s="211">
        <v>0</v>
      </c>
      <c r="H895" s="211">
        <v>0</v>
      </c>
      <c r="I895" s="211">
        <v>0</v>
      </c>
      <c r="J895" s="211">
        <v>0</v>
      </c>
      <c r="K895" s="211">
        <v>0</v>
      </c>
      <c r="L895" s="212">
        <v>0</v>
      </c>
      <c r="M895" s="211">
        <v>0</v>
      </c>
      <c r="N895" s="211">
        <v>303.5</v>
      </c>
      <c r="O895" s="211">
        <f>'часть 1'!L920</f>
        <v>966865</v>
      </c>
      <c r="P895" s="213">
        <v>0</v>
      </c>
      <c r="Q895" s="211">
        <v>0</v>
      </c>
      <c r="R895" s="213">
        <v>0</v>
      </c>
      <c r="S895" s="211">
        <v>0</v>
      </c>
      <c r="T895" s="212">
        <v>0</v>
      </c>
      <c r="U895" s="290">
        <v>0</v>
      </c>
      <c r="V895" s="282"/>
      <c r="W895" s="282">
        <f t="shared" si="142"/>
        <v>3185.7166392092258</v>
      </c>
      <c r="X895" s="282"/>
    </row>
    <row r="896" spans="1:24" ht="15.6">
      <c r="A896" s="198">
        <v>301</v>
      </c>
      <c r="B896" s="947" t="s">
        <v>1009</v>
      </c>
      <c r="C896" s="211">
        <f>'часть 1'!L921</f>
        <v>947700</v>
      </c>
      <c r="D896" s="211">
        <v>0</v>
      </c>
      <c r="E896" s="211">
        <v>0</v>
      </c>
      <c r="F896" s="211">
        <v>0</v>
      </c>
      <c r="G896" s="211">
        <v>0</v>
      </c>
      <c r="H896" s="211">
        <v>0</v>
      </c>
      <c r="I896" s="211">
        <v>0</v>
      </c>
      <c r="J896" s="211">
        <v>0</v>
      </c>
      <c r="K896" s="211">
        <v>0</v>
      </c>
      <c r="L896" s="212">
        <v>0</v>
      </c>
      <c r="M896" s="211">
        <v>0</v>
      </c>
      <c r="N896" s="211">
        <v>297.2</v>
      </c>
      <c r="O896" s="211">
        <f>'часть 1'!L921</f>
        <v>947700</v>
      </c>
      <c r="P896" s="213">
        <v>0</v>
      </c>
      <c r="Q896" s="211">
        <v>0</v>
      </c>
      <c r="R896" s="213">
        <v>0</v>
      </c>
      <c r="S896" s="211">
        <v>0</v>
      </c>
      <c r="T896" s="212">
        <v>0</v>
      </c>
      <c r="U896" s="290">
        <v>0</v>
      </c>
      <c r="V896" s="282"/>
      <c r="W896" s="282">
        <f t="shared" si="142"/>
        <v>3188.7617765814266</v>
      </c>
      <c r="X896" s="282"/>
    </row>
    <row r="897" spans="1:25" ht="15.6">
      <c r="A897" s="198">
        <v>302</v>
      </c>
      <c r="B897" s="947" t="s">
        <v>1010</v>
      </c>
      <c r="C897" s="211">
        <f>'часть 1'!L922</f>
        <v>853104</v>
      </c>
      <c r="D897" s="211">
        <v>0</v>
      </c>
      <c r="E897" s="211">
        <v>0</v>
      </c>
      <c r="F897" s="211">
        <v>0</v>
      </c>
      <c r="G897" s="211">
        <v>0</v>
      </c>
      <c r="H897" s="211">
        <v>0</v>
      </c>
      <c r="I897" s="211">
        <v>0</v>
      </c>
      <c r="J897" s="211">
        <v>0</v>
      </c>
      <c r="K897" s="211">
        <v>0</v>
      </c>
      <c r="L897" s="212">
        <v>0</v>
      </c>
      <c r="M897" s="211">
        <v>0</v>
      </c>
      <c r="N897" s="211">
        <v>260.89999999999998</v>
      </c>
      <c r="O897" s="211">
        <f>'часть 1'!L922</f>
        <v>853104</v>
      </c>
      <c r="P897" s="213">
        <v>0</v>
      </c>
      <c r="Q897" s="211">
        <v>0</v>
      </c>
      <c r="R897" s="213">
        <v>0</v>
      </c>
      <c r="S897" s="211">
        <v>0</v>
      </c>
      <c r="T897" s="212">
        <v>0</v>
      </c>
      <c r="U897" s="290">
        <v>0</v>
      </c>
      <c r="V897" s="282"/>
      <c r="W897" s="282">
        <f t="shared" si="142"/>
        <v>3269.8505174396323</v>
      </c>
      <c r="X897" s="282"/>
    </row>
    <row r="898" spans="1:25" ht="15.6">
      <c r="A898" s="198">
        <v>303</v>
      </c>
      <c r="B898" s="567" t="s">
        <v>1011</v>
      </c>
      <c r="C898" s="211">
        <f>'часть 1'!L923</f>
        <v>789420</v>
      </c>
      <c r="D898" s="211">
        <v>0</v>
      </c>
      <c r="E898" s="211">
        <v>0</v>
      </c>
      <c r="F898" s="211">
        <v>0</v>
      </c>
      <c r="G898" s="211">
        <v>0</v>
      </c>
      <c r="H898" s="211">
        <v>0</v>
      </c>
      <c r="I898" s="211">
        <v>0</v>
      </c>
      <c r="J898" s="211">
        <v>0</v>
      </c>
      <c r="K898" s="211">
        <v>0</v>
      </c>
      <c r="L898" s="212">
        <v>0</v>
      </c>
      <c r="M898" s="211">
        <v>0</v>
      </c>
      <c r="N898" s="211">
        <v>246.3</v>
      </c>
      <c r="O898" s="211">
        <f>'часть 1'!L923</f>
        <v>789420</v>
      </c>
      <c r="P898" s="213">
        <v>0</v>
      </c>
      <c r="Q898" s="211">
        <v>0</v>
      </c>
      <c r="R898" s="213">
        <v>0</v>
      </c>
      <c r="S898" s="211">
        <v>0</v>
      </c>
      <c r="T898" s="212">
        <v>0</v>
      </c>
      <c r="U898" s="290">
        <v>0</v>
      </c>
      <c r="V898" s="282"/>
      <c r="W898" s="282">
        <f t="shared" si="142"/>
        <v>3205.1157125456757</v>
      </c>
      <c r="X898" s="282"/>
    </row>
    <row r="899" spans="1:25" ht="15.6">
      <c r="A899" s="198">
        <v>304</v>
      </c>
      <c r="B899" s="947" t="s">
        <v>1012</v>
      </c>
      <c r="C899" s="211">
        <f>'часть 1'!L924</f>
        <v>3688049</v>
      </c>
      <c r="D899" s="211">
        <v>0</v>
      </c>
      <c r="E899" s="211">
        <v>0</v>
      </c>
      <c r="F899" s="211">
        <v>0</v>
      </c>
      <c r="G899" s="211">
        <v>0</v>
      </c>
      <c r="H899" s="211">
        <v>0</v>
      </c>
      <c r="I899" s="211">
        <v>0</v>
      </c>
      <c r="J899" s="211">
        <v>0</v>
      </c>
      <c r="K899" s="211">
        <v>0</v>
      </c>
      <c r="L899" s="212">
        <v>0</v>
      </c>
      <c r="M899" s="211">
        <v>0</v>
      </c>
      <c r="N899" s="211">
        <v>1168.5999999999999</v>
      </c>
      <c r="O899" s="211">
        <f>'часть 1'!L924</f>
        <v>3688049</v>
      </c>
      <c r="P899" s="213">
        <v>0</v>
      </c>
      <c r="Q899" s="211">
        <v>0</v>
      </c>
      <c r="R899" s="213">
        <v>0</v>
      </c>
      <c r="S899" s="211">
        <v>0</v>
      </c>
      <c r="T899" s="212">
        <v>0</v>
      </c>
      <c r="U899" s="290">
        <v>0</v>
      </c>
      <c r="V899" s="282"/>
      <c r="W899" s="282">
        <f t="shared" si="142"/>
        <v>3155.9549888755778</v>
      </c>
      <c r="X899" s="282"/>
    </row>
    <row r="900" spans="1:25" ht="15.6">
      <c r="A900" s="198">
        <v>305</v>
      </c>
      <c r="B900" s="947" t="s">
        <v>1013</v>
      </c>
      <c r="C900" s="211">
        <f>'часть 1'!L925</f>
        <v>967700</v>
      </c>
      <c r="D900" s="211">
        <v>0</v>
      </c>
      <c r="E900" s="211">
        <v>0</v>
      </c>
      <c r="F900" s="211">
        <v>0</v>
      </c>
      <c r="G900" s="211">
        <v>0</v>
      </c>
      <c r="H900" s="211">
        <v>0</v>
      </c>
      <c r="I900" s="211">
        <v>0</v>
      </c>
      <c r="J900" s="211">
        <v>0</v>
      </c>
      <c r="K900" s="211">
        <v>0</v>
      </c>
      <c r="L900" s="212">
        <v>0</v>
      </c>
      <c r="M900" s="211">
        <v>0</v>
      </c>
      <c r="N900" s="211">
        <v>389.9</v>
      </c>
      <c r="O900" s="211">
        <f>'часть 1'!L925</f>
        <v>967700</v>
      </c>
      <c r="P900" s="213">
        <v>0</v>
      </c>
      <c r="Q900" s="211">
        <v>0</v>
      </c>
      <c r="R900" s="213">
        <v>0</v>
      </c>
      <c r="S900" s="211">
        <v>0</v>
      </c>
      <c r="T900" s="212">
        <v>0</v>
      </c>
      <c r="U900" s="290">
        <v>0</v>
      </c>
      <c r="V900" s="282"/>
      <c r="W900" s="282">
        <f t="shared" si="142"/>
        <v>2481.9184406258018</v>
      </c>
      <c r="X900" s="282"/>
    </row>
    <row r="901" spans="1:25" ht="27.6">
      <c r="A901" s="487"/>
      <c r="B901" s="499" t="s">
        <v>882</v>
      </c>
      <c r="C901" s="498">
        <f>C902+C903</f>
        <v>1029285</v>
      </c>
      <c r="D901" s="498">
        <f t="shared" ref="D901:V901" si="143">D902+D903</f>
        <v>247569</v>
      </c>
      <c r="E901" s="498">
        <f t="shared" si="143"/>
        <v>247569</v>
      </c>
      <c r="F901" s="498">
        <f t="shared" si="143"/>
        <v>0</v>
      </c>
      <c r="G901" s="498">
        <f t="shared" si="143"/>
        <v>0</v>
      </c>
      <c r="H901" s="498">
        <f t="shared" si="143"/>
        <v>0</v>
      </c>
      <c r="I901" s="498">
        <f t="shared" si="143"/>
        <v>0</v>
      </c>
      <c r="J901" s="498">
        <f t="shared" si="143"/>
        <v>0</v>
      </c>
      <c r="K901" s="498">
        <f t="shared" si="143"/>
        <v>0</v>
      </c>
      <c r="L901" s="498">
        <f t="shared" si="143"/>
        <v>0</v>
      </c>
      <c r="M901" s="498">
        <f t="shared" si="143"/>
        <v>0</v>
      </c>
      <c r="N901" s="498">
        <f t="shared" si="143"/>
        <v>0</v>
      </c>
      <c r="O901" s="498">
        <f t="shared" si="143"/>
        <v>0</v>
      </c>
      <c r="P901" s="498">
        <f t="shared" si="143"/>
        <v>0</v>
      </c>
      <c r="Q901" s="498">
        <f t="shared" si="143"/>
        <v>0</v>
      </c>
      <c r="R901" s="498">
        <f t="shared" si="143"/>
        <v>510.17</v>
      </c>
      <c r="S901" s="498">
        <f t="shared" si="143"/>
        <v>781716</v>
      </c>
      <c r="T901" s="498">
        <f t="shared" si="143"/>
        <v>0</v>
      </c>
      <c r="U901" s="498">
        <f t="shared" si="143"/>
        <v>0</v>
      </c>
      <c r="V901" s="211">
        <f t="shared" si="143"/>
        <v>0</v>
      </c>
      <c r="W901" s="282"/>
      <c r="X901" s="282"/>
    </row>
    <row r="902" spans="1:25">
      <c r="A902" s="487"/>
      <c r="B902" s="499" t="s">
        <v>884</v>
      </c>
      <c r="C902" s="498">
        <f>'часть 1'!L927</f>
        <v>781716</v>
      </c>
      <c r="D902" s="498">
        <f>E902+F902+G902+H902+I902+J902+K902</f>
        <v>0</v>
      </c>
      <c r="E902" s="498">
        <v>0</v>
      </c>
      <c r="F902" s="498">
        <v>0</v>
      </c>
      <c r="G902" s="498">
        <v>0</v>
      </c>
      <c r="H902" s="498">
        <v>0</v>
      </c>
      <c r="I902" s="498">
        <v>0</v>
      </c>
      <c r="J902" s="498">
        <v>0</v>
      </c>
      <c r="K902" s="498">
        <v>0</v>
      </c>
      <c r="L902" s="502">
        <v>0</v>
      </c>
      <c r="M902" s="498">
        <v>0</v>
      </c>
      <c r="N902" s="498">
        <v>0</v>
      </c>
      <c r="O902" s="498">
        <v>0</v>
      </c>
      <c r="P902" s="503">
        <v>0</v>
      </c>
      <c r="Q902" s="498">
        <v>0</v>
      </c>
      <c r="R902" s="498">
        <v>510.17</v>
      </c>
      <c r="S902" s="498">
        <v>781716</v>
      </c>
      <c r="T902" s="502">
        <v>0</v>
      </c>
      <c r="U902" s="504">
        <v>0</v>
      </c>
      <c r="V902" s="282"/>
      <c r="W902" s="282"/>
      <c r="X902" s="282">
        <f>S902/R902</f>
        <v>1532.2657153497853</v>
      </c>
    </row>
    <row r="903" spans="1:25">
      <c r="A903" s="487"/>
      <c r="B903" s="499" t="s">
        <v>885</v>
      </c>
      <c r="C903" s="498">
        <f>'часть 1'!L928</f>
        <v>247569</v>
      </c>
      <c r="D903" s="498">
        <f>E903+F903+G903+H903+I903+J903+K903</f>
        <v>247569</v>
      </c>
      <c r="E903" s="498">
        <v>247569</v>
      </c>
      <c r="F903" s="498">
        <v>0</v>
      </c>
      <c r="G903" s="498">
        <v>0</v>
      </c>
      <c r="H903" s="498">
        <v>0</v>
      </c>
      <c r="I903" s="498">
        <v>0</v>
      </c>
      <c r="J903" s="498">
        <v>0</v>
      </c>
      <c r="K903" s="498">
        <v>0</v>
      </c>
      <c r="L903" s="502">
        <v>0</v>
      </c>
      <c r="M903" s="498">
        <v>0</v>
      </c>
      <c r="N903" s="498">
        <v>0</v>
      </c>
      <c r="O903" s="498">
        <v>0</v>
      </c>
      <c r="P903" s="503">
        <v>0</v>
      </c>
      <c r="Q903" s="498">
        <v>0</v>
      </c>
      <c r="R903" s="498">
        <v>0</v>
      </c>
      <c r="S903" s="498">
        <v>0</v>
      </c>
      <c r="T903" s="502">
        <v>0</v>
      </c>
      <c r="U903" s="504">
        <v>0</v>
      </c>
      <c r="V903" s="282"/>
      <c r="W903" s="282"/>
      <c r="X903" s="282"/>
      <c r="Y903" s="1">
        <f>E903/'часть 1'!I928</f>
        <v>506.58686310620016</v>
      </c>
    </row>
    <row r="904" spans="1:25" s="17" customFormat="1">
      <c r="A904" s="198"/>
      <c r="B904" s="216" t="s">
        <v>52</v>
      </c>
      <c r="C904" s="211">
        <v>3908951</v>
      </c>
      <c r="D904" s="211"/>
      <c r="E904" s="211"/>
      <c r="F904" s="211"/>
      <c r="G904" s="211"/>
      <c r="H904" s="211"/>
      <c r="I904" s="211"/>
      <c r="J904" s="211"/>
      <c r="K904" s="211">
        <v>201010</v>
      </c>
      <c r="L904" s="212">
        <v>0</v>
      </c>
      <c r="M904" s="211">
        <v>0</v>
      </c>
      <c r="N904" s="211">
        <v>1869.42</v>
      </c>
      <c r="O904" s="211">
        <v>3707941</v>
      </c>
      <c r="P904" s="213">
        <v>0</v>
      </c>
      <c r="Q904" s="211">
        <v>0</v>
      </c>
      <c r="R904" s="213">
        <v>0</v>
      </c>
      <c r="S904" s="211">
        <v>0</v>
      </c>
      <c r="T904" s="212">
        <v>0</v>
      </c>
      <c r="U904" s="290">
        <v>0</v>
      </c>
      <c r="V904" s="282"/>
      <c r="W904" s="282"/>
      <c r="X904" s="282"/>
    </row>
    <row r="905" spans="1:25" s="18" customFormat="1" ht="27.6">
      <c r="A905" s="487"/>
      <c r="B905" s="499" t="s">
        <v>130</v>
      </c>
      <c r="C905" s="498">
        <f>C906</f>
        <v>1851309</v>
      </c>
      <c r="D905" s="498">
        <f t="shared" ref="D905:V905" si="144">D906</f>
        <v>0</v>
      </c>
      <c r="E905" s="498">
        <f t="shared" si="144"/>
        <v>0</v>
      </c>
      <c r="F905" s="498">
        <f t="shared" si="144"/>
        <v>0</v>
      </c>
      <c r="G905" s="498">
        <f t="shared" si="144"/>
        <v>0</v>
      </c>
      <c r="H905" s="498">
        <f t="shared" si="144"/>
        <v>0</v>
      </c>
      <c r="I905" s="498">
        <f t="shared" si="144"/>
        <v>0</v>
      </c>
      <c r="J905" s="498">
        <f t="shared" si="144"/>
        <v>0</v>
      </c>
      <c r="K905" s="498">
        <f t="shared" si="144"/>
        <v>0</v>
      </c>
      <c r="L905" s="498">
        <f t="shared" si="144"/>
        <v>0</v>
      </c>
      <c r="M905" s="498">
        <f t="shared" si="144"/>
        <v>0</v>
      </c>
      <c r="N905" s="498">
        <f t="shared" si="144"/>
        <v>581</v>
      </c>
      <c r="O905" s="498">
        <f t="shared" si="144"/>
        <v>1851309</v>
      </c>
      <c r="P905" s="498">
        <f t="shared" si="144"/>
        <v>0</v>
      </c>
      <c r="Q905" s="498">
        <f t="shared" si="144"/>
        <v>0</v>
      </c>
      <c r="R905" s="498">
        <f t="shared" si="144"/>
        <v>0</v>
      </c>
      <c r="S905" s="498">
        <f t="shared" si="144"/>
        <v>0</v>
      </c>
      <c r="T905" s="498">
        <f t="shared" si="144"/>
        <v>0</v>
      </c>
      <c r="U905" s="498">
        <f t="shared" si="144"/>
        <v>0</v>
      </c>
      <c r="V905" s="211">
        <f t="shared" si="144"/>
        <v>0</v>
      </c>
      <c r="W905" s="282"/>
      <c r="X905" s="282"/>
    </row>
    <row r="906" spans="1:25" s="17" customFormat="1">
      <c r="A906" s="487">
        <v>312</v>
      </c>
      <c r="B906" s="499" t="s">
        <v>673</v>
      </c>
      <c r="C906" s="498">
        <v>1851309</v>
      </c>
      <c r="D906" s="498">
        <v>0</v>
      </c>
      <c r="E906" s="498">
        <v>0</v>
      </c>
      <c r="F906" s="498">
        <v>0</v>
      </c>
      <c r="G906" s="498">
        <v>0</v>
      </c>
      <c r="H906" s="498">
        <v>0</v>
      </c>
      <c r="I906" s="498">
        <v>0</v>
      </c>
      <c r="J906" s="498">
        <v>0</v>
      </c>
      <c r="K906" s="498">
        <v>0</v>
      </c>
      <c r="L906" s="503">
        <v>0</v>
      </c>
      <c r="M906" s="498">
        <v>0</v>
      </c>
      <c r="N906" s="492">
        <v>581</v>
      </c>
      <c r="O906" s="498">
        <v>1851309</v>
      </c>
      <c r="P906" s="503">
        <v>0</v>
      </c>
      <c r="Q906" s="498">
        <v>0</v>
      </c>
      <c r="R906" s="503">
        <v>0</v>
      </c>
      <c r="S906" s="498">
        <v>0</v>
      </c>
      <c r="T906" s="503">
        <v>0</v>
      </c>
      <c r="U906" s="504">
        <v>0</v>
      </c>
      <c r="V906" s="282"/>
      <c r="W906" s="282">
        <f>O906/N906</f>
        <v>3186.4182444061962</v>
      </c>
      <c r="X906" s="282"/>
    </row>
    <row r="907" spans="1:25" s="17" customFormat="1">
      <c r="A907" s="487"/>
      <c r="B907" s="499"/>
      <c r="C907" s="498"/>
      <c r="D907" s="498"/>
      <c r="E907" s="498"/>
      <c r="F907" s="498"/>
      <c r="G907" s="498"/>
      <c r="H907" s="498"/>
      <c r="I907" s="498"/>
      <c r="J907" s="498"/>
      <c r="K907" s="498"/>
      <c r="L907" s="503"/>
      <c r="M907" s="498"/>
      <c r="N907" s="492"/>
      <c r="O907" s="498"/>
      <c r="P907" s="503"/>
      <c r="Q907" s="498"/>
      <c r="R907" s="503"/>
      <c r="S907" s="498"/>
      <c r="T907" s="503"/>
      <c r="U907" s="504"/>
      <c r="V907" s="282"/>
      <c r="W907" s="282"/>
      <c r="X907" s="282"/>
    </row>
    <row r="908" spans="1:25" ht="27.6">
      <c r="A908" s="198"/>
      <c r="B908" s="214" t="s">
        <v>109</v>
      </c>
      <c r="C908" s="211">
        <v>201010</v>
      </c>
      <c r="D908" s="211"/>
      <c r="E908" s="211"/>
      <c r="F908" s="211"/>
      <c r="G908" s="211"/>
      <c r="H908" s="211"/>
      <c r="I908" s="211"/>
      <c r="J908" s="211"/>
      <c r="K908" s="211">
        <v>201010</v>
      </c>
      <c r="L908" s="212">
        <v>0</v>
      </c>
      <c r="M908" s="211">
        <v>0</v>
      </c>
      <c r="N908" s="211">
        <v>0</v>
      </c>
      <c r="O908" s="211">
        <v>0</v>
      </c>
      <c r="P908" s="213">
        <v>0</v>
      </c>
      <c r="Q908" s="211">
        <v>0</v>
      </c>
      <c r="R908" s="213">
        <v>0</v>
      </c>
      <c r="S908" s="211">
        <v>0</v>
      </c>
      <c r="T908" s="212">
        <v>0</v>
      </c>
      <c r="U908" s="290">
        <v>0</v>
      </c>
      <c r="V908" s="282"/>
      <c r="W908" s="282"/>
      <c r="X908" s="282"/>
    </row>
    <row r="909" spans="1:25">
      <c r="A909" s="198">
        <v>314</v>
      </c>
      <c r="B909" s="216" t="s">
        <v>414</v>
      </c>
      <c r="C909" s="211">
        <v>201010</v>
      </c>
      <c r="D909" s="211"/>
      <c r="E909" s="211"/>
      <c r="F909" s="211"/>
      <c r="G909" s="211"/>
      <c r="H909" s="211"/>
      <c r="I909" s="211"/>
      <c r="J909" s="211"/>
      <c r="K909" s="211">
        <v>201010</v>
      </c>
      <c r="L909" s="212">
        <v>0</v>
      </c>
      <c r="M909" s="211">
        <v>0</v>
      </c>
      <c r="N909" s="211">
        <v>0</v>
      </c>
      <c r="O909" s="211">
        <v>0</v>
      </c>
      <c r="P909" s="213">
        <v>0</v>
      </c>
      <c r="Q909" s="211">
        <v>0</v>
      </c>
      <c r="R909" s="213">
        <v>0</v>
      </c>
      <c r="S909" s="211">
        <v>0</v>
      </c>
      <c r="T909" s="212">
        <v>0</v>
      </c>
      <c r="U909" s="290">
        <v>0</v>
      </c>
      <c r="V909" s="282"/>
      <c r="W909" s="282"/>
      <c r="X909" s="282"/>
    </row>
    <row r="910" spans="1:25" ht="27.6">
      <c r="A910" s="198"/>
      <c r="B910" s="214" t="s">
        <v>198</v>
      </c>
      <c r="C910" s="211">
        <v>1091336</v>
      </c>
      <c r="D910" s="211"/>
      <c r="E910" s="211"/>
      <c r="F910" s="211"/>
      <c r="G910" s="211"/>
      <c r="H910" s="211"/>
      <c r="I910" s="211"/>
      <c r="J910" s="211"/>
      <c r="K910" s="211">
        <v>0</v>
      </c>
      <c r="L910" s="212">
        <v>0</v>
      </c>
      <c r="M910" s="211">
        <v>0</v>
      </c>
      <c r="N910" s="211">
        <v>554.41999999999996</v>
      </c>
      <c r="O910" s="211">
        <v>1091336</v>
      </c>
      <c r="P910" s="213">
        <v>0</v>
      </c>
      <c r="Q910" s="211">
        <v>0</v>
      </c>
      <c r="R910" s="213">
        <v>0</v>
      </c>
      <c r="S910" s="211">
        <v>0</v>
      </c>
      <c r="T910" s="212">
        <v>0</v>
      </c>
      <c r="U910" s="290">
        <v>0</v>
      </c>
      <c r="V910" s="282"/>
      <c r="W910" s="282"/>
      <c r="X910" s="282"/>
    </row>
    <row r="911" spans="1:25" ht="28.2">
      <c r="A911" s="198">
        <v>315</v>
      </c>
      <c r="B911" s="214" t="s">
        <v>444</v>
      </c>
      <c r="C911" s="211">
        <v>1091336</v>
      </c>
      <c r="D911" s="211"/>
      <c r="E911" s="211"/>
      <c r="F911" s="211"/>
      <c r="G911" s="211"/>
      <c r="H911" s="211"/>
      <c r="I911" s="211"/>
      <c r="J911" s="211"/>
      <c r="K911" s="211">
        <v>0</v>
      </c>
      <c r="L911" s="212">
        <v>0</v>
      </c>
      <c r="M911" s="211">
        <v>0</v>
      </c>
      <c r="N911" s="211">
        <v>554.41999999999996</v>
      </c>
      <c r="O911" s="211">
        <v>1091336</v>
      </c>
      <c r="P911" s="213">
        <v>0</v>
      </c>
      <c r="Q911" s="211">
        <v>0</v>
      </c>
      <c r="R911" s="213">
        <v>0</v>
      </c>
      <c r="S911" s="211">
        <v>0</v>
      </c>
      <c r="T911" s="212">
        <v>0</v>
      </c>
      <c r="U911" s="290">
        <v>0</v>
      </c>
      <c r="V911" s="282"/>
      <c r="W911" s="282"/>
      <c r="X911" s="282"/>
    </row>
    <row r="912" spans="1:25" s="17" customFormat="1">
      <c r="A912" s="198"/>
      <c r="B912" s="216" t="s">
        <v>53</v>
      </c>
      <c r="C912" s="211">
        <f>C913+C929+C931+C934+C941+C943+C946+C948</f>
        <v>46439075.920000002</v>
      </c>
      <c r="D912" s="211">
        <f t="shared" ref="D912:V912" si="145">D913+D929+D931+D934+D941+D943+D946+D948</f>
        <v>0</v>
      </c>
      <c r="E912" s="211">
        <f t="shared" si="145"/>
        <v>0</v>
      </c>
      <c r="F912" s="211">
        <f t="shared" si="145"/>
        <v>0</v>
      </c>
      <c r="G912" s="211">
        <f t="shared" si="145"/>
        <v>0</v>
      </c>
      <c r="H912" s="211">
        <f t="shared" si="145"/>
        <v>0</v>
      </c>
      <c r="I912" s="211">
        <f t="shared" si="145"/>
        <v>0</v>
      </c>
      <c r="J912" s="211">
        <f t="shared" si="145"/>
        <v>0</v>
      </c>
      <c r="K912" s="211">
        <f t="shared" si="145"/>
        <v>0</v>
      </c>
      <c r="L912" s="211">
        <f t="shared" si="145"/>
        <v>15</v>
      </c>
      <c r="M912" s="211">
        <f t="shared" si="145"/>
        <v>29383642</v>
      </c>
      <c r="N912" s="211">
        <f t="shared" si="145"/>
        <v>5801.5</v>
      </c>
      <c r="O912" s="211">
        <f t="shared" si="145"/>
        <v>15367425.92</v>
      </c>
      <c r="P912" s="211">
        <f t="shared" si="145"/>
        <v>0</v>
      </c>
      <c r="Q912" s="211">
        <f t="shared" si="145"/>
        <v>0</v>
      </c>
      <c r="R912" s="211">
        <f t="shared" si="145"/>
        <v>1097.2</v>
      </c>
      <c r="S912" s="211">
        <f t="shared" si="145"/>
        <v>1688008</v>
      </c>
      <c r="T912" s="211">
        <f t="shared" si="145"/>
        <v>0</v>
      </c>
      <c r="U912" s="211">
        <f t="shared" si="145"/>
        <v>0</v>
      </c>
      <c r="V912" s="211">
        <f t="shared" si="145"/>
        <v>0</v>
      </c>
      <c r="W912" s="282"/>
      <c r="X912" s="282"/>
    </row>
    <row r="913" spans="1:32" ht="27.6">
      <c r="A913" s="487"/>
      <c r="B913" s="499" t="s">
        <v>88</v>
      </c>
      <c r="C913" s="498">
        <f>C914+C915+C916+C917+C918+C919</f>
        <v>29383642</v>
      </c>
      <c r="D913" s="498">
        <f t="shared" ref="D913:U913" si="146">D914+D915+D916+D917+D918+D919</f>
        <v>0</v>
      </c>
      <c r="E913" s="498">
        <f t="shared" si="146"/>
        <v>0</v>
      </c>
      <c r="F913" s="498">
        <f t="shared" si="146"/>
        <v>0</v>
      </c>
      <c r="G913" s="498">
        <f t="shared" si="146"/>
        <v>0</v>
      </c>
      <c r="H913" s="498">
        <f t="shared" si="146"/>
        <v>0</v>
      </c>
      <c r="I913" s="498">
        <f t="shared" si="146"/>
        <v>0</v>
      </c>
      <c r="J913" s="498">
        <f t="shared" si="146"/>
        <v>0</v>
      </c>
      <c r="K913" s="498">
        <f t="shared" si="146"/>
        <v>0</v>
      </c>
      <c r="L913" s="498">
        <f t="shared" si="146"/>
        <v>15</v>
      </c>
      <c r="M913" s="498">
        <f t="shared" si="146"/>
        <v>29383642</v>
      </c>
      <c r="N913" s="498">
        <f t="shared" si="146"/>
        <v>0</v>
      </c>
      <c r="O913" s="498">
        <f t="shared" si="146"/>
        <v>0</v>
      </c>
      <c r="P913" s="498">
        <f t="shared" si="146"/>
        <v>0</v>
      </c>
      <c r="Q913" s="498">
        <f t="shared" si="146"/>
        <v>0</v>
      </c>
      <c r="R913" s="498">
        <f t="shared" si="146"/>
        <v>0</v>
      </c>
      <c r="S913" s="498">
        <f t="shared" si="146"/>
        <v>0</v>
      </c>
      <c r="T913" s="498">
        <f t="shared" si="146"/>
        <v>0</v>
      </c>
      <c r="U913" s="498">
        <f t="shared" si="146"/>
        <v>0</v>
      </c>
      <c r="V913" s="282"/>
      <c r="W913" s="282"/>
      <c r="X913" s="282"/>
      <c r="Y913" s="10"/>
      <c r="Z913" s="10"/>
      <c r="AA913" s="10"/>
      <c r="AB913" s="10"/>
    </row>
    <row r="914" spans="1:32" s="19" customFormat="1" ht="15.6">
      <c r="A914" s="487">
        <v>316</v>
      </c>
      <c r="B914" s="851" t="s">
        <v>748</v>
      </c>
      <c r="C914" s="498">
        <f>'часть 1'!L939</f>
        <v>5877687</v>
      </c>
      <c r="D914" s="498">
        <v>0</v>
      </c>
      <c r="E914" s="498">
        <v>0</v>
      </c>
      <c r="F914" s="498">
        <v>0</v>
      </c>
      <c r="G914" s="498">
        <v>0</v>
      </c>
      <c r="H914" s="498">
        <v>0</v>
      </c>
      <c r="I914" s="498">
        <v>0</v>
      </c>
      <c r="J914" s="498">
        <v>0</v>
      </c>
      <c r="K914" s="498">
        <v>0</v>
      </c>
      <c r="L914" s="502">
        <v>3</v>
      </c>
      <c r="M914" s="498">
        <f>C914</f>
        <v>5877687</v>
      </c>
      <c r="N914" s="498">
        <v>0</v>
      </c>
      <c r="O914" s="498">
        <v>0</v>
      </c>
      <c r="P914" s="503">
        <v>0</v>
      </c>
      <c r="Q914" s="498">
        <v>0</v>
      </c>
      <c r="R914" s="503">
        <v>0</v>
      </c>
      <c r="S914" s="498">
        <v>0</v>
      </c>
      <c r="T914" s="502">
        <v>0</v>
      </c>
      <c r="U914" s="504">
        <v>0</v>
      </c>
      <c r="V914" s="282"/>
      <c r="W914" s="282"/>
      <c r="X914" s="282"/>
      <c r="Y914" s="27"/>
      <c r="Z914" s="27"/>
      <c r="AA914" s="27"/>
      <c r="AB914" s="27"/>
      <c r="AF914" s="84">
        <f>M914/L914</f>
        <v>1959229</v>
      </c>
    </row>
    <row r="915" spans="1:32" s="19" customFormat="1" ht="15.6">
      <c r="A915" s="487">
        <v>317</v>
      </c>
      <c r="B915" s="851" t="s">
        <v>749</v>
      </c>
      <c r="C915" s="498">
        <f>'часть 1'!L940</f>
        <v>3911300</v>
      </c>
      <c r="D915" s="498">
        <v>0</v>
      </c>
      <c r="E915" s="498">
        <v>0</v>
      </c>
      <c r="F915" s="498">
        <v>0</v>
      </c>
      <c r="G915" s="498">
        <v>0</v>
      </c>
      <c r="H915" s="498">
        <v>0</v>
      </c>
      <c r="I915" s="498">
        <v>0</v>
      </c>
      <c r="J915" s="498">
        <v>0</v>
      </c>
      <c r="K915" s="498">
        <v>0</v>
      </c>
      <c r="L915" s="502">
        <v>2</v>
      </c>
      <c r="M915" s="498">
        <f t="shared" ref="M915:M919" si="147">C915</f>
        <v>3911300</v>
      </c>
      <c r="N915" s="498">
        <v>0</v>
      </c>
      <c r="O915" s="498">
        <v>0</v>
      </c>
      <c r="P915" s="503">
        <v>0</v>
      </c>
      <c r="Q915" s="498">
        <v>0</v>
      </c>
      <c r="R915" s="503">
        <v>0</v>
      </c>
      <c r="S915" s="498">
        <v>0</v>
      </c>
      <c r="T915" s="502">
        <v>0</v>
      </c>
      <c r="U915" s="504">
        <v>0</v>
      </c>
      <c r="V915" s="282"/>
      <c r="W915" s="282"/>
      <c r="X915" s="282"/>
      <c r="Y915" s="27"/>
      <c r="Z915" s="27"/>
      <c r="AA915" s="27"/>
      <c r="AB915" s="27"/>
      <c r="AF915" s="84">
        <f t="shared" ref="AF915:AF919" si="148">M915/L915</f>
        <v>1955650</v>
      </c>
    </row>
    <row r="916" spans="1:32" s="19" customFormat="1" ht="15.6">
      <c r="A916" s="487">
        <v>318</v>
      </c>
      <c r="B916" s="851" t="s">
        <v>750</v>
      </c>
      <c r="C916" s="498">
        <f>'часть 1'!L941</f>
        <v>5873712</v>
      </c>
      <c r="D916" s="507">
        <v>0</v>
      </c>
      <c r="E916" s="507">
        <v>0</v>
      </c>
      <c r="F916" s="507">
        <v>0</v>
      </c>
      <c r="G916" s="507">
        <v>0</v>
      </c>
      <c r="H916" s="507">
        <v>0</v>
      </c>
      <c r="I916" s="507">
        <v>0</v>
      </c>
      <c r="J916" s="507">
        <v>0</v>
      </c>
      <c r="K916" s="862">
        <v>0</v>
      </c>
      <c r="L916" s="502">
        <v>3</v>
      </c>
      <c r="M916" s="498">
        <f t="shared" si="147"/>
        <v>5873712</v>
      </c>
      <c r="N916" s="507">
        <v>0</v>
      </c>
      <c r="O916" s="507">
        <v>0</v>
      </c>
      <c r="P916" s="503">
        <v>0</v>
      </c>
      <c r="Q916" s="498">
        <v>0</v>
      </c>
      <c r="R916" s="503">
        <v>0</v>
      </c>
      <c r="S916" s="498">
        <v>0</v>
      </c>
      <c r="T916" s="502">
        <v>0</v>
      </c>
      <c r="U916" s="504">
        <v>0</v>
      </c>
      <c r="V916" s="282"/>
      <c r="W916" s="282"/>
      <c r="X916" s="282"/>
      <c r="Y916" s="27"/>
      <c r="Z916" s="27"/>
      <c r="AA916" s="27"/>
      <c r="AB916" s="27"/>
      <c r="AF916" s="84">
        <f t="shared" si="148"/>
        <v>1957904</v>
      </c>
    </row>
    <row r="917" spans="1:32" s="19" customFormat="1" ht="15.6">
      <c r="A917" s="487">
        <v>319</v>
      </c>
      <c r="B917" s="851" t="s">
        <v>751</v>
      </c>
      <c r="C917" s="498">
        <f>'часть 1'!L942</f>
        <v>5872977</v>
      </c>
      <c r="D917" s="498">
        <v>0</v>
      </c>
      <c r="E917" s="498">
        <v>0</v>
      </c>
      <c r="F917" s="498">
        <v>0</v>
      </c>
      <c r="G917" s="498">
        <v>0</v>
      </c>
      <c r="H917" s="498">
        <v>0</v>
      </c>
      <c r="I917" s="498">
        <v>0</v>
      </c>
      <c r="J917" s="498">
        <v>0</v>
      </c>
      <c r="K917" s="498">
        <v>0</v>
      </c>
      <c r="L917" s="502">
        <v>3</v>
      </c>
      <c r="M917" s="498">
        <f t="shared" si="147"/>
        <v>5872977</v>
      </c>
      <c r="N917" s="498">
        <v>0</v>
      </c>
      <c r="O917" s="498">
        <v>0</v>
      </c>
      <c r="P917" s="503">
        <v>0</v>
      </c>
      <c r="Q917" s="498">
        <v>0</v>
      </c>
      <c r="R917" s="498">
        <v>0</v>
      </c>
      <c r="S917" s="498">
        <v>0</v>
      </c>
      <c r="T917" s="502">
        <v>0</v>
      </c>
      <c r="U917" s="504">
        <v>0</v>
      </c>
      <c r="V917" s="282"/>
      <c r="W917" s="282"/>
      <c r="X917" s="282"/>
      <c r="Y917" s="27"/>
      <c r="Z917" s="27"/>
      <c r="AA917" s="27"/>
      <c r="AB917" s="27"/>
      <c r="AF917" s="84">
        <f t="shared" si="148"/>
        <v>1957659</v>
      </c>
    </row>
    <row r="918" spans="1:32" s="19" customFormat="1" ht="15.6">
      <c r="A918" s="487">
        <v>320</v>
      </c>
      <c r="B918" s="851" t="s">
        <v>752</v>
      </c>
      <c r="C918" s="498">
        <f>'часть 1'!L943</f>
        <v>5882933</v>
      </c>
      <c r="D918" s="507">
        <v>0</v>
      </c>
      <c r="E918" s="507">
        <v>0</v>
      </c>
      <c r="F918" s="507">
        <v>0</v>
      </c>
      <c r="G918" s="507">
        <v>0</v>
      </c>
      <c r="H918" s="507">
        <v>0</v>
      </c>
      <c r="I918" s="507">
        <v>0</v>
      </c>
      <c r="J918" s="507">
        <v>0</v>
      </c>
      <c r="K918" s="510">
        <v>0</v>
      </c>
      <c r="L918" s="496">
        <v>3</v>
      </c>
      <c r="M918" s="498">
        <f t="shared" si="147"/>
        <v>5882933</v>
      </c>
      <c r="N918" s="498">
        <v>0</v>
      </c>
      <c r="O918" s="498">
        <v>0</v>
      </c>
      <c r="P918" s="503">
        <v>0</v>
      </c>
      <c r="Q918" s="498">
        <v>0</v>
      </c>
      <c r="R918" s="503">
        <v>0</v>
      </c>
      <c r="S918" s="498">
        <v>0</v>
      </c>
      <c r="T918" s="502">
        <v>0</v>
      </c>
      <c r="U918" s="504">
        <v>0</v>
      </c>
      <c r="V918" s="282"/>
      <c r="W918" s="282"/>
      <c r="X918" s="282"/>
      <c r="Y918" s="6"/>
      <c r="Z918" s="6"/>
      <c r="AA918" s="26"/>
      <c r="AB918" s="26"/>
      <c r="AF918" s="84">
        <f t="shared" si="148"/>
        <v>1960977.6666666667</v>
      </c>
    </row>
    <row r="919" spans="1:32" s="19" customFormat="1" ht="15.6">
      <c r="A919" s="487">
        <v>321</v>
      </c>
      <c r="B919" s="843" t="s">
        <v>753</v>
      </c>
      <c r="C919" s="498">
        <f>'часть 1'!L944</f>
        <v>1965033</v>
      </c>
      <c r="D919" s="507">
        <v>0</v>
      </c>
      <c r="E919" s="507">
        <v>0</v>
      </c>
      <c r="F919" s="507">
        <v>0</v>
      </c>
      <c r="G919" s="507">
        <v>0</v>
      </c>
      <c r="H919" s="507">
        <v>0</v>
      </c>
      <c r="I919" s="507">
        <v>0</v>
      </c>
      <c r="J919" s="507">
        <v>0</v>
      </c>
      <c r="K919" s="510">
        <v>0</v>
      </c>
      <c r="L919" s="496">
        <v>1</v>
      </c>
      <c r="M919" s="498">
        <f t="shared" si="147"/>
        <v>1965033</v>
      </c>
      <c r="N919" s="498">
        <v>0</v>
      </c>
      <c r="O919" s="498">
        <v>0</v>
      </c>
      <c r="P919" s="503">
        <v>0</v>
      </c>
      <c r="Q919" s="498">
        <v>0</v>
      </c>
      <c r="R919" s="503">
        <v>0</v>
      </c>
      <c r="S919" s="498">
        <v>0</v>
      </c>
      <c r="T919" s="502">
        <v>0</v>
      </c>
      <c r="U919" s="504">
        <v>0</v>
      </c>
      <c r="V919" s="282"/>
      <c r="W919" s="282"/>
      <c r="X919" s="282"/>
      <c r="Y919" s="6"/>
      <c r="Z919" s="6"/>
      <c r="AA919" s="26"/>
      <c r="AB919" s="26"/>
      <c r="AF919" s="84">
        <f t="shared" si="148"/>
        <v>1965033</v>
      </c>
    </row>
    <row r="920" spans="1:32" s="19" customFormat="1">
      <c r="A920" s="487"/>
      <c r="B920" s="488"/>
      <c r="C920" s="498"/>
      <c r="D920" s="507"/>
      <c r="E920" s="507"/>
      <c r="F920" s="507"/>
      <c r="G920" s="507"/>
      <c r="H920" s="507"/>
      <c r="I920" s="507"/>
      <c r="J920" s="507"/>
      <c r="K920" s="510"/>
      <c r="L920" s="496"/>
      <c r="M920" s="507"/>
      <c r="N920" s="498"/>
      <c r="O920" s="498"/>
      <c r="P920" s="503"/>
      <c r="Q920" s="498"/>
      <c r="R920" s="503"/>
      <c r="S920" s="498"/>
      <c r="T920" s="502"/>
      <c r="U920" s="504"/>
      <c r="V920" s="282"/>
      <c r="W920" s="282"/>
      <c r="X920" s="282"/>
      <c r="Y920" s="6"/>
      <c r="Z920" s="6"/>
      <c r="AA920" s="26"/>
      <c r="AB920" s="26"/>
    </row>
    <row r="921" spans="1:32" s="19" customFormat="1">
      <c r="A921" s="487"/>
      <c r="B921" s="863"/>
      <c r="C921" s="498"/>
      <c r="D921" s="498"/>
      <c r="E921" s="498"/>
      <c r="F921" s="498"/>
      <c r="G921" s="498"/>
      <c r="H921" s="498"/>
      <c r="I921" s="498"/>
      <c r="J921" s="498"/>
      <c r="K921" s="498"/>
      <c r="L921" s="502"/>
      <c r="M921" s="498"/>
      <c r="N921" s="498"/>
      <c r="O921" s="498"/>
      <c r="P921" s="503"/>
      <c r="Q921" s="498"/>
      <c r="R921" s="498"/>
      <c r="S921" s="498"/>
      <c r="T921" s="502"/>
      <c r="U921" s="504"/>
      <c r="V921" s="282"/>
      <c r="W921" s="282"/>
      <c r="X921" s="282"/>
      <c r="Y921" s="27"/>
      <c r="Z921" s="27"/>
      <c r="AA921" s="27"/>
      <c r="AB921" s="27"/>
    </row>
    <row r="922" spans="1:32" s="19" customFormat="1">
      <c r="A922" s="487"/>
      <c r="B922" s="863"/>
      <c r="C922" s="498"/>
      <c r="D922" s="507"/>
      <c r="E922" s="507"/>
      <c r="F922" s="507"/>
      <c r="G922" s="507"/>
      <c r="H922" s="507"/>
      <c r="I922" s="507"/>
      <c r="J922" s="507"/>
      <c r="K922" s="510"/>
      <c r="L922" s="496"/>
      <c r="M922" s="492"/>
      <c r="N922" s="498"/>
      <c r="O922" s="498"/>
      <c r="P922" s="503"/>
      <c r="Q922" s="498"/>
      <c r="R922" s="503"/>
      <c r="S922" s="498"/>
      <c r="T922" s="502"/>
      <c r="U922" s="504"/>
      <c r="V922" s="282"/>
      <c r="W922" s="282"/>
      <c r="X922" s="282"/>
      <c r="Y922" s="6"/>
      <c r="Z922" s="6"/>
      <c r="AA922" s="26"/>
      <c r="AB922" s="26"/>
    </row>
    <row r="923" spans="1:32" s="19" customFormat="1">
      <c r="A923" s="487"/>
      <c r="B923" s="488"/>
      <c r="C923" s="498"/>
      <c r="D923" s="507"/>
      <c r="E923" s="507"/>
      <c r="F923" s="507"/>
      <c r="G923" s="507"/>
      <c r="H923" s="507"/>
      <c r="I923" s="507"/>
      <c r="J923" s="507"/>
      <c r="K923" s="510"/>
      <c r="L923" s="496"/>
      <c r="M923" s="507"/>
      <c r="N923" s="498"/>
      <c r="O923" s="498"/>
      <c r="P923" s="503"/>
      <c r="Q923" s="498"/>
      <c r="R923" s="503"/>
      <c r="S923" s="498"/>
      <c r="T923" s="502"/>
      <c r="U923" s="504"/>
      <c r="V923" s="282"/>
      <c r="W923" s="282"/>
      <c r="X923" s="282"/>
      <c r="Y923" s="6"/>
      <c r="Z923" s="6"/>
      <c r="AA923" s="26"/>
      <c r="AB923" s="26"/>
    </row>
    <row r="924" spans="1:32" s="19" customFormat="1">
      <c r="A924" s="487"/>
      <c r="B924" s="499"/>
      <c r="C924" s="507"/>
      <c r="D924" s="507"/>
      <c r="E924" s="507"/>
      <c r="F924" s="507"/>
      <c r="G924" s="507"/>
      <c r="H924" s="507"/>
      <c r="I924" s="507"/>
      <c r="J924" s="507"/>
      <c r="K924" s="510"/>
      <c r="L924" s="496"/>
      <c r="M924" s="510"/>
      <c r="N924" s="498"/>
      <c r="O924" s="498"/>
      <c r="P924" s="503"/>
      <c r="Q924" s="498"/>
      <c r="R924" s="503"/>
      <c r="S924" s="498"/>
      <c r="T924" s="502"/>
      <c r="U924" s="504"/>
      <c r="V924" s="282"/>
      <c r="W924" s="282"/>
      <c r="X924" s="282"/>
      <c r="Y924" s="6"/>
      <c r="Z924" s="6"/>
      <c r="AA924" s="26"/>
      <c r="AB924" s="26"/>
    </row>
    <row r="925" spans="1:32" s="19" customFormat="1">
      <c r="A925" s="487"/>
      <c r="B925" s="660"/>
      <c r="C925" s="507"/>
      <c r="D925" s="507"/>
      <c r="E925" s="507"/>
      <c r="F925" s="507"/>
      <c r="G925" s="507"/>
      <c r="H925" s="507"/>
      <c r="I925" s="507"/>
      <c r="J925" s="507"/>
      <c r="K925" s="507"/>
      <c r="L925" s="502"/>
      <c r="M925" s="498"/>
      <c r="N925" s="498"/>
      <c r="O925" s="498"/>
      <c r="P925" s="503"/>
      <c r="Q925" s="498"/>
      <c r="R925" s="503"/>
      <c r="S925" s="498"/>
      <c r="T925" s="502"/>
      <c r="U925" s="504"/>
      <c r="V925" s="282"/>
      <c r="W925" s="282"/>
      <c r="X925" s="282"/>
      <c r="Y925" s="27"/>
      <c r="Z925" s="27"/>
      <c r="AA925" s="27"/>
      <c r="AB925" s="27"/>
    </row>
    <row r="926" spans="1:32" s="19" customFormat="1">
      <c r="A926" s="487"/>
      <c r="B926" s="499"/>
      <c r="C926" s="507"/>
      <c r="D926" s="507"/>
      <c r="E926" s="507"/>
      <c r="F926" s="507"/>
      <c r="G926" s="507"/>
      <c r="H926" s="507"/>
      <c r="I926" s="507"/>
      <c r="J926" s="507"/>
      <c r="K926" s="510"/>
      <c r="L926" s="496"/>
      <c r="M926" s="510"/>
      <c r="N926" s="498"/>
      <c r="O926" s="498"/>
      <c r="P926" s="503"/>
      <c r="Q926" s="498"/>
      <c r="R926" s="503"/>
      <c r="S926" s="498"/>
      <c r="T926" s="502"/>
      <c r="U926" s="504"/>
      <c r="V926" s="282"/>
      <c r="W926" s="282"/>
      <c r="X926" s="282"/>
      <c r="Y926" s="6"/>
      <c r="Z926" s="6"/>
      <c r="AA926" s="26"/>
      <c r="AB926" s="26"/>
    </row>
    <row r="927" spans="1:32" s="19" customFormat="1">
      <c r="A927" s="487"/>
      <c r="B927" s="499"/>
      <c r="C927" s="507"/>
      <c r="D927" s="507"/>
      <c r="E927" s="507"/>
      <c r="F927" s="507"/>
      <c r="G927" s="507"/>
      <c r="H927" s="507"/>
      <c r="I927" s="507"/>
      <c r="J927" s="507"/>
      <c r="K927" s="510"/>
      <c r="L927" s="496"/>
      <c r="M927" s="507"/>
      <c r="N927" s="498"/>
      <c r="O927" s="498"/>
      <c r="P927" s="503"/>
      <c r="Q927" s="498"/>
      <c r="R927" s="503"/>
      <c r="S927" s="498"/>
      <c r="T927" s="502"/>
      <c r="U927" s="504"/>
      <c r="V927" s="282"/>
      <c r="W927" s="282"/>
      <c r="X927" s="282"/>
      <c r="Y927" s="6"/>
      <c r="Z927" s="6"/>
      <c r="AA927" s="26"/>
      <c r="AB927" s="26"/>
    </row>
    <row r="928" spans="1:32" s="19" customFormat="1">
      <c r="A928" s="487"/>
      <c r="B928" s="661"/>
      <c r="C928" s="498"/>
      <c r="D928" s="498"/>
      <c r="E928" s="498"/>
      <c r="F928" s="498"/>
      <c r="G928" s="498"/>
      <c r="H928" s="498"/>
      <c r="I928" s="498"/>
      <c r="J928" s="498"/>
      <c r="K928" s="498"/>
      <c r="L928" s="502"/>
      <c r="M928" s="498"/>
      <c r="N928" s="498"/>
      <c r="O928" s="498"/>
      <c r="P928" s="503"/>
      <c r="Q928" s="498"/>
      <c r="R928" s="498"/>
      <c r="S928" s="498"/>
      <c r="T928" s="502"/>
      <c r="U928" s="504"/>
      <c r="V928" s="282"/>
      <c r="W928" s="282"/>
      <c r="X928" s="282"/>
      <c r="Y928" s="27"/>
      <c r="Z928" s="27"/>
      <c r="AA928" s="27"/>
      <c r="AB928" s="27"/>
    </row>
    <row r="929" spans="1:28" ht="27.6">
      <c r="A929" s="198"/>
      <c r="B929" s="214" t="s">
        <v>132</v>
      </c>
      <c r="C929" s="211">
        <f>C930</f>
        <v>1107622</v>
      </c>
      <c r="D929" s="211">
        <f t="shared" ref="D929:U929" si="149">D930</f>
        <v>0</v>
      </c>
      <c r="E929" s="211">
        <f t="shared" si="149"/>
        <v>0</v>
      </c>
      <c r="F929" s="211">
        <f t="shared" si="149"/>
        <v>0</v>
      </c>
      <c r="G929" s="211">
        <f t="shared" si="149"/>
        <v>0</v>
      </c>
      <c r="H929" s="211">
        <f t="shared" si="149"/>
        <v>0</v>
      </c>
      <c r="I929" s="211">
        <f t="shared" si="149"/>
        <v>0</v>
      </c>
      <c r="J929" s="211">
        <f t="shared" si="149"/>
        <v>0</v>
      </c>
      <c r="K929" s="211">
        <f t="shared" si="149"/>
        <v>0</v>
      </c>
      <c r="L929" s="211">
        <f t="shared" si="149"/>
        <v>0</v>
      </c>
      <c r="M929" s="211">
        <f t="shared" si="149"/>
        <v>0</v>
      </c>
      <c r="N929" s="211">
        <f t="shared" si="149"/>
        <v>0</v>
      </c>
      <c r="O929" s="211">
        <f t="shared" si="149"/>
        <v>0</v>
      </c>
      <c r="P929" s="211">
        <f t="shared" si="149"/>
        <v>0</v>
      </c>
      <c r="Q929" s="211">
        <f t="shared" si="149"/>
        <v>0</v>
      </c>
      <c r="R929" s="211">
        <f t="shared" si="149"/>
        <v>726.2</v>
      </c>
      <c r="S929" s="211">
        <f t="shared" si="149"/>
        <v>1107622</v>
      </c>
      <c r="T929" s="211">
        <f t="shared" si="149"/>
        <v>0</v>
      </c>
      <c r="U929" s="211">
        <f t="shared" si="149"/>
        <v>0</v>
      </c>
      <c r="V929" s="282"/>
      <c r="W929" s="282"/>
      <c r="X929" s="282"/>
      <c r="Y929" s="10"/>
      <c r="Z929" s="10"/>
      <c r="AA929" s="10"/>
      <c r="AB929" s="10"/>
    </row>
    <row r="930" spans="1:28" ht="27.6">
      <c r="A930" s="487">
        <v>331</v>
      </c>
      <c r="B930" s="499" t="s">
        <v>701</v>
      </c>
      <c r="C930" s="498">
        <f>'часть 1'!L946</f>
        <v>1107622</v>
      </c>
      <c r="D930" s="498">
        <v>0</v>
      </c>
      <c r="E930" s="498">
        <v>0</v>
      </c>
      <c r="F930" s="498">
        <v>0</v>
      </c>
      <c r="G930" s="498">
        <v>0</v>
      </c>
      <c r="H930" s="498">
        <v>0</v>
      </c>
      <c r="I930" s="498">
        <v>0</v>
      </c>
      <c r="J930" s="498">
        <v>0</v>
      </c>
      <c r="K930" s="498">
        <v>0</v>
      </c>
      <c r="L930" s="502">
        <v>0</v>
      </c>
      <c r="M930" s="498">
        <v>0</v>
      </c>
      <c r="N930" s="498">
        <v>0</v>
      </c>
      <c r="O930" s="498">
        <v>0</v>
      </c>
      <c r="P930" s="503">
        <v>0</v>
      </c>
      <c r="Q930" s="498">
        <v>0</v>
      </c>
      <c r="R930" s="819">
        <v>726.2</v>
      </c>
      <c r="S930" s="498">
        <v>1107622</v>
      </c>
      <c r="T930" s="502">
        <v>0</v>
      </c>
      <c r="U930" s="504">
        <v>0</v>
      </c>
      <c r="V930" s="282"/>
      <c r="W930" s="282"/>
      <c r="X930" s="282">
        <f>S930/R930</f>
        <v>1525.2299641971908</v>
      </c>
      <c r="Y930" s="10"/>
      <c r="Z930" s="10"/>
      <c r="AA930" s="10"/>
      <c r="AB930" s="10"/>
    </row>
    <row r="931" spans="1:28" ht="27.6">
      <c r="A931" s="198"/>
      <c r="B931" s="214" t="s">
        <v>110</v>
      </c>
      <c r="C931" s="211">
        <f>C932</f>
        <v>2348226</v>
      </c>
      <c r="D931" s="211">
        <f t="shared" ref="D931:U931" si="150">D932</f>
        <v>0</v>
      </c>
      <c r="E931" s="211">
        <f t="shared" si="150"/>
        <v>0</v>
      </c>
      <c r="F931" s="211">
        <f t="shared" si="150"/>
        <v>0</v>
      </c>
      <c r="G931" s="211">
        <f t="shared" si="150"/>
        <v>0</v>
      </c>
      <c r="H931" s="211">
        <f t="shared" si="150"/>
        <v>0</v>
      </c>
      <c r="I931" s="211">
        <f t="shared" si="150"/>
        <v>0</v>
      </c>
      <c r="J931" s="211">
        <f t="shared" si="150"/>
        <v>0</v>
      </c>
      <c r="K931" s="211">
        <f t="shared" si="150"/>
        <v>0</v>
      </c>
      <c r="L931" s="211">
        <f t="shared" si="150"/>
        <v>0</v>
      </c>
      <c r="M931" s="211">
        <f t="shared" si="150"/>
        <v>0</v>
      </c>
      <c r="N931" s="211">
        <f t="shared" si="150"/>
        <v>738</v>
      </c>
      <c r="O931" s="211">
        <f t="shared" si="150"/>
        <v>2348226</v>
      </c>
      <c r="P931" s="211">
        <f t="shared" si="150"/>
        <v>0</v>
      </c>
      <c r="Q931" s="211">
        <f t="shared" si="150"/>
        <v>0</v>
      </c>
      <c r="R931" s="211">
        <f t="shared" si="150"/>
        <v>0</v>
      </c>
      <c r="S931" s="211">
        <f t="shared" si="150"/>
        <v>0</v>
      </c>
      <c r="T931" s="211">
        <f t="shared" si="150"/>
        <v>0</v>
      </c>
      <c r="U931" s="211">
        <f t="shared" si="150"/>
        <v>0</v>
      </c>
      <c r="V931" s="282"/>
      <c r="W931" s="282"/>
      <c r="X931" s="282"/>
      <c r="Y931" s="10"/>
      <c r="Z931" s="10"/>
      <c r="AA931" s="10"/>
      <c r="AB931" s="10"/>
    </row>
    <row r="932" spans="1:28">
      <c r="A932" s="487">
        <v>332</v>
      </c>
      <c r="B932" s="505" t="s">
        <v>475</v>
      </c>
      <c r="C932" s="498">
        <v>2348226</v>
      </c>
      <c r="D932" s="498">
        <v>0</v>
      </c>
      <c r="E932" s="498">
        <v>0</v>
      </c>
      <c r="F932" s="498">
        <v>0</v>
      </c>
      <c r="G932" s="498">
        <v>0</v>
      </c>
      <c r="H932" s="498">
        <v>0</v>
      </c>
      <c r="I932" s="498">
        <v>0</v>
      </c>
      <c r="J932" s="498">
        <v>0</v>
      </c>
      <c r="K932" s="498">
        <v>0</v>
      </c>
      <c r="L932" s="502">
        <v>0</v>
      </c>
      <c r="M932" s="498">
        <v>0</v>
      </c>
      <c r="N932" s="492">
        <v>738</v>
      </c>
      <c r="O932" s="498">
        <v>2348226</v>
      </c>
      <c r="P932" s="503">
        <v>0</v>
      </c>
      <c r="Q932" s="498">
        <v>0</v>
      </c>
      <c r="R932" s="503">
        <v>0</v>
      </c>
      <c r="S932" s="498">
        <v>0</v>
      </c>
      <c r="T932" s="502">
        <v>0</v>
      </c>
      <c r="U932" s="504">
        <v>0</v>
      </c>
      <c r="V932" s="282"/>
      <c r="W932" s="282">
        <f>O932/N932</f>
        <v>3181.8780487804879</v>
      </c>
      <c r="X932" s="282"/>
    </row>
    <row r="933" spans="1:28">
      <c r="A933" s="487"/>
      <c r="B933" s="499"/>
      <c r="C933" s="498"/>
      <c r="D933" s="498"/>
      <c r="E933" s="498"/>
      <c r="F933" s="498"/>
      <c r="G933" s="498"/>
      <c r="H933" s="498"/>
      <c r="I933" s="498"/>
      <c r="J933" s="498"/>
      <c r="K933" s="498"/>
      <c r="L933" s="502"/>
      <c r="M933" s="498"/>
      <c r="N933" s="498"/>
      <c r="O933" s="498"/>
      <c r="P933" s="503"/>
      <c r="Q933" s="498"/>
      <c r="R933" s="503"/>
      <c r="S933" s="498"/>
      <c r="T933" s="502"/>
      <c r="U933" s="504"/>
      <c r="V933" s="282"/>
      <c r="W933" s="282"/>
      <c r="X933" s="282"/>
    </row>
    <row r="934" spans="1:28" ht="27.6">
      <c r="A934" s="487"/>
      <c r="B934" s="499" t="s">
        <v>128</v>
      </c>
      <c r="C934" s="498">
        <f>C935+C936+C937+C938</f>
        <v>9209860</v>
      </c>
      <c r="D934" s="498">
        <f t="shared" ref="D934:V934" si="151">D935+D936+D937+D938</f>
        <v>0</v>
      </c>
      <c r="E934" s="498">
        <f t="shared" si="151"/>
        <v>0</v>
      </c>
      <c r="F934" s="498">
        <f t="shared" si="151"/>
        <v>0</v>
      </c>
      <c r="G934" s="498">
        <f t="shared" si="151"/>
        <v>0</v>
      </c>
      <c r="H934" s="498">
        <f t="shared" si="151"/>
        <v>0</v>
      </c>
      <c r="I934" s="498">
        <f t="shared" si="151"/>
        <v>0</v>
      </c>
      <c r="J934" s="498">
        <f t="shared" si="151"/>
        <v>0</v>
      </c>
      <c r="K934" s="498">
        <f t="shared" si="151"/>
        <v>0</v>
      </c>
      <c r="L934" s="498">
        <f t="shared" si="151"/>
        <v>0</v>
      </c>
      <c r="M934" s="498">
        <f t="shared" si="151"/>
        <v>0</v>
      </c>
      <c r="N934" s="498">
        <f t="shared" si="151"/>
        <v>3686.6</v>
      </c>
      <c r="O934" s="498">
        <f t="shared" si="151"/>
        <v>9209860</v>
      </c>
      <c r="P934" s="498">
        <f t="shared" si="151"/>
        <v>0</v>
      </c>
      <c r="Q934" s="498">
        <f t="shared" si="151"/>
        <v>0</v>
      </c>
      <c r="R934" s="498">
        <f t="shared" si="151"/>
        <v>0</v>
      </c>
      <c r="S934" s="498">
        <f t="shared" si="151"/>
        <v>0</v>
      </c>
      <c r="T934" s="498">
        <f t="shared" si="151"/>
        <v>0</v>
      </c>
      <c r="U934" s="498">
        <f t="shared" si="151"/>
        <v>0</v>
      </c>
      <c r="V934" s="211">
        <f t="shared" si="151"/>
        <v>0</v>
      </c>
      <c r="W934" s="282"/>
      <c r="X934" s="282"/>
    </row>
    <row r="935" spans="1:28" s="59" customFormat="1">
      <c r="A935" s="487">
        <v>334</v>
      </c>
      <c r="B935" s="804" t="s">
        <v>725</v>
      </c>
      <c r="C935" s="507">
        <f>'часть 1'!L950</f>
        <v>2620143</v>
      </c>
      <c r="D935" s="507">
        <v>0</v>
      </c>
      <c r="E935" s="507">
        <v>0</v>
      </c>
      <c r="F935" s="507">
        <v>0</v>
      </c>
      <c r="G935" s="507">
        <v>0</v>
      </c>
      <c r="H935" s="507">
        <v>0</v>
      </c>
      <c r="I935" s="507">
        <v>0</v>
      </c>
      <c r="J935" s="507">
        <v>0</v>
      </c>
      <c r="K935" s="507">
        <v>0</v>
      </c>
      <c r="L935" s="508">
        <v>0</v>
      </c>
      <c r="M935" s="507">
        <v>0</v>
      </c>
      <c r="N935" s="492">
        <v>1047</v>
      </c>
      <c r="O935" s="507">
        <v>2620143</v>
      </c>
      <c r="P935" s="508">
        <v>0</v>
      </c>
      <c r="Q935" s="507">
        <v>0</v>
      </c>
      <c r="R935" s="508">
        <v>0</v>
      </c>
      <c r="S935" s="507">
        <v>0</v>
      </c>
      <c r="T935" s="640">
        <v>0</v>
      </c>
      <c r="U935" s="641">
        <v>0</v>
      </c>
      <c r="V935" s="282"/>
      <c r="W935" s="282">
        <f>O935/N935</f>
        <v>2502.5243553008595</v>
      </c>
      <c r="X935" s="282"/>
    </row>
    <row r="936" spans="1:28" s="59" customFormat="1">
      <c r="A936" s="487">
        <v>335</v>
      </c>
      <c r="B936" s="804" t="s">
        <v>726</v>
      </c>
      <c r="C936" s="507">
        <f>'часть 1'!L951</f>
        <v>3158092</v>
      </c>
      <c r="D936" s="507">
        <v>0</v>
      </c>
      <c r="E936" s="507">
        <v>0</v>
      </c>
      <c r="F936" s="507">
        <v>0</v>
      </c>
      <c r="G936" s="507">
        <v>0</v>
      </c>
      <c r="H936" s="507">
        <v>0</v>
      </c>
      <c r="I936" s="507">
        <v>0</v>
      </c>
      <c r="J936" s="507">
        <v>0</v>
      </c>
      <c r="K936" s="507">
        <v>0</v>
      </c>
      <c r="L936" s="508">
        <v>0</v>
      </c>
      <c r="M936" s="507">
        <v>0</v>
      </c>
      <c r="N936" s="492">
        <v>1263.5999999999999</v>
      </c>
      <c r="O936" s="507">
        <v>3158092</v>
      </c>
      <c r="P936" s="508">
        <v>0</v>
      </c>
      <c r="Q936" s="507">
        <v>0</v>
      </c>
      <c r="R936" s="508">
        <v>0</v>
      </c>
      <c r="S936" s="507">
        <v>0</v>
      </c>
      <c r="T936" s="640">
        <v>0</v>
      </c>
      <c r="U936" s="641">
        <v>0</v>
      </c>
      <c r="V936" s="282"/>
      <c r="W936" s="282">
        <f t="shared" ref="W936:W938" si="152">O936/N936</f>
        <v>2499.2814181703075</v>
      </c>
      <c r="X936" s="282"/>
    </row>
    <row r="937" spans="1:28" s="59" customFormat="1">
      <c r="A937" s="487">
        <v>336</v>
      </c>
      <c r="B937" s="804" t="s">
        <v>727</v>
      </c>
      <c r="C937" s="507">
        <f>'часть 1'!L952</f>
        <v>1623752</v>
      </c>
      <c r="D937" s="507">
        <v>0</v>
      </c>
      <c r="E937" s="507">
        <v>0</v>
      </c>
      <c r="F937" s="507">
        <v>0</v>
      </c>
      <c r="G937" s="507">
        <v>0</v>
      </c>
      <c r="H937" s="507">
        <v>0</v>
      </c>
      <c r="I937" s="507">
        <v>0</v>
      </c>
      <c r="J937" s="507">
        <v>0</v>
      </c>
      <c r="K937" s="507">
        <v>0</v>
      </c>
      <c r="L937" s="508">
        <v>0</v>
      </c>
      <c r="M937" s="507">
        <v>0</v>
      </c>
      <c r="N937" s="492">
        <v>650</v>
      </c>
      <c r="O937" s="507">
        <v>1623752</v>
      </c>
      <c r="P937" s="508">
        <v>0</v>
      </c>
      <c r="Q937" s="507">
        <v>0</v>
      </c>
      <c r="R937" s="508">
        <v>0</v>
      </c>
      <c r="S937" s="507">
        <v>0</v>
      </c>
      <c r="T937" s="640">
        <v>0</v>
      </c>
      <c r="U937" s="641">
        <v>0</v>
      </c>
      <c r="V937" s="282"/>
      <c r="W937" s="282">
        <f t="shared" si="152"/>
        <v>2498.08</v>
      </c>
      <c r="X937" s="282"/>
    </row>
    <row r="938" spans="1:28" s="59" customFormat="1">
      <c r="A938" s="487">
        <v>337</v>
      </c>
      <c r="B938" s="804" t="s">
        <v>728</v>
      </c>
      <c r="C938" s="507">
        <f>'часть 1'!L953</f>
        <v>1807873</v>
      </c>
      <c r="D938" s="507">
        <v>0</v>
      </c>
      <c r="E938" s="507">
        <v>0</v>
      </c>
      <c r="F938" s="507">
        <v>0</v>
      </c>
      <c r="G938" s="507">
        <v>0</v>
      </c>
      <c r="H938" s="507">
        <v>0</v>
      </c>
      <c r="I938" s="507">
        <v>0</v>
      </c>
      <c r="J938" s="507">
        <v>0</v>
      </c>
      <c r="K938" s="507">
        <v>0</v>
      </c>
      <c r="L938" s="508">
        <v>0</v>
      </c>
      <c r="M938" s="507">
        <v>0</v>
      </c>
      <c r="N938" s="492">
        <v>726</v>
      </c>
      <c r="O938" s="507">
        <v>1807873</v>
      </c>
      <c r="P938" s="508">
        <v>0</v>
      </c>
      <c r="Q938" s="507">
        <v>0</v>
      </c>
      <c r="R938" s="508">
        <v>0</v>
      </c>
      <c r="S938" s="507">
        <v>0</v>
      </c>
      <c r="T938" s="640">
        <v>0</v>
      </c>
      <c r="U938" s="641">
        <v>0</v>
      </c>
      <c r="V938" s="282"/>
      <c r="W938" s="282">
        <f t="shared" si="152"/>
        <v>2490.1831955922867</v>
      </c>
      <c r="X938" s="282"/>
    </row>
    <row r="939" spans="1:28" s="59" customFormat="1">
      <c r="A939" s="487"/>
      <c r="B939" s="506"/>
      <c r="C939" s="507"/>
      <c r="D939" s="507"/>
      <c r="E939" s="507"/>
      <c r="F939" s="507"/>
      <c r="G939" s="507"/>
      <c r="H939" s="507"/>
      <c r="I939" s="507"/>
      <c r="J939" s="507"/>
      <c r="K939" s="507"/>
      <c r="L939" s="508"/>
      <c r="M939" s="507"/>
      <c r="N939" s="492"/>
      <c r="O939" s="507"/>
      <c r="P939" s="508"/>
      <c r="Q939" s="507"/>
      <c r="R939" s="508"/>
      <c r="S939" s="507"/>
      <c r="T939" s="640"/>
      <c r="U939" s="641"/>
      <c r="V939" s="282"/>
      <c r="W939" s="282"/>
      <c r="X939" s="282"/>
    </row>
    <row r="940" spans="1:28" s="59" customFormat="1">
      <c r="A940" s="487"/>
      <c r="B940" s="506"/>
      <c r="C940" s="507"/>
      <c r="D940" s="507"/>
      <c r="E940" s="507"/>
      <c r="F940" s="507"/>
      <c r="G940" s="507"/>
      <c r="H940" s="507"/>
      <c r="I940" s="507"/>
      <c r="J940" s="507"/>
      <c r="K940" s="507"/>
      <c r="L940" s="508"/>
      <c r="M940" s="507"/>
      <c r="N940" s="492"/>
      <c r="O940" s="507"/>
      <c r="P940" s="508"/>
      <c r="Q940" s="507"/>
      <c r="R940" s="508"/>
      <c r="S940" s="507"/>
      <c r="T940" s="640"/>
      <c r="U940" s="641"/>
      <c r="V940" s="282"/>
      <c r="W940" s="282"/>
      <c r="X940" s="282"/>
    </row>
    <row r="941" spans="1:28" s="59" customFormat="1" ht="27.6">
      <c r="A941" s="487"/>
      <c r="B941" s="506" t="s">
        <v>668</v>
      </c>
      <c r="C941" s="507">
        <f>C942</f>
        <v>1720569</v>
      </c>
      <c r="D941" s="507">
        <f t="shared" ref="D941:V941" si="153">D942</f>
        <v>0</v>
      </c>
      <c r="E941" s="507">
        <f t="shared" si="153"/>
        <v>0</v>
      </c>
      <c r="F941" s="507">
        <f t="shared" si="153"/>
        <v>0</v>
      </c>
      <c r="G941" s="507">
        <f t="shared" si="153"/>
        <v>0</v>
      </c>
      <c r="H941" s="507">
        <f t="shared" si="153"/>
        <v>0</v>
      </c>
      <c r="I941" s="507">
        <f t="shared" si="153"/>
        <v>0</v>
      </c>
      <c r="J941" s="507">
        <f t="shared" si="153"/>
        <v>0</v>
      </c>
      <c r="K941" s="507">
        <f t="shared" si="153"/>
        <v>0</v>
      </c>
      <c r="L941" s="507">
        <f t="shared" si="153"/>
        <v>0</v>
      </c>
      <c r="M941" s="507">
        <f t="shared" si="153"/>
        <v>0</v>
      </c>
      <c r="N941" s="507">
        <f t="shared" si="153"/>
        <v>538.9</v>
      </c>
      <c r="O941" s="507">
        <f t="shared" si="153"/>
        <v>1720569</v>
      </c>
      <c r="P941" s="507">
        <f t="shared" si="153"/>
        <v>0</v>
      </c>
      <c r="Q941" s="507">
        <f t="shared" si="153"/>
        <v>0</v>
      </c>
      <c r="R941" s="507">
        <f t="shared" si="153"/>
        <v>0</v>
      </c>
      <c r="S941" s="507">
        <f t="shared" si="153"/>
        <v>0</v>
      </c>
      <c r="T941" s="507">
        <f t="shared" si="153"/>
        <v>0</v>
      </c>
      <c r="U941" s="507">
        <f t="shared" si="153"/>
        <v>0</v>
      </c>
      <c r="V941" s="221">
        <f t="shared" si="153"/>
        <v>0</v>
      </c>
      <c r="W941" s="282"/>
      <c r="X941" s="282"/>
    </row>
    <row r="942" spans="1:28" s="59" customFormat="1">
      <c r="A942" s="487"/>
      <c r="B942" s="506" t="s">
        <v>671</v>
      </c>
      <c r="C942" s="507">
        <v>1720569</v>
      </c>
      <c r="D942" s="507">
        <v>0</v>
      </c>
      <c r="E942" s="507">
        <v>0</v>
      </c>
      <c r="F942" s="507">
        <v>0</v>
      </c>
      <c r="G942" s="507">
        <v>0</v>
      </c>
      <c r="H942" s="507">
        <v>0</v>
      </c>
      <c r="I942" s="507">
        <v>0</v>
      </c>
      <c r="J942" s="507">
        <v>0</v>
      </c>
      <c r="K942" s="507">
        <v>0</v>
      </c>
      <c r="L942" s="507">
        <v>0</v>
      </c>
      <c r="M942" s="507">
        <v>0</v>
      </c>
      <c r="N942" s="492">
        <v>538.9</v>
      </c>
      <c r="O942" s="507">
        <v>1720569</v>
      </c>
      <c r="P942" s="508">
        <v>0</v>
      </c>
      <c r="Q942" s="507">
        <v>0</v>
      </c>
      <c r="R942" s="508">
        <v>0</v>
      </c>
      <c r="S942" s="507">
        <v>0</v>
      </c>
      <c r="T942" s="640">
        <v>0</v>
      </c>
      <c r="U942" s="641">
        <v>0</v>
      </c>
      <c r="V942" s="282"/>
      <c r="W942" s="282">
        <f>O942/N942</f>
        <v>3192.7426238634257</v>
      </c>
      <c r="X942" s="282"/>
    </row>
    <row r="943" spans="1:28" ht="27.6">
      <c r="A943" s="198"/>
      <c r="B943" s="214" t="s">
        <v>994</v>
      </c>
      <c r="C943" s="211">
        <f>C944+C945</f>
        <v>580386</v>
      </c>
      <c r="D943" s="211">
        <f t="shared" ref="D943:U943" si="154">D944+D945</f>
        <v>0</v>
      </c>
      <c r="E943" s="211">
        <f t="shared" si="154"/>
        <v>0</v>
      </c>
      <c r="F943" s="211">
        <f t="shared" si="154"/>
        <v>0</v>
      </c>
      <c r="G943" s="211">
        <f t="shared" si="154"/>
        <v>0</v>
      </c>
      <c r="H943" s="211">
        <f t="shared" si="154"/>
        <v>0</v>
      </c>
      <c r="I943" s="211">
        <f t="shared" si="154"/>
        <v>0</v>
      </c>
      <c r="J943" s="211">
        <f t="shared" si="154"/>
        <v>0</v>
      </c>
      <c r="K943" s="211">
        <f t="shared" si="154"/>
        <v>0</v>
      </c>
      <c r="L943" s="211">
        <f t="shared" si="154"/>
        <v>0</v>
      </c>
      <c r="M943" s="211">
        <f t="shared" si="154"/>
        <v>0</v>
      </c>
      <c r="N943" s="211">
        <f t="shared" si="154"/>
        <v>0</v>
      </c>
      <c r="O943" s="211">
        <f t="shared" si="154"/>
        <v>0</v>
      </c>
      <c r="P943" s="211">
        <f t="shared" si="154"/>
        <v>0</v>
      </c>
      <c r="Q943" s="211">
        <f t="shared" si="154"/>
        <v>0</v>
      </c>
      <c r="R943" s="211">
        <f t="shared" si="154"/>
        <v>371</v>
      </c>
      <c r="S943" s="211">
        <f t="shared" si="154"/>
        <v>580386</v>
      </c>
      <c r="T943" s="211">
        <f t="shared" si="154"/>
        <v>0</v>
      </c>
      <c r="U943" s="211">
        <f t="shared" si="154"/>
        <v>0</v>
      </c>
      <c r="V943" s="211">
        <f t="shared" ref="V943" si="155">V944+V945</f>
        <v>0</v>
      </c>
      <c r="W943" s="282"/>
      <c r="X943" s="282"/>
    </row>
    <row r="944" spans="1:28" ht="25.2" customHeight="1">
      <c r="A944" s="198"/>
      <c r="B944" s="945" t="s">
        <v>996</v>
      </c>
      <c r="C944" s="211">
        <f>'часть 1'!L959</f>
        <v>290233</v>
      </c>
      <c r="D944" s="211">
        <v>0</v>
      </c>
      <c r="E944" s="211">
        <v>0</v>
      </c>
      <c r="F944" s="211">
        <v>0</v>
      </c>
      <c r="G944" s="211">
        <v>0</v>
      </c>
      <c r="H944" s="211">
        <v>0</v>
      </c>
      <c r="I944" s="211">
        <v>0</v>
      </c>
      <c r="J944" s="211">
        <v>0</v>
      </c>
      <c r="K944" s="211">
        <v>0</v>
      </c>
      <c r="L944" s="212">
        <v>0</v>
      </c>
      <c r="M944" s="211">
        <v>0</v>
      </c>
      <c r="N944" s="211">
        <v>0</v>
      </c>
      <c r="O944" s="211">
        <v>0</v>
      </c>
      <c r="P944" s="213">
        <v>0</v>
      </c>
      <c r="Q944" s="211">
        <v>0</v>
      </c>
      <c r="R944" s="211">
        <v>185.5</v>
      </c>
      <c r="S944" s="211">
        <v>290233</v>
      </c>
      <c r="T944" s="212">
        <v>0</v>
      </c>
      <c r="U944" s="290">
        <v>0</v>
      </c>
      <c r="V944" s="282"/>
      <c r="W944" s="282"/>
      <c r="X944" s="282">
        <f>S944/R944</f>
        <v>1564.5983827493262</v>
      </c>
    </row>
    <row r="945" spans="1:30" ht="22.2" customHeight="1">
      <c r="A945" s="198">
        <v>340</v>
      </c>
      <c r="B945" s="945" t="s">
        <v>997</v>
      </c>
      <c r="C945" s="211">
        <f>'часть 1'!L960</f>
        <v>290153</v>
      </c>
      <c r="D945" s="211">
        <v>0</v>
      </c>
      <c r="E945" s="211">
        <v>0</v>
      </c>
      <c r="F945" s="211">
        <v>0</v>
      </c>
      <c r="G945" s="211">
        <v>0</v>
      </c>
      <c r="H945" s="211">
        <v>0</v>
      </c>
      <c r="I945" s="211">
        <v>0</v>
      </c>
      <c r="J945" s="211">
        <v>0</v>
      </c>
      <c r="K945" s="211">
        <v>0</v>
      </c>
      <c r="L945" s="212">
        <v>0</v>
      </c>
      <c r="M945" s="211">
        <v>0</v>
      </c>
      <c r="N945" s="211">
        <v>0</v>
      </c>
      <c r="O945" s="211">
        <v>0</v>
      </c>
      <c r="P945" s="213">
        <v>0</v>
      </c>
      <c r="Q945" s="211">
        <v>0</v>
      </c>
      <c r="R945" s="211">
        <v>185.5</v>
      </c>
      <c r="S945" s="211">
        <v>290153</v>
      </c>
      <c r="T945" s="212">
        <v>0</v>
      </c>
      <c r="U945" s="290">
        <v>0</v>
      </c>
      <c r="V945" s="282"/>
      <c r="W945" s="282"/>
      <c r="X945" s="282">
        <f>S945/R945</f>
        <v>1564.167115902965</v>
      </c>
    </row>
    <row r="946" spans="1:30" ht="27.6">
      <c r="A946" s="198"/>
      <c r="B946" s="214" t="s">
        <v>111</v>
      </c>
      <c r="C946" s="211">
        <v>657835.92000000004</v>
      </c>
      <c r="D946" s="211"/>
      <c r="E946" s="211"/>
      <c r="F946" s="211"/>
      <c r="G946" s="211"/>
      <c r="H946" s="211"/>
      <c r="I946" s="211"/>
      <c r="J946" s="211"/>
      <c r="K946" s="211">
        <v>0</v>
      </c>
      <c r="L946" s="213">
        <v>0</v>
      </c>
      <c r="M946" s="211">
        <v>0</v>
      </c>
      <c r="N946" s="211">
        <f>N947</f>
        <v>396</v>
      </c>
      <c r="O946" s="211">
        <v>657835.92000000004</v>
      </c>
      <c r="P946" s="213">
        <v>0</v>
      </c>
      <c r="Q946" s="240">
        <v>0</v>
      </c>
      <c r="R946" s="213">
        <v>0</v>
      </c>
      <c r="S946" s="240">
        <v>0</v>
      </c>
      <c r="T946" s="212">
        <v>0</v>
      </c>
      <c r="U946" s="293">
        <v>0</v>
      </c>
      <c r="V946" s="282"/>
      <c r="W946" s="282"/>
      <c r="X946" s="282"/>
    </row>
    <row r="947" spans="1:30">
      <c r="A947" s="198">
        <v>341</v>
      </c>
      <c r="B947" s="214" t="s">
        <v>453</v>
      </c>
      <c r="C947" s="211">
        <v>657835.92000000004</v>
      </c>
      <c r="D947" s="211"/>
      <c r="E947" s="211"/>
      <c r="F947" s="211"/>
      <c r="G947" s="211"/>
      <c r="H947" s="211"/>
      <c r="I947" s="211"/>
      <c r="J947" s="211"/>
      <c r="K947" s="211">
        <v>0</v>
      </c>
      <c r="L947" s="212">
        <v>0</v>
      </c>
      <c r="M947" s="211">
        <v>0</v>
      </c>
      <c r="N947" s="199">
        <v>396</v>
      </c>
      <c r="O947" s="211">
        <v>657835.92000000004</v>
      </c>
      <c r="P947" s="213">
        <v>0</v>
      </c>
      <c r="Q947" s="211">
        <v>0</v>
      </c>
      <c r="R947" s="213">
        <v>0</v>
      </c>
      <c r="S947" s="211">
        <v>0</v>
      </c>
      <c r="T947" s="212">
        <v>0</v>
      </c>
      <c r="U947" s="290">
        <v>0</v>
      </c>
      <c r="V947" s="282"/>
      <c r="W947" s="282"/>
      <c r="X947" s="282"/>
    </row>
    <row r="948" spans="1:30" ht="27.6">
      <c r="A948" s="487"/>
      <c r="B948" s="499" t="s">
        <v>129</v>
      </c>
      <c r="C948" s="498">
        <f>C949</f>
        <v>1430935</v>
      </c>
      <c r="D948" s="498">
        <f t="shared" ref="D948:V948" si="156">D949</f>
        <v>0</v>
      </c>
      <c r="E948" s="498">
        <f t="shared" si="156"/>
        <v>0</v>
      </c>
      <c r="F948" s="498">
        <f t="shared" si="156"/>
        <v>0</v>
      </c>
      <c r="G948" s="498">
        <f t="shared" si="156"/>
        <v>0</v>
      </c>
      <c r="H948" s="498">
        <f t="shared" si="156"/>
        <v>0</v>
      </c>
      <c r="I948" s="498">
        <f t="shared" si="156"/>
        <v>0</v>
      </c>
      <c r="J948" s="498">
        <f t="shared" si="156"/>
        <v>0</v>
      </c>
      <c r="K948" s="498">
        <f t="shared" si="156"/>
        <v>0</v>
      </c>
      <c r="L948" s="498">
        <f t="shared" si="156"/>
        <v>0</v>
      </c>
      <c r="M948" s="498">
        <f t="shared" si="156"/>
        <v>0</v>
      </c>
      <c r="N948" s="498">
        <f t="shared" si="156"/>
        <v>442</v>
      </c>
      <c r="O948" s="498">
        <f t="shared" si="156"/>
        <v>1430935</v>
      </c>
      <c r="P948" s="498">
        <f t="shared" si="156"/>
        <v>0</v>
      </c>
      <c r="Q948" s="498">
        <f t="shared" si="156"/>
        <v>0</v>
      </c>
      <c r="R948" s="498">
        <f t="shared" si="156"/>
        <v>0</v>
      </c>
      <c r="S948" s="498">
        <f t="shared" si="156"/>
        <v>0</v>
      </c>
      <c r="T948" s="498">
        <f t="shared" si="156"/>
        <v>0</v>
      </c>
      <c r="U948" s="498">
        <f t="shared" si="156"/>
        <v>0</v>
      </c>
      <c r="V948" s="211">
        <f t="shared" si="156"/>
        <v>0</v>
      </c>
      <c r="W948" s="282"/>
      <c r="X948" s="282"/>
    </row>
    <row r="949" spans="1:30" s="60" customFormat="1" ht="28.2" customHeight="1">
      <c r="A949" s="487">
        <v>342</v>
      </c>
      <c r="B949" s="488" t="s">
        <v>685</v>
      </c>
      <c r="C949" s="489">
        <v>1430935</v>
      </c>
      <c r="D949" s="489">
        <v>0</v>
      </c>
      <c r="E949" s="489">
        <v>0</v>
      </c>
      <c r="F949" s="489">
        <v>0</v>
      </c>
      <c r="G949" s="489">
        <v>0</v>
      </c>
      <c r="H949" s="489">
        <v>0</v>
      </c>
      <c r="I949" s="489">
        <v>0</v>
      </c>
      <c r="J949" s="489">
        <v>0</v>
      </c>
      <c r="K949" s="498">
        <v>0</v>
      </c>
      <c r="L949" s="496">
        <v>0</v>
      </c>
      <c r="M949" s="498">
        <v>0</v>
      </c>
      <c r="N949" s="492">
        <v>442</v>
      </c>
      <c r="O949" s="489">
        <v>1430935</v>
      </c>
      <c r="P949" s="572">
        <v>0</v>
      </c>
      <c r="Q949" s="498">
        <v>0</v>
      </c>
      <c r="R949" s="572">
        <v>0</v>
      </c>
      <c r="S949" s="498">
        <v>0</v>
      </c>
      <c r="T949" s="496">
        <v>0</v>
      </c>
      <c r="U949" s="504">
        <v>0</v>
      </c>
      <c r="V949" s="282"/>
      <c r="W949" s="282">
        <f>O949/N949</f>
        <v>3237.4095022624433</v>
      </c>
      <c r="X949" s="282"/>
    </row>
    <row r="950" spans="1:30" s="60" customFormat="1">
      <c r="A950" s="487"/>
      <c r="B950" s="488"/>
      <c r="C950" s="489"/>
      <c r="D950" s="489"/>
      <c r="E950" s="489"/>
      <c r="F950" s="489"/>
      <c r="G950" s="489"/>
      <c r="H950" s="489"/>
      <c r="I950" s="489"/>
      <c r="J950" s="489"/>
      <c r="K950" s="498"/>
      <c r="L950" s="496"/>
      <c r="M950" s="498"/>
      <c r="N950" s="492"/>
      <c r="O950" s="489"/>
      <c r="P950" s="572"/>
      <c r="Q950" s="498"/>
      <c r="R950" s="572"/>
      <c r="S950" s="498"/>
      <c r="T950" s="496"/>
      <c r="U950" s="504"/>
      <c r="V950" s="282"/>
      <c r="W950" s="282"/>
      <c r="X950" s="282"/>
    </row>
    <row r="951" spans="1:30" s="60" customFormat="1">
      <c r="A951" s="487"/>
      <c r="B951" s="488"/>
      <c r="C951" s="489"/>
      <c r="D951" s="489"/>
      <c r="E951" s="489"/>
      <c r="F951" s="489"/>
      <c r="G951" s="489"/>
      <c r="H951" s="489"/>
      <c r="I951" s="489"/>
      <c r="J951" s="489"/>
      <c r="K951" s="498"/>
      <c r="L951" s="496"/>
      <c r="M951" s="498"/>
      <c r="N951" s="492"/>
      <c r="O951" s="489"/>
      <c r="P951" s="572"/>
      <c r="Q951" s="498"/>
      <c r="R951" s="572"/>
      <c r="S951" s="498"/>
      <c r="T951" s="496"/>
      <c r="U951" s="504"/>
      <c r="V951" s="282"/>
      <c r="W951" s="282"/>
      <c r="X951" s="282"/>
    </row>
    <row r="952" spans="1:30" s="60" customFormat="1">
      <c r="A952" s="487"/>
      <c r="B952" s="488"/>
      <c r="C952" s="489"/>
      <c r="D952" s="489"/>
      <c r="E952" s="489"/>
      <c r="F952" s="489"/>
      <c r="G952" s="489"/>
      <c r="H952" s="489"/>
      <c r="I952" s="489"/>
      <c r="J952" s="489"/>
      <c r="K952" s="498"/>
      <c r="L952" s="496"/>
      <c r="M952" s="498"/>
      <c r="N952" s="492"/>
      <c r="O952" s="489"/>
      <c r="P952" s="572"/>
      <c r="Q952" s="498"/>
      <c r="R952" s="498"/>
      <c r="S952" s="498"/>
      <c r="T952" s="496"/>
      <c r="U952" s="504"/>
      <c r="V952" s="282"/>
      <c r="W952" s="282"/>
      <c r="X952" s="282"/>
    </row>
    <row r="953" spans="1:30">
      <c r="A953" s="198"/>
      <c r="B953" s="216" t="s">
        <v>54</v>
      </c>
      <c r="C953" s="211">
        <v>2222747</v>
      </c>
      <c r="D953" s="211"/>
      <c r="E953" s="211"/>
      <c r="F953" s="211"/>
      <c r="G953" s="211"/>
      <c r="H953" s="211"/>
      <c r="I953" s="211"/>
      <c r="J953" s="211"/>
      <c r="K953" s="211">
        <v>0</v>
      </c>
      <c r="L953" s="212">
        <v>0</v>
      </c>
      <c r="M953" s="211">
        <v>0</v>
      </c>
      <c r="N953" s="211">
        <v>1115</v>
      </c>
      <c r="O953" s="211">
        <v>2222747</v>
      </c>
      <c r="P953" s="213">
        <v>0</v>
      </c>
      <c r="Q953" s="211">
        <v>0</v>
      </c>
      <c r="R953" s="213">
        <v>0</v>
      </c>
      <c r="S953" s="211">
        <v>0</v>
      </c>
      <c r="T953" s="212">
        <v>0</v>
      </c>
      <c r="U953" s="290">
        <v>0</v>
      </c>
      <c r="V953" s="282"/>
      <c r="W953" s="282"/>
      <c r="X953" s="282"/>
    </row>
    <row r="954" spans="1:30" ht="27.6">
      <c r="A954" s="198"/>
      <c r="B954" s="214" t="s">
        <v>112</v>
      </c>
      <c r="C954" s="211">
        <v>2222747</v>
      </c>
      <c r="D954" s="211"/>
      <c r="E954" s="211"/>
      <c r="F954" s="211"/>
      <c r="G954" s="211"/>
      <c r="H954" s="211"/>
      <c r="I954" s="211"/>
      <c r="J954" s="211"/>
      <c r="K954" s="211">
        <v>0</v>
      </c>
      <c r="L954" s="212">
        <v>0</v>
      </c>
      <c r="M954" s="211">
        <v>0</v>
      </c>
      <c r="N954" s="211">
        <v>1115</v>
      </c>
      <c r="O954" s="211">
        <v>2222747</v>
      </c>
      <c r="P954" s="213">
        <v>0</v>
      </c>
      <c r="Q954" s="211">
        <v>0</v>
      </c>
      <c r="R954" s="213">
        <v>0</v>
      </c>
      <c r="S954" s="211">
        <v>0</v>
      </c>
      <c r="T954" s="212">
        <v>0</v>
      </c>
      <c r="U954" s="290">
        <v>0</v>
      </c>
      <c r="V954" s="282"/>
      <c r="W954" s="282"/>
      <c r="X954" s="282"/>
    </row>
    <row r="955" spans="1:30">
      <c r="A955" s="198">
        <v>346</v>
      </c>
      <c r="B955" s="216" t="s">
        <v>422</v>
      </c>
      <c r="C955" s="211">
        <v>1003542</v>
      </c>
      <c r="D955" s="211"/>
      <c r="E955" s="211"/>
      <c r="F955" s="211"/>
      <c r="G955" s="211"/>
      <c r="H955" s="211"/>
      <c r="I955" s="211"/>
      <c r="J955" s="211"/>
      <c r="K955" s="211">
        <v>0</v>
      </c>
      <c r="L955" s="212">
        <v>0</v>
      </c>
      <c r="M955" s="211">
        <v>0</v>
      </c>
      <c r="N955" s="199">
        <v>510</v>
      </c>
      <c r="O955" s="211">
        <v>1003542</v>
      </c>
      <c r="P955" s="213">
        <v>0</v>
      </c>
      <c r="Q955" s="211">
        <v>0</v>
      </c>
      <c r="R955" s="213">
        <v>0</v>
      </c>
      <c r="S955" s="211">
        <v>0</v>
      </c>
      <c r="T955" s="212">
        <v>0</v>
      </c>
      <c r="U955" s="290">
        <v>0</v>
      </c>
      <c r="V955" s="282"/>
      <c r="W955" s="282"/>
      <c r="X955" s="282"/>
    </row>
    <row r="956" spans="1:30">
      <c r="A956" s="198">
        <v>347</v>
      </c>
      <c r="B956" s="216" t="s">
        <v>421</v>
      </c>
      <c r="C956" s="211">
        <v>740146</v>
      </c>
      <c r="D956" s="211"/>
      <c r="E956" s="211"/>
      <c r="F956" s="211"/>
      <c r="G956" s="211"/>
      <c r="H956" s="211"/>
      <c r="I956" s="211"/>
      <c r="J956" s="211"/>
      <c r="K956" s="211">
        <v>0</v>
      </c>
      <c r="L956" s="212">
        <v>0</v>
      </c>
      <c r="M956" s="211">
        <v>0</v>
      </c>
      <c r="N956" s="199">
        <v>373</v>
      </c>
      <c r="O956" s="211">
        <v>740146</v>
      </c>
      <c r="P956" s="213">
        <v>0</v>
      </c>
      <c r="Q956" s="211">
        <v>0</v>
      </c>
      <c r="R956" s="213">
        <v>0</v>
      </c>
      <c r="S956" s="211">
        <v>0</v>
      </c>
      <c r="T956" s="212">
        <v>0</v>
      </c>
      <c r="U956" s="290">
        <v>0</v>
      </c>
      <c r="V956" s="282"/>
      <c r="W956" s="282"/>
      <c r="X956" s="282"/>
    </row>
    <row r="957" spans="1:30">
      <c r="A957" s="198">
        <v>348</v>
      </c>
      <c r="B957" s="216" t="s">
        <v>423</v>
      </c>
      <c r="C957" s="211">
        <v>479059</v>
      </c>
      <c r="D957" s="211"/>
      <c r="E957" s="211"/>
      <c r="F957" s="211"/>
      <c r="G957" s="211"/>
      <c r="H957" s="211"/>
      <c r="I957" s="211"/>
      <c r="J957" s="211"/>
      <c r="K957" s="211">
        <v>0</v>
      </c>
      <c r="L957" s="212">
        <v>0</v>
      </c>
      <c r="M957" s="211">
        <v>0</v>
      </c>
      <c r="N957" s="211">
        <v>232</v>
      </c>
      <c r="O957" s="211">
        <v>479059</v>
      </c>
      <c r="P957" s="213">
        <v>0</v>
      </c>
      <c r="Q957" s="211">
        <v>0</v>
      </c>
      <c r="R957" s="213">
        <v>0</v>
      </c>
      <c r="S957" s="211">
        <v>0</v>
      </c>
      <c r="T957" s="212">
        <v>0</v>
      </c>
      <c r="U957" s="290">
        <v>0</v>
      </c>
      <c r="V957" s="282"/>
      <c r="W957" s="282"/>
      <c r="X957" s="282"/>
    </row>
    <row r="958" spans="1:30">
      <c r="A958" s="198"/>
      <c r="B958" s="216" t="s">
        <v>55</v>
      </c>
      <c r="C958" s="211">
        <f>C959</f>
        <v>1739787</v>
      </c>
      <c r="D958" s="211">
        <f t="shared" ref="D958:U958" si="157">D959</f>
        <v>267870</v>
      </c>
      <c r="E958" s="211">
        <f t="shared" si="157"/>
        <v>0</v>
      </c>
      <c r="F958" s="211">
        <f t="shared" si="157"/>
        <v>0</v>
      </c>
      <c r="G958" s="211">
        <f t="shared" si="157"/>
        <v>0</v>
      </c>
      <c r="H958" s="211">
        <f t="shared" si="157"/>
        <v>0</v>
      </c>
      <c r="I958" s="211">
        <f t="shared" si="157"/>
        <v>0</v>
      </c>
      <c r="J958" s="211">
        <f t="shared" si="157"/>
        <v>267870</v>
      </c>
      <c r="K958" s="211">
        <f t="shared" si="157"/>
        <v>0</v>
      </c>
      <c r="L958" s="211">
        <f t="shared" si="157"/>
        <v>0</v>
      </c>
      <c r="M958" s="211">
        <f t="shared" si="157"/>
        <v>0</v>
      </c>
      <c r="N958" s="211">
        <f t="shared" si="157"/>
        <v>460</v>
      </c>
      <c r="O958" s="211">
        <f t="shared" si="157"/>
        <v>1471917</v>
      </c>
      <c r="P958" s="211">
        <f t="shared" si="157"/>
        <v>0</v>
      </c>
      <c r="Q958" s="211">
        <f t="shared" si="157"/>
        <v>0</v>
      </c>
      <c r="R958" s="211">
        <f t="shared" si="157"/>
        <v>0</v>
      </c>
      <c r="S958" s="211">
        <f t="shared" si="157"/>
        <v>0</v>
      </c>
      <c r="T958" s="211">
        <f t="shared" si="157"/>
        <v>0</v>
      </c>
      <c r="U958" s="211">
        <f t="shared" si="157"/>
        <v>0</v>
      </c>
      <c r="V958" s="282"/>
      <c r="W958" s="282"/>
      <c r="X958" s="282"/>
    </row>
    <row r="959" spans="1:30" ht="27.6">
      <c r="A959" s="198"/>
      <c r="B959" s="214" t="s">
        <v>122</v>
      </c>
      <c r="C959" s="211">
        <f>C960</f>
        <v>1739787</v>
      </c>
      <c r="D959" s="211">
        <f t="shared" ref="D959:U959" si="158">D960</f>
        <v>267870</v>
      </c>
      <c r="E959" s="211">
        <f t="shared" si="158"/>
        <v>0</v>
      </c>
      <c r="F959" s="211">
        <f t="shared" si="158"/>
        <v>0</v>
      </c>
      <c r="G959" s="211">
        <f t="shared" si="158"/>
        <v>0</v>
      </c>
      <c r="H959" s="211">
        <f t="shared" si="158"/>
        <v>0</v>
      </c>
      <c r="I959" s="211">
        <f t="shared" si="158"/>
        <v>0</v>
      </c>
      <c r="J959" s="211">
        <f t="shared" si="158"/>
        <v>267870</v>
      </c>
      <c r="K959" s="211">
        <f t="shared" si="158"/>
        <v>0</v>
      </c>
      <c r="L959" s="211">
        <f t="shared" si="158"/>
        <v>0</v>
      </c>
      <c r="M959" s="211">
        <f t="shared" si="158"/>
        <v>0</v>
      </c>
      <c r="N959" s="211">
        <f t="shared" si="158"/>
        <v>460</v>
      </c>
      <c r="O959" s="211">
        <f t="shared" si="158"/>
        <v>1471917</v>
      </c>
      <c r="P959" s="211">
        <f t="shared" si="158"/>
        <v>0</v>
      </c>
      <c r="Q959" s="211">
        <f t="shared" si="158"/>
        <v>0</v>
      </c>
      <c r="R959" s="211">
        <f t="shared" si="158"/>
        <v>0</v>
      </c>
      <c r="S959" s="211">
        <f t="shared" si="158"/>
        <v>0</v>
      </c>
      <c r="T959" s="211">
        <f t="shared" si="158"/>
        <v>0</v>
      </c>
      <c r="U959" s="211">
        <f t="shared" si="158"/>
        <v>0</v>
      </c>
      <c r="V959" s="282"/>
      <c r="W959" s="282"/>
      <c r="X959" s="282"/>
    </row>
    <row r="960" spans="1:30" s="28" customFormat="1">
      <c r="A960" s="487">
        <v>349</v>
      </c>
      <c r="B960" s="499" t="s">
        <v>602</v>
      </c>
      <c r="C960" s="557">
        <v>1739787</v>
      </c>
      <c r="D960" s="557">
        <f>E960+F960+G960+H960+I960+J960+K960</f>
        <v>267870</v>
      </c>
      <c r="E960" s="557">
        <v>0</v>
      </c>
      <c r="F960" s="557">
        <v>0</v>
      </c>
      <c r="G960" s="557">
        <v>0</v>
      </c>
      <c r="H960" s="557">
        <v>0</v>
      </c>
      <c r="I960" s="557">
        <v>0</v>
      </c>
      <c r="J960" s="557">
        <v>267870</v>
      </c>
      <c r="K960" s="489">
        <v>0</v>
      </c>
      <c r="L960" s="502">
        <v>0</v>
      </c>
      <c r="M960" s="498">
        <v>0</v>
      </c>
      <c r="N960" s="492">
        <v>460</v>
      </c>
      <c r="O960" s="489">
        <v>1471917</v>
      </c>
      <c r="P960" s="503">
        <v>0</v>
      </c>
      <c r="Q960" s="498">
        <v>0</v>
      </c>
      <c r="R960" s="498">
        <v>0</v>
      </c>
      <c r="S960" s="498">
        <v>0</v>
      </c>
      <c r="T960" s="502">
        <v>0</v>
      </c>
      <c r="U960" s="504">
        <v>0</v>
      </c>
      <c r="V960" s="282"/>
      <c r="W960" s="282">
        <f>O960/N960</f>
        <v>3199.8195652173913</v>
      </c>
      <c r="X960" s="282"/>
      <c r="AD960" s="28">
        <f>J960/'часть 1'!I975</f>
        <v>521.35072012456214</v>
      </c>
    </row>
    <row r="961" spans="1:53">
      <c r="A961" s="487"/>
      <c r="B961" s="499"/>
      <c r="C961" s="489"/>
      <c r="D961" s="489"/>
      <c r="E961" s="489"/>
      <c r="F961" s="489"/>
      <c r="G961" s="489"/>
      <c r="H961" s="489"/>
      <c r="I961" s="489"/>
      <c r="J961" s="489"/>
      <c r="K961" s="489"/>
      <c r="L961" s="502"/>
      <c r="M961" s="498"/>
      <c r="N961" s="498"/>
      <c r="O961" s="498"/>
      <c r="P961" s="503"/>
      <c r="Q961" s="498"/>
      <c r="R961" s="503"/>
      <c r="S961" s="498"/>
      <c r="T961" s="502"/>
      <c r="U961" s="504"/>
      <c r="V961" s="282"/>
      <c r="W961" s="282"/>
      <c r="X961" s="282"/>
    </row>
    <row r="962" spans="1:53">
      <c r="A962" s="487"/>
      <c r="B962" s="499"/>
      <c r="C962" s="489"/>
      <c r="D962" s="489"/>
      <c r="E962" s="489"/>
      <c r="F962" s="489"/>
      <c r="G962" s="489"/>
      <c r="H962" s="489"/>
      <c r="I962" s="489"/>
      <c r="J962" s="489"/>
      <c r="K962" s="489"/>
      <c r="L962" s="502"/>
      <c r="M962" s="498"/>
      <c r="N962" s="492"/>
      <c r="O962" s="489"/>
      <c r="P962" s="503"/>
      <c r="Q962" s="498"/>
      <c r="R962" s="498"/>
      <c r="S962" s="498"/>
      <c r="T962" s="502"/>
      <c r="U962" s="504"/>
      <c r="V962" s="282"/>
      <c r="W962" s="282"/>
      <c r="X962" s="282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</row>
    <row r="963" spans="1:53">
      <c r="A963" s="198"/>
      <c r="B963" s="216" t="s">
        <v>56</v>
      </c>
      <c r="C963" s="211">
        <v>13352826.959999999</v>
      </c>
      <c r="D963" s="211"/>
      <c r="E963" s="211"/>
      <c r="F963" s="211"/>
      <c r="G963" s="211"/>
      <c r="H963" s="211"/>
      <c r="I963" s="211"/>
      <c r="J963" s="211"/>
      <c r="K963" s="211">
        <v>8292103.96</v>
      </c>
      <c r="L963" s="212">
        <v>0</v>
      </c>
      <c r="M963" s="211">
        <v>0</v>
      </c>
      <c r="N963" s="211">
        <v>2564.5</v>
      </c>
      <c r="O963" s="211">
        <v>5060723</v>
      </c>
      <c r="P963" s="213">
        <v>0</v>
      </c>
      <c r="Q963" s="211">
        <v>0</v>
      </c>
      <c r="R963" s="213">
        <v>0</v>
      </c>
      <c r="S963" s="211">
        <v>0</v>
      </c>
      <c r="T963" s="212">
        <v>0</v>
      </c>
      <c r="U963" s="290">
        <v>0</v>
      </c>
      <c r="V963" s="282"/>
      <c r="W963" s="282"/>
      <c r="X963" s="282"/>
    </row>
    <row r="964" spans="1:53" ht="27.6">
      <c r="A964" s="487"/>
      <c r="B964" s="499" t="s">
        <v>424</v>
      </c>
      <c r="C964" s="498">
        <f>C965+C966+C967+C968+C969+C970</f>
        <v>8669678</v>
      </c>
      <c r="D964" s="498">
        <f t="shared" ref="D964:U964" si="159">D965+D966+D967+D968+D969+D970</f>
        <v>6476414</v>
      </c>
      <c r="E964" s="498">
        <f t="shared" si="159"/>
        <v>1762781</v>
      </c>
      <c r="F964" s="498">
        <f t="shared" si="159"/>
        <v>425687</v>
      </c>
      <c r="G964" s="498">
        <f t="shared" si="159"/>
        <v>1057272</v>
      </c>
      <c r="H964" s="498">
        <f t="shared" si="159"/>
        <v>667507</v>
      </c>
      <c r="I964" s="498">
        <f t="shared" si="159"/>
        <v>636218</v>
      </c>
      <c r="J964" s="498">
        <f t="shared" si="159"/>
        <v>1926949</v>
      </c>
      <c r="K964" s="498">
        <f t="shared" si="159"/>
        <v>0</v>
      </c>
      <c r="L964" s="498">
        <f t="shared" si="159"/>
        <v>0</v>
      </c>
      <c r="M964" s="498">
        <f t="shared" si="159"/>
        <v>0</v>
      </c>
      <c r="N964" s="498">
        <f t="shared" si="159"/>
        <v>766.38</v>
      </c>
      <c r="O964" s="498">
        <f t="shared" si="159"/>
        <v>2193264</v>
      </c>
      <c r="P964" s="498">
        <f t="shared" si="159"/>
        <v>0</v>
      </c>
      <c r="Q964" s="498">
        <f t="shared" si="159"/>
        <v>0</v>
      </c>
      <c r="R964" s="498">
        <f t="shared" si="159"/>
        <v>0</v>
      </c>
      <c r="S964" s="498">
        <f t="shared" si="159"/>
        <v>0</v>
      </c>
      <c r="T964" s="498">
        <f t="shared" si="159"/>
        <v>0</v>
      </c>
      <c r="U964" s="498">
        <f t="shared" si="159"/>
        <v>0</v>
      </c>
      <c r="V964" s="282"/>
      <c r="W964" s="282"/>
      <c r="X964" s="282"/>
    </row>
    <row r="965" spans="1:53">
      <c r="A965" s="487">
        <v>352</v>
      </c>
      <c r="B965" s="752" t="s">
        <v>708</v>
      </c>
      <c r="C965" s="498">
        <f>'часть 1'!L980</f>
        <v>435475</v>
      </c>
      <c r="D965" s="498">
        <f>E965+F965+G965+H965+I965+J965+K965</f>
        <v>435475</v>
      </c>
      <c r="E965" s="498">
        <v>170859</v>
      </c>
      <c r="F965" s="498">
        <v>0</v>
      </c>
      <c r="G965" s="498">
        <v>138971</v>
      </c>
      <c r="H965" s="498">
        <v>0</v>
      </c>
      <c r="I965" s="498">
        <v>0</v>
      </c>
      <c r="J965" s="498">
        <v>125645</v>
      </c>
      <c r="K965" s="498">
        <v>0</v>
      </c>
      <c r="L965" s="502">
        <v>0</v>
      </c>
      <c r="M965" s="498">
        <v>0</v>
      </c>
      <c r="N965" s="498">
        <v>0</v>
      </c>
      <c r="O965" s="498">
        <v>0</v>
      </c>
      <c r="P965" s="503">
        <v>0</v>
      </c>
      <c r="Q965" s="498">
        <v>0</v>
      </c>
      <c r="R965" s="503">
        <v>0</v>
      </c>
      <c r="S965" s="498">
        <v>0</v>
      </c>
      <c r="T965" s="502">
        <v>0</v>
      </c>
      <c r="U965" s="504">
        <v>0</v>
      </c>
      <c r="V965" s="282"/>
      <c r="W965" s="282"/>
      <c r="X965" s="282"/>
      <c r="Y965" s="1">
        <f>E965/'часть 1'!I980</f>
        <v>596.99161425576517</v>
      </c>
      <c r="Z965" s="1">
        <f>G965/'часть 1'!I980</f>
        <v>485.57302585604475</v>
      </c>
      <c r="AD965" s="1">
        <f>J965/'часть 1'!I980</f>
        <v>439.01118099231309</v>
      </c>
    </row>
    <row r="966" spans="1:53">
      <c r="A966" s="487">
        <v>353</v>
      </c>
      <c r="B966" s="753" t="s">
        <v>709</v>
      </c>
      <c r="C966" s="498">
        <f>'часть 1'!L981</f>
        <v>1920530</v>
      </c>
      <c r="D966" s="498">
        <f t="shared" ref="D966:D970" si="160">E966+F966+G966+H966+I966+J966+K966</f>
        <v>684403</v>
      </c>
      <c r="E966" s="498">
        <v>0</v>
      </c>
      <c r="F966" s="498">
        <v>0</v>
      </c>
      <c r="G966" s="498">
        <v>205286</v>
      </c>
      <c r="H966" s="498">
        <v>293517</v>
      </c>
      <c r="I966" s="498">
        <v>0</v>
      </c>
      <c r="J966" s="498">
        <v>185600</v>
      </c>
      <c r="K966" s="498">
        <v>0</v>
      </c>
      <c r="L966" s="502">
        <v>0</v>
      </c>
      <c r="M966" s="498">
        <v>0</v>
      </c>
      <c r="N966" s="498">
        <v>385.28</v>
      </c>
      <c r="O966" s="498">
        <v>1236127</v>
      </c>
      <c r="P966" s="503">
        <v>0</v>
      </c>
      <c r="Q966" s="498">
        <v>0</v>
      </c>
      <c r="R966" s="503">
        <v>0</v>
      </c>
      <c r="S966" s="498">
        <v>0</v>
      </c>
      <c r="T966" s="502">
        <v>0</v>
      </c>
      <c r="U966" s="504">
        <v>0</v>
      </c>
      <c r="V966" s="282"/>
      <c r="W966" s="282">
        <f>O966/N966</f>
        <v>3208.3861088039871</v>
      </c>
      <c r="X966" s="282"/>
      <c r="Z966" s="1">
        <f>G966/'часть 1'!I981</f>
        <v>575.99887766554434</v>
      </c>
      <c r="AB966" s="1">
        <f>H966/'часть 1'!I981</f>
        <v>823.56060606060612</v>
      </c>
      <c r="AD966" s="1">
        <f>J966/'часть 1'!I981</f>
        <v>520.76318742985416</v>
      </c>
    </row>
    <row r="967" spans="1:53">
      <c r="A967" s="487">
        <v>354</v>
      </c>
      <c r="B967" s="752" t="s">
        <v>710</v>
      </c>
      <c r="C967" s="498">
        <f>'часть 1'!L982</f>
        <v>957137</v>
      </c>
      <c r="D967" s="498">
        <f t="shared" si="160"/>
        <v>0</v>
      </c>
      <c r="E967" s="498">
        <v>0</v>
      </c>
      <c r="F967" s="498">
        <v>0</v>
      </c>
      <c r="G967" s="498">
        <v>0</v>
      </c>
      <c r="H967" s="498">
        <v>0</v>
      </c>
      <c r="I967" s="498">
        <v>0</v>
      </c>
      <c r="J967" s="498">
        <v>0</v>
      </c>
      <c r="K967" s="498">
        <v>0</v>
      </c>
      <c r="L967" s="502">
        <v>0</v>
      </c>
      <c r="M967" s="498">
        <v>0</v>
      </c>
      <c r="N967" s="498">
        <v>381.1</v>
      </c>
      <c r="O967" s="498">
        <v>957137</v>
      </c>
      <c r="P967" s="503">
        <v>0</v>
      </c>
      <c r="Q967" s="498">
        <v>0</v>
      </c>
      <c r="R967" s="503">
        <v>0</v>
      </c>
      <c r="S967" s="498">
        <v>0</v>
      </c>
      <c r="T967" s="502">
        <v>0</v>
      </c>
      <c r="U967" s="504">
        <v>0</v>
      </c>
      <c r="V967" s="282"/>
      <c r="W967" s="282">
        <f>O967/N967</f>
        <v>2511.5114143269479</v>
      </c>
      <c r="X967" s="282"/>
    </row>
    <row r="968" spans="1:53">
      <c r="A968" s="487">
        <v>355</v>
      </c>
      <c r="B968" s="754" t="s">
        <v>711</v>
      </c>
      <c r="C968" s="498">
        <f>'часть 1'!L983</f>
        <v>1620768</v>
      </c>
      <c r="D968" s="498">
        <f t="shared" si="160"/>
        <v>1620768</v>
      </c>
      <c r="E968" s="498">
        <v>317135</v>
      </c>
      <c r="F968" s="498">
        <v>425687</v>
      </c>
      <c r="G968" s="498">
        <v>264655</v>
      </c>
      <c r="H968" s="498">
        <v>373990</v>
      </c>
      <c r="I968" s="498">
        <v>0</v>
      </c>
      <c r="J968" s="498">
        <v>239301</v>
      </c>
      <c r="K968" s="498">
        <v>0</v>
      </c>
      <c r="L968" s="502">
        <v>0</v>
      </c>
      <c r="M968" s="498">
        <v>0</v>
      </c>
      <c r="N968" s="498">
        <v>0</v>
      </c>
      <c r="O968" s="498">
        <v>0</v>
      </c>
      <c r="P968" s="503">
        <v>0</v>
      </c>
      <c r="Q968" s="498">
        <v>0</v>
      </c>
      <c r="R968" s="503">
        <v>0</v>
      </c>
      <c r="S968" s="498">
        <v>0</v>
      </c>
      <c r="T968" s="502">
        <v>0</v>
      </c>
      <c r="U968" s="504">
        <v>0</v>
      </c>
      <c r="V968" s="282"/>
      <c r="W968" s="282"/>
      <c r="X968" s="282"/>
      <c r="Y968" s="1">
        <f>E968/'часть 1'!I983</f>
        <v>691.52856519842999</v>
      </c>
      <c r="Z968" s="1">
        <f>G968/'часть 1'!I983</f>
        <v>577.09332751853469</v>
      </c>
      <c r="AA968" s="1">
        <f>F968/'часть 1'!I983</f>
        <v>928.23157435673784</v>
      </c>
      <c r="AB968" s="1">
        <f>H968/'часть 1'!I983</f>
        <v>815.50370693414732</v>
      </c>
      <c r="AD968" s="1">
        <f>J968/'часть 1'!I983</f>
        <v>521.80767553423459</v>
      </c>
    </row>
    <row r="969" spans="1:53">
      <c r="A969" s="487">
        <v>356</v>
      </c>
      <c r="B969" s="752" t="s">
        <v>712</v>
      </c>
      <c r="C969" s="498">
        <f>'часть 1'!L984</f>
        <v>1496185</v>
      </c>
      <c r="D969" s="498">
        <f t="shared" si="160"/>
        <v>1496185</v>
      </c>
      <c r="E969" s="498">
        <v>0</v>
      </c>
      <c r="F969" s="498">
        <v>0</v>
      </c>
      <c r="G969" s="498">
        <v>448360</v>
      </c>
      <c r="H969" s="498">
        <v>0</v>
      </c>
      <c r="I969" s="498">
        <v>636218</v>
      </c>
      <c r="J969" s="498">
        <v>411607</v>
      </c>
      <c r="K969" s="498">
        <v>0</v>
      </c>
      <c r="L969" s="502">
        <v>0</v>
      </c>
      <c r="M969" s="498">
        <v>0</v>
      </c>
      <c r="N969" s="498">
        <v>0</v>
      </c>
      <c r="O969" s="498">
        <v>0</v>
      </c>
      <c r="P969" s="503">
        <v>0</v>
      </c>
      <c r="Q969" s="498">
        <v>0</v>
      </c>
      <c r="R969" s="503">
        <v>0</v>
      </c>
      <c r="S969" s="498">
        <v>0</v>
      </c>
      <c r="T969" s="502">
        <v>0</v>
      </c>
      <c r="U969" s="504">
        <v>0</v>
      </c>
      <c r="V969" s="282"/>
      <c r="W969" s="282"/>
      <c r="X969" s="282"/>
      <c r="Z969" s="1">
        <f>G969/'часть 1'!I984</f>
        <v>560.16991504247881</v>
      </c>
      <c r="AC969" s="1">
        <f>I969/'часть 1'!I984</f>
        <v>794.87506246876569</v>
      </c>
      <c r="AD969" s="1">
        <f>J969/'часть 1'!I984</f>
        <v>514.25162418790603</v>
      </c>
    </row>
    <row r="970" spans="1:53">
      <c r="A970" s="487">
        <v>357</v>
      </c>
      <c r="B970" s="754" t="s">
        <v>713</v>
      </c>
      <c r="C970" s="498">
        <f>'часть 1'!L985</f>
        <v>2239583</v>
      </c>
      <c r="D970" s="498">
        <f t="shared" si="160"/>
        <v>2239583</v>
      </c>
      <c r="E970" s="498">
        <v>1274787</v>
      </c>
      <c r="F970" s="498">
        <v>0</v>
      </c>
      <c r="G970" s="498">
        <v>0</v>
      </c>
      <c r="H970" s="498">
        <v>0</v>
      </c>
      <c r="I970" s="498">
        <v>0</v>
      </c>
      <c r="J970" s="498">
        <v>964796</v>
      </c>
      <c r="K970" s="498">
        <v>0</v>
      </c>
      <c r="L970" s="502">
        <v>0</v>
      </c>
      <c r="M970" s="498">
        <v>0</v>
      </c>
      <c r="N970" s="498">
        <v>0</v>
      </c>
      <c r="O970" s="498">
        <v>0</v>
      </c>
      <c r="P970" s="503">
        <v>0</v>
      </c>
      <c r="Q970" s="498">
        <v>0</v>
      </c>
      <c r="R970" s="503">
        <v>0</v>
      </c>
      <c r="S970" s="498">
        <v>0</v>
      </c>
      <c r="T970" s="502">
        <v>0</v>
      </c>
      <c r="U970" s="504">
        <v>0</v>
      </c>
      <c r="V970" s="282"/>
      <c r="W970" s="282"/>
      <c r="X970" s="282"/>
      <c r="Y970" s="1">
        <f>E970/'часть 1'!I985</f>
        <v>754.53506954720331</v>
      </c>
      <c r="AD970" s="1">
        <f>J970/'часть 1'!I985</f>
        <v>571.05415803492156</v>
      </c>
    </row>
    <row r="971" spans="1:53" ht="27.6">
      <c r="A971" s="198"/>
      <c r="B971" s="214" t="s">
        <v>121</v>
      </c>
      <c r="C971" s="211">
        <f>C972+C973+C974</f>
        <v>2114731</v>
      </c>
      <c r="D971" s="211">
        <f t="shared" ref="D971:V971" si="161">D972+D973+D974</f>
        <v>0</v>
      </c>
      <c r="E971" s="211">
        <f t="shared" si="161"/>
        <v>0</v>
      </c>
      <c r="F971" s="211">
        <f t="shared" si="161"/>
        <v>0</v>
      </c>
      <c r="G971" s="211">
        <f t="shared" si="161"/>
        <v>0</v>
      </c>
      <c r="H971" s="211">
        <f t="shared" si="161"/>
        <v>0</v>
      </c>
      <c r="I971" s="211">
        <f t="shared" si="161"/>
        <v>0</v>
      </c>
      <c r="J971" s="211">
        <f t="shared" si="161"/>
        <v>0</v>
      </c>
      <c r="K971" s="211">
        <f t="shared" si="161"/>
        <v>0</v>
      </c>
      <c r="L971" s="211">
        <f t="shared" si="161"/>
        <v>0</v>
      </c>
      <c r="M971" s="211">
        <f t="shared" si="161"/>
        <v>0</v>
      </c>
      <c r="N971" s="211">
        <f t="shared" si="161"/>
        <v>0</v>
      </c>
      <c r="O971" s="211">
        <f t="shared" si="161"/>
        <v>0</v>
      </c>
      <c r="P971" s="211">
        <f t="shared" si="161"/>
        <v>0</v>
      </c>
      <c r="Q971" s="211">
        <f t="shared" si="161"/>
        <v>0</v>
      </c>
      <c r="R971" s="211">
        <f t="shared" si="161"/>
        <v>0</v>
      </c>
      <c r="S971" s="211">
        <f t="shared" si="161"/>
        <v>2114731</v>
      </c>
      <c r="T971" s="211">
        <f t="shared" si="161"/>
        <v>0</v>
      </c>
      <c r="U971" s="211">
        <f t="shared" si="161"/>
        <v>0</v>
      </c>
      <c r="V971" s="211">
        <f t="shared" si="161"/>
        <v>0</v>
      </c>
      <c r="W971" s="282"/>
      <c r="X971" s="282"/>
    </row>
    <row r="972" spans="1:53" ht="15.6">
      <c r="A972" s="198"/>
      <c r="B972" s="934" t="s">
        <v>990</v>
      </c>
      <c r="C972" s="211">
        <f>'часть 1'!L987</f>
        <v>730231</v>
      </c>
      <c r="D972" s="211">
        <v>0</v>
      </c>
      <c r="E972" s="211">
        <v>0</v>
      </c>
      <c r="F972" s="211">
        <v>0</v>
      </c>
      <c r="G972" s="211">
        <v>0</v>
      </c>
      <c r="H972" s="211">
        <v>0</v>
      </c>
      <c r="I972" s="211">
        <v>0</v>
      </c>
      <c r="J972" s="211">
        <v>0</v>
      </c>
      <c r="K972" s="211">
        <v>0</v>
      </c>
      <c r="L972" s="212">
        <v>0</v>
      </c>
      <c r="M972" s="211">
        <v>0</v>
      </c>
      <c r="N972" s="211">
        <v>0</v>
      </c>
      <c r="O972" s="211">
        <v>0</v>
      </c>
      <c r="P972" s="213">
        <v>0</v>
      </c>
      <c r="Q972" s="211">
        <v>0</v>
      </c>
      <c r="R972" s="940"/>
      <c r="S972" s="211">
        <v>730231</v>
      </c>
      <c r="T972" s="212">
        <v>0</v>
      </c>
      <c r="U972" s="290">
        <v>0</v>
      </c>
      <c r="V972" s="282"/>
      <c r="W972" s="282"/>
      <c r="X972" s="282" t="e">
        <f>S972/R972</f>
        <v>#DIV/0!</v>
      </c>
    </row>
    <row r="973" spans="1:53" ht="15.6">
      <c r="A973" s="198"/>
      <c r="B973" s="934" t="s">
        <v>991</v>
      </c>
      <c r="C973" s="211">
        <f>'часть 1'!L988</f>
        <v>692216</v>
      </c>
      <c r="D973" s="211">
        <v>0</v>
      </c>
      <c r="E973" s="211">
        <v>0</v>
      </c>
      <c r="F973" s="211">
        <v>0</v>
      </c>
      <c r="G973" s="211">
        <v>0</v>
      </c>
      <c r="H973" s="211">
        <v>0</v>
      </c>
      <c r="I973" s="211">
        <v>0</v>
      </c>
      <c r="J973" s="211">
        <v>0</v>
      </c>
      <c r="K973" s="211">
        <v>0</v>
      </c>
      <c r="L973" s="212">
        <v>0</v>
      </c>
      <c r="M973" s="211">
        <v>0</v>
      </c>
      <c r="N973" s="211">
        <v>0</v>
      </c>
      <c r="O973" s="211">
        <v>0</v>
      </c>
      <c r="P973" s="213">
        <v>0</v>
      </c>
      <c r="Q973" s="211">
        <v>0</v>
      </c>
      <c r="R973" s="940"/>
      <c r="S973" s="211">
        <v>692216</v>
      </c>
      <c r="T973" s="212">
        <v>0</v>
      </c>
      <c r="U973" s="290">
        <v>0</v>
      </c>
      <c r="V973" s="282"/>
      <c r="W973" s="282"/>
      <c r="X973" s="282" t="e">
        <f>S973/R973</f>
        <v>#DIV/0!</v>
      </c>
    </row>
    <row r="974" spans="1:53" ht="15.6">
      <c r="A974" s="198">
        <v>362</v>
      </c>
      <c r="B974" s="934" t="s">
        <v>992</v>
      </c>
      <c r="C974" s="211">
        <f>'часть 1'!L989</f>
        <v>692284</v>
      </c>
      <c r="D974" s="211">
        <v>0</v>
      </c>
      <c r="E974" s="211">
        <v>0</v>
      </c>
      <c r="F974" s="211">
        <v>0</v>
      </c>
      <c r="G974" s="211">
        <v>0</v>
      </c>
      <c r="H974" s="211">
        <v>0</v>
      </c>
      <c r="I974" s="211">
        <v>0</v>
      </c>
      <c r="J974" s="211">
        <v>0</v>
      </c>
      <c r="K974" s="211">
        <v>0</v>
      </c>
      <c r="L974" s="212">
        <v>0</v>
      </c>
      <c r="M974" s="211">
        <v>0</v>
      </c>
      <c r="N974" s="211">
        <v>0</v>
      </c>
      <c r="O974" s="211">
        <v>0</v>
      </c>
      <c r="P974" s="213">
        <v>0</v>
      </c>
      <c r="Q974" s="211">
        <v>0</v>
      </c>
      <c r="R974" s="940"/>
      <c r="S974" s="211">
        <v>692284</v>
      </c>
      <c r="T974" s="212">
        <v>0</v>
      </c>
      <c r="U974" s="290">
        <v>0</v>
      </c>
      <c r="V974" s="282"/>
      <c r="W974" s="282"/>
      <c r="X974" s="282" t="e">
        <f>S974/R974</f>
        <v>#DIV/0!</v>
      </c>
    </row>
    <row r="975" spans="1:53" s="18" customFormat="1" ht="27.6">
      <c r="A975" s="198"/>
      <c r="B975" s="214" t="s">
        <v>120</v>
      </c>
      <c r="C975" s="211">
        <v>238576.03</v>
      </c>
      <c r="D975" s="211"/>
      <c r="E975" s="211"/>
      <c r="F975" s="211"/>
      <c r="G975" s="211"/>
      <c r="H975" s="211"/>
      <c r="I975" s="211"/>
      <c r="J975" s="211"/>
      <c r="K975" s="211">
        <v>238576.03</v>
      </c>
      <c r="L975" s="212">
        <v>0</v>
      </c>
      <c r="M975" s="211">
        <v>0</v>
      </c>
      <c r="N975" s="211">
        <v>0</v>
      </c>
      <c r="O975" s="211">
        <v>0</v>
      </c>
      <c r="P975" s="213">
        <v>0</v>
      </c>
      <c r="Q975" s="211">
        <v>0</v>
      </c>
      <c r="R975" s="213">
        <v>0</v>
      </c>
      <c r="S975" s="211">
        <v>0</v>
      </c>
      <c r="T975" s="212">
        <v>0</v>
      </c>
      <c r="U975" s="290">
        <v>0</v>
      </c>
      <c r="V975" s="282"/>
      <c r="W975" s="282"/>
      <c r="X975" s="282"/>
    </row>
    <row r="976" spans="1:53">
      <c r="A976" s="198">
        <v>363</v>
      </c>
      <c r="B976" s="216" t="s">
        <v>445</v>
      </c>
      <c r="C976" s="211">
        <v>238576.03</v>
      </c>
      <c r="D976" s="211"/>
      <c r="E976" s="211"/>
      <c r="F976" s="211"/>
      <c r="G976" s="211"/>
      <c r="H976" s="211"/>
      <c r="I976" s="211"/>
      <c r="J976" s="211"/>
      <c r="K976" s="211">
        <v>238576.03</v>
      </c>
      <c r="L976" s="212">
        <v>0</v>
      </c>
      <c r="M976" s="211">
        <v>0</v>
      </c>
      <c r="N976" s="211">
        <v>0</v>
      </c>
      <c r="O976" s="211">
        <v>0</v>
      </c>
      <c r="P976" s="213">
        <v>0</v>
      </c>
      <c r="Q976" s="211">
        <v>0</v>
      </c>
      <c r="R976" s="213">
        <v>0</v>
      </c>
      <c r="S976" s="211">
        <v>0</v>
      </c>
      <c r="T976" s="212">
        <v>0</v>
      </c>
      <c r="U976" s="290">
        <v>0</v>
      </c>
      <c r="V976" s="282"/>
      <c r="W976" s="282"/>
      <c r="X976" s="282"/>
    </row>
    <row r="977" spans="1:31">
      <c r="A977" s="198"/>
      <c r="B977" s="216" t="s">
        <v>57</v>
      </c>
      <c r="C977" s="211">
        <v>2349784.02</v>
      </c>
      <c r="D977" s="211"/>
      <c r="E977" s="211"/>
      <c r="F977" s="211"/>
      <c r="G977" s="211"/>
      <c r="H977" s="211"/>
      <c r="I977" s="211"/>
      <c r="J977" s="211"/>
      <c r="K977" s="211">
        <v>0</v>
      </c>
      <c r="L977" s="212">
        <v>0</v>
      </c>
      <c r="M977" s="211">
        <v>0</v>
      </c>
      <c r="N977" s="211">
        <v>709</v>
      </c>
      <c r="O977" s="211">
        <v>2349784.02</v>
      </c>
      <c r="P977" s="213">
        <v>0</v>
      </c>
      <c r="Q977" s="211">
        <v>0</v>
      </c>
      <c r="R977" s="213">
        <v>0</v>
      </c>
      <c r="S977" s="211">
        <v>0</v>
      </c>
      <c r="T977" s="212">
        <v>0</v>
      </c>
      <c r="U977" s="290">
        <v>0</v>
      </c>
      <c r="V977" s="282"/>
      <c r="W977" s="282"/>
      <c r="X977" s="282"/>
    </row>
    <row r="978" spans="1:31" ht="27.6">
      <c r="A978" s="198"/>
      <c r="B978" s="214" t="s">
        <v>119</v>
      </c>
      <c r="C978" s="211">
        <f>C979+C980</f>
        <v>2547865</v>
      </c>
      <c r="D978" s="211">
        <f t="shared" ref="D978:U978" si="162">D979+D980</f>
        <v>0</v>
      </c>
      <c r="E978" s="211">
        <f t="shared" si="162"/>
        <v>0</v>
      </c>
      <c r="F978" s="211">
        <f t="shared" si="162"/>
        <v>0</v>
      </c>
      <c r="G978" s="211">
        <f t="shared" si="162"/>
        <v>0</v>
      </c>
      <c r="H978" s="211">
        <f t="shared" si="162"/>
        <v>0</v>
      </c>
      <c r="I978" s="211">
        <f t="shared" si="162"/>
        <v>0</v>
      </c>
      <c r="J978" s="211">
        <f t="shared" si="162"/>
        <v>0</v>
      </c>
      <c r="K978" s="211">
        <f t="shared" si="162"/>
        <v>0</v>
      </c>
      <c r="L978" s="211">
        <f t="shared" si="162"/>
        <v>0</v>
      </c>
      <c r="M978" s="211">
        <f t="shared" si="162"/>
        <v>0</v>
      </c>
      <c r="N978" s="211">
        <f t="shared" si="162"/>
        <v>840</v>
      </c>
      <c r="O978" s="211">
        <f t="shared" si="162"/>
        <v>2107512</v>
      </c>
      <c r="P978" s="211">
        <f t="shared" si="162"/>
        <v>430</v>
      </c>
      <c r="Q978" s="211">
        <f t="shared" si="162"/>
        <v>440353</v>
      </c>
      <c r="R978" s="211">
        <f t="shared" si="162"/>
        <v>0</v>
      </c>
      <c r="S978" s="211">
        <f t="shared" si="162"/>
        <v>0</v>
      </c>
      <c r="T978" s="211">
        <f t="shared" si="162"/>
        <v>0</v>
      </c>
      <c r="U978" s="211">
        <f t="shared" si="162"/>
        <v>0</v>
      </c>
      <c r="V978" s="282"/>
      <c r="W978" s="282"/>
      <c r="X978" s="282"/>
    </row>
    <row r="979" spans="1:31" ht="15.6">
      <c r="A979" s="198">
        <v>364</v>
      </c>
      <c r="B979" s="911" t="s">
        <v>982</v>
      </c>
      <c r="C979" s="211">
        <f>'часть 1'!L994</f>
        <v>440353</v>
      </c>
      <c r="D979" s="211">
        <v>0</v>
      </c>
      <c r="E979" s="211">
        <v>0</v>
      </c>
      <c r="F979" s="211">
        <v>0</v>
      </c>
      <c r="G979" s="211">
        <v>0</v>
      </c>
      <c r="H979" s="211">
        <v>0</v>
      </c>
      <c r="I979" s="211">
        <v>0</v>
      </c>
      <c r="J979" s="211">
        <v>0</v>
      </c>
      <c r="K979" s="211">
        <v>0</v>
      </c>
      <c r="L979" s="212">
        <v>0</v>
      </c>
      <c r="M979" s="211">
        <v>0</v>
      </c>
      <c r="N979" s="211">
        <v>0</v>
      </c>
      <c r="O979" s="211">
        <v>0</v>
      </c>
      <c r="P979" s="213">
        <v>430</v>
      </c>
      <c r="Q979" s="211">
        <v>440353</v>
      </c>
      <c r="R979" s="213">
        <v>0</v>
      </c>
      <c r="S979" s="211">
        <v>0</v>
      </c>
      <c r="T979" s="212">
        <v>0</v>
      </c>
      <c r="U979" s="290">
        <v>0</v>
      </c>
      <c r="V979" s="282"/>
      <c r="W979" s="282"/>
      <c r="X979" s="282"/>
      <c r="AE979" s="1">
        <f>Q979/P979</f>
        <v>1024.0767441860464</v>
      </c>
    </row>
    <row r="980" spans="1:31" ht="15.6">
      <c r="A980" s="198">
        <v>365</v>
      </c>
      <c r="B980" s="909" t="s">
        <v>983</v>
      </c>
      <c r="C980" s="211">
        <f>'часть 1'!L995</f>
        <v>2107512</v>
      </c>
      <c r="D980" s="211">
        <v>0</v>
      </c>
      <c r="E980" s="211">
        <v>0</v>
      </c>
      <c r="F980" s="211">
        <v>0</v>
      </c>
      <c r="G980" s="211">
        <v>0</v>
      </c>
      <c r="H980" s="211">
        <v>0</v>
      </c>
      <c r="I980" s="211">
        <v>0</v>
      </c>
      <c r="J980" s="211">
        <v>0</v>
      </c>
      <c r="K980" s="211">
        <v>0</v>
      </c>
      <c r="L980" s="212">
        <v>0</v>
      </c>
      <c r="M980" s="211">
        <v>0</v>
      </c>
      <c r="N980" s="211">
        <v>840</v>
      </c>
      <c r="O980" s="211">
        <v>2107512</v>
      </c>
      <c r="P980" s="213">
        <v>0</v>
      </c>
      <c r="Q980" s="211">
        <v>0</v>
      </c>
      <c r="R980" s="213">
        <v>0</v>
      </c>
      <c r="S980" s="211">
        <v>0</v>
      </c>
      <c r="T980" s="212">
        <v>0</v>
      </c>
      <c r="U980" s="290">
        <v>0</v>
      </c>
      <c r="V980" s="282"/>
      <c r="W980" s="282">
        <f>O980/N980</f>
        <v>2508.9428571428571</v>
      </c>
      <c r="X980" s="282"/>
    </row>
    <row r="981" spans="1:31">
      <c r="A981" s="198"/>
      <c r="B981" s="216" t="s">
        <v>58</v>
      </c>
      <c r="C981" s="211">
        <v>12228909</v>
      </c>
      <c r="D981" s="211"/>
      <c r="E981" s="211"/>
      <c r="F981" s="211"/>
      <c r="G981" s="211"/>
      <c r="H981" s="211"/>
      <c r="I981" s="211"/>
      <c r="J981" s="211"/>
      <c r="K981" s="211">
        <v>215709</v>
      </c>
      <c r="L981" s="212">
        <v>0</v>
      </c>
      <c r="M981" s="211">
        <v>0</v>
      </c>
      <c r="N981" s="211">
        <v>6001.34</v>
      </c>
      <c r="O981" s="211">
        <v>12013200</v>
      </c>
      <c r="P981" s="213">
        <v>0</v>
      </c>
      <c r="Q981" s="211">
        <v>0</v>
      </c>
      <c r="R981" s="213">
        <v>0</v>
      </c>
      <c r="S981" s="211">
        <v>0</v>
      </c>
      <c r="T981" s="212">
        <v>0</v>
      </c>
      <c r="U981" s="290">
        <v>0</v>
      </c>
      <c r="V981" s="282"/>
      <c r="W981" s="282"/>
      <c r="X981" s="282"/>
    </row>
    <row r="982" spans="1:31" ht="27.6">
      <c r="A982" s="198"/>
      <c r="B982" s="214" t="s">
        <v>87</v>
      </c>
      <c r="C982" s="211">
        <v>12228909</v>
      </c>
      <c r="D982" s="211"/>
      <c r="E982" s="211"/>
      <c r="F982" s="211"/>
      <c r="G982" s="211"/>
      <c r="H982" s="211"/>
      <c r="I982" s="211"/>
      <c r="J982" s="211"/>
      <c r="K982" s="211">
        <v>215709</v>
      </c>
      <c r="L982" s="212">
        <v>0</v>
      </c>
      <c r="M982" s="211">
        <v>0</v>
      </c>
      <c r="N982" s="211">
        <v>6001.34</v>
      </c>
      <c r="O982" s="211">
        <v>12013200</v>
      </c>
      <c r="P982" s="213">
        <v>0</v>
      </c>
      <c r="Q982" s="211">
        <v>0</v>
      </c>
      <c r="R982" s="213">
        <v>0</v>
      </c>
      <c r="S982" s="211">
        <v>0</v>
      </c>
      <c r="T982" s="212">
        <v>0</v>
      </c>
      <c r="U982" s="290">
        <v>0</v>
      </c>
      <c r="V982" s="282"/>
      <c r="W982" s="282"/>
      <c r="X982" s="282"/>
    </row>
    <row r="983" spans="1:31" s="29" customFormat="1">
      <c r="A983" s="198">
        <v>366</v>
      </c>
      <c r="B983" s="238" t="s">
        <v>84</v>
      </c>
      <c r="C983" s="232">
        <v>1668544</v>
      </c>
      <c r="D983" s="232"/>
      <c r="E983" s="232"/>
      <c r="F983" s="232"/>
      <c r="G983" s="232"/>
      <c r="H983" s="232"/>
      <c r="I983" s="232"/>
      <c r="J983" s="232"/>
      <c r="K983" s="196">
        <v>0</v>
      </c>
      <c r="L983" s="204">
        <v>0</v>
      </c>
      <c r="M983" s="209">
        <v>0</v>
      </c>
      <c r="N983" s="199">
        <v>840</v>
      </c>
      <c r="O983" s="237">
        <v>1668544</v>
      </c>
      <c r="P983" s="200">
        <v>0</v>
      </c>
      <c r="Q983" s="199">
        <v>0</v>
      </c>
      <c r="R983" s="200">
        <v>0</v>
      </c>
      <c r="S983" s="199">
        <v>0</v>
      </c>
      <c r="T983" s="208">
        <v>0</v>
      </c>
      <c r="U983" s="294">
        <v>0</v>
      </c>
      <c r="V983" s="282"/>
      <c r="W983" s="282"/>
      <c r="X983" s="282"/>
    </row>
    <row r="984" spans="1:31" s="29" customFormat="1">
      <c r="A984" s="198">
        <v>367</v>
      </c>
      <c r="B984" s="238" t="s">
        <v>425</v>
      </c>
      <c r="C984" s="211">
        <v>2239107</v>
      </c>
      <c r="D984" s="211"/>
      <c r="E984" s="211"/>
      <c r="F984" s="211"/>
      <c r="G984" s="211"/>
      <c r="H984" s="211"/>
      <c r="I984" s="211"/>
      <c r="J984" s="211"/>
      <c r="K984" s="196">
        <v>0</v>
      </c>
      <c r="L984" s="204">
        <v>0</v>
      </c>
      <c r="M984" s="209">
        <v>0</v>
      </c>
      <c r="N984" s="199">
        <v>1101</v>
      </c>
      <c r="O984" s="237">
        <v>2239107</v>
      </c>
      <c r="P984" s="200">
        <v>0</v>
      </c>
      <c r="Q984" s="199">
        <v>0</v>
      </c>
      <c r="R984" s="200">
        <v>0</v>
      </c>
      <c r="S984" s="199">
        <v>0</v>
      </c>
      <c r="T984" s="208">
        <v>0</v>
      </c>
      <c r="U984" s="294">
        <v>0</v>
      </c>
      <c r="V984" s="282"/>
      <c r="W984" s="282"/>
      <c r="X984" s="282"/>
    </row>
    <row r="985" spans="1:31" s="29" customFormat="1">
      <c r="A985" s="198">
        <v>368</v>
      </c>
      <c r="B985" s="238" t="s">
        <v>433</v>
      </c>
      <c r="C985" s="232">
        <v>215709</v>
      </c>
      <c r="D985" s="232"/>
      <c r="E985" s="232"/>
      <c r="F985" s="232"/>
      <c r="G985" s="232"/>
      <c r="H985" s="232"/>
      <c r="I985" s="232"/>
      <c r="J985" s="232"/>
      <c r="K985" s="196">
        <v>215709</v>
      </c>
      <c r="L985" s="204">
        <v>0</v>
      </c>
      <c r="M985" s="209">
        <v>0</v>
      </c>
      <c r="N985" s="199">
        <v>0</v>
      </c>
      <c r="O985" s="237">
        <v>0</v>
      </c>
      <c r="P985" s="200">
        <v>0</v>
      </c>
      <c r="Q985" s="199">
        <v>0</v>
      </c>
      <c r="R985" s="200">
        <v>0</v>
      </c>
      <c r="S985" s="199">
        <v>0</v>
      </c>
      <c r="T985" s="208">
        <v>0</v>
      </c>
      <c r="U985" s="294">
        <v>0</v>
      </c>
      <c r="V985" s="282"/>
      <c r="W985" s="282"/>
      <c r="X985" s="282"/>
    </row>
    <row r="986" spans="1:31" s="29" customFormat="1">
      <c r="A986" s="198">
        <v>369</v>
      </c>
      <c r="B986" s="238" t="s">
        <v>79</v>
      </c>
      <c r="C986" s="211">
        <v>706234</v>
      </c>
      <c r="D986" s="211"/>
      <c r="E986" s="211"/>
      <c r="F986" s="211"/>
      <c r="G986" s="211"/>
      <c r="H986" s="211"/>
      <c r="I986" s="211"/>
      <c r="J986" s="211"/>
      <c r="K986" s="196">
        <v>0</v>
      </c>
      <c r="L986" s="204">
        <v>0</v>
      </c>
      <c r="M986" s="209">
        <v>0</v>
      </c>
      <c r="N986" s="199">
        <v>348</v>
      </c>
      <c r="O986" s="237">
        <v>706234</v>
      </c>
      <c r="P986" s="200">
        <v>0</v>
      </c>
      <c r="Q986" s="199">
        <v>0</v>
      </c>
      <c r="R986" s="200">
        <v>0</v>
      </c>
      <c r="S986" s="199">
        <v>0</v>
      </c>
      <c r="T986" s="208">
        <v>0</v>
      </c>
      <c r="U986" s="294">
        <v>0</v>
      </c>
      <c r="V986" s="282"/>
      <c r="W986" s="282"/>
      <c r="X986" s="282"/>
    </row>
    <row r="987" spans="1:31" s="29" customFormat="1">
      <c r="A987" s="198">
        <v>370</v>
      </c>
      <c r="B987" s="238" t="s">
        <v>78</v>
      </c>
      <c r="C987" s="211">
        <v>651603</v>
      </c>
      <c r="D987" s="211"/>
      <c r="E987" s="211"/>
      <c r="F987" s="211"/>
      <c r="G987" s="211"/>
      <c r="H987" s="211"/>
      <c r="I987" s="211"/>
      <c r="J987" s="211"/>
      <c r="K987" s="196">
        <v>0</v>
      </c>
      <c r="L987" s="204">
        <v>0</v>
      </c>
      <c r="M987" s="209">
        <v>0</v>
      </c>
      <c r="N987" s="199">
        <v>320</v>
      </c>
      <c r="O987" s="237">
        <v>651603</v>
      </c>
      <c r="P987" s="200">
        <v>0</v>
      </c>
      <c r="Q987" s="199">
        <v>0</v>
      </c>
      <c r="R987" s="200">
        <v>0</v>
      </c>
      <c r="S987" s="199">
        <v>0</v>
      </c>
      <c r="T987" s="208">
        <v>0</v>
      </c>
      <c r="U987" s="294">
        <v>0</v>
      </c>
      <c r="V987" s="282"/>
      <c r="W987" s="282"/>
      <c r="X987" s="282"/>
    </row>
    <row r="988" spans="1:31" s="29" customFormat="1">
      <c r="A988" s="198">
        <v>371</v>
      </c>
      <c r="B988" s="238" t="s">
        <v>426</v>
      </c>
      <c r="C988" s="232">
        <v>698701</v>
      </c>
      <c r="D988" s="232"/>
      <c r="E988" s="232"/>
      <c r="F988" s="232"/>
      <c r="G988" s="232"/>
      <c r="H988" s="232"/>
      <c r="I988" s="232"/>
      <c r="J988" s="232"/>
      <c r="K988" s="196">
        <v>0</v>
      </c>
      <c r="L988" s="204">
        <v>0</v>
      </c>
      <c r="M988" s="209">
        <v>0</v>
      </c>
      <c r="N988" s="199">
        <v>352</v>
      </c>
      <c r="O988" s="237">
        <v>698701</v>
      </c>
      <c r="P988" s="200">
        <v>0</v>
      </c>
      <c r="Q988" s="199">
        <v>0</v>
      </c>
      <c r="R988" s="200">
        <v>0</v>
      </c>
      <c r="S988" s="199">
        <v>0</v>
      </c>
      <c r="T988" s="208">
        <v>0</v>
      </c>
      <c r="U988" s="294">
        <v>0</v>
      </c>
      <c r="V988" s="282"/>
      <c r="W988" s="282"/>
      <c r="X988" s="282"/>
    </row>
    <row r="989" spans="1:31" s="29" customFormat="1">
      <c r="A989" s="198">
        <v>372</v>
      </c>
      <c r="B989" s="238" t="s">
        <v>80</v>
      </c>
      <c r="C989" s="232">
        <v>1512903</v>
      </c>
      <c r="D989" s="232"/>
      <c r="E989" s="232"/>
      <c r="F989" s="232"/>
      <c r="G989" s="232"/>
      <c r="H989" s="232"/>
      <c r="I989" s="232"/>
      <c r="J989" s="232"/>
      <c r="K989" s="196">
        <v>0</v>
      </c>
      <c r="L989" s="204">
        <v>0</v>
      </c>
      <c r="M989" s="209">
        <v>0</v>
      </c>
      <c r="N989" s="199">
        <v>762</v>
      </c>
      <c r="O989" s="237">
        <v>1512903</v>
      </c>
      <c r="P989" s="200">
        <v>0</v>
      </c>
      <c r="Q989" s="199">
        <v>0</v>
      </c>
      <c r="R989" s="200">
        <v>0</v>
      </c>
      <c r="S989" s="199">
        <v>0</v>
      </c>
      <c r="T989" s="208">
        <v>0</v>
      </c>
      <c r="U989" s="294">
        <v>0</v>
      </c>
      <c r="V989" s="282"/>
      <c r="W989" s="282"/>
      <c r="X989" s="282"/>
    </row>
    <row r="990" spans="1:31" s="29" customFormat="1">
      <c r="A990" s="198">
        <v>373</v>
      </c>
      <c r="B990" s="238" t="s">
        <v>81</v>
      </c>
      <c r="C990" s="232">
        <v>2294873</v>
      </c>
      <c r="D990" s="232"/>
      <c r="E990" s="232"/>
      <c r="F990" s="232"/>
      <c r="G990" s="232"/>
      <c r="H990" s="232"/>
      <c r="I990" s="232"/>
      <c r="J990" s="232"/>
      <c r="K990" s="196">
        <v>0</v>
      </c>
      <c r="L990" s="204">
        <v>0</v>
      </c>
      <c r="M990" s="209">
        <v>0</v>
      </c>
      <c r="N990" s="199">
        <v>1162</v>
      </c>
      <c r="O990" s="237">
        <v>2294873</v>
      </c>
      <c r="P990" s="200">
        <v>0</v>
      </c>
      <c r="Q990" s="199">
        <v>0</v>
      </c>
      <c r="R990" s="230">
        <v>0</v>
      </c>
      <c r="S990" s="237">
        <v>0</v>
      </c>
      <c r="T990" s="208">
        <v>0</v>
      </c>
      <c r="U990" s="294">
        <v>0</v>
      </c>
      <c r="V990" s="282"/>
      <c r="W990" s="282"/>
      <c r="X990" s="282"/>
    </row>
    <row r="991" spans="1:31" s="29" customFormat="1">
      <c r="A991" s="198">
        <v>374</v>
      </c>
      <c r="B991" s="238" t="s">
        <v>82</v>
      </c>
      <c r="C991" s="232">
        <v>879987</v>
      </c>
      <c r="D991" s="232"/>
      <c r="E991" s="232"/>
      <c r="F991" s="232"/>
      <c r="G991" s="232"/>
      <c r="H991" s="232"/>
      <c r="I991" s="232"/>
      <c r="J991" s="232"/>
      <c r="K991" s="196">
        <v>0</v>
      </c>
      <c r="L991" s="204">
        <v>0</v>
      </c>
      <c r="M991" s="209">
        <v>0</v>
      </c>
      <c r="N991" s="199">
        <v>436.34</v>
      </c>
      <c r="O991" s="237">
        <v>879987</v>
      </c>
      <c r="P991" s="200">
        <v>0</v>
      </c>
      <c r="Q991" s="199">
        <v>0</v>
      </c>
      <c r="R991" s="200">
        <v>0</v>
      </c>
      <c r="S991" s="237">
        <v>0</v>
      </c>
      <c r="T991" s="208">
        <v>0</v>
      </c>
      <c r="U991" s="294">
        <v>0</v>
      </c>
      <c r="V991" s="282"/>
      <c r="W991" s="282"/>
      <c r="X991" s="282"/>
    </row>
    <row r="992" spans="1:31" s="29" customFormat="1">
      <c r="A992" s="198">
        <v>375</v>
      </c>
      <c r="B992" s="238" t="s">
        <v>83</v>
      </c>
      <c r="C992" s="232">
        <v>1361248</v>
      </c>
      <c r="D992" s="232"/>
      <c r="E992" s="232"/>
      <c r="F992" s="232"/>
      <c r="G992" s="232"/>
      <c r="H992" s="232"/>
      <c r="I992" s="232"/>
      <c r="J992" s="232"/>
      <c r="K992" s="196">
        <v>0</v>
      </c>
      <c r="L992" s="204">
        <v>0</v>
      </c>
      <c r="M992" s="209">
        <v>0</v>
      </c>
      <c r="N992" s="199">
        <v>680</v>
      </c>
      <c r="O992" s="237">
        <v>1361248</v>
      </c>
      <c r="P992" s="200">
        <v>0</v>
      </c>
      <c r="Q992" s="199">
        <v>0</v>
      </c>
      <c r="R992" s="230">
        <v>0</v>
      </c>
      <c r="S992" s="237">
        <v>0</v>
      </c>
      <c r="T992" s="208">
        <v>0</v>
      </c>
      <c r="U992" s="294">
        <v>0</v>
      </c>
      <c r="V992" s="282"/>
      <c r="W992" s="282"/>
      <c r="X992" s="282"/>
    </row>
    <row r="993" spans="1:26" ht="25.95" customHeight="1">
      <c r="A993" s="487"/>
      <c r="B993" s="501" t="s">
        <v>59</v>
      </c>
      <c r="C993" s="498">
        <f>C994+C995</f>
        <v>0</v>
      </c>
      <c r="D993" s="498">
        <f t="shared" ref="D993:V993" si="163">D994+D995</f>
        <v>0</v>
      </c>
      <c r="E993" s="498">
        <f t="shared" si="163"/>
        <v>0</v>
      </c>
      <c r="F993" s="498">
        <f t="shared" si="163"/>
        <v>0</v>
      </c>
      <c r="G993" s="498">
        <f t="shared" si="163"/>
        <v>0</v>
      </c>
      <c r="H993" s="498">
        <f t="shared" si="163"/>
        <v>0</v>
      </c>
      <c r="I993" s="498">
        <f t="shared" si="163"/>
        <v>0</v>
      </c>
      <c r="J993" s="498">
        <f t="shared" si="163"/>
        <v>0</v>
      </c>
      <c r="K993" s="498">
        <f t="shared" si="163"/>
        <v>0</v>
      </c>
      <c r="L993" s="498">
        <f t="shared" si="163"/>
        <v>0</v>
      </c>
      <c r="M993" s="498">
        <f t="shared" si="163"/>
        <v>0</v>
      </c>
      <c r="N993" s="498">
        <f t="shared" si="163"/>
        <v>0</v>
      </c>
      <c r="O993" s="498">
        <f t="shared" si="163"/>
        <v>0</v>
      </c>
      <c r="P993" s="498">
        <f t="shared" si="163"/>
        <v>0</v>
      </c>
      <c r="Q993" s="498">
        <f t="shared" si="163"/>
        <v>0</v>
      </c>
      <c r="R993" s="498">
        <f t="shared" si="163"/>
        <v>0</v>
      </c>
      <c r="S993" s="498">
        <f t="shared" si="163"/>
        <v>0</v>
      </c>
      <c r="T993" s="498">
        <f t="shared" si="163"/>
        <v>0</v>
      </c>
      <c r="U993" s="498">
        <f t="shared" si="163"/>
        <v>0</v>
      </c>
      <c r="V993" s="211">
        <f t="shared" si="163"/>
        <v>0</v>
      </c>
      <c r="W993" s="282"/>
      <c r="X993" s="282"/>
    </row>
    <row r="994" spans="1:26" ht="38.4" customHeight="1">
      <c r="A994" s="487"/>
      <c r="B994" s="505" t="s">
        <v>86</v>
      </c>
      <c r="C994" s="557">
        <v>0</v>
      </c>
      <c r="D994" s="557">
        <v>0</v>
      </c>
      <c r="E994" s="557">
        <v>0</v>
      </c>
      <c r="F994" s="557">
        <v>0</v>
      </c>
      <c r="G994" s="557">
        <v>0</v>
      </c>
      <c r="H994" s="557">
        <v>0</v>
      </c>
      <c r="I994" s="557">
        <v>0</v>
      </c>
      <c r="J994" s="557">
        <v>0</v>
      </c>
      <c r="K994" s="557">
        <v>0</v>
      </c>
      <c r="L994" s="926">
        <v>0</v>
      </c>
      <c r="M994" s="557">
        <v>0</v>
      </c>
      <c r="N994" s="557">
        <v>0</v>
      </c>
      <c r="O994" s="557">
        <v>0</v>
      </c>
      <c r="P994" s="927">
        <v>0</v>
      </c>
      <c r="Q994" s="557">
        <v>0</v>
      </c>
      <c r="R994" s="557">
        <v>0</v>
      </c>
      <c r="S994" s="557">
        <v>0</v>
      </c>
      <c r="T994" s="926">
        <v>0</v>
      </c>
      <c r="U994" s="928">
        <v>0</v>
      </c>
      <c r="V994" s="282"/>
      <c r="W994" s="282"/>
      <c r="X994" s="282"/>
      <c r="Y994" s="30"/>
      <c r="Z994" s="30"/>
    </row>
    <row r="995" spans="1:26" ht="27.6">
      <c r="A995" s="487"/>
      <c r="B995" s="505" t="s">
        <v>85</v>
      </c>
      <c r="C995" s="557">
        <v>0</v>
      </c>
      <c r="D995" s="557">
        <v>0</v>
      </c>
      <c r="E995" s="557">
        <v>0</v>
      </c>
      <c r="F995" s="557">
        <v>0</v>
      </c>
      <c r="G995" s="557">
        <v>0</v>
      </c>
      <c r="H995" s="557">
        <v>0</v>
      </c>
      <c r="I995" s="557">
        <v>0</v>
      </c>
      <c r="J995" s="557">
        <v>0</v>
      </c>
      <c r="K995" s="557">
        <v>0</v>
      </c>
      <c r="L995" s="926">
        <v>0</v>
      </c>
      <c r="M995" s="557">
        <v>0</v>
      </c>
      <c r="N995" s="557">
        <v>0</v>
      </c>
      <c r="O995" s="557">
        <v>0</v>
      </c>
      <c r="P995" s="927">
        <v>0</v>
      </c>
      <c r="Q995" s="557">
        <v>0</v>
      </c>
      <c r="R995" s="927">
        <v>0</v>
      </c>
      <c r="S995" s="557">
        <v>0</v>
      </c>
      <c r="T995" s="929">
        <v>0</v>
      </c>
      <c r="U995" s="928">
        <v>0</v>
      </c>
      <c r="V995" s="282"/>
      <c r="W995" s="282"/>
      <c r="X995" s="282"/>
      <c r="Y995" s="92"/>
      <c r="Z995" s="92"/>
    </row>
    <row r="996" spans="1:26">
      <c r="A996" s="198"/>
      <c r="B996" s="216" t="s">
        <v>60</v>
      </c>
      <c r="C996" s="211">
        <v>9462538</v>
      </c>
      <c r="D996" s="211"/>
      <c r="E996" s="211"/>
      <c r="F996" s="211"/>
      <c r="G996" s="211"/>
      <c r="H996" s="211"/>
      <c r="I996" s="211"/>
      <c r="J996" s="211"/>
      <c r="K996" s="211">
        <v>0</v>
      </c>
      <c r="L996" s="212">
        <v>0</v>
      </c>
      <c r="M996" s="211">
        <v>0</v>
      </c>
      <c r="N996" s="211">
        <v>1596</v>
      </c>
      <c r="O996" s="211">
        <v>3173810</v>
      </c>
      <c r="P996" s="213">
        <v>0</v>
      </c>
      <c r="Q996" s="211">
        <v>0</v>
      </c>
      <c r="R996" s="211">
        <v>4347</v>
      </c>
      <c r="S996" s="211">
        <v>6288728</v>
      </c>
      <c r="T996" s="212">
        <v>0</v>
      </c>
      <c r="U996" s="290">
        <v>0</v>
      </c>
      <c r="V996" s="282"/>
      <c r="W996" s="282"/>
      <c r="X996" s="282"/>
    </row>
    <row r="997" spans="1:26" ht="27.6">
      <c r="A997" s="198"/>
      <c r="B997" s="214" t="s">
        <v>113</v>
      </c>
      <c r="C997" s="211">
        <v>9462538</v>
      </c>
      <c r="D997" s="211"/>
      <c r="E997" s="211"/>
      <c r="F997" s="211"/>
      <c r="G997" s="211"/>
      <c r="H997" s="211"/>
      <c r="I997" s="211"/>
      <c r="J997" s="211"/>
      <c r="K997" s="211">
        <v>0</v>
      </c>
      <c r="L997" s="212">
        <v>0</v>
      </c>
      <c r="M997" s="211">
        <v>0</v>
      </c>
      <c r="N997" s="211">
        <v>1596</v>
      </c>
      <c r="O997" s="211">
        <v>3173810</v>
      </c>
      <c r="P997" s="213">
        <v>0</v>
      </c>
      <c r="Q997" s="211">
        <v>0</v>
      </c>
      <c r="R997" s="211">
        <v>4347</v>
      </c>
      <c r="S997" s="211">
        <v>6288728</v>
      </c>
      <c r="T997" s="212">
        <v>0</v>
      </c>
      <c r="U997" s="290">
        <v>0</v>
      </c>
      <c r="V997" s="282"/>
      <c r="W997" s="282"/>
      <c r="X997" s="282"/>
      <c r="Y997" s="10"/>
      <c r="Z997" s="10"/>
    </row>
    <row r="998" spans="1:26" s="32" customFormat="1">
      <c r="A998" s="198">
        <v>435</v>
      </c>
      <c r="B998" s="206" t="s">
        <v>76</v>
      </c>
      <c r="C998" s="232">
        <v>3626543</v>
      </c>
      <c r="D998" s="232"/>
      <c r="E998" s="232"/>
      <c r="F998" s="232"/>
      <c r="G998" s="232"/>
      <c r="H998" s="232"/>
      <c r="I998" s="232"/>
      <c r="J998" s="232"/>
      <c r="K998" s="211">
        <v>0</v>
      </c>
      <c r="L998" s="212">
        <v>0</v>
      </c>
      <c r="M998" s="211">
        <v>0</v>
      </c>
      <c r="N998" s="211">
        <v>0</v>
      </c>
      <c r="O998" s="211">
        <v>0</v>
      </c>
      <c r="P998" s="213">
        <v>0</v>
      </c>
      <c r="Q998" s="211">
        <v>0</v>
      </c>
      <c r="R998" s="232">
        <v>2511</v>
      </c>
      <c r="S998" s="232">
        <v>3626543</v>
      </c>
      <c r="T998" s="212">
        <v>0</v>
      </c>
      <c r="U998" s="290">
        <v>0</v>
      </c>
      <c r="V998" s="282"/>
      <c r="W998" s="282"/>
      <c r="X998" s="282"/>
      <c r="Y998" s="31"/>
      <c r="Z998" s="31"/>
    </row>
    <row r="999" spans="1:26" s="32" customFormat="1">
      <c r="A999" s="198">
        <v>436</v>
      </c>
      <c r="B999" s="206" t="s">
        <v>75</v>
      </c>
      <c r="C999" s="232">
        <v>2160246</v>
      </c>
      <c r="D999" s="232"/>
      <c r="E999" s="232"/>
      <c r="F999" s="232"/>
      <c r="G999" s="232"/>
      <c r="H999" s="232"/>
      <c r="I999" s="232"/>
      <c r="J999" s="232"/>
      <c r="K999" s="211">
        <v>0</v>
      </c>
      <c r="L999" s="212">
        <v>0</v>
      </c>
      <c r="M999" s="211">
        <v>0</v>
      </c>
      <c r="N999" s="232">
        <v>1092</v>
      </c>
      <c r="O999" s="232">
        <v>2160246</v>
      </c>
      <c r="P999" s="213">
        <v>0</v>
      </c>
      <c r="Q999" s="211">
        <v>0</v>
      </c>
      <c r="R999" s="213">
        <v>0</v>
      </c>
      <c r="S999" s="211">
        <v>0</v>
      </c>
      <c r="T999" s="212">
        <v>0</v>
      </c>
      <c r="U999" s="290">
        <v>0</v>
      </c>
      <c r="V999" s="282"/>
      <c r="W999" s="282"/>
      <c r="X999" s="282"/>
      <c r="Y999" s="31"/>
      <c r="Z999" s="31"/>
    </row>
    <row r="1000" spans="1:26" s="32" customFormat="1">
      <c r="A1000" s="198">
        <v>437</v>
      </c>
      <c r="B1000" s="206" t="s">
        <v>77</v>
      </c>
      <c r="C1000" s="232">
        <v>1013564</v>
      </c>
      <c r="D1000" s="232"/>
      <c r="E1000" s="232"/>
      <c r="F1000" s="232"/>
      <c r="G1000" s="232"/>
      <c r="H1000" s="232"/>
      <c r="I1000" s="232"/>
      <c r="J1000" s="232"/>
      <c r="K1000" s="211">
        <v>0</v>
      </c>
      <c r="L1000" s="212">
        <v>0</v>
      </c>
      <c r="M1000" s="211">
        <v>0</v>
      </c>
      <c r="N1000" s="232">
        <v>504</v>
      </c>
      <c r="O1000" s="232">
        <v>1013564</v>
      </c>
      <c r="P1000" s="213">
        <v>0</v>
      </c>
      <c r="Q1000" s="211">
        <v>0</v>
      </c>
      <c r="R1000" s="213">
        <v>0</v>
      </c>
      <c r="S1000" s="211">
        <v>0</v>
      </c>
      <c r="T1000" s="212">
        <v>0</v>
      </c>
      <c r="U1000" s="290">
        <v>0</v>
      </c>
      <c r="V1000" s="282"/>
      <c r="W1000" s="282"/>
      <c r="X1000" s="282"/>
      <c r="Y1000" s="31"/>
      <c r="Z1000" s="31"/>
    </row>
    <row r="1001" spans="1:26" s="32" customFormat="1">
      <c r="A1001" s="198">
        <v>438</v>
      </c>
      <c r="B1001" s="206" t="s">
        <v>427</v>
      </c>
      <c r="C1001" s="232">
        <v>2662185</v>
      </c>
      <c r="D1001" s="232"/>
      <c r="E1001" s="232"/>
      <c r="F1001" s="232"/>
      <c r="G1001" s="232"/>
      <c r="H1001" s="232"/>
      <c r="I1001" s="232"/>
      <c r="J1001" s="232"/>
      <c r="K1001" s="211">
        <v>0</v>
      </c>
      <c r="L1001" s="212">
        <v>0</v>
      </c>
      <c r="M1001" s="211">
        <v>0</v>
      </c>
      <c r="N1001" s="211">
        <v>0</v>
      </c>
      <c r="O1001" s="211">
        <v>0</v>
      </c>
      <c r="P1001" s="213">
        <v>0</v>
      </c>
      <c r="Q1001" s="211">
        <v>0</v>
      </c>
      <c r="R1001" s="232">
        <v>1836</v>
      </c>
      <c r="S1001" s="232">
        <v>2662185</v>
      </c>
      <c r="T1001" s="212">
        <v>0</v>
      </c>
      <c r="U1001" s="290">
        <v>0</v>
      </c>
      <c r="V1001" s="282"/>
      <c r="W1001" s="282"/>
      <c r="X1001" s="282"/>
      <c r="Y1001" s="31"/>
      <c r="Z1001" s="31"/>
    </row>
    <row r="1002" spans="1:26" s="32" customFormat="1">
      <c r="A1002" s="198"/>
      <c r="B1002" s="206" t="s">
        <v>208</v>
      </c>
      <c r="C1002" s="232">
        <v>562350</v>
      </c>
      <c r="D1002" s="232"/>
      <c r="E1002" s="232"/>
      <c r="F1002" s="232"/>
      <c r="G1002" s="232"/>
      <c r="H1002" s="232"/>
      <c r="I1002" s="232"/>
      <c r="J1002" s="232"/>
      <c r="K1002" s="232">
        <v>0</v>
      </c>
      <c r="L1002" s="239">
        <v>0</v>
      </c>
      <c r="M1002" s="232">
        <v>0</v>
      </c>
      <c r="N1002" s="232">
        <v>275</v>
      </c>
      <c r="O1002" s="232">
        <v>562350</v>
      </c>
      <c r="P1002" s="230">
        <v>0</v>
      </c>
      <c r="Q1002" s="232">
        <v>0</v>
      </c>
      <c r="R1002" s="230">
        <v>0</v>
      </c>
      <c r="S1002" s="232">
        <v>0</v>
      </c>
      <c r="T1002" s="230">
        <v>0</v>
      </c>
      <c r="U1002" s="295">
        <v>0</v>
      </c>
      <c r="V1002" s="282"/>
      <c r="W1002" s="282"/>
      <c r="X1002" s="282"/>
      <c r="Y1002" s="31"/>
      <c r="Z1002" s="31"/>
    </row>
    <row r="1003" spans="1:26" s="32" customFormat="1" ht="27.6">
      <c r="A1003" s="198"/>
      <c r="B1003" s="214" t="s">
        <v>209</v>
      </c>
      <c r="C1003" s="232">
        <f>C1004</f>
        <v>423156</v>
      </c>
      <c r="D1003" s="232">
        <f t="shared" ref="D1003:U1003" si="164">D1004</f>
        <v>0</v>
      </c>
      <c r="E1003" s="232">
        <f t="shared" si="164"/>
        <v>0</v>
      </c>
      <c r="F1003" s="232">
        <f t="shared" si="164"/>
        <v>0</v>
      </c>
      <c r="G1003" s="232">
        <f t="shared" si="164"/>
        <v>0</v>
      </c>
      <c r="H1003" s="232">
        <f t="shared" si="164"/>
        <v>0</v>
      </c>
      <c r="I1003" s="232">
        <f t="shared" si="164"/>
        <v>0</v>
      </c>
      <c r="J1003" s="232">
        <f t="shared" si="164"/>
        <v>0</v>
      </c>
      <c r="K1003" s="232">
        <f t="shared" si="164"/>
        <v>0</v>
      </c>
      <c r="L1003" s="232">
        <f t="shared" si="164"/>
        <v>0</v>
      </c>
      <c r="M1003" s="232">
        <f t="shared" si="164"/>
        <v>0</v>
      </c>
      <c r="N1003" s="232">
        <f t="shared" si="164"/>
        <v>0</v>
      </c>
      <c r="O1003" s="232">
        <f t="shared" si="164"/>
        <v>0</v>
      </c>
      <c r="P1003" s="232">
        <f t="shared" si="164"/>
        <v>0</v>
      </c>
      <c r="Q1003" s="232">
        <f t="shared" si="164"/>
        <v>0</v>
      </c>
      <c r="R1003" s="232">
        <f t="shared" si="164"/>
        <v>275</v>
      </c>
      <c r="S1003" s="232">
        <f t="shared" si="164"/>
        <v>423156</v>
      </c>
      <c r="T1003" s="232">
        <f t="shared" si="164"/>
        <v>0</v>
      </c>
      <c r="U1003" s="232">
        <f t="shared" si="164"/>
        <v>0</v>
      </c>
      <c r="V1003" s="282"/>
      <c r="W1003" s="282"/>
      <c r="X1003" s="282"/>
      <c r="Y1003" s="31"/>
      <c r="Z1003" s="31"/>
    </row>
    <row r="1004" spans="1:26" s="32" customFormat="1">
      <c r="A1004" s="487">
        <v>439</v>
      </c>
      <c r="B1004" s="506" t="s">
        <v>479</v>
      </c>
      <c r="C1004" s="507">
        <v>423156</v>
      </c>
      <c r="D1004" s="507">
        <v>0</v>
      </c>
      <c r="E1004" s="507">
        <v>0</v>
      </c>
      <c r="F1004" s="507">
        <v>0</v>
      </c>
      <c r="G1004" s="507">
        <v>0</v>
      </c>
      <c r="H1004" s="507">
        <v>0</v>
      </c>
      <c r="I1004" s="507">
        <v>0</v>
      </c>
      <c r="J1004" s="507">
        <v>0</v>
      </c>
      <c r="K1004" s="498">
        <v>0</v>
      </c>
      <c r="L1004" s="502">
        <v>0</v>
      </c>
      <c r="M1004" s="498">
        <v>0</v>
      </c>
      <c r="N1004" s="498">
        <v>0</v>
      </c>
      <c r="O1004" s="498">
        <v>0</v>
      </c>
      <c r="P1004" s="503">
        <v>0</v>
      </c>
      <c r="Q1004" s="498">
        <v>0</v>
      </c>
      <c r="R1004" s="508">
        <v>275</v>
      </c>
      <c r="S1004" s="507">
        <v>423156</v>
      </c>
      <c r="T1004" s="502">
        <v>0</v>
      </c>
      <c r="U1004" s="504">
        <v>0</v>
      </c>
      <c r="V1004" s="282"/>
      <c r="W1004" s="282"/>
      <c r="X1004" s="282">
        <f>S1004/R1004</f>
        <v>1538.7490909090909</v>
      </c>
      <c r="Y1004" s="31"/>
      <c r="Z1004" s="31"/>
    </row>
    <row r="1005" spans="1:26">
      <c r="A1005" s="198"/>
      <c r="B1005" s="216" t="s">
        <v>61</v>
      </c>
      <c r="C1005" s="211">
        <v>1267050</v>
      </c>
      <c r="D1005" s="211"/>
      <c r="E1005" s="211"/>
      <c r="F1005" s="211"/>
      <c r="G1005" s="211"/>
      <c r="H1005" s="211"/>
      <c r="I1005" s="211"/>
      <c r="J1005" s="211"/>
      <c r="K1005" s="211">
        <v>0</v>
      </c>
      <c r="L1005" s="212">
        <v>0</v>
      </c>
      <c r="M1005" s="211">
        <v>0</v>
      </c>
      <c r="N1005" s="211">
        <v>643</v>
      </c>
      <c r="O1005" s="211">
        <v>1267050</v>
      </c>
      <c r="P1005" s="213">
        <v>0</v>
      </c>
      <c r="Q1005" s="211">
        <v>0</v>
      </c>
      <c r="R1005" s="213">
        <v>0</v>
      </c>
      <c r="S1005" s="211">
        <v>0</v>
      </c>
      <c r="T1005" s="212">
        <v>0</v>
      </c>
      <c r="U1005" s="290">
        <v>0</v>
      </c>
      <c r="V1005" s="282"/>
      <c r="W1005" s="282"/>
      <c r="X1005" s="282"/>
    </row>
    <row r="1006" spans="1:26" ht="27.6">
      <c r="A1006" s="198"/>
      <c r="B1006" s="214" t="s">
        <v>118</v>
      </c>
      <c r="C1006" s="211">
        <f>C1007+C1008+C1009</f>
        <v>4886972</v>
      </c>
      <c r="D1006" s="211">
        <f t="shared" ref="D1006:U1006" si="165">D1007+D1008+D1009</f>
        <v>0</v>
      </c>
      <c r="E1006" s="211">
        <f t="shared" si="165"/>
        <v>0</v>
      </c>
      <c r="F1006" s="211">
        <f t="shared" si="165"/>
        <v>0</v>
      </c>
      <c r="G1006" s="211">
        <f t="shared" si="165"/>
        <v>0</v>
      </c>
      <c r="H1006" s="211">
        <f t="shared" si="165"/>
        <v>0</v>
      </c>
      <c r="I1006" s="211">
        <f t="shared" si="165"/>
        <v>0</v>
      </c>
      <c r="J1006" s="211">
        <f t="shared" si="165"/>
        <v>0</v>
      </c>
      <c r="K1006" s="211">
        <f t="shared" si="165"/>
        <v>0</v>
      </c>
      <c r="L1006" s="211">
        <f t="shared" si="165"/>
        <v>0</v>
      </c>
      <c r="M1006" s="211">
        <f t="shared" si="165"/>
        <v>0</v>
      </c>
      <c r="N1006" s="211">
        <f t="shared" si="165"/>
        <v>1530.7200000000003</v>
      </c>
      <c r="O1006" s="211">
        <f t="shared" si="165"/>
        <v>4886972</v>
      </c>
      <c r="P1006" s="211">
        <f t="shared" si="165"/>
        <v>0</v>
      </c>
      <c r="Q1006" s="211">
        <f t="shared" si="165"/>
        <v>0</v>
      </c>
      <c r="R1006" s="211">
        <f t="shared" si="165"/>
        <v>0</v>
      </c>
      <c r="S1006" s="211">
        <f t="shared" si="165"/>
        <v>0</v>
      </c>
      <c r="T1006" s="211">
        <f t="shared" si="165"/>
        <v>0</v>
      </c>
      <c r="U1006" s="211">
        <f t="shared" si="165"/>
        <v>0</v>
      </c>
      <c r="V1006" s="282"/>
      <c r="W1006" s="282"/>
      <c r="X1006" s="282"/>
    </row>
    <row r="1007" spans="1:26">
      <c r="A1007" s="487"/>
      <c r="B1007" s="499" t="s">
        <v>597</v>
      </c>
      <c r="C1007" s="498">
        <v>1449272</v>
      </c>
      <c r="D1007" s="498">
        <v>0</v>
      </c>
      <c r="E1007" s="498">
        <v>0</v>
      </c>
      <c r="F1007" s="498">
        <v>0</v>
      </c>
      <c r="G1007" s="498">
        <v>0</v>
      </c>
      <c r="H1007" s="498">
        <v>0</v>
      </c>
      <c r="I1007" s="498">
        <v>0</v>
      </c>
      <c r="J1007" s="498">
        <v>0</v>
      </c>
      <c r="K1007" s="498">
        <v>0</v>
      </c>
      <c r="L1007" s="498">
        <v>0</v>
      </c>
      <c r="M1007" s="498">
        <v>0</v>
      </c>
      <c r="N1007" s="498">
        <v>453.12</v>
      </c>
      <c r="O1007" s="498">
        <v>1449272</v>
      </c>
      <c r="P1007" s="498">
        <v>0</v>
      </c>
      <c r="Q1007" s="498">
        <v>0</v>
      </c>
      <c r="R1007" s="498">
        <v>0</v>
      </c>
      <c r="S1007" s="498">
        <v>0</v>
      </c>
      <c r="T1007" s="498">
        <v>0</v>
      </c>
      <c r="U1007" s="498">
        <v>0</v>
      </c>
      <c r="V1007" s="282"/>
      <c r="W1007" s="282">
        <f>O1007/N1007</f>
        <v>3198.4286723163841</v>
      </c>
      <c r="X1007" s="282"/>
    </row>
    <row r="1008" spans="1:26">
      <c r="A1008" s="487">
        <v>440</v>
      </c>
      <c r="B1008" s="499" t="s">
        <v>493</v>
      </c>
      <c r="C1008" s="498">
        <v>2576258</v>
      </c>
      <c r="D1008" s="498">
        <v>0</v>
      </c>
      <c r="E1008" s="498">
        <v>0</v>
      </c>
      <c r="F1008" s="498">
        <v>0</v>
      </c>
      <c r="G1008" s="498">
        <v>0</v>
      </c>
      <c r="H1008" s="498">
        <v>0</v>
      </c>
      <c r="I1008" s="498">
        <v>0</v>
      </c>
      <c r="J1008" s="498">
        <v>0</v>
      </c>
      <c r="K1008" s="498">
        <v>0</v>
      </c>
      <c r="L1008" s="502">
        <v>0</v>
      </c>
      <c r="M1008" s="498">
        <v>0</v>
      </c>
      <c r="N1008" s="498">
        <v>811.2</v>
      </c>
      <c r="O1008" s="498">
        <v>2576258</v>
      </c>
      <c r="P1008" s="503">
        <v>0</v>
      </c>
      <c r="Q1008" s="498">
        <v>0</v>
      </c>
      <c r="R1008" s="503">
        <v>0</v>
      </c>
      <c r="S1008" s="498">
        <v>0</v>
      </c>
      <c r="T1008" s="502">
        <v>0</v>
      </c>
      <c r="U1008" s="504">
        <v>0</v>
      </c>
      <c r="V1008" s="282"/>
      <c r="W1008" s="282">
        <f t="shared" ref="W1008:W1009" si="166">O1008/N1008</f>
        <v>3175.8604536489152</v>
      </c>
      <c r="X1008" s="282"/>
    </row>
    <row r="1009" spans="1:31">
      <c r="A1009" s="487"/>
      <c r="B1009" s="499" t="s">
        <v>494</v>
      </c>
      <c r="C1009" s="498">
        <v>861442</v>
      </c>
      <c r="D1009" s="498">
        <v>0</v>
      </c>
      <c r="E1009" s="498">
        <v>0</v>
      </c>
      <c r="F1009" s="498">
        <v>0</v>
      </c>
      <c r="G1009" s="498">
        <v>0</v>
      </c>
      <c r="H1009" s="498">
        <v>0</v>
      </c>
      <c r="I1009" s="498">
        <v>0</v>
      </c>
      <c r="J1009" s="498">
        <v>0</v>
      </c>
      <c r="K1009" s="498">
        <v>0</v>
      </c>
      <c r="L1009" s="502">
        <v>0</v>
      </c>
      <c r="M1009" s="498">
        <v>0</v>
      </c>
      <c r="N1009" s="498">
        <v>266.39999999999998</v>
      </c>
      <c r="O1009" s="498">
        <v>861442</v>
      </c>
      <c r="P1009" s="503">
        <v>0</v>
      </c>
      <c r="Q1009" s="498">
        <v>0</v>
      </c>
      <c r="R1009" s="503">
        <v>0</v>
      </c>
      <c r="S1009" s="498">
        <v>0</v>
      </c>
      <c r="T1009" s="502">
        <v>0</v>
      </c>
      <c r="U1009" s="504">
        <v>0</v>
      </c>
      <c r="V1009" s="282"/>
      <c r="W1009" s="282">
        <f t="shared" si="166"/>
        <v>3233.6411411411414</v>
      </c>
      <c r="X1009" s="282"/>
    </row>
    <row r="1010" spans="1:31" ht="17.399999999999999" customHeight="1">
      <c r="A1010" s="194"/>
      <c r="B1010" s="214" t="s">
        <v>649</v>
      </c>
      <c r="C1010" s="211">
        <f>C1011</f>
        <v>1577672</v>
      </c>
      <c r="D1010" s="211">
        <f t="shared" ref="D1010:V1010" si="167">D1011</f>
        <v>0</v>
      </c>
      <c r="E1010" s="211">
        <f t="shared" si="167"/>
        <v>0</v>
      </c>
      <c r="F1010" s="211">
        <f t="shared" si="167"/>
        <v>0</v>
      </c>
      <c r="G1010" s="211">
        <f t="shared" si="167"/>
        <v>0</v>
      </c>
      <c r="H1010" s="211">
        <f t="shared" si="167"/>
        <v>0</v>
      </c>
      <c r="I1010" s="211">
        <f t="shared" si="167"/>
        <v>0</v>
      </c>
      <c r="J1010" s="211">
        <f t="shared" si="167"/>
        <v>0</v>
      </c>
      <c r="K1010" s="211">
        <f t="shared" si="167"/>
        <v>0</v>
      </c>
      <c r="L1010" s="211">
        <f t="shared" si="167"/>
        <v>0</v>
      </c>
      <c r="M1010" s="211">
        <f t="shared" si="167"/>
        <v>0</v>
      </c>
      <c r="N1010" s="211">
        <f t="shared" si="167"/>
        <v>0</v>
      </c>
      <c r="O1010" s="211">
        <f t="shared" si="167"/>
        <v>0</v>
      </c>
      <c r="P1010" s="211">
        <f t="shared" si="167"/>
        <v>0</v>
      </c>
      <c r="Q1010" s="211">
        <f t="shared" si="167"/>
        <v>0</v>
      </c>
      <c r="R1010" s="211">
        <f t="shared" si="167"/>
        <v>1027.1600000000001</v>
      </c>
      <c r="S1010" s="211">
        <f t="shared" si="167"/>
        <v>1577672</v>
      </c>
      <c r="T1010" s="211">
        <f t="shared" si="167"/>
        <v>0</v>
      </c>
      <c r="U1010" s="211">
        <f t="shared" si="167"/>
        <v>0</v>
      </c>
      <c r="V1010" s="211">
        <f t="shared" si="167"/>
        <v>0</v>
      </c>
      <c r="W1010" s="282"/>
      <c r="X1010" s="282"/>
    </row>
    <row r="1011" spans="1:31" ht="27.6">
      <c r="A1011" s="194"/>
      <c r="B1011" s="214" t="s">
        <v>652</v>
      </c>
      <c r="C1011" s="211">
        <f>C1012+C1013</f>
        <v>1577672</v>
      </c>
      <c r="D1011" s="211">
        <f t="shared" ref="D1011:U1011" si="168">D1012+D1013</f>
        <v>0</v>
      </c>
      <c r="E1011" s="211">
        <f t="shared" si="168"/>
        <v>0</v>
      </c>
      <c r="F1011" s="211">
        <f t="shared" si="168"/>
        <v>0</v>
      </c>
      <c r="G1011" s="211">
        <f t="shared" si="168"/>
        <v>0</v>
      </c>
      <c r="H1011" s="211">
        <f t="shared" si="168"/>
        <v>0</v>
      </c>
      <c r="I1011" s="211">
        <f t="shared" si="168"/>
        <v>0</v>
      </c>
      <c r="J1011" s="211">
        <f t="shared" si="168"/>
        <v>0</v>
      </c>
      <c r="K1011" s="211">
        <f t="shared" si="168"/>
        <v>0</v>
      </c>
      <c r="L1011" s="211">
        <f t="shared" si="168"/>
        <v>0</v>
      </c>
      <c r="M1011" s="211">
        <f t="shared" si="168"/>
        <v>0</v>
      </c>
      <c r="N1011" s="211">
        <f t="shared" si="168"/>
        <v>0</v>
      </c>
      <c r="O1011" s="211">
        <f t="shared" si="168"/>
        <v>0</v>
      </c>
      <c r="P1011" s="211">
        <f t="shared" si="168"/>
        <v>0</v>
      </c>
      <c r="Q1011" s="211">
        <f t="shared" si="168"/>
        <v>0</v>
      </c>
      <c r="R1011" s="211">
        <f t="shared" si="168"/>
        <v>1027.1600000000001</v>
      </c>
      <c r="S1011" s="211">
        <f t="shared" si="168"/>
        <v>1577672</v>
      </c>
      <c r="T1011" s="211">
        <f t="shared" si="168"/>
        <v>0</v>
      </c>
      <c r="U1011" s="211">
        <f t="shared" si="168"/>
        <v>0</v>
      </c>
      <c r="V1011" s="282"/>
      <c r="W1011" s="282"/>
      <c r="X1011" s="282"/>
    </row>
    <row r="1012" spans="1:31" ht="15.6">
      <c r="A1012" s="194"/>
      <c r="B1012" s="567" t="s">
        <v>653</v>
      </c>
      <c r="C1012" s="211">
        <v>788836</v>
      </c>
      <c r="D1012" s="211">
        <v>0</v>
      </c>
      <c r="E1012" s="211">
        <v>0</v>
      </c>
      <c r="F1012" s="211">
        <v>0</v>
      </c>
      <c r="G1012" s="211">
        <v>0</v>
      </c>
      <c r="H1012" s="211">
        <v>0</v>
      </c>
      <c r="I1012" s="211">
        <v>0</v>
      </c>
      <c r="J1012" s="211">
        <v>0</v>
      </c>
      <c r="K1012" s="211">
        <v>0</v>
      </c>
      <c r="L1012" s="212">
        <v>0</v>
      </c>
      <c r="M1012" s="211">
        <v>0</v>
      </c>
      <c r="N1012" s="211">
        <v>0</v>
      </c>
      <c r="O1012" s="211">
        <v>0</v>
      </c>
      <c r="P1012" s="213">
        <v>0</v>
      </c>
      <c r="Q1012" s="211">
        <v>0</v>
      </c>
      <c r="R1012" s="213">
        <v>513.58000000000004</v>
      </c>
      <c r="S1012" s="211">
        <v>788836</v>
      </c>
      <c r="T1012" s="212">
        <v>0</v>
      </c>
      <c r="U1012" s="290">
        <v>0</v>
      </c>
      <c r="V1012" s="282"/>
      <c r="W1012" s="282"/>
      <c r="X1012" s="282">
        <f>S1012/R1012</f>
        <v>1535.9554499785816</v>
      </c>
    </row>
    <row r="1013" spans="1:31" ht="15.6">
      <c r="A1013" s="194"/>
      <c r="B1013" s="567" t="s">
        <v>654</v>
      </c>
      <c r="C1013" s="211">
        <v>788836</v>
      </c>
      <c r="D1013" s="211">
        <v>0</v>
      </c>
      <c r="E1013" s="211">
        <v>0</v>
      </c>
      <c r="F1013" s="211">
        <v>0</v>
      </c>
      <c r="G1013" s="211">
        <v>0</v>
      </c>
      <c r="H1013" s="211">
        <v>0</v>
      </c>
      <c r="I1013" s="211">
        <v>0</v>
      </c>
      <c r="J1013" s="211">
        <v>0</v>
      </c>
      <c r="K1013" s="211">
        <v>0</v>
      </c>
      <c r="L1013" s="212">
        <v>0</v>
      </c>
      <c r="M1013" s="211">
        <v>0</v>
      </c>
      <c r="N1013" s="211">
        <v>0</v>
      </c>
      <c r="O1013" s="211">
        <v>0</v>
      </c>
      <c r="P1013" s="213">
        <v>0</v>
      </c>
      <c r="Q1013" s="211">
        <v>0</v>
      </c>
      <c r="R1013" s="213">
        <v>513.58000000000004</v>
      </c>
      <c r="S1013" s="211">
        <v>788836</v>
      </c>
      <c r="T1013" s="212">
        <v>0</v>
      </c>
      <c r="U1013" s="290">
        <v>0</v>
      </c>
      <c r="V1013" s="282"/>
      <c r="W1013" s="282"/>
      <c r="X1013" s="282">
        <f>S1013/R1013</f>
        <v>1535.9554499785816</v>
      </c>
    </row>
    <row r="1014" spans="1:31">
      <c r="A1014" s="198"/>
      <c r="B1014" s="216" t="s">
        <v>62</v>
      </c>
      <c r="C1014" s="211">
        <v>974618</v>
      </c>
      <c r="D1014" s="211"/>
      <c r="E1014" s="211"/>
      <c r="F1014" s="211"/>
      <c r="G1014" s="211"/>
      <c r="H1014" s="211"/>
      <c r="I1014" s="211"/>
      <c r="J1014" s="211"/>
      <c r="K1014" s="211">
        <v>0</v>
      </c>
      <c r="L1014" s="212">
        <v>0</v>
      </c>
      <c r="M1014" s="211">
        <v>0</v>
      </c>
      <c r="N1014" s="211">
        <v>484</v>
      </c>
      <c r="O1014" s="211">
        <v>974618</v>
      </c>
      <c r="P1014" s="213">
        <v>0</v>
      </c>
      <c r="Q1014" s="211">
        <v>0</v>
      </c>
      <c r="R1014" s="213">
        <v>0</v>
      </c>
      <c r="S1014" s="211">
        <v>0</v>
      </c>
      <c r="T1014" s="212">
        <v>0</v>
      </c>
      <c r="U1014" s="290">
        <v>0</v>
      </c>
      <c r="V1014" s="282"/>
      <c r="W1014" s="282"/>
      <c r="X1014" s="282"/>
    </row>
    <row r="1015" spans="1:31" ht="27.6">
      <c r="A1015" s="198"/>
      <c r="B1015" s="238" t="s">
        <v>117</v>
      </c>
      <c r="C1015" s="211">
        <f>C1016</f>
        <v>1134905</v>
      </c>
      <c r="D1015" s="211">
        <f t="shared" ref="D1015:V1015" si="169">D1016</f>
        <v>0</v>
      </c>
      <c r="E1015" s="211">
        <f t="shared" si="169"/>
        <v>0</v>
      </c>
      <c r="F1015" s="211">
        <f t="shared" si="169"/>
        <v>0</v>
      </c>
      <c r="G1015" s="211">
        <f t="shared" si="169"/>
        <v>0</v>
      </c>
      <c r="H1015" s="211">
        <f t="shared" si="169"/>
        <v>0</v>
      </c>
      <c r="I1015" s="211">
        <f t="shared" si="169"/>
        <v>0</v>
      </c>
      <c r="J1015" s="211">
        <f t="shared" si="169"/>
        <v>0</v>
      </c>
      <c r="K1015" s="211">
        <f t="shared" si="169"/>
        <v>0</v>
      </c>
      <c r="L1015" s="211">
        <f t="shared" si="169"/>
        <v>0</v>
      </c>
      <c r="M1015" s="211">
        <f t="shared" si="169"/>
        <v>0</v>
      </c>
      <c r="N1015" s="211">
        <f t="shared" si="169"/>
        <v>353</v>
      </c>
      <c r="O1015" s="211">
        <f t="shared" si="169"/>
        <v>1134905</v>
      </c>
      <c r="P1015" s="211">
        <f t="shared" si="169"/>
        <v>0</v>
      </c>
      <c r="Q1015" s="211">
        <f t="shared" si="169"/>
        <v>0</v>
      </c>
      <c r="R1015" s="211">
        <f t="shared" si="169"/>
        <v>0</v>
      </c>
      <c r="S1015" s="211">
        <f t="shared" si="169"/>
        <v>0</v>
      </c>
      <c r="T1015" s="211">
        <f t="shared" si="169"/>
        <v>0</v>
      </c>
      <c r="U1015" s="211">
        <f t="shared" si="169"/>
        <v>0</v>
      </c>
      <c r="V1015" s="211">
        <f t="shared" si="169"/>
        <v>0</v>
      </c>
      <c r="W1015" s="211"/>
      <c r="X1015" s="211"/>
      <c r="Y1015" s="211"/>
      <c r="Z1015" s="211"/>
      <c r="AA1015" s="211"/>
      <c r="AB1015" s="211"/>
      <c r="AC1015" s="211"/>
      <c r="AD1015" s="211"/>
      <c r="AE1015" s="211"/>
    </row>
    <row r="1016" spans="1:31">
      <c r="A1016" s="487">
        <v>441</v>
      </c>
      <c r="B1016" s="499" t="s">
        <v>487</v>
      </c>
      <c r="C1016" s="498">
        <v>1134905</v>
      </c>
      <c r="D1016" s="498">
        <v>0</v>
      </c>
      <c r="E1016" s="498">
        <v>0</v>
      </c>
      <c r="F1016" s="498">
        <v>0</v>
      </c>
      <c r="G1016" s="498">
        <v>0</v>
      </c>
      <c r="H1016" s="498">
        <v>0</v>
      </c>
      <c r="I1016" s="498">
        <v>0</v>
      </c>
      <c r="J1016" s="498">
        <v>0</v>
      </c>
      <c r="K1016" s="498">
        <v>0</v>
      </c>
      <c r="L1016" s="502">
        <v>0</v>
      </c>
      <c r="M1016" s="498">
        <v>0</v>
      </c>
      <c r="N1016" s="498">
        <v>353</v>
      </c>
      <c r="O1016" s="498">
        <v>1134905</v>
      </c>
      <c r="P1016" s="503">
        <v>0</v>
      </c>
      <c r="Q1016" s="498">
        <v>0</v>
      </c>
      <c r="R1016" s="503">
        <v>0</v>
      </c>
      <c r="S1016" s="498">
        <v>0</v>
      </c>
      <c r="T1016" s="502">
        <v>0</v>
      </c>
      <c r="U1016" s="504">
        <v>0</v>
      </c>
      <c r="V1016" s="282"/>
      <c r="W1016" s="282">
        <f>O1016/N1016</f>
        <v>3215.0283286118979</v>
      </c>
      <c r="X1016" s="282"/>
    </row>
    <row r="1017" spans="1:31">
      <c r="A1017" s="487"/>
      <c r="B1017" s="501" t="s">
        <v>63</v>
      </c>
      <c r="C1017" s="498">
        <f>C1018</f>
        <v>2751167</v>
      </c>
      <c r="D1017" s="498">
        <f t="shared" ref="D1017:U1017" si="170">D1018</f>
        <v>0</v>
      </c>
      <c r="E1017" s="498">
        <f t="shared" si="170"/>
        <v>0</v>
      </c>
      <c r="F1017" s="498">
        <f t="shared" si="170"/>
        <v>0</v>
      </c>
      <c r="G1017" s="498">
        <f t="shared" si="170"/>
        <v>0</v>
      </c>
      <c r="H1017" s="498">
        <f t="shared" si="170"/>
        <v>0</v>
      </c>
      <c r="I1017" s="498">
        <f t="shared" si="170"/>
        <v>0</v>
      </c>
      <c r="J1017" s="498">
        <f t="shared" si="170"/>
        <v>0</v>
      </c>
      <c r="K1017" s="498">
        <f t="shared" si="170"/>
        <v>0</v>
      </c>
      <c r="L1017" s="498">
        <f t="shared" si="170"/>
        <v>0</v>
      </c>
      <c r="M1017" s="498">
        <f t="shared" si="170"/>
        <v>0</v>
      </c>
      <c r="N1017" s="498">
        <f t="shared" si="170"/>
        <v>908.87</v>
      </c>
      <c r="O1017" s="498">
        <f t="shared" si="170"/>
        <v>2751167</v>
      </c>
      <c r="P1017" s="498">
        <f t="shared" si="170"/>
        <v>0</v>
      </c>
      <c r="Q1017" s="498">
        <f t="shared" si="170"/>
        <v>0</v>
      </c>
      <c r="R1017" s="498">
        <f t="shared" si="170"/>
        <v>0</v>
      </c>
      <c r="S1017" s="498">
        <f t="shared" si="170"/>
        <v>0</v>
      </c>
      <c r="T1017" s="498">
        <f t="shared" si="170"/>
        <v>0</v>
      </c>
      <c r="U1017" s="498">
        <f t="shared" si="170"/>
        <v>0</v>
      </c>
      <c r="V1017" s="282"/>
      <c r="W1017" s="282"/>
      <c r="X1017" s="282"/>
    </row>
    <row r="1018" spans="1:31" ht="27.6">
      <c r="A1018" s="487"/>
      <c r="B1018" s="499" t="s">
        <v>116</v>
      </c>
      <c r="C1018" s="498">
        <f>C1019+C1020</f>
        <v>2751167</v>
      </c>
      <c r="D1018" s="498">
        <f t="shared" ref="D1018:V1018" si="171">D1019+D1020</f>
        <v>0</v>
      </c>
      <c r="E1018" s="498">
        <f t="shared" si="171"/>
        <v>0</v>
      </c>
      <c r="F1018" s="498">
        <f t="shared" si="171"/>
        <v>0</v>
      </c>
      <c r="G1018" s="498">
        <f t="shared" si="171"/>
        <v>0</v>
      </c>
      <c r="H1018" s="498">
        <f t="shared" si="171"/>
        <v>0</v>
      </c>
      <c r="I1018" s="498">
        <f t="shared" si="171"/>
        <v>0</v>
      </c>
      <c r="J1018" s="498">
        <f t="shared" si="171"/>
        <v>0</v>
      </c>
      <c r="K1018" s="498">
        <f t="shared" si="171"/>
        <v>0</v>
      </c>
      <c r="L1018" s="498">
        <f t="shared" si="171"/>
        <v>0</v>
      </c>
      <c r="M1018" s="498">
        <f t="shared" si="171"/>
        <v>0</v>
      </c>
      <c r="N1018" s="498">
        <f t="shared" si="171"/>
        <v>908.87</v>
      </c>
      <c r="O1018" s="498">
        <f t="shared" si="171"/>
        <v>2751167</v>
      </c>
      <c r="P1018" s="498">
        <f t="shared" si="171"/>
        <v>0</v>
      </c>
      <c r="Q1018" s="498">
        <f t="shared" si="171"/>
        <v>0</v>
      </c>
      <c r="R1018" s="498">
        <f t="shared" si="171"/>
        <v>0</v>
      </c>
      <c r="S1018" s="498">
        <f t="shared" si="171"/>
        <v>0</v>
      </c>
      <c r="T1018" s="498">
        <f t="shared" si="171"/>
        <v>0</v>
      </c>
      <c r="U1018" s="498">
        <f t="shared" si="171"/>
        <v>0</v>
      </c>
      <c r="V1018" s="211">
        <f t="shared" si="171"/>
        <v>0</v>
      </c>
      <c r="W1018" s="282"/>
      <c r="X1018" s="282"/>
    </row>
    <row r="1019" spans="1:31">
      <c r="A1019" s="487">
        <v>442</v>
      </c>
      <c r="B1019" s="499" t="s">
        <v>677</v>
      </c>
      <c r="C1019" s="498">
        <f>'часть 1'!L1030</f>
        <v>2217768</v>
      </c>
      <c r="D1019" s="498">
        <v>0</v>
      </c>
      <c r="E1019" s="498">
        <v>0</v>
      </c>
      <c r="F1019" s="498">
        <v>0</v>
      </c>
      <c r="G1019" s="498">
        <v>0</v>
      </c>
      <c r="H1019" s="498">
        <v>0</v>
      </c>
      <c r="I1019" s="498">
        <v>0</v>
      </c>
      <c r="J1019" s="498">
        <v>0</v>
      </c>
      <c r="K1019" s="498">
        <v>0</v>
      </c>
      <c r="L1019" s="502">
        <v>0</v>
      </c>
      <c r="M1019" s="498">
        <v>0</v>
      </c>
      <c r="N1019" s="498">
        <v>697</v>
      </c>
      <c r="O1019" s="498">
        <v>2217768</v>
      </c>
      <c r="P1019" s="503">
        <v>0</v>
      </c>
      <c r="Q1019" s="498">
        <v>0</v>
      </c>
      <c r="R1019" s="503">
        <v>0</v>
      </c>
      <c r="S1019" s="498">
        <v>0</v>
      </c>
      <c r="T1019" s="502">
        <v>0</v>
      </c>
      <c r="U1019" s="504">
        <v>0</v>
      </c>
      <c r="V1019" s="282"/>
      <c r="W1019" s="282">
        <f>O1019/N1019</f>
        <v>3181.8766140602584</v>
      </c>
      <c r="X1019" s="282"/>
    </row>
    <row r="1020" spans="1:31">
      <c r="A1020" s="487">
        <v>443</v>
      </c>
      <c r="B1020" s="499" t="s">
        <v>504</v>
      </c>
      <c r="C1020" s="498">
        <f>'часть 1'!L1031</f>
        <v>533399</v>
      </c>
      <c r="D1020" s="498">
        <v>0</v>
      </c>
      <c r="E1020" s="498">
        <v>0</v>
      </c>
      <c r="F1020" s="498">
        <v>0</v>
      </c>
      <c r="G1020" s="498">
        <v>0</v>
      </c>
      <c r="H1020" s="498">
        <v>0</v>
      </c>
      <c r="I1020" s="498">
        <v>0</v>
      </c>
      <c r="J1020" s="498">
        <v>0</v>
      </c>
      <c r="K1020" s="498">
        <v>0</v>
      </c>
      <c r="L1020" s="502">
        <v>0</v>
      </c>
      <c r="M1020" s="498">
        <v>0</v>
      </c>
      <c r="N1020" s="489">
        <v>211.87</v>
      </c>
      <c r="O1020" s="498">
        <v>533399</v>
      </c>
      <c r="P1020" s="503">
        <v>0</v>
      </c>
      <c r="Q1020" s="498">
        <v>0</v>
      </c>
      <c r="R1020" s="503">
        <v>0</v>
      </c>
      <c r="S1020" s="498">
        <v>0</v>
      </c>
      <c r="T1020" s="502">
        <v>0</v>
      </c>
      <c r="U1020" s="504">
        <v>0</v>
      </c>
      <c r="V1020" s="282"/>
      <c r="W1020" s="282">
        <f>O1020/N1020</f>
        <v>2517.5768159720583</v>
      </c>
      <c r="X1020" s="282"/>
    </row>
    <row r="1021" spans="1:31">
      <c r="A1021" s="198"/>
      <c r="B1021" s="216" t="s">
        <v>64</v>
      </c>
      <c r="C1021" s="211">
        <v>6928539</v>
      </c>
      <c r="D1021" s="211"/>
      <c r="E1021" s="211"/>
      <c r="F1021" s="211"/>
      <c r="G1021" s="211"/>
      <c r="H1021" s="211"/>
      <c r="I1021" s="211"/>
      <c r="J1021" s="211"/>
      <c r="K1021" s="211">
        <v>0</v>
      </c>
      <c r="L1021" s="212">
        <v>0</v>
      </c>
      <c r="M1021" s="211">
        <v>0</v>
      </c>
      <c r="N1021" s="211">
        <v>3103</v>
      </c>
      <c r="O1021" s="211">
        <v>6183896</v>
      </c>
      <c r="P1021" s="213">
        <v>0</v>
      </c>
      <c r="Q1021" s="211">
        <v>0</v>
      </c>
      <c r="R1021" s="211">
        <v>512.4</v>
      </c>
      <c r="S1021" s="211">
        <v>744643</v>
      </c>
      <c r="T1021" s="212">
        <v>0</v>
      </c>
      <c r="U1021" s="290">
        <v>0</v>
      </c>
      <c r="V1021" s="282"/>
      <c r="W1021" s="282"/>
      <c r="X1021" s="282"/>
    </row>
    <row r="1022" spans="1:31" ht="27.6">
      <c r="A1022" s="198"/>
      <c r="B1022" s="214" t="s">
        <v>115</v>
      </c>
      <c r="C1022" s="211">
        <f>C1023+C1024+C1025+C1026</f>
        <v>5819333</v>
      </c>
      <c r="D1022" s="211">
        <f t="shared" ref="D1022:U1022" si="172">D1023+D1024+D1025+D1026</f>
        <v>0</v>
      </c>
      <c r="E1022" s="211">
        <f t="shared" si="172"/>
        <v>0</v>
      </c>
      <c r="F1022" s="211">
        <f t="shared" si="172"/>
        <v>0</v>
      </c>
      <c r="G1022" s="211">
        <f t="shared" si="172"/>
        <v>0</v>
      </c>
      <c r="H1022" s="211">
        <f t="shared" si="172"/>
        <v>0</v>
      </c>
      <c r="I1022" s="211">
        <f t="shared" si="172"/>
        <v>0</v>
      </c>
      <c r="J1022" s="211">
        <f t="shared" si="172"/>
        <v>0</v>
      </c>
      <c r="K1022" s="211">
        <f t="shared" si="172"/>
        <v>0</v>
      </c>
      <c r="L1022" s="211">
        <f t="shared" si="172"/>
        <v>0</v>
      </c>
      <c r="M1022" s="211">
        <f t="shared" si="172"/>
        <v>0</v>
      </c>
      <c r="N1022" s="211">
        <f t="shared" si="172"/>
        <v>1818</v>
      </c>
      <c r="O1022" s="211">
        <f t="shared" si="172"/>
        <v>5819333</v>
      </c>
      <c r="P1022" s="211">
        <f t="shared" si="172"/>
        <v>0</v>
      </c>
      <c r="Q1022" s="211">
        <f t="shared" si="172"/>
        <v>0</v>
      </c>
      <c r="R1022" s="211">
        <f t="shared" si="172"/>
        <v>0</v>
      </c>
      <c r="S1022" s="211">
        <f t="shared" si="172"/>
        <v>0</v>
      </c>
      <c r="T1022" s="211">
        <f t="shared" si="172"/>
        <v>0</v>
      </c>
      <c r="U1022" s="211">
        <f t="shared" si="172"/>
        <v>0</v>
      </c>
      <c r="V1022" s="282"/>
      <c r="W1022" s="282"/>
      <c r="X1022" s="282"/>
      <c r="Y1022" s="25"/>
      <c r="Z1022" s="25"/>
    </row>
    <row r="1023" spans="1:31">
      <c r="A1023" s="487">
        <v>444</v>
      </c>
      <c r="B1023" s="499" t="s">
        <v>612</v>
      </c>
      <c r="C1023" s="498">
        <v>1575182</v>
      </c>
      <c r="D1023" s="498">
        <v>0</v>
      </c>
      <c r="E1023" s="498">
        <v>0</v>
      </c>
      <c r="F1023" s="498">
        <v>0</v>
      </c>
      <c r="G1023" s="498">
        <v>0</v>
      </c>
      <c r="H1023" s="498">
        <v>0</v>
      </c>
      <c r="I1023" s="498">
        <v>0</v>
      </c>
      <c r="J1023" s="498">
        <v>0</v>
      </c>
      <c r="K1023" s="498">
        <v>0</v>
      </c>
      <c r="L1023" s="502">
        <v>0</v>
      </c>
      <c r="M1023" s="498">
        <v>0</v>
      </c>
      <c r="N1023" s="498">
        <v>493</v>
      </c>
      <c r="O1023" s="498">
        <v>1575182</v>
      </c>
      <c r="P1023" s="503">
        <v>0</v>
      </c>
      <c r="Q1023" s="498">
        <v>0</v>
      </c>
      <c r="R1023" s="503">
        <v>0</v>
      </c>
      <c r="S1023" s="498">
        <v>0</v>
      </c>
      <c r="T1023" s="502">
        <v>0</v>
      </c>
      <c r="U1023" s="504">
        <v>0</v>
      </c>
      <c r="V1023" s="282"/>
      <c r="W1023" s="282">
        <f>O1023/N1023</f>
        <v>3195.0953346855986</v>
      </c>
      <c r="X1023" s="282"/>
    </row>
    <row r="1024" spans="1:31" ht="27.6">
      <c r="A1024" s="487">
        <v>445</v>
      </c>
      <c r="B1024" s="499" t="s">
        <v>613</v>
      </c>
      <c r="C1024" s="498">
        <v>1455693</v>
      </c>
      <c r="D1024" s="498">
        <v>0</v>
      </c>
      <c r="E1024" s="498">
        <v>0</v>
      </c>
      <c r="F1024" s="498">
        <v>0</v>
      </c>
      <c r="G1024" s="498">
        <v>0</v>
      </c>
      <c r="H1024" s="498">
        <v>0</v>
      </c>
      <c r="I1024" s="498">
        <v>0</v>
      </c>
      <c r="J1024" s="498">
        <v>0</v>
      </c>
      <c r="K1024" s="498">
        <v>0</v>
      </c>
      <c r="L1024" s="502">
        <v>0</v>
      </c>
      <c r="M1024" s="498">
        <v>0</v>
      </c>
      <c r="N1024" s="498">
        <v>455</v>
      </c>
      <c r="O1024" s="498">
        <v>1455693</v>
      </c>
      <c r="P1024" s="503">
        <v>0</v>
      </c>
      <c r="Q1024" s="498">
        <v>0</v>
      </c>
      <c r="R1024" s="503">
        <v>0</v>
      </c>
      <c r="S1024" s="498">
        <v>0</v>
      </c>
      <c r="T1024" s="502">
        <v>0</v>
      </c>
      <c r="U1024" s="504">
        <v>0</v>
      </c>
      <c r="V1024" s="282"/>
      <c r="W1024" s="282">
        <f t="shared" ref="W1024:W1026" si="173">O1024/N1024</f>
        <v>3199.3252747252745</v>
      </c>
      <c r="X1024" s="282"/>
    </row>
    <row r="1025" spans="1:35">
      <c r="A1025" s="487">
        <v>446</v>
      </c>
      <c r="B1025" s="499" t="s">
        <v>614</v>
      </c>
      <c r="C1025" s="498">
        <v>1394327</v>
      </c>
      <c r="D1025" s="498">
        <v>0</v>
      </c>
      <c r="E1025" s="498">
        <v>0</v>
      </c>
      <c r="F1025" s="498">
        <v>0</v>
      </c>
      <c r="G1025" s="498">
        <v>0</v>
      </c>
      <c r="H1025" s="498">
        <v>0</v>
      </c>
      <c r="I1025" s="498">
        <v>0</v>
      </c>
      <c r="J1025" s="498">
        <v>0</v>
      </c>
      <c r="K1025" s="498">
        <v>0</v>
      </c>
      <c r="L1025" s="502">
        <v>0</v>
      </c>
      <c r="M1025" s="498">
        <v>0</v>
      </c>
      <c r="N1025" s="498">
        <v>435</v>
      </c>
      <c r="O1025" s="498">
        <v>1394327</v>
      </c>
      <c r="P1025" s="503">
        <v>0</v>
      </c>
      <c r="Q1025" s="498">
        <v>0</v>
      </c>
      <c r="R1025" s="498">
        <v>0</v>
      </c>
      <c r="S1025" s="498">
        <v>0</v>
      </c>
      <c r="T1025" s="502">
        <v>0</v>
      </c>
      <c r="U1025" s="504">
        <v>0</v>
      </c>
      <c r="V1025" s="282"/>
      <c r="W1025" s="282">
        <f t="shared" si="173"/>
        <v>3205.3494252873561</v>
      </c>
      <c r="X1025" s="282"/>
      <c r="Y1025" s="25"/>
      <c r="Z1025" s="25"/>
    </row>
    <row r="1026" spans="1:35">
      <c r="A1026" s="487">
        <v>447</v>
      </c>
      <c r="B1026" s="499" t="s">
        <v>615</v>
      </c>
      <c r="C1026" s="498">
        <v>1394131</v>
      </c>
      <c r="D1026" s="498">
        <v>0</v>
      </c>
      <c r="E1026" s="498">
        <v>0</v>
      </c>
      <c r="F1026" s="498">
        <v>0</v>
      </c>
      <c r="G1026" s="498">
        <v>0</v>
      </c>
      <c r="H1026" s="498">
        <v>0</v>
      </c>
      <c r="I1026" s="498">
        <v>0</v>
      </c>
      <c r="J1026" s="498">
        <v>0</v>
      </c>
      <c r="K1026" s="498">
        <v>0</v>
      </c>
      <c r="L1026" s="502">
        <v>0</v>
      </c>
      <c r="M1026" s="498">
        <v>0</v>
      </c>
      <c r="N1026" s="498">
        <v>435</v>
      </c>
      <c r="O1026" s="498">
        <v>1394131</v>
      </c>
      <c r="P1026" s="503">
        <v>0</v>
      </c>
      <c r="Q1026" s="498">
        <v>0</v>
      </c>
      <c r="R1026" s="503">
        <v>0</v>
      </c>
      <c r="S1026" s="498">
        <v>0</v>
      </c>
      <c r="T1026" s="502">
        <v>0</v>
      </c>
      <c r="U1026" s="504">
        <v>0</v>
      </c>
      <c r="V1026" s="282"/>
      <c r="W1026" s="282">
        <f t="shared" si="173"/>
        <v>3204.8988505747125</v>
      </c>
      <c r="X1026" s="282"/>
    </row>
    <row r="1027" spans="1:35">
      <c r="A1027" s="198"/>
      <c r="B1027" s="216" t="s">
        <v>65</v>
      </c>
      <c r="C1027" s="211">
        <f>C1028+C1030</f>
        <v>3125223</v>
      </c>
      <c r="D1027" s="211">
        <f t="shared" ref="D1027:V1027" si="174">D1028+D1030</f>
        <v>0</v>
      </c>
      <c r="E1027" s="211">
        <f t="shared" si="174"/>
        <v>0</v>
      </c>
      <c r="F1027" s="211">
        <f t="shared" si="174"/>
        <v>0</v>
      </c>
      <c r="G1027" s="211">
        <f t="shared" si="174"/>
        <v>0</v>
      </c>
      <c r="H1027" s="211">
        <f t="shared" si="174"/>
        <v>0</v>
      </c>
      <c r="I1027" s="211">
        <f t="shared" si="174"/>
        <v>0</v>
      </c>
      <c r="J1027" s="211">
        <f t="shared" si="174"/>
        <v>0</v>
      </c>
      <c r="K1027" s="211">
        <f t="shared" si="174"/>
        <v>0</v>
      </c>
      <c r="L1027" s="211">
        <f t="shared" si="174"/>
        <v>0</v>
      </c>
      <c r="M1027" s="211">
        <f t="shared" si="174"/>
        <v>0</v>
      </c>
      <c r="N1027" s="211">
        <f t="shared" si="174"/>
        <v>977.7</v>
      </c>
      <c r="O1027" s="211">
        <f t="shared" si="174"/>
        <v>3125223</v>
      </c>
      <c r="P1027" s="211">
        <f t="shared" si="174"/>
        <v>0</v>
      </c>
      <c r="Q1027" s="211">
        <f t="shared" si="174"/>
        <v>0</v>
      </c>
      <c r="R1027" s="211">
        <f t="shared" si="174"/>
        <v>0</v>
      </c>
      <c r="S1027" s="211">
        <f t="shared" si="174"/>
        <v>0</v>
      </c>
      <c r="T1027" s="211">
        <f t="shared" si="174"/>
        <v>0</v>
      </c>
      <c r="U1027" s="211">
        <f t="shared" si="174"/>
        <v>0</v>
      </c>
      <c r="V1027" s="211">
        <f t="shared" si="174"/>
        <v>0</v>
      </c>
      <c r="W1027" s="282"/>
      <c r="X1027" s="282"/>
    </row>
    <row r="1028" spans="1:35" ht="27.6">
      <c r="A1028" s="198"/>
      <c r="B1028" s="214" t="s">
        <v>633</v>
      </c>
      <c r="C1028" s="211">
        <f>C1029</f>
        <v>1402855</v>
      </c>
      <c r="D1028" s="211">
        <f t="shared" ref="D1028:U1028" si="175">D1029</f>
        <v>0</v>
      </c>
      <c r="E1028" s="211">
        <f t="shared" si="175"/>
        <v>0</v>
      </c>
      <c r="F1028" s="211">
        <f t="shared" si="175"/>
        <v>0</v>
      </c>
      <c r="G1028" s="211">
        <f t="shared" si="175"/>
        <v>0</v>
      </c>
      <c r="H1028" s="211">
        <f t="shared" si="175"/>
        <v>0</v>
      </c>
      <c r="I1028" s="211">
        <f t="shared" si="175"/>
        <v>0</v>
      </c>
      <c r="J1028" s="211">
        <f t="shared" si="175"/>
        <v>0</v>
      </c>
      <c r="K1028" s="211">
        <f t="shared" si="175"/>
        <v>0</v>
      </c>
      <c r="L1028" s="211">
        <f t="shared" si="175"/>
        <v>0</v>
      </c>
      <c r="M1028" s="211">
        <f t="shared" si="175"/>
        <v>0</v>
      </c>
      <c r="N1028" s="211">
        <f t="shared" si="175"/>
        <v>438</v>
      </c>
      <c r="O1028" s="211">
        <f t="shared" si="175"/>
        <v>1402855</v>
      </c>
      <c r="P1028" s="211">
        <f t="shared" si="175"/>
        <v>0</v>
      </c>
      <c r="Q1028" s="211">
        <f t="shared" si="175"/>
        <v>0</v>
      </c>
      <c r="R1028" s="211">
        <f t="shared" si="175"/>
        <v>0</v>
      </c>
      <c r="S1028" s="211">
        <f t="shared" si="175"/>
        <v>0</v>
      </c>
      <c r="T1028" s="211">
        <f t="shared" si="175"/>
        <v>0</v>
      </c>
      <c r="U1028" s="211">
        <f t="shared" si="175"/>
        <v>0</v>
      </c>
      <c r="V1028" s="282"/>
      <c r="W1028" s="282"/>
      <c r="X1028" s="282"/>
    </row>
    <row r="1029" spans="1:35">
      <c r="A1029" s="198">
        <v>448</v>
      </c>
      <c r="B1029" s="214" t="s">
        <v>634</v>
      </c>
      <c r="C1029" s="211">
        <v>1402855</v>
      </c>
      <c r="D1029" s="211">
        <v>0</v>
      </c>
      <c r="E1029" s="211">
        <v>0</v>
      </c>
      <c r="F1029" s="211">
        <v>0</v>
      </c>
      <c r="G1029" s="211">
        <v>0</v>
      </c>
      <c r="H1029" s="211">
        <v>0</v>
      </c>
      <c r="I1029" s="211">
        <v>0</v>
      </c>
      <c r="J1029" s="211">
        <v>0</v>
      </c>
      <c r="K1029" s="211">
        <v>0</v>
      </c>
      <c r="L1029" s="212">
        <v>0</v>
      </c>
      <c r="M1029" s="211">
        <v>0</v>
      </c>
      <c r="N1029" s="211">
        <v>438</v>
      </c>
      <c r="O1029" s="211">
        <v>1402855</v>
      </c>
      <c r="P1029" s="213">
        <v>0</v>
      </c>
      <c r="Q1029" s="211">
        <v>0</v>
      </c>
      <c r="R1029" s="213">
        <v>0</v>
      </c>
      <c r="S1029" s="211">
        <v>0</v>
      </c>
      <c r="T1029" s="212">
        <v>0</v>
      </c>
      <c r="U1029" s="290">
        <v>0</v>
      </c>
      <c r="V1029" s="282"/>
      <c r="W1029" s="282">
        <f>O1029/N1029</f>
        <v>3202.8652968036531</v>
      </c>
      <c r="X1029" s="282"/>
    </row>
    <row r="1030" spans="1:35" ht="27.6">
      <c r="A1030" s="198"/>
      <c r="B1030" s="214" t="s">
        <v>635</v>
      </c>
      <c r="C1030" s="211">
        <f>C1031</f>
        <v>1722368</v>
      </c>
      <c r="D1030" s="211">
        <f t="shared" ref="D1030:U1030" si="176">D1031</f>
        <v>0</v>
      </c>
      <c r="E1030" s="211">
        <f t="shared" si="176"/>
        <v>0</v>
      </c>
      <c r="F1030" s="211">
        <f t="shared" si="176"/>
        <v>0</v>
      </c>
      <c r="G1030" s="211">
        <f t="shared" si="176"/>
        <v>0</v>
      </c>
      <c r="H1030" s="211">
        <f t="shared" si="176"/>
        <v>0</v>
      </c>
      <c r="I1030" s="211">
        <f t="shared" si="176"/>
        <v>0</v>
      </c>
      <c r="J1030" s="211">
        <f t="shared" si="176"/>
        <v>0</v>
      </c>
      <c r="K1030" s="211">
        <f t="shared" si="176"/>
        <v>0</v>
      </c>
      <c r="L1030" s="211">
        <f t="shared" si="176"/>
        <v>0</v>
      </c>
      <c r="M1030" s="211">
        <f t="shared" si="176"/>
        <v>0</v>
      </c>
      <c r="N1030" s="211">
        <f t="shared" si="176"/>
        <v>539.70000000000005</v>
      </c>
      <c r="O1030" s="211">
        <f t="shared" si="176"/>
        <v>1722368</v>
      </c>
      <c r="P1030" s="211">
        <f t="shared" si="176"/>
        <v>0</v>
      </c>
      <c r="Q1030" s="211">
        <f t="shared" si="176"/>
        <v>0</v>
      </c>
      <c r="R1030" s="211">
        <f t="shared" si="176"/>
        <v>0</v>
      </c>
      <c r="S1030" s="211">
        <f t="shared" si="176"/>
        <v>0</v>
      </c>
      <c r="T1030" s="211">
        <f t="shared" si="176"/>
        <v>0</v>
      </c>
      <c r="U1030" s="211">
        <f t="shared" si="176"/>
        <v>0</v>
      </c>
      <c r="V1030" s="282"/>
      <c r="W1030" s="282"/>
      <c r="X1030" s="282"/>
    </row>
    <row r="1031" spans="1:35">
      <c r="A1031" s="198">
        <v>449</v>
      </c>
      <c r="B1031" s="214" t="s">
        <v>636</v>
      </c>
      <c r="C1031" s="211">
        <v>1722368</v>
      </c>
      <c r="D1031" s="211">
        <v>0</v>
      </c>
      <c r="E1031" s="211">
        <v>0</v>
      </c>
      <c r="F1031" s="211">
        <v>0</v>
      </c>
      <c r="G1031" s="211">
        <v>0</v>
      </c>
      <c r="H1031" s="211">
        <v>0</v>
      </c>
      <c r="I1031" s="211">
        <v>0</v>
      </c>
      <c r="J1031" s="211">
        <v>0</v>
      </c>
      <c r="K1031" s="211">
        <v>0</v>
      </c>
      <c r="L1031" s="212">
        <v>0</v>
      </c>
      <c r="M1031" s="211">
        <v>0</v>
      </c>
      <c r="N1031" s="211">
        <v>539.70000000000005</v>
      </c>
      <c r="O1031" s="211">
        <v>1722368</v>
      </c>
      <c r="P1031" s="213">
        <v>0</v>
      </c>
      <c r="Q1031" s="211">
        <v>0</v>
      </c>
      <c r="R1031" s="213">
        <v>0</v>
      </c>
      <c r="S1031" s="211">
        <v>0</v>
      </c>
      <c r="T1031" s="212">
        <v>0</v>
      </c>
      <c r="U1031" s="290">
        <v>0</v>
      </c>
      <c r="V1031" s="282"/>
      <c r="W1031" s="282">
        <f>O1031/N1031</f>
        <v>3191.3433388919766</v>
      </c>
      <c r="X1031" s="282"/>
    </row>
    <row r="1032" spans="1:35">
      <c r="A1032" s="198"/>
      <c r="B1032" s="216" t="s">
        <v>66</v>
      </c>
      <c r="C1032" s="211">
        <f>C1033</f>
        <v>2792955</v>
      </c>
      <c r="D1032" s="211">
        <f t="shared" ref="D1032:V1032" si="177">D1033</f>
        <v>0</v>
      </c>
      <c r="E1032" s="211">
        <f t="shared" si="177"/>
        <v>0</v>
      </c>
      <c r="F1032" s="211">
        <f t="shared" si="177"/>
        <v>0</v>
      </c>
      <c r="G1032" s="211">
        <f t="shared" si="177"/>
        <v>0</v>
      </c>
      <c r="H1032" s="211">
        <f t="shared" si="177"/>
        <v>0</v>
      </c>
      <c r="I1032" s="211">
        <f t="shared" si="177"/>
        <v>0</v>
      </c>
      <c r="J1032" s="211">
        <f t="shared" si="177"/>
        <v>0</v>
      </c>
      <c r="K1032" s="211">
        <f t="shared" si="177"/>
        <v>0</v>
      </c>
      <c r="L1032" s="211">
        <f t="shared" si="177"/>
        <v>0</v>
      </c>
      <c r="M1032" s="211">
        <f t="shared" si="177"/>
        <v>0</v>
      </c>
      <c r="N1032" s="211">
        <f t="shared" si="177"/>
        <v>880</v>
      </c>
      <c r="O1032" s="211">
        <f t="shared" si="177"/>
        <v>2792955</v>
      </c>
      <c r="P1032" s="211">
        <f t="shared" si="177"/>
        <v>0</v>
      </c>
      <c r="Q1032" s="211">
        <f t="shared" si="177"/>
        <v>0</v>
      </c>
      <c r="R1032" s="211">
        <f t="shared" si="177"/>
        <v>0</v>
      </c>
      <c r="S1032" s="211">
        <f t="shared" si="177"/>
        <v>0</v>
      </c>
      <c r="T1032" s="211">
        <f t="shared" si="177"/>
        <v>0</v>
      </c>
      <c r="U1032" s="211">
        <f t="shared" si="177"/>
        <v>0</v>
      </c>
      <c r="V1032" s="211">
        <f t="shared" si="177"/>
        <v>0</v>
      </c>
      <c r="W1032" s="282"/>
      <c r="X1032" s="282"/>
    </row>
    <row r="1033" spans="1:35" ht="27.6">
      <c r="A1033" s="198"/>
      <c r="B1033" s="214" t="s">
        <v>114</v>
      </c>
      <c r="C1033" s="211">
        <f>C1034</f>
        <v>2792955</v>
      </c>
      <c r="D1033" s="211">
        <f t="shared" ref="D1033:U1033" si="178">D1034</f>
        <v>0</v>
      </c>
      <c r="E1033" s="211">
        <f t="shared" si="178"/>
        <v>0</v>
      </c>
      <c r="F1033" s="211">
        <f t="shared" si="178"/>
        <v>0</v>
      </c>
      <c r="G1033" s="211">
        <f t="shared" si="178"/>
        <v>0</v>
      </c>
      <c r="H1033" s="211">
        <f t="shared" si="178"/>
        <v>0</v>
      </c>
      <c r="I1033" s="211">
        <f t="shared" si="178"/>
        <v>0</v>
      </c>
      <c r="J1033" s="211">
        <f t="shared" si="178"/>
        <v>0</v>
      </c>
      <c r="K1033" s="211">
        <f t="shared" si="178"/>
        <v>0</v>
      </c>
      <c r="L1033" s="211">
        <f t="shared" si="178"/>
        <v>0</v>
      </c>
      <c r="M1033" s="211">
        <f t="shared" si="178"/>
        <v>0</v>
      </c>
      <c r="N1033" s="211">
        <f t="shared" si="178"/>
        <v>880</v>
      </c>
      <c r="O1033" s="211">
        <f t="shared" si="178"/>
        <v>2792955</v>
      </c>
      <c r="P1033" s="211">
        <f t="shared" si="178"/>
        <v>0</v>
      </c>
      <c r="Q1033" s="211">
        <f t="shared" si="178"/>
        <v>0</v>
      </c>
      <c r="R1033" s="211">
        <f t="shared" si="178"/>
        <v>0</v>
      </c>
      <c r="S1033" s="211">
        <f t="shared" si="178"/>
        <v>0</v>
      </c>
      <c r="T1033" s="211">
        <f t="shared" si="178"/>
        <v>0</v>
      </c>
      <c r="U1033" s="211">
        <f t="shared" si="178"/>
        <v>0</v>
      </c>
      <c r="V1033" s="282"/>
      <c r="W1033" s="282"/>
      <c r="X1033" s="282"/>
    </row>
    <row r="1034" spans="1:35" ht="15.6">
      <c r="A1034" s="487">
        <v>450</v>
      </c>
      <c r="B1034" s="364" t="s">
        <v>500</v>
      </c>
      <c r="C1034" s="498">
        <v>2792955</v>
      </c>
      <c r="D1034" s="498">
        <v>0</v>
      </c>
      <c r="E1034" s="498">
        <v>0</v>
      </c>
      <c r="F1034" s="498">
        <v>0</v>
      </c>
      <c r="G1034" s="498">
        <v>0</v>
      </c>
      <c r="H1034" s="498">
        <v>0</v>
      </c>
      <c r="I1034" s="498">
        <v>0</v>
      </c>
      <c r="J1034" s="498">
        <v>0</v>
      </c>
      <c r="K1034" s="498">
        <v>0</v>
      </c>
      <c r="L1034" s="502">
        <v>0</v>
      </c>
      <c r="M1034" s="498">
        <v>0</v>
      </c>
      <c r="N1034" s="498">
        <v>880</v>
      </c>
      <c r="O1034" s="498">
        <v>2792955</v>
      </c>
      <c r="P1034" s="503">
        <v>0</v>
      </c>
      <c r="Q1034" s="498">
        <v>0</v>
      </c>
      <c r="R1034" s="503">
        <v>0</v>
      </c>
      <c r="S1034" s="498">
        <v>0</v>
      </c>
      <c r="T1034" s="502">
        <v>0</v>
      </c>
      <c r="U1034" s="504">
        <v>0</v>
      </c>
      <c r="V1034" s="282"/>
      <c r="W1034" s="282">
        <f>O1034/N1034</f>
        <v>3173.8125</v>
      </c>
      <c r="X1034" s="282"/>
    </row>
    <row r="1035" spans="1:35" ht="15.6">
      <c r="A1035" s="487"/>
      <c r="B1035" s="364"/>
      <c r="C1035" s="498"/>
      <c r="D1035" s="498"/>
      <c r="E1035" s="498"/>
      <c r="F1035" s="498"/>
      <c r="G1035" s="498"/>
      <c r="H1035" s="498"/>
      <c r="I1035" s="498"/>
      <c r="J1035" s="498"/>
      <c r="K1035" s="498"/>
      <c r="L1035" s="502"/>
      <c r="M1035" s="498"/>
      <c r="N1035" s="498"/>
      <c r="O1035" s="498"/>
      <c r="P1035" s="503"/>
      <c r="Q1035" s="498"/>
      <c r="R1035" s="503"/>
      <c r="S1035" s="498"/>
      <c r="T1035" s="502"/>
      <c r="U1035" s="504"/>
      <c r="V1035" s="282"/>
      <c r="W1035" s="282"/>
      <c r="X1035" s="282"/>
    </row>
    <row r="1036" spans="1:35" ht="15.6">
      <c r="A1036" s="487"/>
      <c r="B1036" s="364"/>
      <c r="C1036" s="498"/>
      <c r="D1036" s="498"/>
      <c r="E1036" s="498"/>
      <c r="F1036" s="498"/>
      <c r="G1036" s="498"/>
      <c r="H1036" s="498"/>
      <c r="I1036" s="498"/>
      <c r="J1036" s="498"/>
      <c r="K1036" s="498"/>
      <c r="L1036" s="502"/>
      <c r="M1036" s="498"/>
      <c r="N1036" s="498"/>
      <c r="O1036" s="498"/>
      <c r="P1036" s="503"/>
      <c r="Q1036" s="498"/>
      <c r="R1036" s="503"/>
      <c r="S1036" s="498"/>
      <c r="T1036" s="502"/>
      <c r="U1036" s="504"/>
      <c r="V1036" s="282"/>
      <c r="W1036" s="282"/>
      <c r="X1036" s="282"/>
    </row>
    <row r="1037" spans="1:35">
      <c r="A1037" s="198"/>
      <c r="B1037" s="214" t="s">
        <v>207</v>
      </c>
      <c r="C1037" s="211">
        <f>C1038+C1039+C1040+C1041+C1042+C1043+C1044+C1045+C1046+C1047</f>
        <v>22164555</v>
      </c>
      <c r="D1037" s="211">
        <f t="shared" ref="D1037:V1037" si="179">D1038+D1039+D1040+D1041+D1042+D1043+D1044+D1045+D1046+D1047</f>
        <v>0</v>
      </c>
      <c r="E1037" s="211">
        <f t="shared" si="179"/>
        <v>0</v>
      </c>
      <c r="F1037" s="211">
        <f t="shared" si="179"/>
        <v>0</v>
      </c>
      <c r="G1037" s="211">
        <f t="shared" si="179"/>
        <v>0</v>
      </c>
      <c r="H1037" s="211">
        <f t="shared" si="179"/>
        <v>0</v>
      </c>
      <c r="I1037" s="211">
        <f t="shared" si="179"/>
        <v>0</v>
      </c>
      <c r="J1037" s="211">
        <f t="shared" si="179"/>
        <v>0</v>
      </c>
      <c r="K1037" s="211">
        <f t="shared" si="179"/>
        <v>0</v>
      </c>
      <c r="L1037" s="211">
        <f t="shared" si="179"/>
        <v>0</v>
      </c>
      <c r="M1037" s="211">
        <f t="shared" si="179"/>
        <v>0</v>
      </c>
      <c r="N1037" s="211">
        <f t="shared" si="179"/>
        <v>8790</v>
      </c>
      <c r="O1037" s="211">
        <f t="shared" si="179"/>
        <v>22164555</v>
      </c>
      <c r="P1037" s="211">
        <f t="shared" si="179"/>
        <v>0</v>
      </c>
      <c r="Q1037" s="211">
        <f t="shared" si="179"/>
        <v>0</v>
      </c>
      <c r="R1037" s="211">
        <f t="shared" si="179"/>
        <v>0</v>
      </c>
      <c r="S1037" s="211">
        <f t="shared" si="179"/>
        <v>0</v>
      </c>
      <c r="T1037" s="211">
        <f t="shared" si="179"/>
        <v>0</v>
      </c>
      <c r="U1037" s="211">
        <f t="shared" si="179"/>
        <v>0</v>
      </c>
      <c r="V1037" s="211">
        <f t="shared" si="179"/>
        <v>0</v>
      </c>
      <c r="W1037" s="211"/>
      <c r="X1037" s="211"/>
      <c r="Y1037" s="211"/>
      <c r="Z1037" s="211"/>
      <c r="AA1037" s="211"/>
      <c r="AB1037" s="211"/>
      <c r="AC1037" s="211"/>
      <c r="AD1037" s="211"/>
      <c r="AE1037" s="211"/>
      <c r="AF1037" s="211"/>
      <c r="AG1037" s="211"/>
      <c r="AH1037" s="211"/>
      <c r="AI1037" s="211"/>
    </row>
    <row r="1038" spans="1:35">
      <c r="A1038" s="487">
        <v>453</v>
      </c>
      <c r="B1038" s="509" t="s">
        <v>512</v>
      </c>
      <c r="C1038" s="498">
        <v>3034841</v>
      </c>
      <c r="D1038" s="498">
        <v>0</v>
      </c>
      <c r="E1038" s="498">
        <v>0</v>
      </c>
      <c r="F1038" s="498">
        <v>0</v>
      </c>
      <c r="G1038" s="498">
        <v>0</v>
      </c>
      <c r="H1038" s="498">
        <v>0</v>
      </c>
      <c r="I1038" s="498">
        <v>0</v>
      </c>
      <c r="J1038" s="498">
        <v>0</v>
      </c>
      <c r="K1038" s="498">
        <v>0</v>
      </c>
      <c r="L1038" s="502">
        <v>0</v>
      </c>
      <c r="M1038" s="498">
        <v>0</v>
      </c>
      <c r="N1038" s="510">
        <v>1206</v>
      </c>
      <c r="O1038" s="498">
        <v>3034841</v>
      </c>
      <c r="P1038" s="502">
        <v>0</v>
      </c>
      <c r="Q1038" s="498">
        <v>0</v>
      </c>
      <c r="R1038" s="503">
        <v>0</v>
      </c>
      <c r="S1038" s="498">
        <v>0</v>
      </c>
      <c r="T1038" s="502">
        <v>0</v>
      </c>
      <c r="U1038" s="504">
        <v>0</v>
      </c>
      <c r="V1038" s="282"/>
      <c r="W1038" s="282">
        <f>O1038/N1038</f>
        <v>2516.4519071310115</v>
      </c>
      <c r="X1038" s="282"/>
    </row>
    <row r="1039" spans="1:35">
      <c r="A1039" s="487">
        <v>454</v>
      </c>
      <c r="B1039" s="509" t="s">
        <v>513</v>
      </c>
      <c r="C1039" s="498">
        <v>925522</v>
      </c>
      <c r="D1039" s="498">
        <v>0</v>
      </c>
      <c r="E1039" s="498">
        <v>0</v>
      </c>
      <c r="F1039" s="498">
        <v>0</v>
      </c>
      <c r="G1039" s="498">
        <v>0</v>
      </c>
      <c r="H1039" s="498">
        <v>0</v>
      </c>
      <c r="I1039" s="498">
        <v>0</v>
      </c>
      <c r="J1039" s="498">
        <v>0</v>
      </c>
      <c r="K1039" s="498">
        <v>0</v>
      </c>
      <c r="L1039" s="502">
        <v>0</v>
      </c>
      <c r="M1039" s="498">
        <v>0</v>
      </c>
      <c r="N1039" s="510">
        <v>358</v>
      </c>
      <c r="O1039" s="498">
        <v>925522</v>
      </c>
      <c r="P1039" s="502">
        <v>0</v>
      </c>
      <c r="Q1039" s="498">
        <v>0</v>
      </c>
      <c r="R1039" s="503">
        <v>0</v>
      </c>
      <c r="S1039" s="498">
        <v>0</v>
      </c>
      <c r="T1039" s="502">
        <v>0</v>
      </c>
      <c r="U1039" s="504">
        <v>0</v>
      </c>
      <c r="V1039" s="282"/>
      <c r="W1039" s="282">
        <f t="shared" ref="W1039:W1047" si="180">O1039/N1039</f>
        <v>2585.2569832402237</v>
      </c>
      <c r="X1039" s="282"/>
    </row>
    <row r="1040" spans="1:35">
      <c r="A1040" s="487">
        <v>455</v>
      </c>
      <c r="B1040" s="509" t="s">
        <v>514</v>
      </c>
      <c r="C1040" s="498">
        <v>1823451</v>
      </c>
      <c r="D1040" s="498">
        <v>0</v>
      </c>
      <c r="E1040" s="498">
        <v>0</v>
      </c>
      <c r="F1040" s="498">
        <v>0</v>
      </c>
      <c r="G1040" s="498">
        <v>0</v>
      </c>
      <c r="H1040" s="498">
        <v>0</v>
      </c>
      <c r="I1040" s="498">
        <v>0</v>
      </c>
      <c r="J1040" s="498">
        <v>0</v>
      </c>
      <c r="K1040" s="498">
        <v>0</v>
      </c>
      <c r="L1040" s="502">
        <v>0</v>
      </c>
      <c r="M1040" s="498">
        <v>0</v>
      </c>
      <c r="N1040" s="498">
        <v>719</v>
      </c>
      <c r="O1040" s="498">
        <v>1823451</v>
      </c>
      <c r="P1040" s="502">
        <v>0</v>
      </c>
      <c r="Q1040" s="498">
        <v>0</v>
      </c>
      <c r="R1040" s="503">
        <v>0</v>
      </c>
      <c r="S1040" s="498">
        <v>0</v>
      </c>
      <c r="T1040" s="502">
        <v>0</v>
      </c>
      <c r="U1040" s="504">
        <v>0</v>
      </c>
      <c r="V1040" s="282"/>
      <c r="W1040" s="282">
        <f t="shared" si="180"/>
        <v>2536.0931849791377</v>
      </c>
      <c r="X1040" s="282"/>
    </row>
    <row r="1041" spans="1:49">
      <c r="A1041" s="487">
        <v>456</v>
      </c>
      <c r="B1041" s="509" t="s">
        <v>515</v>
      </c>
      <c r="C1041" s="498">
        <v>3802042</v>
      </c>
      <c r="D1041" s="498">
        <v>0</v>
      </c>
      <c r="E1041" s="498">
        <v>0</v>
      </c>
      <c r="F1041" s="498">
        <v>0</v>
      </c>
      <c r="G1041" s="498">
        <v>0</v>
      </c>
      <c r="H1041" s="498">
        <v>0</v>
      </c>
      <c r="I1041" s="498">
        <v>0</v>
      </c>
      <c r="J1041" s="498">
        <v>0</v>
      </c>
      <c r="K1041" s="498">
        <v>0</v>
      </c>
      <c r="L1041" s="502">
        <v>0</v>
      </c>
      <c r="M1041" s="498">
        <v>0</v>
      </c>
      <c r="N1041" s="510">
        <v>1514</v>
      </c>
      <c r="O1041" s="498">
        <v>3802042</v>
      </c>
      <c r="P1041" s="502">
        <v>0</v>
      </c>
      <c r="Q1041" s="498">
        <v>0</v>
      </c>
      <c r="R1041" s="503">
        <v>0</v>
      </c>
      <c r="S1041" s="498">
        <v>0</v>
      </c>
      <c r="T1041" s="502">
        <v>0</v>
      </c>
      <c r="U1041" s="504">
        <v>0</v>
      </c>
      <c r="V1041" s="282"/>
      <c r="W1041" s="282">
        <f t="shared" si="180"/>
        <v>2511.2562747688244</v>
      </c>
      <c r="X1041" s="282"/>
    </row>
    <row r="1042" spans="1:49">
      <c r="A1042" s="487">
        <v>457</v>
      </c>
      <c r="B1042" s="509" t="s">
        <v>516</v>
      </c>
      <c r="C1042" s="498">
        <v>2887804</v>
      </c>
      <c r="D1042" s="498">
        <v>0</v>
      </c>
      <c r="E1042" s="498">
        <v>0</v>
      </c>
      <c r="F1042" s="498">
        <v>0</v>
      </c>
      <c r="G1042" s="498">
        <v>0</v>
      </c>
      <c r="H1042" s="498">
        <v>0</v>
      </c>
      <c r="I1042" s="498">
        <v>0</v>
      </c>
      <c r="J1042" s="498">
        <v>0</v>
      </c>
      <c r="K1042" s="498">
        <v>0</v>
      </c>
      <c r="L1042" s="502">
        <v>0</v>
      </c>
      <c r="M1042" s="498">
        <v>0</v>
      </c>
      <c r="N1042" s="510">
        <v>1147</v>
      </c>
      <c r="O1042" s="498">
        <v>2887804</v>
      </c>
      <c r="P1042" s="502">
        <v>0</v>
      </c>
      <c r="Q1042" s="498">
        <v>0</v>
      </c>
      <c r="R1042" s="503">
        <v>0</v>
      </c>
      <c r="S1042" s="498">
        <v>0</v>
      </c>
      <c r="T1042" s="502">
        <v>0</v>
      </c>
      <c r="U1042" s="504">
        <v>0</v>
      </c>
      <c r="V1042" s="282"/>
      <c r="W1042" s="282">
        <f t="shared" si="180"/>
        <v>2517.7018308631214</v>
      </c>
      <c r="X1042" s="282"/>
    </row>
    <row r="1043" spans="1:49">
      <c r="A1043" s="487">
        <v>458</v>
      </c>
      <c r="B1043" s="509" t="s">
        <v>517</v>
      </c>
      <c r="C1043" s="498">
        <v>928016</v>
      </c>
      <c r="D1043" s="498">
        <v>0</v>
      </c>
      <c r="E1043" s="498">
        <v>0</v>
      </c>
      <c r="F1043" s="498">
        <v>0</v>
      </c>
      <c r="G1043" s="498">
        <v>0</v>
      </c>
      <c r="H1043" s="498">
        <v>0</v>
      </c>
      <c r="I1043" s="498">
        <v>0</v>
      </c>
      <c r="J1043" s="498">
        <v>0</v>
      </c>
      <c r="K1043" s="498">
        <v>0</v>
      </c>
      <c r="L1043" s="502">
        <v>0</v>
      </c>
      <c r="M1043" s="498">
        <v>0</v>
      </c>
      <c r="N1043" s="510">
        <v>359</v>
      </c>
      <c r="O1043" s="498">
        <v>928016</v>
      </c>
      <c r="P1043" s="502">
        <v>0</v>
      </c>
      <c r="Q1043" s="498">
        <v>0</v>
      </c>
      <c r="R1043" s="503">
        <v>0</v>
      </c>
      <c r="S1043" s="498">
        <v>0</v>
      </c>
      <c r="T1043" s="502">
        <v>0</v>
      </c>
      <c r="U1043" s="504">
        <v>0</v>
      </c>
      <c r="V1043" s="282"/>
      <c r="W1043" s="282">
        <f t="shared" si="180"/>
        <v>2585.0027855153203</v>
      </c>
      <c r="X1043" s="282"/>
    </row>
    <row r="1044" spans="1:49">
      <c r="A1044" s="487">
        <v>459</v>
      </c>
      <c r="B1044" s="509" t="s">
        <v>518</v>
      </c>
      <c r="C1044" s="498">
        <v>935370</v>
      </c>
      <c r="D1044" s="498">
        <v>0</v>
      </c>
      <c r="E1044" s="498">
        <v>0</v>
      </c>
      <c r="F1044" s="498">
        <v>0</v>
      </c>
      <c r="G1044" s="498">
        <v>0</v>
      </c>
      <c r="H1044" s="498">
        <v>0</v>
      </c>
      <c r="I1044" s="498">
        <v>0</v>
      </c>
      <c r="J1044" s="498">
        <v>0</v>
      </c>
      <c r="K1044" s="498">
        <v>0</v>
      </c>
      <c r="L1044" s="502">
        <v>0</v>
      </c>
      <c r="M1044" s="498">
        <v>0</v>
      </c>
      <c r="N1044" s="510">
        <v>362</v>
      </c>
      <c r="O1044" s="498">
        <v>935370</v>
      </c>
      <c r="P1044" s="502">
        <v>0</v>
      </c>
      <c r="Q1044" s="498">
        <v>0</v>
      </c>
      <c r="R1044" s="503">
        <v>0</v>
      </c>
      <c r="S1044" s="498">
        <v>0</v>
      </c>
      <c r="T1044" s="502">
        <v>0</v>
      </c>
      <c r="U1044" s="504">
        <v>0</v>
      </c>
      <c r="V1044" s="282"/>
      <c r="W1044" s="282">
        <f t="shared" si="180"/>
        <v>2583.8950276243095</v>
      </c>
      <c r="X1044" s="282"/>
    </row>
    <row r="1045" spans="1:49">
      <c r="A1045" s="487"/>
      <c r="B1045" s="509" t="s">
        <v>519</v>
      </c>
      <c r="C1045" s="498">
        <v>3352678</v>
      </c>
      <c r="D1045" s="498">
        <v>0</v>
      </c>
      <c r="E1045" s="498">
        <v>0</v>
      </c>
      <c r="F1045" s="498">
        <v>0</v>
      </c>
      <c r="G1045" s="498">
        <v>0</v>
      </c>
      <c r="H1045" s="498">
        <v>0</v>
      </c>
      <c r="I1045" s="498">
        <v>0</v>
      </c>
      <c r="J1045" s="498">
        <v>0</v>
      </c>
      <c r="K1045" s="498">
        <v>0</v>
      </c>
      <c r="L1045" s="502">
        <v>0</v>
      </c>
      <c r="M1045" s="498">
        <v>0</v>
      </c>
      <c r="N1045" s="510">
        <v>1341</v>
      </c>
      <c r="O1045" s="498">
        <v>3352678</v>
      </c>
      <c r="P1045" s="502">
        <v>0</v>
      </c>
      <c r="Q1045" s="498">
        <v>0</v>
      </c>
      <c r="R1045" s="503">
        <v>0</v>
      </c>
      <c r="S1045" s="498">
        <v>0</v>
      </c>
      <c r="T1045" s="502">
        <v>0</v>
      </c>
      <c r="U1045" s="504">
        <v>0</v>
      </c>
      <c r="V1045" s="282"/>
      <c r="W1045" s="282">
        <f t="shared" si="180"/>
        <v>2500.132736763609</v>
      </c>
      <c r="X1045" s="282"/>
    </row>
    <row r="1046" spans="1:49">
      <c r="A1046" s="487"/>
      <c r="B1046" s="509" t="s">
        <v>520</v>
      </c>
      <c r="C1046" s="498">
        <v>2535669</v>
      </c>
      <c r="D1046" s="498">
        <v>0</v>
      </c>
      <c r="E1046" s="498">
        <v>0</v>
      </c>
      <c r="F1046" s="498">
        <v>0</v>
      </c>
      <c r="G1046" s="498">
        <v>0</v>
      </c>
      <c r="H1046" s="498">
        <v>0</v>
      </c>
      <c r="I1046" s="498">
        <v>0</v>
      </c>
      <c r="J1046" s="498">
        <v>0</v>
      </c>
      <c r="K1046" s="498">
        <v>0</v>
      </c>
      <c r="L1046" s="502">
        <v>0</v>
      </c>
      <c r="M1046" s="498">
        <v>0</v>
      </c>
      <c r="N1046" s="510">
        <v>1012</v>
      </c>
      <c r="O1046" s="498">
        <v>2535669</v>
      </c>
      <c r="P1046" s="502">
        <v>0</v>
      </c>
      <c r="Q1046" s="498">
        <v>0</v>
      </c>
      <c r="R1046" s="503">
        <v>0</v>
      </c>
      <c r="S1046" s="498">
        <v>0</v>
      </c>
      <c r="T1046" s="502">
        <v>0</v>
      </c>
      <c r="U1046" s="504">
        <v>0</v>
      </c>
      <c r="V1046" s="282"/>
      <c r="W1046" s="282">
        <f t="shared" si="180"/>
        <v>2505.6017786561265</v>
      </c>
      <c r="X1046" s="282"/>
    </row>
    <row r="1047" spans="1:49">
      <c r="A1047" s="487"/>
      <c r="B1047" s="509" t="s">
        <v>521</v>
      </c>
      <c r="C1047" s="498">
        <v>1939162</v>
      </c>
      <c r="D1047" s="498">
        <v>0</v>
      </c>
      <c r="E1047" s="498">
        <v>0</v>
      </c>
      <c r="F1047" s="498">
        <v>0</v>
      </c>
      <c r="G1047" s="498">
        <v>0</v>
      </c>
      <c r="H1047" s="498">
        <v>0</v>
      </c>
      <c r="I1047" s="498">
        <v>0</v>
      </c>
      <c r="J1047" s="498">
        <v>0</v>
      </c>
      <c r="K1047" s="498">
        <v>0</v>
      </c>
      <c r="L1047" s="502">
        <v>0</v>
      </c>
      <c r="M1047" s="498">
        <v>0</v>
      </c>
      <c r="N1047" s="510">
        <v>772</v>
      </c>
      <c r="O1047" s="498">
        <v>1939162</v>
      </c>
      <c r="P1047" s="502">
        <v>0</v>
      </c>
      <c r="Q1047" s="498">
        <v>0</v>
      </c>
      <c r="R1047" s="503">
        <v>0</v>
      </c>
      <c r="S1047" s="498">
        <v>0</v>
      </c>
      <c r="T1047" s="502">
        <v>0</v>
      </c>
      <c r="U1047" s="504">
        <v>0</v>
      </c>
      <c r="V1047" s="282"/>
      <c r="W1047" s="282">
        <f t="shared" si="180"/>
        <v>2511.8678756476684</v>
      </c>
      <c r="X1047" s="282"/>
    </row>
    <row r="1048" spans="1:49">
      <c r="A1048" s="487"/>
      <c r="B1048" s="548"/>
      <c r="C1048" s="498"/>
      <c r="D1048" s="498"/>
      <c r="E1048" s="498"/>
      <c r="F1048" s="498"/>
      <c r="G1048" s="498"/>
      <c r="H1048" s="498"/>
      <c r="I1048" s="498"/>
      <c r="J1048" s="498"/>
      <c r="K1048" s="498"/>
      <c r="L1048" s="502"/>
      <c r="M1048" s="498"/>
      <c r="N1048" s="510"/>
      <c r="O1048" s="498"/>
      <c r="P1048" s="502"/>
      <c r="Q1048" s="498"/>
      <c r="R1048" s="503"/>
      <c r="S1048" s="498"/>
      <c r="T1048" s="502"/>
      <c r="U1048" s="504"/>
      <c r="V1048" s="282"/>
      <c r="W1048" s="282"/>
      <c r="X1048" s="282"/>
    </row>
    <row r="1049" spans="1:49">
      <c r="A1049" s="198"/>
      <c r="B1049" s="216" t="s">
        <v>67</v>
      </c>
      <c r="C1049" s="211">
        <v>2507155.0699999998</v>
      </c>
      <c r="D1049" s="211"/>
      <c r="E1049" s="211"/>
      <c r="F1049" s="211"/>
      <c r="G1049" s="211"/>
      <c r="H1049" s="211"/>
      <c r="I1049" s="211"/>
      <c r="J1049" s="211"/>
      <c r="K1049" s="211">
        <v>0</v>
      </c>
      <c r="L1049" s="212">
        <v>0</v>
      </c>
      <c r="M1049" s="211">
        <v>0</v>
      </c>
      <c r="N1049" s="211">
        <v>1630.2</v>
      </c>
      <c r="O1049" s="211">
        <v>2507155.0699999998</v>
      </c>
      <c r="P1049" s="212">
        <v>0</v>
      </c>
      <c r="Q1049" s="211">
        <v>0</v>
      </c>
      <c r="R1049" s="213">
        <v>0</v>
      </c>
      <c r="S1049" s="211">
        <v>0</v>
      </c>
      <c r="T1049" s="212">
        <v>0</v>
      </c>
      <c r="U1049" s="290">
        <v>0</v>
      </c>
      <c r="V1049" s="282"/>
      <c r="W1049" s="282"/>
      <c r="X1049" s="282"/>
    </row>
    <row r="1050" spans="1:49" ht="27.6">
      <c r="A1050" s="198"/>
      <c r="B1050" s="214" t="s">
        <v>90</v>
      </c>
      <c r="C1050" s="211">
        <v>728197.07</v>
      </c>
      <c r="D1050" s="211"/>
      <c r="E1050" s="211"/>
      <c r="F1050" s="211"/>
      <c r="G1050" s="211"/>
      <c r="H1050" s="211"/>
      <c r="I1050" s="211"/>
      <c r="J1050" s="211"/>
      <c r="K1050" s="211">
        <v>0</v>
      </c>
      <c r="L1050" s="212">
        <v>0</v>
      </c>
      <c r="M1050" s="211">
        <v>0</v>
      </c>
      <c r="N1050" s="211">
        <v>731.2</v>
      </c>
      <c r="O1050" s="211">
        <v>728197.07</v>
      </c>
      <c r="P1050" s="212">
        <v>0</v>
      </c>
      <c r="Q1050" s="211">
        <v>0</v>
      </c>
      <c r="R1050" s="213">
        <v>0</v>
      </c>
      <c r="S1050" s="211">
        <v>0</v>
      </c>
      <c r="T1050" s="212">
        <v>0</v>
      </c>
      <c r="U1050" s="290">
        <v>0</v>
      </c>
      <c r="V1050" s="282"/>
      <c r="W1050" s="282"/>
      <c r="X1050" s="282"/>
    </row>
    <row r="1051" spans="1:49" s="23" customFormat="1">
      <c r="A1051" s="198">
        <v>464</v>
      </c>
      <c r="B1051" s="241" t="s">
        <v>429</v>
      </c>
      <c r="C1051" s="211">
        <v>728197.07</v>
      </c>
      <c r="D1051" s="211"/>
      <c r="E1051" s="211"/>
      <c r="F1051" s="211"/>
      <c r="G1051" s="211"/>
      <c r="H1051" s="211"/>
      <c r="I1051" s="211"/>
      <c r="J1051" s="211"/>
      <c r="K1051" s="211">
        <v>0</v>
      </c>
      <c r="L1051" s="212">
        <v>0</v>
      </c>
      <c r="M1051" s="211">
        <v>0</v>
      </c>
      <c r="N1051" s="211">
        <v>731.2</v>
      </c>
      <c r="O1051" s="211">
        <v>728197.07</v>
      </c>
      <c r="P1051" s="212">
        <v>0</v>
      </c>
      <c r="Q1051" s="211">
        <v>0</v>
      </c>
      <c r="R1051" s="213">
        <v>0</v>
      </c>
      <c r="S1051" s="211">
        <v>0</v>
      </c>
      <c r="T1051" s="212">
        <v>0</v>
      </c>
      <c r="U1051" s="290">
        <v>0</v>
      </c>
      <c r="V1051" s="282"/>
      <c r="W1051" s="282"/>
      <c r="X1051" s="282"/>
    </row>
    <row r="1052" spans="1:49" ht="38.4" customHeight="1">
      <c r="A1052" s="487"/>
      <c r="B1052" s="499" t="s">
        <v>127</v>
      </c>
      <c r="C1052" s="498">
        <v>0</v>
      </c>
      <c r="D1052" s="498">
        <v>0</v>
      </c>
      <c r="E1052" s="498">
        <v>0</v>
      </c>
      <c r="F1052" s="498">
        <v>0</v>
      </c>
      <c r="G1052" s="498">
        <v>0</v>
      </c>
      <c r="H1052" s="498">
        <v>0</v>
      </c>
      <c r="I1052" s="498">
        <v>0</v>
      </c>
      <c r="J1052" s="498">
        <v>0</v>
      </c>
      <c r="K1052" s="498">
        <v>0</v>
      </c>
      <c r="L1052" s="502">
        <v>0</v>
      </c>
      <c r="M1052" s="498">
        <v>0</v>
      </c>
      <c r="N1052" s="498">
        <v>0</v>
      </c>
      <c r="O1052" s="498">
        <v>0</v>
      </c>
      <c r="P1052" s="502">
        <v>0</v>
      </c>
      <c r="Q1052" s="498">
        <v>0</v>
      </c>
      <c r="R1052" s="503">
        <v>0</v>
      </c>
      <c r="S1052" s="498">
        <v>0</v>
      </c>
      <c r="T1052" s="502">
        <v>0</v>
      </c>
      <c r="U1052" s="504">
        <v>0</v>
      </c>
      <c r="V1052" s="282"/>
      <c r="W1052" s="282"/>
      <c r="X1052" s="282"/>
    </row>
    <row r="1053" spans="1:49" ht="18.75" customHeight="1">
      <c r="A1053" s="470"/>
      <c r="B1053" s="511" t="s">
        <v>89</v>
      </c>
      <c r="C1053" s="512">
        <f>SUM(C1054:C1221)</f>
        <v>336230870.63</v>
      </c>
      <c r="D1053" s="512"/>
      <c r="E1053" s="512"/>
      <c r="F1053" s="512"/>
      <c r="G1053" s="512"/>
      <c r="H1053" s="512"/>
      <c r="I1053" s="512"/>
      <c r="J1053" s="512"/>
      <c r="K1053" s="512" t="e">
        <f>SUM(K1054:K1221)</f>
        <v>#REF!</v>
      </c>
      <c r="L1053" s="513">
        <v>45</v>
      </c>
      <c r="M1053" s="512">
        <f>SUM(M1054:M1221)</f>
        <v>84665172</v>
      </c>
      <c r="N1053" s="512">
        <f t="shared" ref="N1053" si="181">SUM(N1054:N1221)</f>
        <v>64824.649999999994</v>
      </c>
      <c r="O1053" s="512">
        <f>SUM(O1054:O1221)</f>
        <v>127943364.07000001</v>
      </c>
      <c r="P1053" s="512">
        <f t="shared" ref="P1053" si="182">SUM(P1054:P1221)</f>
        <v>682</v>
      </c>
      <c r="Q1053" s="512">
        <f>SUM(Q1054:Q1221)</f>
        <v>662518</v>
      </c>
      <c r="R1053" s="512">
        <f t="shared" ref="R1053" si="183">SUM(R1054:R1221)</f>
        <v>29106.850000000002</v>
      </c>
      <c r="S1053" s="512">
        <f>SUM(S1054:S1221)</f>
        <v>38255949.950000003</v>
      </c>
      <c r="T1053" s="513">
        <v>0</v>
      </c>
      <c r="U1053" s="514">
        <v>0</v>
      </c>
      <c r="V1053" s="436"/>
      <c r="W1053" s="436"/>
      <c r="X1053" s="436"/>
      <c r="Y1053" s="437"/>
      <c r="Z1053" s="437"/>
      <c r="AA1053" s="437"/>
      <c r="AB1053" s="437"/>
      <c r="AC1053" s="437"/>
      <c r="AD1053" s="437"/>
      <c r="AE1053" s="437"/>
      <c r="AF1053" s="437"/>
      <c r="AG1053" s="437"/>
      <c r="AH1053" s="437"/>
      <c r="AI1053" s="437"/>
    </row>
    <row r="1054" spans="1:49" s="59" customFormat="1">
      <c r="A1054" s="198">
        <v>1</v>
      </c>
      <c r="B1054" s="195" t="s">
        <v>324</v>
      </c>
      <c r="C1054" s="196">
        <v>5982216</v>
      </c>
      <c r="D1054" s="196"/>
      <c r="E1054" s="196"/>
      <c r="F1054" s="196"/>
      <c r="G1054" s="196"/>
      <c r="H1054" s="196"/>
      <c r="I1054" s="196"/>
      <c r="J1054" s="196"/>
      <c r="K1054" s="196">
        <v>0</v>
      </c>
      <c r="L1054" s="194">
        <v>0</v>
      </c>
      <c r="M1054" s="196">
        <v>0</v>
      </c>
      <c r="N1054" s="196">
        <v>0</v>
      </c>
      <c r="O1054" s="196">
        <v>0</v>
      </c>
      <c r="P1054" s="194">
        <v>0</v>
      </c>
      <c r="Q1054" s="196">
        <v>0</v>
      </c>
      <c r="R1054" s="199">
        <v>4158.84</v>
      </c>
      <c r="S1054" s="196">
        <v>5982216</v>
      </c>
      <c r="T1054" s="197">
        <v>0</v>
      </c>
      <c r="U1054" s="288">
        <v>0</v>
      </c>
      <c r="V1054" s="282" t="e">
        <f>C1054-'часть 1'!#REF!</f>
        <v>#REF!</v>
      </c>
      <c r="W1054" s="282"/>
      <c r="X1054" s="28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296"/>
    </row>
    <row r="1055" spans="1:49" s="89" customFormat="1">
      <c r="A1055" s="198">
        <v>2</v>
      </c>
      <c r="B1055" s="195" t="s">
        <v>325</v>
      </c>
      <c r="C1055" s="196">
        <v>9379653</v>
      </c>
      <c r="D1055" s="196"/>
      <c r="E1055" s="196"/>
      <c r="F1055" s="196"/>
      <c r="G1055" s="196"/>
      <c r="H1055" s="196"/>
      <c r="I1055" s="196"/>
      <c r="J1055" s="196"/>
      <c r="K1055" s="196">
        <v>0</v>
      </c>
      <c r="L1055" s="194">
        <v>5</v>
      </c>
      <c r="M1055" s="196">
        <v>9379653</v>
      </c>
      <c r="N1055" s="196">
        <v>0</v>
      </c>
      <c r="O1055" s="196">
        <v>0</v>
      </c>
      <c r="P1055" s="194">
        <v>0</v>
      </c>
      <c r="Q1055" s="196">
        <v>0</v>
      </c>
      <c r="R1055" s="197">
        <v>0</v>
      </c>
      <c r="S1055" s="196">
        <v>0</v>
      </c>
      <c r="T1055" s="197">
        <v>0</v>
      </c>
      <c r="U1055" s="288">
        <v>0</v>
      </c>
      <c r="V1055" s="282" t="e">
        <f>C1055-'часть 1'!#REF!</f>
        <v>#REF!</v>
      </c>
      <c r="W1055" s="282"/>
      <c r="X1055" s="28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296"/>
      <c r="AJ1055" s="59"/>
      <c r="AK1055" s="59"/>
      <c r="AL1055" s="59"/>
      <c r="AM1055" s="59"/>
      <c r="AN1055" s="59"/>
      <c r="AO1055" s="59"/>
      <c r="AP1055" s="59"/>
      <c r="AQ1055" s="59"/>
      <c r="AR1055" s="59"/>
      <c r="AS1055" s="59"/>
      <c r="AT1055" s="59"/>
      <c r="AU1055" s="59"/>
      <c r="AV1055" s="59"/>
      <c r="AW1055" s="59"/>
    </row>
    <row r="1056" spans="1:49" s="59" customFormat="1">
      <c r="A1056" s="198">
        <v>3</v>
      </c>
      <c r="B1056" s="195" t="s">
        <v>321</v>
      </c>
      <c r="C1056" s="196">
        <v>3763756</v>
      </c>
      <c r="D1056" s="196"/>
      <c r="E1056" s="196"/>
      <c r="F1056" s="196"/>
      <c r="G1056" s="196"/>
      <c r="H1056" s="196"/>
      <c r="I1056" s="196"/>
      <c r="J1056" s="196"/>
      <c r="K1056" s="196">
        <v>0</v>
      </c>
      <c r="L1056" s="194">
        <v>2</v>
      </c>
      <c r="M1056" s="196">
        <v>3763756</v>
      </c>
      <c r="N1056" s="196">
        <v>0</v>
      </c>
      <c r="O1056" s="196">
        <v>0</v>
      </c>
      <c r="P1056" s="194">
        <v>0</v>
      </c>
      <c r="Q1056" s="196">
        <v>0</v>
      </c>
      <c r="R1056" s="200">
        <v>0</v>
      </c>
      <c r="S1056" s="196">
        <v>0</v>
      </c>
      <c r="T1056" s="197">
        <v>0</v>
      </c>
      <c r="U1056" s="288">
        <v>0</v>
      </c>
      <c r="V1056" s="282" t="e">
        <f>C1056-'часть 1'!#REF!</f>
        <v>#REF!</v>
      </c>
      <c r="W1056" s="282"/>
      <c r="X1056" s="28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296"/>
    </row>
    <row r="1057" spans="1:35" s="59" customFormat="1">
      <c r="A1057" s="198">
        <v>4</v>
      </c>
      <c r="B1057" s="195" t="s">
        <v>346</v>
      </c>
      <c r="C1057" s="196">
        <v>1095812</v>
      </c>
      <c r="D1057" s="196"/>
      <c r="E1057" s="196"/>
      <c r="F1057" s="196"/>
      <c r="G1057" s="196"/>
      <c r="H1057" s="196"/>
      <c r="I1057" s="196"/>
      <c r="J1057" s="196"/>
      <c r="K1057" s="196">
        <v>1095812</v>
      </c>
      <c r="L1057" s="194">
        <v>0</v>
      </c>
      <c r="M1057" s="196">
        <v>0</v>
      </c>
      <c r="N1057" s="196">
        <v>0</v>
      </c>
      <c r="O1057" s="196">
        <v>0</v>
      </c>
      <c r="P1057" s="194">
        <v>0</v>
      </c>
      <c r="Q1057" s="196">
        <v>0</v>
      </c>
      <c r="R1057" s="200">
        <v>0</v>
      </c>
      <c r="S1057" s="196">
        <v>0</v>
      </c>
      <c r="T1057" s="197">
        <v>0</v>
      </c>
      <c r="U1057" s="288">
        <v>0</v>
      </c>
      <c r="V1057" s="282" t="e">
        <f>C1057-'часть 1'!#REF!</f>
        <v>#REF!</v>
      </c>
      <c r="W1057" s="282"/>
      <c r="X1057" s="28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296"/>
    </row>
    <row r="1058" spans="1:35" s="59" customFormat="1">
      <c r="A1058" s="198">
        <v>5</v>
      </c>
      <c r="B1058" s="195" t="s">
        <v>322</v>
      </c>
      <c r="C1058" s="196">
        <v>5619141</v>
      </c>
      <c r="D1058" s="196"/>
      <c r="E1058" s="196"/>
      <c r="F1058" s="196"/>
      <c r="G1058" s="196"/>
      <c r="H1058" s="196"/>
      <c r="I1058" s="196"/>
      <c r="J1058" s="196"/>
      <c r="K1058" s="196">
        <v>0</v>
      </c>
      <c r="L1058" s="194">
        <v>3</v>
      </c>
      <c r="M1058" s="196">
        <v>5619141</v>
      </c>
      <c r="N1058" s="196">
        <v>0</v>
      </c>
      <c r="O1058" s="196">
        <v>0</v>
      </c>
      <c r="P1058" s="194">
        <v>0</v>
      </c>
      <c r="Q1058" s="196">
        <v>0</v>
      </c>
      <c r="R1058" s="200">
        <v>0</v>
      </c>
      <c r="S1058" s="196">
        <v>0</v>
      </c>
      <c r="T1058" s="197">
        <v>0</v>
      </c>
      <c r="U1058" s="288">
        <v>0</v>
      </c>
      <c r="V1058" s="282" t="e">
        <f>C1058-'часть 1'!#REF!</f>
        <v>#REF!</v>
      </c>
      <c r="W1058" s="282"/>
      <c r="X1058" s="28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296"/>
    </row>
    <row r="1059" spans="1:35" s="59" customFormat="1">
      <c r="A1059" s="198">
        <v>6</v>
      </c>
      <c r="B1059" s="195" t="s">
        <v>320</v>
      </c>
      <c r="C1059" s="196">
        <v>3748388</v>
      </c>
      <c r="D1059" s="196"/>
      <c r="E1059" s="196"/>
      <c r="F1059" s="196"/>
      <c r="G1059" s="196"/>
      <c r="H1059" s="196"/>
      <c r="I1059" s="196"/>
      <c r="J1059" s="196"/>
      <c r="K1059" s="196">
        <v>0</v>
      </c>
      <c r="L1059" s="194">
        <v>2</v>
      </c>
      <c r="M1059" s="196">
        <v>3748388</v>
      </c>
      <c r="N1059" s="196">
        <v>0</v>
      </c>
      <c r="O1059" s="196">
        <v>0</v>
      </c>
      <c r="P1059" s="194">
        <v>0</v>
      </c>
      <c r="Q1059" s="196">
        <v>0</v>
      </c>
      <c r="R1059" s="197">
        <v>0</v>
      </c>
      <c r="S1059" s="196">
        <v>0</v>
      </c>
      <c r="T1059" s="197">
        <v>0</v>
      </c>
      <c r="U1059" s="288">
        <v>0</v>
      </c>
      <c r="V1059" s="282" t="e">
        <f>C1059-'часть 1'!#REF!</f>
        <v>#REF!</v>
      </c>
      <c r="W1059" s="282"/>
      <c r="X1059" s="28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296"/>
    </row>
    <row r="1060" spans="1:35" s="59" customFormat="1">
      <c r="A1060" s="198">
        <v>7</v>
      </c>
      <c r="B1060" s="195" t="s">
        <v>327</v>
      </c>
      <c r="C1060" s="196">
        <v>15157748</v>
      </c>
      <c r="D1060" s="196"/>
      <c r="E1060" s="196"/>
      <c r="F1060" s="196"/>
      <c r="G1060" s="196"/>
      <c r="H1060" s="196"/>
      <c r="I1060" s="196"/>
      <c r="J1060" s="196"/>
      <c r="K1060" s="196">
        <v>0</v>
      </c>
      <c r="L1060" s="194">
        <v>8</v>
      </c>
      <c r="M1060" s="196">
        <f>C1060</f>
        <v>15157748</v>
      </c>
      <c r="N1060" s="196">
        <v>0</v>
      </c>
      <c r="O1060" s="196">
        <v>0</v>
      </c>
      <c r="P1060" s="194">
        <v>0</v>
      </c>
      <c r="Q1060" s="196">
        <v>0</v>
      </c>
      <c r="R1060" s="197">
        <v>0</v>
      </c>
      <c r="S1060" s="196">
        <v>0</v>
      </c>
      <c r="T1060" s="197">
        <v>0</v>
      </c>
      <c r="U1060" s="288">
        <v>0</v>
      </c>
      <c r="V1060" s="282" t="e">
        <f>C1060-'часть 1'!#REF!</f>
        <v>#REF!</v>
      </c>
      <c r="W1060" s="282"/>
      <c r="X1060" s="28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296"/>
    </row>
    <row r="1061" spans="1:35" s="59" customFormat="1">
      <c r="A1061" s="198">
        <v>8</v>
      </c>
      <c r="B1061" s="195" t="s">
        <v>323</v>
      </c>
      <c r="C1061" s="196">
        <v>1030213</v>
      </c>
      <c r="D1061" s="196"/>
      <c r="E1061" s="196"/>
      <c r="F1061" s="196"/>
      <c r="G1061" s="196"/>
      <c r="H1061" s="196"/>
      <c r="I1061" s="196"/>
      <c r="J1061" s="196"/>
      <c r="K1061" s="196">
        <v>0</v>
      </c>
      <c r="L1061" s="194">
        <v>0</v>
      </c>
      <c r="M1061" s="196">
        <v>0</v>
      </c>
      <c r="N1061" s="196">
        <v>513.79999999999995</v>
      </c>
      <c r="O1061" s="199">
        <f>C1061</f>
        <v>1030213</v>
      </c>
      <c r="P1061" s="194">
        <v>0</v>
      </c>
      <c r="Q1061" s="196">
        <v>0</v>
      </c>
      <c r="R1061" s="200">
        <v>0</v>
      </c>
      <c r="S1061" s="196">
        <v>0</v>
      </c>
      <c r="T1061" s="197">
        <v>0</v>
      </c>
      <c r="U1061" s="288">
        <v>0</v>
      </c>
      <c r="V1061" s="282" t="e">
        <f>C1061-'часть 1'!#REF!</f>
        <v>#REF!</v>
      </c>
      <c r="W1061" s="282"/>
      <c r="X1061" s="28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296"/>
    </row>
    <row r="1062" spans="1:35" s="59" customFormat="1">
      <c r="A1062" s="198">
        <v>9</v>
      </c>
      <c r="B1062" s="195" t="s">
        <v>319</v>
      </c>
      <c r="C1062" s="196">
        <v>530465</v>
      </c>
      <c r="D1062" s="196"/>
      <c r="E1062" s="196"/>
      <c r="F1062" s="196"/>
      <c r="G1062" s="196"/>
      <c r="H1062" s="196"/>
      <c r="I1062" s="196"/>
      <c r="J1062" s="196"/>
      <c r="K1062" s="196" t="e">
        <f>#REF!</f>
        <v>#REF!</v>
      </c>
      <c r="L1062" s="194">
        <v>0</v>
      </c>
      <c r="M1062" s="196">
        <v>0</v>
      </c>
      <c r="N1062" s="199">
        <v>0</v>
      </c>
      <c r="O1062" s="196">
        <v>0</v>
      </c>
      <c r="P1062" s="194">
        <v>0</v>
      </c>
      <c r="Q1062" s="196">
        <v>0</v>
      </c>
      <c r="R1062" s="200">
        <v>0</v>
      </c>
      <c r="S1062" s="196">
        <v>0</v>
      </c>
      <c r="T1062" s="197">
        <v>0</v>
      </c>
      <c r="U1062" s="288">
        <v>0</v>
      </c>
      <c r="V1062" s="282" t="e">
        <f>C1062-'часть 1'!#REF!</f>
        <v>#REF!</v>
      </c>
      <c r="W1062" s="282"/>
      <c r="X1062" s="28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296"/>
    </row>
    <row r="1063" spans="1:35" s="59" customFormat="1">
      <c r="A1063" s="198">
        <v>10</v>
      </c>
      <c r="B1063" s="195" t="s">
        <v>326</v>
      </c>
      <c r="C1063" s="196">
        <v>1983854</v>
      </c>
      <c r="D1063" s="196"/>
      <c r="E1063" s="196"/>
      <c r="F1063" s="196"/>
      <c r="G1063" s="196"/>
      <c r="H1063" s="196"/>
      <c r="I1063" s="196"/>
      <c r="J1063" s="196"/>
      <c r="K1063" s="196">
        <v>0</v>
      </c>
      <c r="L1063" s="194">
        <v>0</v>
      </c>
      <c r="M1063" s="196">
        <v>0</v>
      </c>
      <c r="N1063" s="196">
        <v>1000</v>
      </c>
      <c r="O1063" s="196">
        <v>1983854</v>
      </c>
      <c r="P1063" s="194">
        <v>0</v>
      </c>
      <c r="Q1063" s="196">
        <v>0</v>
      </c>
      <c r="R1063" s="197">
        <v>0</v>
      </c>
      <c r="S1063" s="196">
        <v>0</v>
      </c>
      <c r="T1063" s="197">
        <v>0</v>
      </c>
      <c r="U1063" s="288">
        <v>0</v>
      </c>
      <c r="V1063" s="282" t="e">
        <f>C1063-'часть 1'!#REF!</f>
        <v>#REF!</v>
      </c>
      <c r="W1063" s="282"/>
      <c r="X1063" s="28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296"/>
    </row>
    <row r="1064" spans="1:35" s="59" customFormat="1">
      <c r="A1064" s="198">
        <v>11</v>
      </c>
      <c r="B1064" s="195" t="s">
        <v>388</v>
      </c>
      <c r="C1064" s="196">
        <v>1206304</v>
      </c>
      <c r="D1064" s="196"/>
      <c r="E1064" s="196"/>
      <c r="F1064" s="196"/>
      <c r="G1064" s="196"/>
      <c r="H1064" s="196"/>
      <c r="I1064" s="196"/>
      <c r="J1064" s="196"/>
      <c r="K1064" s="196">
        <v>0</v>
      </c>
      <c r="L1064" s="194">
        <v>0</v>
      </c>
      <c r="M1064" s="196">
        <v>0</v>
      </c>
      <c r="N1064" s="196">
        <v>576</v>
      </c>
      <c r="O1064" s="196">
        <v>1206304</v>
      </c>
      <c r="P1064" s="194">
        <v>0</v>
      </c>
      <c r="Q1064" s="196">
        <v>0</v>
      </c>
      <c r="R1064" s="197">
        <v>0</v>
      </c>
      <c r="S1064" s="196">
        <v>0</v>
      </c>
      <c r="T1064" s="197">
        <v>0</v>
      </c>
      <c r="U1064" s="288">
        <v>0</v>
      </c>
      <c r="V1064" s="282" t="e">
        <f>C1064-'часть 1'!#REF!</f>
        <v>#REF!</v>
      </c>
      <c r="W1064" s="282"/>
      <c r="X1064" s="28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296"/>
    </row>
    <row r="1065" spans="1:35" s="59" customFormat="1">
      <c r="A1065" s="198">
        <v>12</v>
      </c>
      <c r="B1065" s="195" t="s">
        <v>419</v>
      </c>
      <c r="C1065" s="196">
        <v>402530.2</v>
      </c>
      <c r="D1065" s="196"/>
      <c r="E1065" s="196"/>
      <c r="F1065" s="196"/>
      <c r="G1065" s="196"/>
      <c r="H1065" s="196"/>
      <c r="I1065" s="196"/>
      <c r="J1065" s="196"/>
      <c r="K1065" s="196">
        <v>402530.2</v>
      </c>
      <c r="L1065" s="194">
        <v>0</v>
      </c>
      <c r="M1065" s="196">
        <v>0</v>
      </c>
      <c r="N1065" s="196">
        <v>0</v>
      </c>
      <c r="O1065" s="196">
        <v>0</v>
      </c>
      <c r="P1065" s="194">
        <v>0</v>
      </c>
      <c r="Q1065" s="196">
        <v>0</v>
      </c>
      <c r="R1065" s="197">
        <v>0</v>
      </c>
      <c r="S1065" s="196">
        <v>0</v>
      </c>
      <c r="T1065" s="197">
        <v>0</v>
      </c>
      <c r="U1065" s="288">
        <v>0</v>
      </c>
      <c r="V1065" s="282" t="e">
        <f>C1065-'часть 1'!#REF!</f>
        <v>#REF!</v>
      </c>
      <c r="W1065" s="282"/>
      <c r="X1065" s="28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296"/>
    </row>
    <row r="1066" spans="1:35" s="59" customFormat="1">
      <c r="A1066" s="198">
        <v>13</v>
      </c>
      <c r="B1066" s="195" t="s">
        <v>387</v>
      </c>
      <c r="C1066" s="196">
        <v>2861497</v>
      </c>
      <c r="D1066" s="196"/>
      <c r="E1066" s="196"/>
      <c r="F1066" s="196"/>
      <c r="G1066" s="196"/>
      <c r="H1066" s="196"/>
      <c r="I1066" s="196"/>
      <c r="J1066" s="196"/>
      <c r="K1066" s="196">
        <v>0</v>
      </c>
      <c r="L1066" s="194">
        <v>0</v>
      </c>
      <c r="M1066" s="196">
        <v>0</v>
      </c>
      <c r="N1066" s="196">
        <v>1450</v>
      </c>
      <c r="O1066" s="196">
        <v>2861497</v>
      </c>
      <c r="P1066" s="194">
        <v>0</v>
      </c>
      <c r="Q1066" s="196">
        <v>0</v>
      </c>
      <c r="R1066" s="197">
        <v>0</v>
      </c>
      <c r="S1066" s="196">
        <v>0</v>
      </c>
      <c r="T1066" s="197">
        <v>0</v>
      </c>
      <c r="U1066" s="288">
        <v>0</v>
      </c>
      <c r="V1066" s="282" t="e">
        <f>C1066-'часть 1'!#REF!</f>
        <v>#REF!</v>
      </c>
      <c r="W1066" s="282"/>
      <c r="X1066" s="28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296"/>
    </row>
    <row r="1067" spans="1:35" s="59" customFormat="1">
      <c r="A1067" s="198">
        <v>14</v>
      </c>
      <c r="B1067" s="195" t="s">
        <v>334</v>
      </c>
      <c r="C1067" s="196">
        <v>1535065.47</v>
      </c>
      <c r="D1067" s="196"/>
      <c r="E1067" s="196"/>
      <c r="F1067" s="196"/>
      <c r="G1067" s="196"/>
      <c r="H1067" s="196"/>
      <c r="I1067" s="196"/>
      <c r="J1067" s="196"/>
      <c r="K1067" s="196">
        <v>0</v>
      </c>
      <c r="L1067" s="194">
        <v>0</v>
      </c>
      <c r="M1067" s="196">
        <v>0</v>
      </c>
      <c r="N1067" s="196">
        <v>0</v>
      </c>
      <c r="O1067" s="196">
        <v>0</v>
      </c>
      <c r="P1067" s="194">
        <v>0</v>
      </c>
      <c r="Q1067" s="196">
        <v>0</v>
      </c>
      <c r="R1067" s="196">
        <v>1641</v>
      </c>
      <c r="S1067" s="196">
        <v>1535065.47</v>
      </c>
      <c r="T1067" s="197">
        <v>0</v>
      </c>
      <c r="U1067" s="288">
        <v>0</v>
      </c>
      <c r="V1067" s="282" t="e">
        <f>C1067-'часть 1'!#REF!</f>
        <v>#REF!</v>
      </c>
      <c r="W1067" s="282"/>
      <c r="X1067" s="28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296"/>
    </row>
    <row r="1068" spans="1:35" s="59" customFormat="1">
      <c r="A1068" s="198">
        <v>15</v>
      </c>
      <c r="B1068" s="195" t="s">
        <v>330</v>
      </c>
      <c r="C1068" s="196">
        <v>930534</v>
      </c>
      <c r="D1068" s="196"/>
      <c r="E1068" s="196"/>
      <c r="F1068" s="196"/>
      <c r="G1068" s="196"/>
      <c r="H1068" s="196"/>
      <c r="I1068" s="196"/>
      <c r="J1068" s="196"/>
      <c r="K1068" s="196">
        <v>930534</v>
      </c>
      <c r="L1068" s="194">
        <v>0</v>
      </c>
      <c r="M1068" s="196">
        <v>0</v>
      </c>
      <c r="N1068" s="196">
        <v>0</v>
      </c>
      <c r="O1068" s="196">
        <v>0</v>
      </c>
      <c r="P1068" s="194">
        <v>0</v>
      </c>
      <c r="Q1068" s="196">
        <v>0</v>
      </c>
      <c r="R1068" s="200">
        <v>0</v>
      </c>
      <c r="S1068" s="196">
        <v>0</v>
      </c>
      <c r="T1068" s="197">
        <v>0</v>
      </c>
      <c r="U1068" s="288">
        <v>0</v>
      </c>
      <c r="V1068" s="282" t="e">
        <f>C1068-'часть 1'!#REF!</f>
        <v>#REF!</v>
      </c>
      <c r="W1068" s="282"/>
      <c r="X1068" s="282"/>
      <c r="Y1068" s="4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296"/>
    </row>
    <row r="1069" spans="1:35" s="59" customFormat="1">
      <c r="A1069" s="198">
        <v>16</v>
      </c>
      <c r="B1069" s="195" t="s">
        <v>328</v>
      </c>
      <c r="C1069" s="196">
        <v>662518</v>
      </c>
      <c r="D1069" s="196"/>
      <c r="E1069" s="196"/>
      <c r="F1069" s="196"/>
      <c r="G1069" s="196"/>
      <c r="H1069" s="196"/>
      <c r="I1069" s="196"/>
      <c r="J1069" s="196"/>
      <c r="K1069" s="196">
        <v>0</v>
      </c>
      <c r="L1069" s="194">
        <v>0</v>
      </c>
      <c r="M1069" s="196">
        <v>0</v>
      </c>
      <c r="N1069" s="196">
        <v>0</v>
      </c>
      <c r="O1069" s="196">
        <v>0</v>
      </c>
      <c r="P1069" s="196">
        <v>682</v>
      </c>
      <c r="Q1069" s="196">
        <f>C1069</f>
        <v>662518</v>
      </c>
      <c r="R1069" s="197">
        <v>0</v>
      </c>
      <c r="S1069" s="196">
        <v>0</v>
      </c>
      <c r="T1069" s="197">
        <v>0</v>
      </c>
      <c r="U1069" s="288">
        <v>0</v>
      </c>
      <c r="V1069" s="282">
        <f>C1069-'часть 1'!L1082</f>
        <v>662518</v>
      </c>
      <c r="W1069" s="282"/>
      <c r="X1069" s="28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296"/>
    </row>
    <row r="1070" spans="1:35" s="59" customFormat="1">
      <c r="A1070" s="198">
        <v>17</v>
      </c>
      <c r="B1070" s="195" t="s">
        <v>333</v>
      </c>
      <c r="C1070" s="196">
        <v>2346663</v>
      </c>
      <c r="D1070" s="196"/>
      <c r="E1070" s="196"/>
      <c r="F1070" s="196"/>
      <c r="G1070" s="196"/>
      <c r="H1070" s="196"/>
      <c r="I1070" s="196"/>
      <c r="J1070" s="196"/>
      <c r="K1070" s="196">
        <v>2346663</v>
      </c>
      <c r="L1070" s="194">
        <v>0</v>
      </c>
      <c r="M1070" s="196">
        <v>0</v>
      </c>
      <c r="N1070" s="199">
        <v>0</v>
      </c>
      <c r="O1070" s="196">
        <v>0</v>
      </c>
      <c r="P1070" s="194">
        <v>0</v>
      </c>
      <c r="Q1070" s="196">
        <v>0</v>
      </c>
      <c r="R1070" s="200">
        <v>0</v>
      </c>
      <c r="S1070" s="196">
        <v>0</v>
      </c>
      <c r="T1070" s="197">
        <v>0</v>
      </c>
      <c r="U1070" s="288">
        <v>0</v>
      </c>
      <c r="V1070" s="282" t="e">
        <f>C1070-'часть 1'!#REF!</f>
        <v>#REF!</v>
      </c>
      <c r="W1070" s="282"/>
      <c r="X1070" s="282"/>
      <c r="Y1070" s="12"/>
      <c r="Z1070" s="12"/>
      <c r="AA1070" s="12"/>
      <c r="AB1070" s="12"/>
      <c r="AC1070" s="12"/>
      <c r="AD1070" s="12"/>
      <c r="AE1070" s="15"/>
      <c r="AF1070" s="12"/>
      <c r="AG1070" s="12"/>
      <c r="AH1070" s="12"/>
      <c r="AI1070" s="296"/>
    </row>
    <row r="1071" spans="1:35" s="59" customFormat="1">
      <c r="A1071" s="198">
        <v>18</v>
      </c>
      <c r="B1071" s="195" t="s">
        <v>331</v>
      </c>
      <c r="C1071" s="196">
        <v>727019</v>
      </c>
      <c r="D1071" s="196"/>
      <c r="E1071" s="196"/>
      <c r="F1071" s="196"/>
      <c r="G1071" s="196"/>
      <c r="H1071" s="196"/>
      <c r="I1071" s="196"/>
      <c r="J1071" s="196"/>
      <c r="K1071" s="196">
        <v>727019</v>
      </c>
      <c r="L1071" s="194">
        <v>0</v>
      </c>
      <c r="M1071" s="196">
        <v>0</v>
      </c>
      <c r="N1071" s="196">
        <v>0</v>
      </c>
      <c r="O1071" s="196">
        <v>0</v>
      </c>
      <c r="P1071" s="194">
        <v>0</v>
      </c>
      <c r="Q1071" s="196">
        <v>0</v>
      </c>
      <c r="R1071" s="200">
        <v>0</v>
      </c>
      <c r="S1071" s="196">
        <v>0</v>
      </c>
      <c r="T1071" s="197">
        <v>0</v>
      </c>
      <c r="U1071" s="288">
        <v>0</v>
      </c>
      <c r="V1071" s="282" t="e">
        <f>C1071-'часть 1'!#REF!</f>
        <v>#REF!</v>
      </c>
      <c r="W1071" s="282"/>
      <c r="X1071" s="28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296"/>
    </row>
    <row r="1072" spans="1:35" s="59" customFormat="1">
      <c r="A1072" s="198">
        <v>19</v>
      </c>
      <c r="B1072" s="195" t="s">
        <v>329</v>
      </c>
      <c r="C1072" s="196">
        <v>538121</v>
      </c>
      <c r="D1072" s="196"/>
      <c r="E1072" s="196"/>
      <c r="F1072" s="196"/>
      <c r="G1072" s="196"/>
      <c r="H1072" s="196"/>
      <c r="I1072" s="196"/>
      <c r="J1072" s="196"/>
      <c r="K1072" s="196">
        <v>538121</v>
      </c>
      <c r="L1072" s="194">
        <v>0</v>
      </c>
      <c r="M1072" s="196">
        <v>0</v>
      </c>
      <c r="N1072" s="196">
        <v>0</v>
      </c>
      <c r="O1072" s="196">
        <v>0</v>
      </c>
      <c r="P1072" s="194">
        <v>0</v>
      </c>
      <c r="Q1072" s="196">
        <v>0</v>
      </c>
      <c r="R1072" s="197">
        <v>0</v>
      </c>
      <c r="S1072" s="196">
        <v>0</v>
      </c>
      <c r="T1072" s="197">
        <v>0</v>
      </c>
      <c r="U1072" s="288">
        <v>0</v>
      </c>
      <c r="V1072" s="282" t="e">
        <f>C1072-'часть 1'!#REF!</f>
        <v>#REF!</v>
      </c>
      <c r="W1072" s="282"/>
      <c r="X1072" s="282"/>
      <c r="Y1072" s="4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296"/>
    </row>
    <row r="1073" spans="1:49" s="59" customFormat="1">
      <c r="A1073" s="198">
        <v>20</v>
      </c>
      <c r="B1073" s="195" t="s">
        <v>332</v>
      </c>
      <c r="C1073" s="196">
        <v>1756852</v>
      </c>
      <c r="D1073" s="196"/>
      <c r="E1073" s="196"/>
      <c r="F1073" s="196"/>
      <c r="G1073" s="196"/>
      <c r="H1073" s="196"/>
      <c r="I1073" s="196"/>
      <c r="J1073" s="196"/>
      <c r="K1073" s="196">
        <v>0</v>
      </c>
      <c r="L1073" s="194">
        <v>0</v>
      </c>
      <c r="M1073" s="196">
        <v>0</v>
      </c>
      <c r="N1073" s="196">
        <v>891</v>
      </c>
      <c r="O1073" s="196">
        <v>1756852</v>
      </c>
      <c r="P1073" s="194">
        <v>0</v>
      </c>
      <c r="Q1073" s="196">
        <v>0</v>
      </c>
      <c r="R1073" s="197">
        <v>0</v>
      </c>
      <c r="S1073" s="196">
        <v>0</v>
      </c>
      <c r="T1073" s="197">
        <v>0</v>
      </c>
      <c r="U1073" s="288">
        <v>0</v>
      </c>
      <c r="V1073" s="282" t="e">
        <f>C1073-'часть 1'!#REF!</f>
        <v>#REF!</v>
      </c>
      <c r="W1073" s="282"/>
      <c r="X1073" s="28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296"/>
    </row>
    <row r="1074" spans="1:49" s="59" customFormat="1">
      <c r="A1074" s="198">
        <v>21</v>
      </c>
      <c r="B1074" s="195" t="s">
        <v>316</v>
      </c>
      <c r="C1074" s="196">
        <v>676398.28</v>
      </c>
      <c r="D1074" s="196"/>
      <c r="E1074" s="196"/>
      <c r="F1074" s="196"/>
      <c r="G1074" s="196"/>
      <c r="H1074" s="196"/>
      <c r="I1074" s="196"/>
      <c r="J1074" s="196"/>
      <c r="K1074" s="196">
        <v>0</v>
      </c>
      <c r="L1074" s="194">
        <v>0</v>
      </c>
      <c r="M1074" s="196">
        <v>0</v>
      </c>
      <c r="N1074" s="196">
        <v>0</v>
      </c>
      <c r="O1074" s="196">
        <v>0</v>
      </c>
      <c r="P1074" s="194">
        <v>0</v>
      </c>
      <c r="Q1074" s="196">
        <v>0</v>
      </c>
      <c r="R1074" s="196">
        <v>1444</v>
      </c>
      <c r="S1074" s="196">
        <v>676398.28</v>
      </c>
      <c r="T1074" s="197">
        <v>0</v>
      </c>
      <c r="U1074" s="288">
        <v>0</v>
      </c>
      <c r="V1074" s="282" t="e">
        <f>C1074-'часть 1'!#REF!</f>
        <v>#REF!</v>
      </c>
      <c r="W1074" s="282"/>
      <c r="X1074" s="28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296"/>
    </row>
    <row r="1075" spans="1:49" s="59" customFormat="1">
      <c r="A1075" s="198">
        <v>22</v>
      </c>
      <c r="B1075" s="195" t="s">
        <v>313</v>
      </c>
      <c r="C1075" s="196">
        <v>766539</v>
      </c>
      <c r="D1075" s="196"/>
      <c r="E1075" s="196"/>
      <c r="F1075" s="196"/>
      <c r="G1075" s="196"/>
      <c r="H1075" s="196"/>
      <c r="I1075" s="196"/>
      <c r="J1075" s="196"/>
      <c r="K1075" s="196">
        <v>0</v>
      </c>
      <c r="L1075" s="194">
        <v>0</v>
      </c>
      <c r="M1075" s="196">
        <v>0</v>
      </c>
      <c r="N1075" s="196">
        <v>378.5</v>
      </c>
      <c r="O1075" s="196">
        <v>766539</v>
      </c>
      <c r="P1075" s="194">
        <v>0</v>
      </c>
      <c r="Q1075" s="196">
        <v>0</v>
      </c>
      <c r="R1075" s="197">
        <v>0</v>
      </c>
      <c r="S1075" s="196">
        <v>0</v>
      </c>
      <c r="T1075" s="197">
        <v>0</v>
      </c>
      <c r="U1075" s="288">
        <v>0</v>
      </c>
      <c r="V1075" s="282">
        <f>C1075-'часть 1'!L1083</f>
        <v>766539</v>
      </c>
      <c r="W1075" s="282"/>
      <c r="X1075" s="28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296"/>
      <c r="AJ1075" s="89"/>
      <c r="AK1075" s="89"/>
      <c r="AL1075" s="89"/>
      <c r="AM1075" s="89"/>
      <c r="AN1075" s="89"/>
      <c r="AO1075" s="89"/>
      <c r="AP1075" s="89"/>
      <c r="AQ1075" s="89"/>
      <c r="AR1075" s="89"/>
      <c r="AS1075" s="89"/>
      <c r="AT1075" s="89"/>
      <c r="AU1075" s="89"/>
      <c r="AV1075" s="89"/>
      <c r="AW1075" s="89"/>
    </row>
    <row r="1076" spans="1:49" s="59" customFormat="1">
      <c r="A1076" s="198">
        <v>23</v>
      </c>
      <c r="B1076" s="195" t="s">
        <v>312</v>
      </c>
      <c r="C1076" s="196">
        <v>1186114</v>
      </c>
      <c r="D1076" s="196"/>
      <c r="E1076" s="196"/>
      <c r="F1076" s="196"/>
      <c r="G1076" s="196"/>
      <c r="H1076" s="196"/>
      <c r="I1076" s="196"/>
      <c r="J1076" s="196"/>
      <c r="K1076" s="196">
        <v>0</v>
      </c>
      <c r="L1076" s="194">
        <v>0</v>
      </c>
      <c r="M1076" s="196">
        <v>0</v>
      </c>
      <c r="N1076" s="196">
        <v>586.29999999999995</v>
      </c>
      <c r="O1076" s="196">
        <v>1186114</v>
      </c>
      <c r="P1076" s="194">
        <v>0</v>
      </c>
      <c r="Q1076" s="196">
        <v>0</v>
      </c>
      <c r="R1076" s="197">
        <v>0</v>
      </c>
      <c r="S1076" s="196">
        <v>0</v>
      </c>
      <c r="T1076" s="197">
        <v>0</v>
      </c>
      <c r="U1076" s="288">
        <v>0</v>
      </c>
      <c r="V1076" s="282">
        <f>C1076-'часть 1'!L1084</f>
        <v>1186114</v>
      </c>
      <c r="W1076" s="282"/>
      <c r="X1076" s="28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296"/>
    </row>
    <row r="1077" spans="1:49" s="89" customFormat="1">
      <c r="A1077" s="198">
        <v>24</v>
      </c>
      <c r="B1077" s="195" t="s">
        <v>311</v>
      </c>
      <c r="C1077" s="196">
        <v>178272.59</v>
      </c>
      <c r="D1077" s="196"/>
      <c r="E1077" s="196"/>
      <c r="F1077" s="196"/>
      <c r="G1077" s="196"/>
      <c r="H1077" s="196"/>
      <c r="I1077" s="196"/>
      <c r="J1077" s="196"/>
      <c r="K1077" s="196">
        <v>178272.59</v>
      </c>
      <c r="L1077" s="194">
        <v>0</v>
      </c>
      <c r="M1077" s="196">
        <v>0</v>
      </c>
      <c r="N1077" s="199">
        <v>0</v>
      </c>
      <c r="O1077" s="196">
        <v>0</v>
      </c>
      <c r="P1077" s="194">
        <v>0</v>
      </c>
      <c r="Q1077" s="196">
        <v>0</v>
      </c>
      <c r="R1077" s="200">
        <v>0</v>
      </c>
      <c r="S1077" s="196">
        <v>0</v>
      </c>
      <c r="T1077" s="197">
        <v>0</v>
      </c>
      <c r="U1077" s="288">
        <v>0</v>
      </c>
      <c r="V1077" s="282">
        <f>C1077-'часть 1'!L1085</f>
        <v>-604161103.17000008</v>
      </c>
      <c r="W1077" s="282"/>
      <c r="X1077" s="28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296"/>
      <c r="AJ1077" s="59"/>
      <c r="AK1077" s="59"/>
      <c r="AL1077" s="59"/>
      <c r="AM1077" s="59"/>
      <c r="AN1077" s="59"/>
      <c r="AO1077" s="59"/>
      <c r="AP1077" s="59"/>
      <c r="AQ1077" s="59"/>
      <c r="AR1077" s="59"/>
      <c r="AS1077" s="59"/>
      <c r="AT1077" s="59"/>
      <c r="AU1077" s="59"/>
      <c r="AV1077" s="59"/>
      <c r="AW1077" s="59"/>
    </row>
    <row r="1078" spans="1:49" s="59" customFormat="1">
      <c r="A1078" s="198">
        <v>25</v>
      </c>
      <c r="B1078" s="195" t="s">
        <v>315</v>
      </c>
      <c r="C1078" s="196">
        <v>1087116</v>
      </c>
      <c r="D1078" s="196"/>
      <c r="E1078" s="196"/>
      <c r="F1078" s="196"/>
      <c r="G1078" s="196"/>
      <c r="H1078" s="196"/>
      <c r="I1078" s="196"/>
      <c r="J1078" s="196"/>
      <c r="K1078" s="196" t="e">
        <f>#REF!</f>
        <v>#REF!</v>
      </c>
      <c r="L1078" s="194">
        <v>0</v>
      </c>
      <c r="M1078" s="196">
        <v>0</v>
      </c>
      <c r="N1078" s="196">
        <v>0</v>
      </c>
      <c r="O1078" s="196">
        <v>0</v>
      </c>
      <c r="P1078" s="194">
        <v>0</v>
      </c>
      <c r="Q1078" s="196">
        <v>0</v>
      </c>
      <c r="R1078" s="197">
        <v>0</v>
      </c>
      <c r="S1078" s="196">
        <v>0</v>
      </c>
      <c r="T1078" s="197">
        <v>0</v>
      </c>
      <c r="U1078" s="288">
        <v>0</v>
      </c>
      <c r="V1078" s="282">
        <f>C1078-'часть 1'!L1086</f>
        <v>-335143754.63</v>
      </c>
      <c r="W1078" s="282"/>
      <c r="X1078" s="28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296"/>
    </row>
    <row r="1079" spans="1:49" s="59" customFormat="1">
      <c r="A1079" s="198">
        <v>26</v>
      </c>
      <c r="B1079" s="195" t="s">
        <v>351</v>
      </c>
      <c r="C1079" s="196">
        <v>1411363</v>
      </c>
      <c r="D1079" s="196"/>
      <c r="E1079" s="196"/>
      <c r="F1079" s="196"/>
      <c r="G1079" s="196"/>
      <c r="H1079" s="196"/>
      <c r="I1079" s="196"/>
      <c r="J1079" s="196"/>
      <c r="K1079" s="196">
        <v>0</v>
      </c>
      <c r="L1079" s="194">
        <v>0</v>
      </c>
      <c r="M1079" s="196">
        <v>0</v>
      </c>
      <c r="N1079" s="196">
        <v>702</v>
      </c>
      <c r="O1079" s="196">
        <v>1411363</v>
      </c>
      <c r="P1079" s="194">
        <v>0</v>
      </c>
      <c r="Q1079" s="196">
        <v>0</v>
      </c>
      <c r="R1079" s="197">
        <v>0</v>
      </c>
      <c r="S1079" s="196">
        <v>0</v>
      </c>
      <c r="T1079" s="197">
        <v>0</v>
      </c>
      <c r="U1079" s="288">
        <v>0</v>
      </c>
      <c r="V1079" s="282">
        <f>C1079-'часть 1'!L1087</f>
        <v>-4570853</v>
      </c>
      <c r="W1079" s="282"/>
      <c r="X1079" s="28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296"/>
    </row>
    <row r="1080" spans="1:49" s="59" customFormat="1">
      <c r="A1080" s="198">
        <v>27</v>
      </c>
      <c r="B1080" s="195" t="s">
        <v>314</v>
      </c>
      <c r="C1080" s="196">
        <v>1136666</v>
      </c>
      <c r="D1080" s="196"/>
      <c r="E1080" s="196"/>
      <c r="F1080" s="196"/>
      <c r="G1080" s="196"/>
      <c r="H1080" s="196"/>
      <c r="I1080" s="196"/>
      <c r="J1080" s="196"/>
      <c r="K1080" s="196">
        <v>0</v>
      </c>
      <c r="L1080" s="194">
        <v>0</v>
      </c>
      <c r="M1080" s="196">
        <v>0</v>
      </c>
      <c r="N1080" s="196">
        <v>552</v>
      </c>
      <c r="O1080" s="196">
        <v>1136666</v>
      </c>
      <c r="P1080" s="194">
        <v>0</v>
      </c>
      <c r="Q1080" s="196">
        <v>0</v>
      </c>
      <c r="R1080" s="200">
        <v>0</v>
      </c>
      <c r="S1080" s="196">
        <v>0</v>
      </c>
      <c r="T1080" s="197">
        <v>0</v>
      </c>
      <c r="U1080" s="288">
        <v>0</v>
      </c>
      <c r="V1080" s="282">
        <f>C1080-'часть 1'!L1088</f>
        <v>-8242987</v>
      </c>
      <c r="W1080" s="282"/>
      <c r="X1080" s="28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296"/>
    </row>
    <row r="1081" spans="1:49" s="59" customFormat="1">
      <c r="A1081" s="198">
        <v>28</v>
      </c>
      <c r="B1081" s="195" t="s">
        <v>369</v>
      </c>
      <c r="C1081" s="196">
        <v>1385674</v>
      </c>
      <c r="D1081" s="196"/>
      <c r="E1081" s="196"/>
      <c r="F1081" s="196"/>
      <c r="G1081" s="196"/>
      <c r="H1081" s="196"/>
      <c r="I1081" s="196"/>
      <c r="J1081" s="196"/>
      <c r="K1081" s="196">
        <v>1385674</v>
      </c>
      <c r="L1081" s="194">
        <v>0</v>
      </c>
      <c r="M1081" s="196">
        <v>0</v>
      </c>
      <c r="N1081" s="196">
        <v>0</v>
      </c>
      <c r="O1081" s="196">
        <v>0</v>
      </c>
      <c r="P1081" s="194">
        <v>0</v>
      </c>
      <c r="Q1081" s="196">
        <v>0</v>
      </c>
      <c r="R1081" s="197">
        <v>0</v>
      </c>
      <c r="S1081" s="196">
        <v>0</v>
      </c>
      <c r="T1081" s="197">
        <v>0</v>
      </c>
      <c r="U1081" s="288">
        <v>0</v>
      </c>
      <c r="V1081" s="282">
        <f>C1081-'часть 1'!L1089</f>
        <v>-2378082</v>
      </c>
      <c r="W1081" s="282"/>
      <c r="X1081" s="28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296"/>
    </row>
    <row r="1082" spans="1:49" s="59" customFormat="1">
      <c r="A1082" s="198">
        <v>29</v>
      </c>
      <c r="B1082" s="195" t="s">
        <v>370</v>
      </c>
      <c r="C1082" s="196">
        <v>4619990</v>
      </c>
      <c r="D1082" s="196"/>
      <c r="E1082" s="196"/>
      <c r="F1082" s="196"/>
      <c r="G1082" s="196"/>
      <c r="H1082" s="196"/>
      <c r="I1082" s="196"/>
      <c r="J1082" s="196"/>
      <c r="K1082" s="196">
        <v>0</v>
      </c>
      <c r="L1082" s="194">
        <v>0</v>
      </c>
      <c r="M1082" s="196">
        <v>0</v>
      </c>
      <c r="N1082" s="196">
        <v>2319</v>
      </c>
      <c r="O1082" s="196">
        <v>4619990</v>
      </c>
      <c r="P1082" s="194">
        <v>0</v>
      </c>
      <c r="Q1082" s="196">
        <v>0</v>
      </c>
      <c r="R1082" s="200">
        <v>0</v>
      </c>
      <c r="S1082" s="196">
        <v>0</v>
      </c>
      <c r="T1082" s="197">
        <v>0</v>
      </c>
      <c r="U1082" s="288">
        <v>0</v>
      </c>
      <c r="V1082" s="282">
        <f>C1082-'часть 1'!L1090</f>
        <v>3524178</v>
      </c>
      <c r="W1082" s="282"/>
      <c r="X1082" s="28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296"/>
    </row>
    <row r="1083" spans="1:49" s="59" customFormat="1">
      <c r="A1083" s="198">
        <v>30</v>
      </c>
      <c r="B1083" s="195" t="s">
        <v>373</v>
      </c>
      <c r="C1083" s="196">
        <v>1865304</v>
      </c>
      <c r="D1083" s="196"/>
      <c r="E1083" s="196"/>
      <c r="F1083" s="196"/>
      <c r="G1083" s="196"/>
      <c r="H1083" s="196"/>
      <c r="I1083" s="196"/>
      <c r="J1083" s="196"/>
      <c r="K1083" s="196">
        <v>0</v>
      </c>
      <c r="L1083" s="194">
        <v>0</v>
      </c>
      <c r="M1083" s="196">
        <v>0</v>
      </c>
      <c r="N1083" s="196">
        <v>924</v>
      </c>
      <c r="O1083" s="196">
        <v>1865304</v>
      </c>
      <c r="P1083" s="194">
        <v>0</v>
      </c>
      <c r="Q1083" s="196">
        <v>0</v>
      </c>
      <c r="R1083" s="197">
        <v>0</v>
      </c>
      <c r="S1083" s="196">
        <v>0</v>
      </c>
      <c r="T1083" s="197">
        <v>0</v>
      </c>
      <c r="U1083" s="288">
        <v>0</v>
      </c>
      <c r="V1083" s="282">
        <f>C1083-'часть 1'!L1091</f>
        <v>-3753837</v>
      </c>
      <c r="W1083" s="282"/>
      <c r="X1083" s="28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296"/>
    </row>
    <row r="1084" spans="1:49" s="59" customFormat="1">
      <c r="A1084" s="198">
        <v>31</v>
      </c>
      <c r="B1084" s="195" t="s">
        <v>381</v>
      </c>
      <c r="C1084" s="196">
        <v>1870910</v>
      </c>
      <c r="D1084" s="196"/>
      <c r="E1084" s="196"/>
      <c r="F1084" s="196"/>
      <c r="G1084" s="196"/>
      <c r="H1084" s="196"/>
      <c r="I1084" s="196"/>
      <c r="J1084" s="196"/>
      <c r="K1084" s="196">
        <v>0</v>
      </c>
      <c r="L1084" s="194">
        <v>0</v>
      </c>
      <c r="M1084" s="196">
        <v>0</v>
      </c>
      <c r="N1084" s="196">
        <v>946.3</v>
      </c>
      <c r="O1084" s="196">
        <v>1870910</v>
      </c>
      <c r="P1084" s="194">
        <v>0</v>
      </c>
      <c r="Q1084" s="196">
        <v>0</v>
      </c>
      <c r="R1084" s="197">
        <v>0</v>
      </c>
      <c r="S1084" s="196">
        <v>0</v>
      </c>
      <c r="T1084" s="197">
        <v>0</v>
      </c>
      <c r="U1084" s="288">
        <v>0</v>
      </c>
      <c r="V1084" s="282">
        <f>C1084-'часть 1'!L1092</f>
        <v>-1877478</v>
      </c>
      <c r="W1084" s="282"/>
      <c r="X1084" s="28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296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</row>
    <row r="1085" spans="1:49" s="59" customFormat="1">
      <c r="A1085" s="198">
        <v>32</v>
      </c>
      <c r="B1085" s="195" t="s">
        <v>382</v>
      </c>
      <c r="C1085" s="196">
        <v>1533757</v>
      </c>
      <c r="D1085" s="196"/>
      <c r="E1085" s="196"/>
      <c r="F1085" s="196"/>
      <c r="G1085" s="196"/>
      <c r="H1085" s="196"/>
      <c r="I1085" s="196"/>
      <c r="J1085" s="196"/>
      <c r="K1085" s="196">
        <v>0</v>
      </c>
      <c r="L1085" s="194">
        <v>0</v>
      </c>
      <c r="M1085" s="196">
        <v>0</v>
      </c>
      <c r="N1085" s="196">
        <v>772.9</v>
      </c>
      <c r="O1085" s="196">
        <v>1533757</v>
      </c>
      <c r="P1085" s="194">
        <v>0</v>
      </c>
      <c r="Q1085" s="196">
        <v>0</v>
      </c>
      <c r="R1085" s="197">
        <v>0</v>
      </c>
      <c r="S1085" s="196">
        <v>0</v>
      </c>
      <c r="T1085" s="197">
        <v>0</v>
      </c>
      <c r="U1085" s="288">
        <v>0</v>
      </c>
      <c r="V1085" s="282">
        <f>C1085-'часть 1'!L1093</f>
        <v>-13623991</v>
      </c>
      <c r="W1085" s="282"/>
      <c r="X1085" s="28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296"/>
    </row>
    <row r="1086" spans="1:49">
      <c r="A1086" s="194">
        <v>33</v>
      </c>
      <c r="B1086" s="195" t="s">
        <v>371</v>
      </c>
      <c r="C1086" s="196">
        <v>939858</v>
      </c>
      <c r="D1086" s="196"/>
      <c r="E1086" s="196"/>
      <c r="F1086" s="196"/>
      <c r="G1086" s="196"/>
      <c r="H1086" s="196"/>
      <c r="I1086" s="196"/>
      <c r="J1086" s="196"/>
      <c r="K1086" s="196">
        <v>939858</v>
      </c>
      <c r="L1086" s="194">
        <v>0</v>
      </c>
      <c r="M1086" s="196">
        <v>0</v>
      </c>
      <c r="N1086" s="196">
        <v>0</v>
      </c>
      <c r="O1086" s="196">
        <v>0</v>
      </c>
      <c r="P1086" s="194">
        <v>0</v>
      </c>
      <c r="Q1086" s="196">
        <v>0</v>
      </c>
      <c r="R1086" s="200">
        <v>0</v>
      </c>
      <c r="S1086" s="196">
        <v>0</v>
      </c>
      <c r="T1086" s="197">
        <v>0</v>
      </c>
      <c r="U1086" s="288">
        <v>0</v>
      </c>
      <c r="V1086" s="282">
        <f>C1086-'часть 1'!L1094</f>
        <v>-90355</v>
      </c>
      <c r="W1086" s="282"/>
      <c r="X1086" s="28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296"/>
      <c r="AJ1086" s="89"/>
      <c r="AK1086" s="89"/>
      <c r="AL1086" s="89"/>
      <c r="AM1086" s="89"/>
      <c r="AN1086" s="89"/>
      <c r="AO1086" s="89"/>
      <c r="AP1086" s="89"/>
      <c r="AQ1086" s="89"/>
      <c r="AR1086" s="89"/>
      <c r="AS1086" s="89"/>
      <c r="AT1086" s="89"/>
      <c r="AU1086" s="89"/>
      <c r="AV1086" s="89"/>
      <c r="AW1086" s="89"/>
    </row>
    <row r="1087" spans="1:49" s="59" customFormat="1">
      <c r="A1087" s="198">
        <v>34</v>
      </c>
      <c r="B1087" s="195" t="s">
        <v>377</v>
      </c>
      <c r="C1087" s="196">
        <v>2368392</v>
      </c>
      <c r="D1087" s="196"/>
      <c r="E1087" s="196"/>
      <c r="F1087" s="196"/>
      <c r="G1087" s="196"/>
      <c r="H1087" s="196"/>
      <c r="I1087" s="196"/>
      <c r="J1087" s="196"/>
      <c r="K1087" s="196">
        <v>0</v>
      </c>
      <c r="L1087" s="194">
        <v>0</v>
      </c>
      <c r="M1087" s="196">
        <v>0</v>
      </c>
      <c r="N1087" s="196">
        <v>1200</v>
      </c>
      <c r="O1087" s="199">
        <v>2368392</v>
      </c>
      <c r="P1087" s="194">
        <v>0</v>
      </c>
      <c r="Q1087" s="196">
        <v>0</v>
      </c>
      <c r="R1087" s="197">
        <v>0</v>
      </c>
      <c r="S1087" s="196">
        <v>0</v>
      </c>
      <c r="T1087" s="197">
        <v>0</v>
      </c>
      <c r="U1087" s="288">
        <v>0</v>
      </c>
      <c r="V1087" s="282">
        <f>C1087-'часть 1'!L1095</f>
        <v>1837927</v>
      </c>
      <c r="W1087" s="282"/>
      <c r="X1087" s="28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296"/>
    </row>
    <row r="1088" spans="1:49" s="89" customFormat="1">
      <c r="A1088" s="198">
        <v>35</v>
      </c>
      <c r="B1088" s="195" t="s">
        <v>378</v>
      </c>
      <c r="C1088" s="196">
        <v>2433930.91</v>
      </c>
      <c r="D1088" s="196"/>
      <c r="E1088" s="196"/>
      <c r="F1088" s="196"/>
      <c r="G1088" s="196"/>
      <c r="H1088" s="196"/>
      <c r="I1088" s="196"/>
      <c r="J1088" s="196"/>
      <c r="K1088" s="196">
        <v>1478520.9100000001</v>
      </c>
      <c r="L1088" s="194">
        <v>0</v>
      </c>
      <c r="M1088" s="196">
        <v>0</v>
      </c>
      <c r="N1088" s="196">
        <v>526.79999999999995</v>
      </c>
      <c r="O1088" s="196">
        <v>955410</v>
      </c>
      <c r="P1088" s="194">
        <v>0</v>
      </c>
      <c r="Q1088" s="196">
        <v>0</v>
      </c>
      <c r="R1088" s="200">
        <v>0</v>
      </c>
      <c r="S1088" s="196">
        <v>0</v>
      </c>
      <c r="T1088" s="197">
        <v>0</v>
      </c>
      <c r="U1088" s="288">
        <v>0</v>
      </c>
      <c r="V1088" s="282">
        <f>C1088-'часть 1'!L1096</f>
        <v>450076.91000000015</v>
      </c>
      <c r="W1088" s="282"/>
      <c r="X1088" s="28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296"/>
      <c r="AJ1088" s="59"/>
      <c r="AK1088" s="59"/>
      <c r="AL1088" s="59"/>
      <c r="AM1088" s="59"/>
      <c r="AN1088" s="59"/>
      <c r="AO1088" s="59"/>
      <c r="AP1088" s="59"/>
      <c r="AQ1088" s="59"/>
      <c r="AR1088" s="59"/>
      <c r="AS1088" s="59"/>
      <c r="AT1088" s="59"/>
      <c r="AU1088" s="59"/>
      <c r="AV1088" s="59"/>
      <c r="AW1088" s="59"/>
    </row>
    <row r="1089" spans="1:49" s="59" customFormat="1">
      <c r="A1089" s="198">
        <v>36</v>
      </c>
      <c r="B1089" s="195" t="s">
        <v>383</v>
      </c>
      <c r="C1089" s="196">
        <v>1721850</v>
      </c>
      <c r="D1089" s="196"/>
      <c r="E1089" s="196"/>
      <c r="F1089" s="196"/>
      <c r="G1089" s="196"/>
      <c r="H1089" s="196"/>
      <c r="I1089" s="196"/>
      <c r="J1089" s="196"/>
      <c r="K1089" s="196">
        <v>0</v>
      </c>
      <c r="L1089" s="194">
        <v>0</v>
      </c>
      <c r="M1089" s="196">
        <v>0</v>
      </c>
      <c r="N1089" s="196">
        <v>868.68</v>
      </c>
      <c r="O1089" s="196">
        <v>1721850</v>
      </c>
      <c r="P1089" s="194">
        <v>0</v>
      </c>
      <c r="Q1089" s="196">
        <v>0</v>
      </c>
      <c r="R1089" s="197">
        <v>0</v>
      </c>
      <c r="S1089" s="196">
        <v>0</v>
      </c>
      <c r="T1089" s="197">
        <v>0</v>
      </c>
      <c r="U1089" s="288">
        <v>0</v>
      </c>
      <c r="V1089" s="282">
        <f>C1089-'часть 1'!L1097</f>
        <v>515546</v>
      </c>
      <c r="W1089" s="282"/>
      <c r="X1089" s="28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296"/>
    </row>
    <row r="1090" spans="1:49" s="59" customFormat="1">
      <c r="A1090" s="198">
        <v>37</v>
      </c>
      <c r="B1090" s="195" t="s">
        <v>368</v>
      </c>
      <c r="C1090" s="196">
        <v>814117</v>
      </c>
      <c r="D1090" s="196"/>
      <c r="E1090" s="196"/>
      <c r="F1090" s="196"/>
      <c r="G1090" s="196"/>
      <c r="H1090" s="196"/>
      <c r="I1090" s="196"/>
      <c r="J1090" s="196"/>
      <c r="K1090" s="196">
        <v>814117</v>
      </c>
      <c r="L1090" s="194">
        <v>0</v>
      </c>
      <c r="M1090" s="196">
        <v>0</v>
      </c>
      <c r="N1090" s="196">
        <v>0</v>
      </c>
      <c r="O1090" s="196">
        <v>0</v>
      </c>
      <c r="P1090" s="194">
        <v>0</v>
      </c>
      <c r="Q1090" s="196">
        <v>0</v>
      </c>
      <c r="R1090" s="197">
        <v>0</v>
      </c>
      <c r="S1090" s="196">
        <v>0</v>
      </c>
      <c r="T1090" s="197">
        <v>0</v>
      </c>
      <c r="U1090" s="288">
        <v>0</v>
      </c>
      <c r="V1090" s="282">
        <f>C1090-'часть 1'!L1098</f>
        <v>411586.8</v>
      </c>
      <c r="W1090" s="282"/>
      <c r="X1090" s="28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296"/>
    </row>
    <row r="1091" spans="1:49" s="59" customFormat="1">
      <c r="A1091" s="198">
        <v>38</v>
      </c>
      <c r="B1091" s="195" t="s">
        <v>375</v>
      </c>
      <c r="C1091" s="196">
        <v>3045081</v>
      </c>
      <c r="D1091" s="196"/>
      <c r="E1091" s="196"/>
      <c r="F1091" s="196"/>
      <c r="G1091" s="196"/>
      <c r="H1091" s="196"/>
      <c r="I1091" s="196"/>
      <c r="J1091" s="196"/>
      <c r="K1091" s="196">
        <v>0</v>
      </c>
      <c r="L1091" s="194">
        <v>0</v>
      </c>
      <c r="M1091" s="196">
        <v>0</v>
      </c>
      <c r="N1091" s="196">
        <v>0</v>
      </c>
      <c r="O1091" s="196">
        <v>0</v>
      </c>
      <c r="P1091" s="194">
        <v>0</v>
      </c>
      <c r="Q1091" s="196">
        <v>0</v>
      </c>
      <c r="R1091" s="196">
        <v>2108</v>
      </c>
      <c r="S1091" s="196">
        <v>3045081</v>
      </c>
      <c r="T1091" s="197">
        <v>0</v>
      </c>
      <c r="U1091" s="288">
        <v>0</v>
      </c>
      <c r="V1091" s="282">
        <f>C1091-'часть 1'!L1099</f>
        <v>183584</v>
      </c>
      <c r="W1091" s="282"/>
      <c r="X1091" s="28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296"/>
    </row>
    <row r="1092" spans="1:49" s="59" customFormat="1">
      <c r="A1092" s="198">
        <v>39</v>
      </c>
      <c r="B1092" s="195" t="s">
        <v>380</v>
      </c>
      <c r="C1092" s="196">
        <v>2244806</v>
      </c>
      <c r="D1092" s="196"/>
      <c r="E1092" s="196"/>
      <c r="F1092" s="196"/>
      <c r="G1092" s="196"/>
      <c r="H1092" s="196"/>
      <c r="I1092" s="196"/>
      <c r="J1092" s="196"/>
      <c r="K1092" s="196">
        <v>0</v>
      </c>
      <c r="L1092" s="194">
        <v>0</v>
      </c>
      <c r="M1092" s="196">
        <v>0</v>
      </c>
      <c r="N1092" s="199">
        <v>1120</v>
      </c>
      <c r="O1092" s="196">
        <v>2244806</v>
      </c>
      <c r="P1092" s="194">
        <v>0</v>
      </c>
      <c r="Q1092" s="196">
        <v>0</v>
      </c>
      <c r="R1092" s="200">
        <v>0</v>
      </c>
      <c r="S1092" s="196">
        <v>0</v>
      </c>
      <c r="T1092" s="197">
        <v>0</v>
      </c>
      <c r="U1092" s="288">
        <v>0</v>
      </c>
      <c r="V1092" s="282">
        <f>C1092-'часть 1'!L1100</f>
        <v>709740.53</v>
      </c>
      <c r="W1092" s="282"/>
      <c r="X1092" s="28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296"/>
    </row>
    <row r="1093" spans="1:49" s="59" customFormat="1">
      <c r="A1093" s="198">
        <v>40</v>
      </c>
      <c r="B1093" s="195" t="s">
        <v>374</v>
      </c>
      <c r="C1093" s="196">
        <v>1361273</v>
      </c>
      <c r="D1093" s="196"/>
      <c r="E1093" s="196"/>
      <c r="F1093" s="196"/>
      <c r="G1093" s="196"/>
      <c r="H1093" s="196"/>
      <c r="I1093" s="196"/>
      <c r="J1093" s="196"/>
      <c r="K1093" s="196">
        <v>347471</v>
      </c>
      <c r="L1093" s="194">
        <v>0</v>
      </c>
      <c r="M1093" s="196">
        <v>0</v>
      </c>
      <c r="N1093" s="196">
        <v>0</v>
      </c>
      <c r="O1093" s="196">
        <v>0</v>
      </c>
      <c r="P1093" s="194">
        <v>0</v>
      </c>
      <c r="Q1093" s="196">
        <v>0</v>
      </c>
      <c r="R1093" s="196">
        <v>1105</v>
      </c>
      <c r="S1093" s="196">
        <v>1013802</v>
      </c>
      <c r="T1093" s="197">
        <v>0</v>
      </c>
      <c r="U1093" s="288">
        <v>0</v>
      </c>
      <c r="V1093" s="282">
        <f>C1093-'часть 1'!L1101</f>
        <v>430739</v>
      </c>
      <c r="W1093" s="282"/>
      <c r="X1093" s="28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296"/>
    </row>
    <row r="1094" spans="1:49" s="59" customFormat="1">
      <c r="A1094" s="198">
        <v>41</v>
      </c>
      <c r="B1094" s="195" t="s">
        <v>376</v>
      </c>
      <c r="C1094" s="196">
        <v>2421596</v>
      </c>
      <c r="D1094" s="196"/>
      <c r="E1094" s="196"/>
      <c r="F1094" s="196"/>
      <c r="G1094" s="196"/>
      <c r="H1094" s="196"/>
      <c r="I1094" s="196"/>
      <c r="J1094" s="196"/>
      <c r="K1094" s="196">
        <v>0</v>
      </c>
      <c r="L1094" s="194">
        <v>0</v>
      </c>
      <c r="M1094" s="196">
        <v>0</v>
      </c>
      <c r="N1094" s="196">
        <v>1230.72</v>
      </c>
      <c r="O1094" s="199">
        <v>2421596</v>
      </c>
      <c r="P1094" s="194">
        <v>0</v>
      </c>
      <c r="Q1094" s="196">
        <v>0</v>
      </c>
      <c r="R1094" s="197">
        <v>0</v>
      </c>
      <c r="S1094" s="196">
        <v>0</v>
      </c>
      <c r="T1094" s="197">
        <v>0</v>
      </c>
      <c r="U1094" s="288">
        <v>0</v>
      </c>
      <c r="V1094" s="282">
        <f>C1094-'часть 1'!L1102</f>
        <v>1759078</v>
      </c>
      <c r="W1094" s="282"/>
      <c r="X1094" s="28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296"/>
    </row>
    <row r="1095" spans="1:49" s="59" customFormat="1">
      <c r="A1095" s="198">
        <v>42</v>
      </c>
      <c r="B1095" s="195" t="s">
        <v>379</v>
      </c>
      <c r="C1095" s="196">
        <v>2056315</v>
      </c>
      <c r="D1095" s="196"/>
      <c r="E1095" s="196"/>
      <c r="F1095" s="196"/>
      <c r="G1095" s="196"/>
      <c r="H1095" s="196"/>
      <c r="I1095" s="196"/>
      <c r="J1095" s="196"/>
      <c r="K1095" s="196">
        <v>0</v>
      </c>
      <c r="L1095" s="194">
        <v>0</v>
      </c>
      <c r="M1095" s="196">
        <v>0</v>
      </c>
      <c r="N1095" s="196">
        <v>978</v>
      </c>
      <c r="O1095" s="196">
        <v>2056315</v>
      </c>
      <c r="P1095" s="194">
        <v>0</v>
      </c>
      <c r="Q1095" s="196">
        <v>0</v>
      </c>
      <c r="R1095" s="200">
        <v>0</v>
      </c>
      <c r="S1095" s="196">
        <v>0</v>
      </c>
      <c r="T1095" s="197">
        <v>0</v>
      </c>
      <c r="U1095" s="288">
        <v>0</v>
      </c>
      <c r="V1095" s="282">
        <f>C1095-'часть 1'!L1103</f>
        <v>-290348</v>
      </c>
      <c r="W1095" s="282"/>
      <c r="X1095" s="28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296"/>
    </row>
    <row r="1096" spans="1:49" s="59" customFormat="1">
      <c r="A1096" s="198">
        <v>43</v>
      </c>
      <c r="B1096" s="195" t="s">
        <v>372</v>
      </c>
      <c r="C1096" s="196">
        <v>9473593</v>
      </c>
      <c r="D1096" s="196"/>
      <c r="E1096" s="196"/>
      <c r="F1096" s="196"/>
      <c r="G1096" s="196"/>
      <c r="H1096" s="196"/>
      <c r="I1096" s="196"/>
      <c r="J1096" s="196"/>
      <c r="K1096" s="196">
        <v>0</v>
      </c>
      <c r="L1096" s="194">
        <v>5</v>
      </c>
      <c r="M1096" s="196">
        <v>9473593</v>
      </c>
      <c r="N1096" s="196">
        <v>0</v>
      </c>
      <c r="O1096" s="196">
        <v>0</v>
      </c>
      <c r="P1096" s="194">
        <v>0</v>
      </c>
      <c r="Q1096" s="196">
        <v>0</v>
      </c>
      <c r="R1096" s="197">
        <v>0</v>
      </c>
      <c r="S1096" s="196">
        <v>0</v>
      </c>
      <c r="T1096" s="197">
        <v>0</v>
      </c>
      <c r="U1096" s="288">
        <v>0</v>
      </c>
      <c r="V1096" s="282">
        <f>C1096-'часть 1'!L1104</f>
        <v>8746574</v>
      </c>
      <c r="W1096" s="282"/>
      <c r="X1096" s="28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296"/>
    </row>
    <row r="1097" spans="1:49" s="59" customFormat="1">
      <c r="A1097" s="198">
        <v>44</v>
      </c>
      <c r="B1097" s="195" t="s">
        <v>344</v>
      </c>
      <c r="C1097" s="196">
        <v>4441828</v>
      </c>
      <c r="D1097" s="196"/>
      <c r="E1097" s="196"/>
      <c r="F1097" s="196"/>
      <c r="G1097" s="196"/>
      <c r="H1097" s="196"/>
      <c r="I1097" s="196"/>
      <c r="J1097" s="196"/>
      <c r="K1097" s="196">
        <v>0</v>
      </c>
      <c r="L1097" s="194">
        <v>0</v>
      </c>
      <c r="M1097" s="196">
        <v>0</v>
      </c>
      <c r="N1097" s="196">
        <v>0</v>
      </c>
      <c r="O1097" s="196">
        <v>0</v>
      </c>
      <c r="P1097" s="194">
        <v>0</v>
      </c>
      <c r="Q1097" s="196">
        <v>0</v>
      </c>
      <c r="R1097" s="196">
        <v>3081.4</v>
      </c>
      <c r="S1097" s="196">
        <v>4441828</v>
      </c>
      <c r="T1097" s="197">
        <v>0</v>
      </c>
      <c r="U1097" s="288">
        <v>0</v>
      </c>
      <c r="V1097" s="282">
        <f>C1097-'часть 1'!L1105</f>
        <v>3903707</v>
      </c>
      <c r="W1097" s="282"/>
      <c r="X1097" s="28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296"/>
    </row>
    <row r="1098" spans="1:49" s="59" customFormat="1">
      <c r="A1098" s="198">
        <v>45</v>
      </c>
      <c r="B1098" s="195" t="s">
        <v>348</v>
      </c>
      <c r="C1098" s="196">
        <v>3051089</v>
      </c>
      <c r="D1098" s="196"/>
      <c r="E1098" s="196"/>
      <c r="F1098" s="196"/>
      <c r="G1098" s="196"/>
      <c r="H1098" s="196"/>
      <c r="I1098" s="196"/>
      <c r="J1098" s="196"/>
      <c r="K1098" s="196">
        <v>0</v>
      </c>
      <c r="L1098" s="194">
        <v>0</v>
      </c>
      <c r="M1098" s="196">
        <v>0</v>
      </c>
      <c r="N1098" s="196">
        <v>1549</v>
      </c>
      <c r="O1098" s="196">
        <v>3051089</v>
      </c>
      <c r="P1098" s="194">
        <v>0</v>
      </c>
      <c r="Q1098" s="196">
        <v>0</v>
      </c>
      <c r="R1098" s="197">
        <v>0</v>
      </c>
      <c r="S1098" s="196">
        <v>0</v>
      </c>
      <c r="T1098" s="197">
        <v>0</v>
      </c>
      <c r="U1098" s="288">
        <v>0</v>
      </c>
      <c r="V1098" s="282">
        <f>C1098-'часть 1'!L1106</f>
        <v>1294237</v>
      </c>
      <c r="W1098" s="282"/>
      <c r="X1098" s="28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296"/>
    </row>
    <row r="1099" spans="1:49" s="59" customFormat="1">
      <c r="A1099" s="198">
        <v>46</v>
      </c>
      <c r="B1099" s="195" t="s">
        <v>386</v>
      </c>
      <c r="C1099" s="196">
        <v>869749</v>
      </c>
      <c r="D1099" s="196"/>
      <c r="E1099" s="196"/>
      <c r="F1099" s="196"/>
      <c r="G1099" s="196"/>
      <c r="H1099" s="196"/>
      <c r="I1099" s="196"/>
      <c r="J1099" s="196"/>
      <c r="K1099" s="196">
        <v>0</v>
      </c>
      <c r="L1099" s="194">
        <v>0</v>
      </c>
      <c r="M1099" s="196">
        <v>0</v>
      </c>
      <c r="N1099" s="196">
        <v>431.5</v>
      </c>
      <c r="O1099" s="196">
        <f>C1099</f>
        <v>869749</v>
      </c>
      <c r="P1099" s="194">
        <v>0</v>
      </c>
      <c r="Q1099" s="196">
        <v>0</v>
      </c>
      <c r="R1099" s="197">
        <v>0</v>
      </c>
      <c r="S1099" s="196">
        <v>0</v>
      </c>
      <c r="T1099" s="197">
        <v>0</v>
      </c>
      <c r="U1099" s="288">
        <v>0</v>
      </c>
      <c r="V1099" s="282">
        <f>C1099-'часть 1'!L1107</f>
        <v>193350.71999999997</v>
      </c>
      <c r="W1099" s="282"/>
      <c r="X1099" s="28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296"/>
    </row>
    <row r="1100" spans="1:49" s="59" customFormat="1">
      <c r="A1100" s="198">
        <v>47</v>
      </c>
      <c r="B1100" s="195" t="s">
        <v>461</v>
      </c>
      <c r="C1100" s="196">
        <v>869880</v>
      </c>
      <c r="D1100" s="196"/>
      <c r="E1100" s="196"/>
      <c r="F1100" s="196"/>
      <c r="G1100" s="196"/>
      <c r="H1100" s="196"/>
      <c r="I1100" s="196"/>
      <c r="J1100" s="196"/>
      <c r="K1100" s="196">
        <v>0</v>
      </c>
      <c r="L1100" s="194">
        <v>0</v>
      </c>
      <c r="M1100" s="196">
        <v>0</v>
      </c>
      <c r="N1100" s="196">
        <v>431.5</v>
      </c>
      <c r="O1100" s="199">
        <f>C1100</f>
        <v>869880</v>
      </c>
      <c r="P1100" s="194">
        <v>0</v>
      </c>
      <c r="Q1100" s="196">
        <v>0</v>
      </c>
      <c r="R1100" s="200">
        <v>0</v>
      </c>
      <c r="S1100" s="196">
        <v>0</v>
      </c>
      <c r="T1100" s="197">
        <v>0</v>
      </c>
      <c r="U1100" s="288">
        <v>0</v>
      </c>
      <c r="V1100" s="282">
        <f>C1100-'часть 1'!L1108</f>
        <v>103341</v>
      </c>
      <c r="W1100" s="282"/>
      <c r="X1100" s="28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296"/>
    </row>
    <row r="1101" spans="1:49" s="59" customFormat="1" ht="27.6">
      <c r="A1101" s="198">
        <v>48</v>
      </c>
      <c r="B1101" s="195" t="s">
        <v>462</v>
      </c>
      <c r="C1101" s="196">
        <v>172302</v>
      </c>
      <c r="D1101" s="196"/>
      <c r="E1101" s="196"/>
      <c r="F1101" s="196"/>
      <c r="G1101" s="196"/>
      <c r="H1101" s="196"/>
      <c r="I1101" s="196"/>
      <c r="J1101" s="196"/>
      <c r="K1101" s="196">
        <v>172302</v>
      </c>
      <c r="L1101" s="194">
        <v>0</v>
      </c>
      <c r="M1101" s="196">
        <v>0</v>
      </c>
      <c r="N1101" s="196">
        <v>0</v>
      </c>
      <c r="O1101" s="196">
        <v>0</v>
      </c>
      <c r="P1101" s="194">
        <v>0</v>
      </c>
      <c r="Q1101" s="196">
        <v>0</v>
      </c>
      <c r="R1101" s="197">
        <v>0</v>
      </c>
      <c r="S1101" s="196">
        <v>0</v>
      </c>
      <c r="T1101" s="197">
        <v>0</v>
      </c>
      <c r="U1101" s="288">
        <v>0</v>
      </c>
      <c r="V1101" s="282">
        <f>C1101-'часть 1'!L1109</f>
        <v>-1013812</v>
      </c>
      <c r="W1101" s="282"/>
      <c r="X1101" s="28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296"/>
      <c r="AJ1101" s="89"/>
      <c r="AK1101" s="89"/>
      <c r="AL1101" s="89"/>
      <c r="AM1101" s="89"/>
      <c r="AN1101" s="89"/>
      <c r="AO1101" s="89"/>
      <c r="AP1101" s="89"/>
      <c r="AQ1101" s="89"/>
      <c r="AR1101" s="89"/>
      <c r="AS1101" s="89"/>
      <c r="AT1101" s="89"/>
      <c r="AU1101" s="89"/>
      <c r="AV1101" s="89"/>
      <c r="AW1101" s="89"/>
    </row>
    <row r="1102" spans="1:49" s="59" customFormat="1">
      <c r="A1102" s="198">
        <v>49</v>
      </c>
      <c r="B1102" s="195" t="s">
        <v>389</v>
      </c>
      <c r="C1102" s="196">
        <v>3706393</v>
      </c>
      <c r="D1102" s="196"/>
      <c r="E1102" s="196"/>
      <c r="F1102" s="196"/>
      <c r="G1102" s="196"/>
      <c r="H1102" s="196"/>
      <c r="I1102" s="196"/>
      <c r="J1102" s="196"/>
      <c r="K1102" s="196" t="e">
        <f>#REF!</f>
        <v>#REF!</v>
      </c>
      <c r="L1102" s="194">
        <v>0</v>
      </c>
      <c r="M1102" s="196">
        <v>0</v>
      </c>
      <c r="N1102" s="196">
        <v>0</v>
      </c>
      <c r="O1102" s="196">
        <v>0</v>
      </c>
      <c r="P1102" s="194">
        <v>0</v>
      </c>
      <c r="Q1102" s="196">
        <v>0</v>
      </c>
      <c r="R1102" s="197">
        <v>0</v>
      </c>
      <c r="S1102" s="196">
        <v>0</v>
      </c>
      <c r="T1102" s="197">
        <v>0</v>
      </c>
      <c r="U1102" s="288">
        <v>0</v>
      </c>
      <c r="V1102" s="282">
        <f>C1102-'часть 1'!L1110</f>
        <v>3528120.41</v>
      </c>
      <c r="W1102" s="282"/>
      <c r="X1102" s="28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296"/>
    </row>
    <row r="1103" spans="1:49" s="59" customFormat="1">
      <c r="A1103" s="198">
        <v>50</v>
      </c>
      <c r="B1103" s="195" t="s">
        <v>317</v>
      </c>
      <c r="C1103" s="196">
        <v>698585</v>
      </c>
      <c r="D1103" s="196"/>
      <c r="E1103" s="196"/>
      <c r="F1103" s="196"/>
      <c r="G1103" s="196"/>
      <c r="H1103" s="196"/>
      <c r="I1103" s="196"/>
      <c r="J1103" s="196"/>
      <c r="K1103" s="196">
        <v>698585</v>
      </c>
      <c r="L1103" s="194">
        <v>0</v>
      </c>
      <c r="M1103" s="196">
        <v>0</v>
      </c>
      <c r="N1103" s="199">
        <v>0</v>
      </c>
      <c r="O1103" s="196">
        <v>0</v>
      </c>
      <c r="P1103" s="194">
        <v>0</v>
      </c>
      <c r="Q1103" s="196">
        <v>0</v>
      </c>
      <c r="R1103" s="200">
        <v>0</v>
      </c>
      <c r="S1103" s="196">
        <v>0</v>
      </c>
      <c r="T1103" s="197">
        <v>0</v>
      </c>
      <c r="U1103" s="288">
        <v>0</v>
      </c>
      <c r="V1103" s="282">
        <f>C1103-'часть 1'!L1111</f>
        <v>-388531</v>
      </c>
      <c r="W1103" s="282"/>
      <c r="X1103" s="28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296"/>
    </row>
    <row r="1104" spans="1:49" s="59" customFormat="1">
      <c r="A1104" s="198">
        <v>51</v>
      </c>
      <c r="B1104" s="195" t="s">
        <v>384</v>
      </c>
      <c r="C1104" s="196">
        <v>951740</v>
      </c>
      <c r="D1104" s="196"/>
      <c r="E1104" s="196"/>
      <c r="F1104" s="196"/>
      <c r="G1104" s="196"/>
      <c r="H1104" s="196"/>
      <c r="I1104" s="196"/>
      <c r="J1104" s="196"/>
      <c r="K1104" s="196">
        <v>0</v>
      </c>
      <c r="L1104" s="194">
        <v>0</v>
      </c>
      <c r="M1104" s="196">
        <v>0</v>
      </c>
      <c r="N1104" s="196">
        <v>471.1</v>
      </c>
      <c r="O1104" s="196">
        <v>951740</v>
      </c>
      <c r="P1104" s="194">
        <v>0</v>
      </c>
      <c r="Q1104" s="196">
        <v>0</v>
      </c>
      <c r="R1104" s="197">
        <v>0</v>
      </c>
      <c r="S1104" s="196">
        <v>0</v>
      </c>
      <c r="T1104" s="197">
        <v>0</v>
      </c>
      <c r="U1104" s="288">
        <v>0</v>
      </c>
      <c r="V1104" s="282">
        <f>C1104-'часть 1'!L1112</f>
        <v>-459623</v>
      </c>
      <c r="W1104" s="282"/>
      <c r="X1104" s="28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296"/>
    </row>
    <row r="1105" spans="1:38">
      <c r="A1105" s="198">
        <v>52</v>
      </c>
      <c r="B1105" s="195" t="s">
        <v>247</v>
      </c>
      <c r="C1105" s="196">
        <v>2056139</v>
      </c>
      <c r="D1105" s="196"/>
      <c r="E1105" s="196"/>
      <c r="F1105" s="196"/>
      <c r="G1105" s="196"/>
      <c r="H1105" s="196"/>
      <c r="I1105" s="196"/>
      <c r="J1105" s="196"/>
      <c r="K1105" s="196">
        <v>0</v>
      </c>
      <c r="L1105" s="194">
        <v>0</v>
      </c>
      <c r="M1105" s="196">
        <v>0</v>
      </c>
      <c r="N1105" s="196">
        <v>1020</v>
      </c>
      <c r="O1105" s="196">
        <v>2056139</v>
      </c>
      <c r="P1105" s="194">
        <v>0</v>
      </c>
      <c r="Q1105" s="196">
        <v>0</v>
      </c>
      <c r="R1105" s="200">
        <v>0</v>
      </c>
      <c r="S1105" s="196">
        <v>0</v>
      </c>
      <c r="T1105" s="197">
        <v>0</v>
      </c>
      <c r="U1105" s="288">
        <v>0</v>
      </c>
      <c r="V1105" s="282">
        <f>C1105-'часть 1'!L1113</f>
        <v>919473</v>
      </c>
      <c r="W1105" s="282"/>
      <c r="X1105" s="28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296"/>
    </row>
    <row r="1106" spans="1:38">
      <c r="A1106" s="198">
        <v>53</v>
      </c>
      <c r="B1106" s="195" t="s">
        <v>274</v>
      </c>
      <c r="C1106" s="196">
        <v>1321356</v>
      </c>
      <c r="D1106" s="196"/>
      <c r="E1106" s="196"/>
      <c r="F1106" s="196"/>
      <c r="G1106" s="196"/>
      <c r="H1106" s="196"/>
      <c r="I1106" s="196"/>
      <c r="J1106" s="196"/>
      <c r="K1106" s="196">
        <v>0</v>
      </c>
      <c r="L1106" s="194">
        <v>0</v>
      </c>
      <c r="M1106" s="196">
        <v>0</v>
      </c>
      <c r="N1106" s="196">
        <v>662</v>
      </c>
      <c r="O1106" s="199">
        <v>1321356</v>
      </c>
      <c r="P1106" s="194">
        <v>0</v>
      </c>
      <c r="Q1106" s="196">
        <v>0</v>
      </c>
      <c r="R1106" s="197">
        <v>0</v>
      </c>
      <c r="S1106" s="196">
        <v>0</v>
      </c>
      <c r="T1106" s="197">
        <v>0</v>
      </c>
      <c r="U1106" s="288">
        <v>0</v>
      </c>
      <c r="V1106" s="282">
        <f>C1106-'часть 1'!L1114</f>
        <v>-64318</v>
      </c>
      <c r="W1106" s="282"/>
      <c r="X1106" s="28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296"/>
    </row>
    <row r="1107" spans="1:38">
      <c r="A1107" s="198">
        <v>54</v>
      </c>
      <c r="B1107" s="195" t="s">
        <v>338</v>
      </c>
      <c r="C1107" s="196">
        <v>1679278</v>
      </c>
      <c r="D1107" s="196"/>
      <c r="E1107" s="196"/>
      <c r="F1107" s="196"/>
      <c r="G1107" s="196"/>
      <c r="H1107" s="196"/>
      <c r="I1107" s="196"/>
      <c r="J1107" s="196"/>
      <c r="K1107" s="196">
        <v>355519</v>
      </c>
      <c r="L1107" s="194">
        <v>0</v>
      </c>
      <c r="M1107" s="196">
        <v>0</v>
      </c>
      <c r="N1107" s="196">
        <v>663.3</v>
      </c>
      <c r="O1107" s="196">
        <v>1323759</v>
      </c>
      <c r="P1107" s="194">
        <v>0</v>
      </c>
      <c r="Q1107" s="196">
        <v>0</v>
      </c>
      <c r="R1107" s="197">
        <v>0</v>
      </c>
      <c r="S1107" s="196">
        <v>0</v>
      </c>
      <c r="T1107" s="197">
        <v>0</v>
      </c>
      <c r="U1107" s="288">
        <v>0</v>
      </c>
      <c r="V1107" s="282">
        <f>C1107-'часть 1'!L1115</f>
        <v>-2940712</v>
      </c>
      <c r="W1107" s="282"/>
      <c r="X1107" s="282"/>
      <c r="Y1107" s="12"/>
      <c r="Z1107" s="12"/>
      <c r="AA1107" s="12"/>
      <c r="AB1107" s="12"/>
      <c r="AC1107" s="12"/>
      <c r="AD1107" s="12"/>
      <c r="AE1107" s="12"/>
      <c r="AF1107" s="12"/>
      <c r="AG1107" s="4"/>
      <c r="AH1107" s="12"/>
      <c r="AI1107" s="296"/>
    </row>
    <row r="1108" spans="1:38" s="11" customFormat="1">
      <c r="A1108" s="198">
        <v>55</v>
      </c>
      <c r="B1108" s="195" t="s">
        <v>272</v>
      </c>
      <c r="C1108" s="196">
        <v>1100896</v>
      </c>
      <c r="D1108" s="196"/>
      <c r="E1108" s="196"/>
      <c r="F1108" s="196"/>
      <c r="G1108" s="196"/>
      <c r="H1108" s="196"/>
      <c r="I1108" s="196"/>
      <c r="J1108" s="196"/>
      <c r="K1108" s="196">
        <v>0</v>
      </c>
      <c r="L1108" s="194">
        <v>0</v>
      </c>
      <c r="M1108" s="196">
        <v>0</v>
      </c>
      <c r="N1108" s="196">
        <v>549</v>
      </c>
      <c r="O1108" s="199">
        <v>1100896</v>
      </c>
      <c r="P1108" s="194">
        <v>0</v>
      </c>
      <c r="Q1108" s="196">
        <v>0</v>
      </c>
      <c r="R1108" s="197">
        <v>0</v>
      </c>
      <c r="S1108" s="196">
        <v>0</v>
      </c>
      <c r="T1108" s="197">
        <v>0</v>
      </c>
      <c r="U1108" s="288">
        <v>0</v>
      </c>
      <c r="V1108" s="282">
        <f>C1108-'часть 1'!L1116</f>
        <v>-764408</v>
      </c>
      <c r="W1108" s="282"/>
      <c r="X1108" s="28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296"/>
    </row>
    <row r="1109" spans="1:38">
      <c r="A1109" s="198">
        <v>56</v>
      </c>
      <c r="B1109" s="195" t="s">
        <v>337</v>
      </c>
      <c r="C1109" s="196">
        <v>1729707</v>
      </c>
      <c r="D1109" s="196"/>
      <c r="E1109" s="196"/>
      <c r="F1109" s="196"/>
      <c r="G1109" s="196"/>
      <c r="H1109" s="196"/>
      <c r="I1109" s="196"/>
      <c r="J1109" s="196"/>
      <c r="K1109" s="196">
        <v>630140</v>
      </c>
      <c r="L1109" s="194">
        <v>0</v>
      </c>
      <c r="M1109" s="196">
        <v>0</v>
      </c>
      <c r="N1109" s="196">
        <v>0</v>
      </c>
      <c r="O1109" s="196">
        <v>0</v>
      </c>
      <c r="P1109" s="194">
        <v>0</v>
      </c>
      <c r="Q1109" s="196">
        <v>0</v>
      </c>
      <c r="R1109" s="196">
        <v>760.3</v>
      </c>
      <c r="S1109" s="196">
        <v>1099567</v>
      </c>
      <c r="T1109" s="197">
        <v>0</v>
      </c>
      <c r="U1109" s="288">
        <v>0</v>
      </c>
      <c r="V1109" s="282">
        <f>C1109-'часть 1'!L1117</f>
        <v>-141203</v>
      </c>
      <c r="W1109" s="282"/>
      <c r="X1109" s="282"/>
      <c r="Y1109" s="12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296"/>
    </row>
    <row r="1110" spans="1:38" s="59" customFormat="1">
      <c r="A1110" s="198">
        <v>57</v>
      </c>
      <c r="B1110" s="195" t="s">
        <v>257</v>
      </c>
      <c r="C1110" s="196">
        <v>451222.57</v>
      </c>
      <c r="D1110" s="196"/>
      <c r="E1110" s="196"/>
      <c r="F1110" s="196"/>
      <c r="G1110" s="196"/>
      <c r="H1110" s="196"/>
      <c r="I1110" s="196"/>
      <c r="J1110" s="196"/>
      <c r="K1110" s="196">
        <v>451222.57</v>
      </c>
      <c r="L1110" s="194">
        <v>0</v>
      </c>
      <c r="M1110" s="196">
        <v>0</v>
      </c>
      <c r="N1110" s="196">
        <v>0</v>
      </c>
      <c r="O1110" s="196">
        <v>0</v>
      </c>
      <c r="P1110" s="194">
        <v>0</v>
      </c>
      <c r="Q1110" s="196">
        <v>0</v>
      </c>
      <c r="R1110" s="197">
        <v>0</v>
      </c>
      <c r="S1110" s="196">
        <v>0</v>
      </c>
      <c r="T1110" s="197">
        <v>0</v>
      </c>
      <c r="U1110" s="288">
        <v>0</v>
      </c>
      <c r="V1110" s="282">
        <f>C1110-'часть 1'!L1118</f>
        <v>-1082534.43</v>
      </c>
      <c r="W1110" s="282"/>
      <c r="X1110" s="282"/>
      <c r="Y1110" s="12"/>
      <c r="Z1110" s="12"/>
      <c r="AA1110" s="4"/>
      <c r="AB1110" s="12"/>
      <c r="AC1110" s="12"/>
      <c r="AD1110" s="12"/>
      <c r="AE1110" s="12"/>
      <c r="AF1110" s="12"/>
      <c r="AG1110" s="12"/>
      <c r="AH1110" s="12"/>
      <c r="AI1110" s="296"/>
    </row>
    <row r="1111" spans="1:38" ht="27.6">
      <c r="A1111" s="198">
        <v>58</v>
      </c>
      <c r="B1111" s="195" t="s">
        <v>307</v>
      </c>
      <c r="C1111" s="196">
        <v>703675.57</v>
      </c>
      <c r="D1111" s="196"/>
      <c r="E1111" s="196"/>
      <c r="F1111" s="196"/>
      <c r="G1111" s="196"/>
      <c r="H1111" s="196"/>
      <c r="I1111" s="196"/>
      <c r="J1111" s="196"/>
      <c r="K1111" s="196">
        <v>0</v>
      </c>
      <c r="L1111" s="194">
        <v>0</v>
      </c>
      <c r="M1111" s="196">
        <v>0</v>
      </c>
      <c r="N1111" s="196">
        <v>378</v>
      </c>
      <c r="O1111" s="196">
        <v>703675.57</v>
      </c>
      <c r="P1111" s="194">
        <v>0</v>
      </c>
      <c r="Q1111" s="196">
        <v>0</v>
      </c>
      <c r="R1111" s="197">
        <v>0</v>
      </c>
      <c r="S1111" s="196">
        <v>0</v>
      </c>
      <c r="T1111" s="197">
        <v>0</v>
      </c>
      <c r="U1111" s="288">
        <v>0</v>
      </c>
      <c r="V1111" s="282">
        <f>C1111-'часть 1'!L1119</f>
        <v>-236182.43000000005</v>
      </c>
      <c r="W1111" s="282"/>
      <c r="X1111" s="28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296"/>
    </row>
    <row r="1112" spans="1:38">
      <c r="A1112" s="198">
        <v>59</v>
      </c>
      <c r="B1112" s="195" t="s">
        <v>268</v>
      </c>
      <c r="C1112" s="196">
        <v>1053533.22</v>
      </c>
      <c r="D1112" s="196"/>
      <c r="E1112" s="196"/>
      <c r="F1112" s="196"/>
      <c r="G1112" s="196"/>
      <c r="H1112" s="196"/>
      <c r="I1112" s="196"/>
      <c r="J1112" s="196"/>
      <c r="K1112" s="196">
        <v>1053533.22</v>
      </c>
      <c r="L1112" s="194">
        <v>0</v>
      </c>
      <c r="M1112" s="196">
        <v>0</v>
      </c>
      <c r="N1112" s="196">
        <v>0</v>
      </c>
      <c r="O1112" s="196">
        <v>0</v>
      </c>
      <c r="P1112" s="194">
        <v>0</v>
      </c>
      <c r="Q1112" s="196">
        <v>0</v>
      </c>
      <c r="R1112" s="197">
        <v>0</v>
      </c>
      <c r="S1112" s="196">
        <v>0</v>
      </c>
      <c r="T1112" s="197">
        <v>0</v>
      </c>
      <c r="U1112" s="288">
        <v>0</v>
      </c>
      <c r="V1112" s="282">
        <f>C1112-'часть 1'!L1120</f>
        <v>-1314858.78</v>
      </c>
      <c r="W1112" s="282"/>
      <c r="X1112" s="28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296"/>
      <c r="AJ1112" s="11"/>
      <c r="AK1112" s="11"/>
      <c r="AL1112" s="11"/>
    </row>
    <row r="1113" spans="1:38">
      <c r="A1113" s="198">
        <v>60</v>
      </c>
      <c r="B1113" s="195" t="s">
        <v>246</v>
      </c>
      <c r="C1113" s="196">
        <v>1253738</v>
      </c>
      <c r="D1113" s="196"/>
      <c r="E1113" s="196"/>
      <c r="F1113" s="196"/>
      <c r="G1113" s="196"/>
      <c r="H1113" s="196"/>
      <c r="I1113" s="196"/>
      <c r="J1113" s="196"/>
      <c r="K1113" s="196">
        <v>0</v>
      </c>
      <c r="L1113" s="194">
        <v>0</v>
      </c>
      <c r="M1113" s="196">
        <v>0</v>
      </c>
      <c r="N1113" s="196">
        <v>622</v>
      </c>
      <c r="O1113" s="196">
        <v>1253738</v>
      </c>
      <c r="P1113" s="194">
        <v>0</v>
      </c>
      <c r="Q1113" s="196">
        <v>0</v>
      </c>
      <c r="R1113" s="200">
        <v>0</v>
      </c>
      <c r="S1113" s="196">
        <v>0</v>
      </c>
      <c r="T1113" s="197">
        <v>0</v>
      </c>
      <c r="U1113" s="288">
        <v>0</v>
      </c>
      <c r="V1113" s="282">
        <f>C1113-'часть 1'!L1121</f>
        <v>-1180192.9100000001</v>
      </c>
      <c r="W1113" s="282"/>
      <c r="X1113" s="28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296"/>
    </row>
    <row r="1114" spans="1:38" s="11" customFormat="1">
      <c r="A1114" s="198">
        <v>61</v>
      </c>
      <c r="B1114" s="195" t="s">
        <v>470</v>
      </c>
      <c r="C1114" s="196">
        <v>1870046</v>
      </c>
      <c r="D1114" s="196"/>
      <c r="E1114" s="196"/>
      <c r="F1114" s="196"/>
      <c r="G1114" s="196"/>
      <c r="H1114" s="196"/>
      <c r="I1114" s="196"/>
      <c r="J1114" s="196"/>
      <c r="K1114" s="196">
        <v>0</v>
      </c>
      <c r="L1114" s="194">
        <v>1</v>
      </c>
      <c r="M1114" s="196">
        <v>1870046</v>
      </c>
      <c r="N1114" s="196">
        <v>0</v>
      </c>
      <c r="O1114" s="196">
        <v>0</v>
      </c>
      <c r="P1114" s="194">
        <v>0</v>
      </c>
      <c r="Q1114" s="196">
        <v>0</v>
      </c>
      <c r="R1114" s="197">
        <v>0</v>
      </c>
      <c r="S1114" s="196">
        <v>0</v>
      </c>
      <c r="T1114" s="197">
        <v>0</v>
      </c>
      <c r="U1114" s="288">
        <v>0</v>
      </c>
      <c r="V1114" s="282">
        <f>C1114-'часть 1'!L1122</f>
        <v>148196</v>
      </c>
      <c r="W1114" s="282"/>
      <c r="X1114" s="28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296"/>
      <c r="AJ1114" s="1"/>
      <c r="AK1114" s="1"/>
      <c r="AL1114" s="1"/>
    </row>
    <row r="1115" spans="1:38">
      <c r="A1115" s="198">
        <v>62</v>
      </c>
      <c r="B1115" s="195" t="s">
        <v>350</v>
      </c>
      <c r="C1115" s="196">
        <v>3720676</v>
      </c>
      <c r="D1115" s="196"/>
      <c r="E1115" s="196"/>
      <c r="F1115" s="196"/>
      <c r="G1115" s="196"/>
      <c r="H1115" s="196"/>
      <c r="I1115" s="196"/>
      <c r="J1115" s="196"/>
      <c r="K1115" s="196">
        <v>0</v>
      </c>
      <c r="L1115" s="194">
        <v>2</v>
      </c>
      <c r="M1115" s="196">
        <v>3720676</v>
      </c>
      <c r="N1115" s="196">
        <v>0</v>
      </c>
      <c r="O1115" s="196">
        <v>0</v>
      </c>
      <c r="P1115" s="194">
        <v>0</v>
      </c>
      <c r="Q1115" s="196">
        <v>0</v>
      </c>
      <c r="R1115" s="197">
        <v>0</v>
      </c>
      <c r="S1115" s="196">
        <v>0</v>
      </c>
      <c r="T1115" s="197">
        <v>0</v>
      </c>
      <c r="U1115" s="288">
        <v>0</v>
      </c>
      <c r="V1115" s="282">
        <f>C1115-'часть 1'!L1123</f>
        <v>2906559</v>
      </c>
      <c r="W1115" s="282"/>
      <c r="X1115" s="28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296"/>
    </row>
    <row r="1116" spans="1:38">
      <c r="A1116" s="198">
        <v>63</v>
      </c>
      <c r="B1116" s="195" t="s">
        <v>251</v>
      </c>
      <c r="C1116" s="196">
        <v>3687908</v>
      </c>
      <c r="D1116" s="196"/>
      <c r="E1116" s="196"/>
      <c r="F1116" s="196"/>
      <c r="G1116" s="196"/>
      <c r="H1116" s="196"/>
      <c r="I1116" s="196"/>
      <c r="J1116" s="196"/>
      <c r="K1116" s="196">
        <v>3687908</v>
      </c>
      <c r="L1116" s="194">
        <v>0</v>
      </c>
      <c r="M1116" s="196">
        <v>0</v>
      </c>
      <c r="N1116" s="196">
        <v>0</v>
      </c>
      <c r="O1116" s="196">
        <v>0</v>
      </c>
      <c r="P1116" s="194">
        <v>0</v>
      </c>
      <c r="Q1116" s="196">
        <v>0</v>
      </c>
      <c r="R1116" s="200">
        <v>0</v>
      </c>
      <c r="S1116" s="196">
        <v>0</v>
      </c>
      <c r="T1116" s="197">
        <v>0</v>
      </c>
      <c r="U1116" s="288">
        <v>0</v>
      </c>
      <c r="V1116" s="282">
        <f>C1116-'часть 1'!L1124</f>
        <v>642827</v>
      </c>
      <c r="W1116" s="282"/>
      <c r="X1116" s="282"/>
      <c r="Y1116" s="12"/>
      <c r="Z1116" s="12"/>
      <c r="AA1116" s="12"/>
      <c r="AB1116" s="12"/>
      <c r="AC1116" s="12"/>
      <c r="AD1116" s="12"/>
      <c r="AE1116" s="64"/>
      <c r="AF1116" s="12"/>
      <c r="AG1116" s="12"/>
      <c r="AH1116" s="12"/>
      <c r="AI1116" s="296"/>
    </row>
    <row r="1117" spans="1:38">
      <c r="A1117" s="198">
        <v>64</v>
      </c>
      <c r="B1117" s="195" t="s">
        <v>226</v>
      </c>
      <c r="C1117" s="196">
        <v>1760967.35</v>
      </c>
      <c r="D1117" s="196"/>
      <c r="E1117" s="196"/>
      <c r="F1117" s="196"/>
      <c r="G1117" s="196"/>
      <c r="H1117" s="196"/>
      <c r="I1117" s="196"/>
      <c r="J1117" s="196"/>
      <c r="K1117" s="196">
        <v>0</v>
      </c>
      <c r="L1117" s="194">
        <v>0</v>
      </c>
      <c r="M1117" s="196">
        <v>0</v>
      </c>
      <c r="N1117" s="196">
        <v>881</v>
      </c>
      <c r="O1117" s="196">
        <v>1760967.35</v>
      </c>
      <c r="P1117" s="194">
        <v>0</v>
      </c>
      <c r="Q1117" s="196">
        <v>0</v>
      </c>
      <c r="R1117" s="200">
        <v>0</v>
      </c>
      <c r="S1117" s="196">
        <v>0</v>
      </c>
      <c r="T1117" s="197">
        <v>0</v>
      </c>
      <c r="U1117" s="288">
        <v>0</v>
      </c>
      <c r="V1117" s="282">
        <f>C1117-'часть 1'!L1125</f>
        <v>-483838.64999999991</v>
      </c>
      <c r="W1117" s="282"/>
      <c r="X1117" s="28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296"/>
    </row>
    <row r="1118" spans="1:38">
      <c r="A1118" s="198">
        <v>65</v>
      </c>
      <c r="B1118" s="195" t="s">
        <v>271</v>
      </c>
      <c r="C1118" s="196">
        <v>881947</v>
      </c>
      <c r="D1118" s="196"/>
      <c r="E1118" s="196"/>
      <c r="F1118" s="196"/>
      <c r="G1118" s="196"/>
      <c r="H1118" s="196"/>
      <c r="I1118" s="196"/>
      <c r="J1118" s="196"/>
      <c r="K1118" s="196">
        <v>881947</v>
      </c>
      <c r="L1118" s="194">
        <v>0</v>
      </c>
      <c r="M1118" s="196">
        <v>0</v>
      </c>
      <c r="N1118" s="196">
        <v>0</v>
      </c>
      <c r="O1118" s="196">
        <v>0</v>
      </c>
      <c r="P1118" s="194">
        <v>0</v>
      </c>
      <c r="Q1118" s="196">
        <v>0</v>
      </c>
      <c r="R1118" s="197">
        <v>0</v>
      </c>
      <c r="S1118" s="196">
        <v>0</v>
      </c>
      <c r="T1118" s="197">
        <v>0</v>
      </c>
      <c r="U1118" s="288">
        <v>0</v>
      </c>
      <c r="V1118" s="282">
        <f>C1118-'часть 1'!L1126</f>
        <v>-479326</v>
      </c>
      <c r="W1118" s="282"/>
      <c r="X1118" s="282"/>
      <c r="Y1118" s="4"/>
      <c r="Z1118" s="12"/>
      <c r="AA1118" s="12"/>
      <c r="AB1118" s="12"/>
      <c r="AC1118" s="12"/>
      <c r="AD1118" s="12"/>
      <c r="AE1118" s="12"/>
      <c r="AF1118" s="12"/>
      <c r="AG1118" s="12"/>
      <c r="AH1118" s="12"/>
      <c r="AI1118" s="296"/>
    </row>
    <row r="1119" spans="1:38">
      <c r="A1119" s="198">
        <v>66</v>
      </c>
      <c r="B1119" s="195" t="s">
        <v>287</v>
      </c>
      <c r="C1119" s="196">
        <v>517739</v>
      </c>
      <c r="D1119" s="196"/>
      <c r="E1119" s="196"/>
      <c r="F1119" s="196"/>
      <c r="G1119" s="196"/>
      <c r="H1119" s="196"/>
      <c r="I1119" s="196"/>
      <c r="J1119" s="196"/>
      <c r="K1119" s="196">
        <v>0</v>
      </c>
      <c r="L1119" s="194">
        <v>0</v>
      </c>
      <c r="M1119" s="196">
        <v>0</v>
      </c>
      <c r="N1119" s="196">
        <v>252</v>
      </c>
      <c r="O1119" s="199">
        <v>517739</v>
      </c>
      <c r="P1119" s="194">
        <v>0</v>
      </c>
      <c r="Q1119" s="196">
        <v>0</v>
      </c>
      <c r="R1119" s="197">
        <v>0</v>
      </c>
      <c r="S1119" s="196">
        <v>0</v>
      </c>
      <c r="T1119" s="197">
        <v>0</v>
      </c>
      <c r="U1119" s="288">
        <v>0</v>
      </c>
      <c r="V1119" s="282">
        <f>C1119-'часть 1'!L1127</f>
        <v>-1903857</v>
      </c>
      <c r="W1119" s="282"/>
      <c r="X1119" s="28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296"/>
    </row>
    <row r="1120" spans="1:38">
      <c r="A1120" s="198">
        <v>67</v>
      </c>
      <c r="B1120" s="195" t="s">
        <v>289</v>
      </c>
      <c r="C1120" s="196">
        <v>1728895</v>
      </c>
      <c r="D1120" s="196"/>
      <c r="E1120" s="196"/>
      <c r="F1120" s="196"/>
      <c r="G1120" s="196"/>
      <c r="H1120" s="196"/>
      <c r="I1120" s="196"/>
      <c r="J1120" s="196"/>
      <c r="K1120" s="196">
        <v>0</v>
      </c>
      <c r="L1120" s="194">
        <v>0</v>
      </c>
      <c r="M1120" s="196">
        <v>0</v>
      </c>
      <c r="N1120" s="196">
        <v>873.06</v>
      </c>
      <c r="O1120" s="196">
        <v>1728895</v>
      </c>
      <c r="P1120" s="201">
        <v>0</v>
      </c>
      <c r="Q1120" s="196">
        <v>0</v>
      </c>
      <c r="R1120" s="200">
        <v>0</v>
      </c>
      <c r="S1120" s="196">
        <v>0</v>
      </c>
      <c r="T1120" s="197">
        <v>0</v>
      </c>
      <c r="U1120" s="288">
        <v>0</v>
      </c>
      <c r="V1120" s="282">
        <f>C1120-'часть 1'!L1128</f>
        <v>-327420</v>
      </c>
      <c r="W1120" s="282"/>
      <c r="X1120" s="28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296"/>
    </row>
    <row r="1121" spans="1:35">
      <c r="A1121" s="198">
        <v>68</v>
      </c>
      <c r="B1121" s="195" t="s">
        <v>259</v>
      </c>
      <c r="C1121" s="196">
        <v>682529</v>
      </c>
      <c r="D1121" s="196"/>
      <c r="E1121" s="196"/>
      <c r="F1121" s="196"/>
      <c r="G1121" s="196"/>
      <c r="H1121" s="196"/>
      <c r="I1121" s="196"/>
      <c r="J1121" s="196"/>
      <c r="K1121" s="196">
        <v>0</v>
      </c>
      <c r="L1121" s="194">
        <v>0</v>
      </c>
      <c r="M1121" s="196">
        <v>0</v>
      </c>
      <c r="N1121" s="196">
        <v>335.6</v>
      </c>
      <c r="O1121" s="196">
        <v>682529</v>
      </c>
      <c r="P1121" s="194">
        <v>0</v>
      </c>
      <c r="Q1121" s="196">
        <v>0</v>
      </c>
      <c r="R1121" s="197">
        <v>0</v>
      </c>
      <c r="S1121" s="196">
        <v>0</v>
      </c>
      <c r="T1121" s="197">
        <v>0</v>
      </c>
      <c r="U1121" s="288">
        <v>0</v>
      </c>
      <c r="V1121" s="282">
        <f>C1121-'часть 1'!L1129</f>
        <v>-8791064</v>
      </c>
      <c r="W1121" s="282"/>
      <c r="X1121" s="28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296"/>
    </row>
    <row r="1122" spans="1:35">
      <c r="A1122" s="198">
        <v>69</v>
      </c>
      <c r="B1122" s="195" t="s">
        <v>291</v>
      </c>
      <c r="C1122" s="196">
        <v>582157</v>
      </c>
      <c r="D1122" s="196"/>
      <c r="E1122" s="196"/>
      <c r="F1122" s="196"/>
      <c r="G1122" s="196"/>
      <c r="H1122" s="196"/>
      <c r="I1122" s="196"/>
      <c r="J1122" s="196"/>
      <c r="K1122" s="196">
        <v>0</v>
      </c>
      <c r="L1122" s="194">
        <v>0</v>
      </c>
      <c r="M1122" s="196">
        <v>0</v>
      </c>
      <c r="N1122" s="196">
        <v>285</v>
      </c>
      <c r="O1122" s="196">
        <v>582157</v>
      </c>
      <c r="P1122" s="194">
        <v>0</v>
      </c>
      <c r="Q1122" s="196">
        <v>0</v>
      </c>
      <c r="R1122" s="200">
        <v>0</v>
      </c>
      <c r="S1122" s="196">
        <v>0</v>
      </c>
      <c r="T1122" s="197">
        <v>0</v>
      </c>
      <c r="U1122" s="288">
        <v>0</v>
      </c>
      <c r="V1122" s="282">
        <f>C1122-'часть 1'!L1130</f>
        <v>-3859671</v>
      </c>
      <c r="W1122" s="282"/>
      <c r="X1122" s="28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296"/>
    </row>
    <row r="1123" spans="1:35">
      <c r="A1123" s="198">
        <v>70</v>
      </c>
      <c r="B1123" s="195" t="s">
        <v>224</v>
      </c>
      <c r="C1123" s="196">
        <v>701704</v>
      </c>
      <c r="D1123" s="196"/>
      <c r="E1123" s="196"/>
      <c r="F1123" s="196"/>
      <c r="G1123" s="196"/>
      <c r="H1123" s="196"/>
      <c r="I1123" s="196"/>
      <c r="J1123" s="196"/>
      <c r="K1123" s="196">
        <v>701704</v>
      </c>
      <c r="L1123" s="194">
        <v>0</v>
      </c>
      <c r="M1123" s="196">
        <v>0</v>
      </c>
      <c r="N1123" s="199">
        <v>0</v>
      </c>
      <c r="O1123" s="196">
        <v>0</v>
      </c>
      <c r="P1123" s="194">
        <v>0</v>
      </c>
      <c r="Q1123" s="196">
        <v>0</v>
      </c>
      <c r="R1123" s="200">
        <v>0</v>
      </c>
      <c r="S1123" s="196">
        <v>0</v>
      </c>
      <c r="T1123" s="197">
        <v>0</v>
      </c>
      <c r="U1123" s="288">
        <v>0</v>
      </c>
      <c r="V1123" s="282">
        <f>C1123-'часть 1'!L1131</f>
        <v>-2349385</v>
      </c>
      <c r="W1123" s="282"/>
      <c r="X1123" s="282"/>
      <c r="Y1123" s="4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296"/>
    </row>
    <row r="1124" spans="1:35">
      <c r="A1124" s="198">
        <v>71</v>
      </c>
      <c r="B1124" s="195" t="s">
        <v>261</v>
      </c>
      <c r="C1124" s="196">
        <v>1969149</v>
      </c>
      <c r="D1124" s="196"/>
      <c r="E1124" s="196"/>
      <c r="F1124" s="196"/>
      <c r="G1124" s="196"/>
      <c r="H1124" s="196"/>
      <c r="I1124" s="196"/>
      <c r="J1124" s="196"/>
      <c r="K1124" s="196">
        <v>0</v>
      </c>
      <c r="L1124" s="194">
        <v>0</v>
      </c>
      <c r="M1124" s="196">
        <v>0</v>
      </c>
      <c r="N1124" s="196">
        <v>995.8</v>
      </c>
      <c r="O1124" s="196">
        <v>1969149</v>
      </c>
      <c r="P1124" s="194">
        <v>0</v>
      </c>
      <c r="Q1124" s="196">
        <v>0</v>
      </c>
      <c r="R1124" s="197">
        <v>0</v>
      </c>
      <c r="S1124" s="196">
        <v>0</v>
      </c>
      <c r="T1124" s="197">
        <v>0</v>
      </c>
      <c r="U1124" s="288">
        <v>0</v>
      </c>
      <c r="V1124" s="282">
        <f>C1124-'часть 1'!L1132</f>
        <v>1099400</v>
      </c>
      <c r="W1124" s="282"/>
      <c r="X1124" s="28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296"/>
    </row>
    <row r="1125" spans="1:35">
      <c r="A1125" s="198">
        <v>72</v>
      </c>
      <c r="B1125" s="195" t="s">
        <v>239</v>
      </c>
      <c r="C1125" s="196">
        <v>1023088</v>
      </c>
      <c r="D1125" s="196"/>
      <c r="E1125" s="196"/>
      <c r="F1125" s="196"/>
      <c r="G1125" s="196"/>
      <c r="H1125" s="196"/>
      <c r="I1125" s="196"/>
      <c r="J1125" s="196"/>
      <c r="K1125" s="196">
        <v>0</v>
      </c>
      <c r="L1125" s="194">
        <v>0</v>
      </c>
      <c r="M1125" s="196">
        <v>0</v>
      </c>
      <c r="N1125" s="196">
        <v>0</v>
      </c>
      <c r="O1125" s="196">
        <v>0</v>
      </c>
      <c r="P1125" s="194">
        <v>0</v>
      </c>
      <c r="Q1125" s="196">
        <v>0</v>
      </c>
      <c r="R1125" s="196">
        <v>694</v>
      </c>
      <c r="S1125" s="199">
        <v>1023088</v>
      </c>
      <c r="T1125" s="197">
        <v>0</v>
      </c>
      <c r="U1125" s="288">
        <v>0</v>
      </c>
      <c r="V1125" s="282">
        <f>C1125-'часть 1'!L1133</f>
        <v>153208</v>
      </c>
      <c r="W1125" s="282"/>
      <c r="X1125" s="28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296"/>
    </row>
    <row r="1126" spans="1:35">
      <c r="A1126" s="198">
        <v>73</v>
      </c>
      <c r="B1126" s="195" t="s">
        <v>336</v>
      </c>
      <c r="C1126" s="196">
        <v>3334570</v>
      </c>
      <c r="D1126" s="196"/>
      <c r="E1126" s="196"/>
      <c r="F1126" s="196"/>
      <c r="G1126" s="196"/>
      <c r="H1126" s="196"/>
      <c r="I1126" s="196"/>
      <c r="J1126" s="196"/>
      <c r="K1126" s="196" t="e">
        <f>#REF!</f>
        <v>#REF!</v>
      </c>
      <c r="L1126" s="194">
        <v>0</v>
      </c>
      <c r="M1126" s="196">
        <v>0</v>
      </c>
      <c r="N1126" s="199">
        <v>0</v>
      </c>
      <c r="O1126" s="196">
        <v>0</v>
      </c>
      <c r="P1126" s="194">
        <v>0</v>
      </c>
      <c r="Q1126" s="196">
        <v>0</v>
      </c>
      <c r="R1126" s="197">
        <v>0</v>
      </c>
      <c r="S1126" s="196">
        <v>0</v>
      </c>
      <c r="T1126" s="197">
        <v>0</v>
      </c>
      <c r="U1126" s="288">
        <v>0</v>
      </c>
      <c r="V1126" s="282">
        <f>C1126-'часть 1'!L1134</f>
        <v>3162268</v>
      </c>
      <c r="W1126" s="282"/>
      <c r="X1126" s="282"/>
      <c r="Y1126" s="12"/>
      <c r="Z1126" s="12"/>
      <c r="AA1126" s="12"/>
      <c r="AB1126" s="12"/>
      <c r="AC1126" s="12"/>
      <c r="AD1126" s="12"/>
      <c r="AE1126" s="15"/>
      <c r="AF1126" s="12"/>
      <c r="AG1126" s="12"/>
      <c r="AH1126" s="12"/>
      <c r="AI1126" s="296"/>
    </row>
    <row r="1127" spans="1:35">
      <c r="A1127" s="198">
        <v>74</v>
      </c>
      <c r="B1127" s="195" t="s">
        <v>306</v>
      </c>
      <c r="C1127" s="196">
        <v>1127374.33</v>
      </c>
      <c r="D1127" s="196"/>
      <c r="E1127" s="196"/>
      <c r="F1127" s="196"/>
      <c r="G1127" s="196"/>
      <c r="H1127" s="196"/>
      <c r="I1127" s="196"/>
      <c r="J1127" s="196"/>
      <c r="K1127" s="196">
        <v>1127374.33</v>
      </c>
      <c r="L1127" s="194">
        <v>0</v>
      </c>
      <c r="M1127" s="196">
        <v>0</v>
      </c>
      <c r="N1127" s="196">
        <v>0</v>
      </c>
      <c r="O1127" s="196">
        <v>0</v>
      </c>
      <c r="P1127" s="194">
        <v>0</v>
      </c>
      <c r="Q1127" s="196">
        <v>0</v>
      </c>
      <c r="R1127" s="197">
        <v>0</v>
      </c>
      <c r="S1127" s="196">
        <v>0</v>
      </c>
      <c r="T1127" s="197">
        <v>0</v>
      </c>
      <c r="U1127" s="288">
        <v>0</v>
      </c>
      <c r="V1127" s="282">
        <f>C1127-'часть 1'!L1135</f>
        <v>-2579018.67</v>
      </c>
      <c r="W1127" s="282"/>
      <c r="X1127" s="28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296"/>
    </row>
    <row r="1128" spans="1:35">
      <c r="A1128" s="198">
        <v>75</v>
      </c>
      <c r="B1128" s="195" t="s">
        <v>234</v>
      </c>
      <c r="C1128" s="196">
        <v>1161456</v>
      </c>
      <c r="D1128" s="196"/>
      <c r="E1128" s="196"/>
      <c r="F1128" s="196"/>
      <c r="G1128" s="196"/>
      <c r="H1128" s="196"/>
      <c r="I1128" s="196"/>
      <c r="J1128" s="196"/>
      <c r="K1128" s="196">
        <v>1161456</v>
      </c>
      <c r="L1128" s="194">
        <v>0</v>
      </c>
      <c r="M1128" s="196">
        <v>0</v>
      </c>
      <c r="N1128" s="196">
        <v>0</v>
      </c>
      <c r="O1128" s="196">
        <v>0</v>
      </c>
      <c r="P1128" s="194">
        <v>0</v>
      </c>
      <c r="Q1128" s="196">
        <v>0</v>
      </c>
      <c r="R1128" s="197">
        <v>0</v>
      </c>
      <c r="S1128" s="196">
        <v>0</v>
      </c>
      <c r="T1128" s="197">
        <v>0</v>
      </c>
      <c r="U1128" s="288">
        <v>0</v>
      </c>
      <c r="V1128" s="282">
        <f>C1128-'часть 1'!L1136</f>
        <v>462871</v>
      </c>
      <c r="W1128" s="282"/>
      <c r="X1128" s="28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296"/>
    </row>
    <row r="1129" spans="1:35">
      <c r="A1129" s="198">
        <v>76</v>
      </c>
      <c r="B1129" s="195" t="s">
        <v>277</v>
      </c>
      <c r="C1129" s="196">
        <v>1197250.23</v>
      </c>
      <c r="D1129" s="196"/>
      <c r="E1129" s="196"/>
      <c r="F1129" s="196"/>
      <c r="G1129" s="196"/>
      <c r="H1129" s="196"/>
      <c r="I1129" s="196"/>
      <c r="J1129" s="196"/>
      <c r="K1129" s="196">
        <v>1197250.23</v>
      </c>
      <c r="L1129" s="194">
        <v>0</v>
      </c>
      <c r="M1129" s="196">
        <v>0</v>
      </c>
      <c r="N1129" s="199">
        <v>0</v>
      </c>
      <c r="O1129" s="196">
        <v>0</v>
      </c>
      <c r="P1129" s="194">
        <v>0</v>
      </c>
      <c r="Q1129" s="196">
        <v>0</v>
      </c>
      <c r="R1129" s="197">
        <v>0</v>
      </c>
      <c r="S1129" s="196">
        <v>0</v>
      </c>
      <c r="T1129" s="197">
        <v>0</v>
      </c>
      <c r="U1129" s="288">
        <v>0</v>
      </c>
      <c r="V1129" s="282">
        <f>C1129-'часть 1'!L1137</f>
        <v>245510.22999999998</v>
      </c>
      <c r="W1129" s="282"/>
      <c r="X1129" s="282"/>
      <c r="Y1129" s="12"/>
      <c r="Z1129" s="12"/>
      <c r="AA1129" s="12"/>
      <c r="AB1129" s="12"/>
      <c r="AC1129" s="12"/>
      <c r="AD1129" s="12"/>
      <c r="AE1129" s="12"/>
      <c r="AF1129" s="12"/>
      <c r="AG1129" s="12"/>
      <c r="AH1129" s="12"/>
      <c r="AI1129" s="296"/>
    </row>
    <row r="1130" spans="1:35">
      <c r="A1130" s="198">
        <v>77</v>
      </c>
      <c r="B1130" s="195" t="s">
        <v>303</v>
      </c>
      <c r="C1130" s="196">
        <v>2784233</v>
      </c>
      <c r="D1130" s="196"/>
      <c r="E1130" s="196"/>
      <c r="F1130" s="196"/>
      <c r="G1130" s="196"/>
      <c r="H1130" s="196"/>
      <c r="I1130" s="196"/>
      <c r="J1130" s="196"/>
      <c r="K1130" s="196">
        <v>0</v>
      </c>
      <c r="L1130" s="194">
        <v>0</v>
      </c>
      <c r="M1130" s="196">
        <v>0</v>
      </c>
      <c r="N1130" s="196">
        <v>1391</v>
      </c>
      <c r="O1130" s="196">
        <v>2784233</v>
      </c>
      <c r="P1130" s="194">
        <v>0</v>
      </c>
      <c r="Q1130" s="196">
        <v>0</v>
      </c>
      <c r="R1130" s="197">
        <v>0</v>
      </c>
      <c r="S1130" s="196">
        <v>0</v>
      </c>
      <c r="T1130" s="197">
        <v>0</v>
      </c>
      <c r="U1130" s="288">
        <v>0</v>
      </c>
      <c r="V1130" s="282">
        <f>C1130-'часть 1'!L1138</f>
        <v>728094</v>
      </c>
      <c r="W1130" s="282"/>
      <c r="X1130" s="28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296"/>
    </row>
    <row r="1131" spans="1:35">
      <c r="A1131" s="198">
        <v>78</v>
      </c>
      <c r="B1131" s="195" t="s">
        <v>293</v>
      </c>
      <c r="C1131" s="196">
        <v>2369961</v>
      </c>
      <c r="D1131" s="196"/>
      <c r="E1131" s="196"/>
      <c r="F1131" s="196"/>
      <c r="G1131" s="196"/>
      <c r="H1131" s="196"/>
      <c r="I1131" s="196"/>
      <c r="J1131" s="196"/>
      <c r="K1131" s="196">
        <v>2369961</v>
      </c>
      <c r="L1131" s="194">
        <v>0</v>
      </c>
      <c r="M1131" s="196">
        <v>0</v>
      </c>
      <c r="N1131" s="196">
        <v>0</v>
      </c>
      <c r="O1131" s="196">
        <v>0</v>
      </c>
      <c r="P1131" s="194">
        <v>0</v>
      </c>
      <c r="Q1131" s="196">
        <v>0</v>
      </c>
      <c r="R1131" s="200">
        <v>0</v>
      </c>
      <c r="S1131" s="196">
        <v>0</v>
      </c>
      <c r="T1131" s="197">
        <v>0</v>
      </c>
      <c r="U1131" s="288">
        <v>0</v>
      </c>
      <c r="V1131" s="282">
        <f>C1131-'часть 1'!L1139</f>
        <v>1048605</v>
      </c>
      <c r="W1131" s="282"/>
      <c r="X1131" s="282"/>
      <c r="Y1131" s="12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296"/>
    </row>
    <row r="1132" spans="1:35">
      <c r="A1132" s="198">
        <v>79</v>
      </c>
      <c r="B1132" s="195" t="s">
        <v>463</v>
      </c>
      <c r="C1132" s="196">
        <v>672819</v>
      </c>
      <c r="D1132" s="196"/>
      <c r="E1132" s="196"/>
      <c r="F1132" s="196"/>
      <c r="G1132" s="196"/>
      <c r="H1132" s="196"/>
      <c r="I1132" s="196"/>
      <c r="J1132" s="196"/>
      <c r="K1132" s="196">
        <v>0</v>
      </c>
      <c r="L1132" s="194">
        <v>0</v>
      </c>
      <c r="M1132" s="196">
        <v>0</v>
      </c>
      <c r="N1132" s="196">
        <v>331.4</v>
      </c>
      <c r="O1132" s="196">
        <v>672819</v>
      </c>
      <c r="P1132" s="194">
        <v>0</v>
      </c>
      <c r="Q1132" s="196">
        <v>0</v>
      </c>
      <c r="R1132" s="200">
        <v>0</v>
      </c>
      <c r="S1132" s="196">
        <v>0</v>
      </c>
      <c r="T1132" s="197">
        <v>0</v>
      </c>
      <c r="U1132" s="288">
        <v>0</v>
      </c>
      <c r="V1132" s="282">
        <f>C1132-'часть 1'!L1140</f>
        <v>-1006459</v>
      </c>
      <c r="W1132" s="282"/>
      <c r="X1132" s="282"/>
      <c r="Y1132" s="12"/>
      <c r="Z1132" s="12"/>
      <c r="AA1132" s="12"/>
      <c r="AB1132" s="12"/>
      <c r="AC1132" s="12"/>
      <c r="AD1132" s="12"/>
      <c r="AE1132" s="12"/>
      <c r="AF1132" s="12"/>
      <c r="AG1132" s="12"/>
      <c r="AH1132" s="12"/>
      <c r="AI1132" s="296"/>
    </row>
    <row r="1133" spans="1:35">
      <c r="A1133" s="198">
        <v>80</v>
      </c>
      <c r="B1133" s="195" t="s">
        <v>340</v>
      </c>
      <c r="C1133" s="196">
        <v>1651491</v>
      </c>
      <c r="D1133" s="196"/>
      <c r="E1133" s="196"/>
      <c r="F1133" s="196"/>
      <c r="G1133" s="196"/>
      <c r="H1133" s="196"/>
      <c r="I1133" s="196"/>
      <c r="J1133" s="196"/>
      <c r="K1133" s="196">
        <v>1651491</v>
      </c>
      <c r="L1133" s="194">
        <v>0</v>
      </c>
      <c r="M1133" s="196">
        <v>0</v>
      </c>
      <c r="N1133" s="196">
        <v>0</v>
      </c>
      <c r="O1133" s="196">
        <v>0</v>
      </c>
      <c r="P1133" s="194">
        <v>0</v>
      </c>
      <c r="Q1133" s="196">
        <v>0</v>
      </c>
      <c r="R1133" s="197">
        <v>0</v>
      </c>
      <c r="S1133" s="196">
        <v>0</v>
      </c>
      <c r="T1133" s="197">
        <v>0</v>
      </c>
      <c r="U1133" s="288">
        <v>0</v>
      </c>
      <c r="V1133" s="282">
        <f>C1133-'часть 1'!L1141</f>
        <v>550595</v>
      </c>
      <c r="W1133" s="282"/>
      <c r="X1133" s="28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296"/>
    </row>
    <row r="1134" spans="1:35">
      <c r="A1134" s="198">
        <v>81</v>
      </c>
      <c r="B1134" s="195" t="s">
        <v>254</v>
      </c>
      <c r="C1134" s="196">
        <v>1432926</v>
      </c>
      <c r="D1134" s="196"/>
      <c r="E1134" s="196"/>
      <c r="F1134" s="196"/>
      <c r="G1134" s="196"/>
      <c r="H1134" s="196"/>
      <c r="I1134" s="196"/>
      <c r="J1134" s="196"/>
      <c r="K1134" s="196">
        <v>0</v>
      </c>
      <c r="L1134" s="194">
        <v>0</v>
      </c>
      <c r="M1134" s="196">
        <v>0</v>
      </c>
      <c r="N1134" s="196">
        <v>710.73</v>
      </c>
      <c r="O1134" s="196">
        <v>1432926</v>
      </c>
      <c r="P1134" s="194">
        <v>0</v>
      </c>
      <c r="Q1134" s="196">
        <v>0</v>
      </c>
      <c r="R1134" s="200">
        <v>0</v>
      </c>
      <c r="S1134" s="196">
        <v>0</v>
      </c>
      <c r="T1134" s="197">
        <v>0</v>
      </c>
      <c r="U1134" s="288">
        <v>0</v>
      </c>
      <c r="V1134" s="282">
        <f>C1134-'часть 1'!L1142</f>
        <v>-296781</v>
      </c>
      <c r="W1134" s="282"/>
      <c r="X1134" s="28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296"/>
    </row>
    <row r="1135" spans="1:35">
      <c r="A1135" s="198">
        <v>82</v>
      </c>
      <c r="B1135" s="195" t="s">
        <v>343</v>
      </c>
      <c r="C1135" s="196">
        <v>1137886</v>
      </c>
      <c r="D1135" s="196"/>
      <c r="E1135" s="196"/>
      <c r="F1135" s="196"/>
      <c r="G1135" s="196"/>
      <c r="H1135" s="196"/>
      <c r="I1135" s="196"/>
      <c r="J1135" s="196"/>
      <c r="K1135" s="196">
        <v>0</v>
      </c>
      <c r="L1135" s="194">
        <v>0</v>
      </c>
      <c r="M1135" s="196">
        <v>0</v>
      </c>
      <c r="N1135" s="196">
        <v>0</v>
      </c>
      <c r="O1135" s="196">
        <v>0</v>
      </c>
      <c r="P1135" s="194">
        <v>0</v>
      </c>
      <c r="Q1135" s="196">
        <v>0</v>
      </c>
      <c r="R1135" s="199">
        <v>785.5</v>
      </c>
      <c r="S1135" s="196">
        <v>1137886</v>
      </c>
      <c r="T1135" s="197">
        <v>0</v>
      </c>
      <c r="U1135" s="288">
        <v>0</v>
      </c>
      <c r="V1135" s="282">
        <f>C1135-'часть 1'!L1143</f>
        <v>686663.42999999993</v>
      </c>
      <c r="W1135" s="282"/>
      <c r="X1135" s="28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296"/>
    </row>
    <row r="1136" spans="1:35">
      <c r="A1136" s="198">
        <v>83</v>
      </c>
      <c r="B1136" s="195" t="s">
        <v>305</v>
      </c>
      <c r="C1136" s="196">
        <v>1814838</v>
      </c>
      <c r="D1136" s="196"/>
      <c r="E1136" s="196"/>
      <c r="F1136" s="196"/>
      <c r="G1136" s="196"/>
      <c r="H1136" s="196"/>
      <c r="I1136" s="196"/>
      <c r="J1136" s="196"/>
      <c r="K1136" s="196">
        <v>0</v>
      </c>
      <c r="L1136" s="194">
        <v>0</v>
      </c>
      <c r="M1136" s="196">
        <v>0</v>
      </c>
      <c r="N1136" s="196">
        <v>917</v>
      </c>
      <c r="O1136" s="196">
        <v>1814838</v>
      </c>
      <c r="P1136" s="194">
        <v>0</v>
      </c>
      <c r="Q1136" s="196">
        <v>0</v>
      </c>
      <c r="R1136" s="197">
        <v>0</v>
      </c>
      <c r="S1136" s="196">
        <v>0</v>
      </c>
      <c r="T1136" s="197">
        <v>0</v>
      </c>
      <c r="U1136" s="288">
        <v>0</v>
      </c>
      <c r="V1136" s="282">
        <f>C1136-'часть 1'!L1144</f>
        <v>1111162.4300000002</v>
      </c>
      <c r="W1136" s="282"/>
      <c r="X1136" s="28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296"/>
    </row>
    <row r="1137" spans="1:35">
      <c r="A1137" s="198">
        <v>84</v>
      </c>
      <c r="B1137" s="195" t="s">
        <v>345</v>
      </c>
      <c r="C1137" s="196">
        <v>1544359.54</v>
      </c>
      <c r="D1137" s="196"/>
      <c r="E1137" s="196"/>
      <c r="F1137" s="196"/>
      <c r="G1137" s="196"/>
      <c r="H1137" s="196"/>
      <c r="I1137" s="196"/>
      <c r="J1137" s="196"/>
      <c r="K1137" s="196">
        <v>1544359.54</v>
      </c>
      <c r="L1137" s="194">
        <v>0</v>
      </c>
      <c r="M1137" s="196">
        <v>0</v>
      </c>
      <c r="N1137" s="196">
        <v>0</v>
      </c>
      <c r="O1137" s="196">
        <v>0</v>
      </c>
      <c r="P1137" s="194">
        <v>0</v>
      </c>
      <c r="Q1137" s="196">
        <v>0</v>
      </c>
      <c r="R1137" s="197">
        <v>0</v>
      </c>
      <c r="S1137" s="196">
        <v>0</v>
      </c>
      <c r="T1137" s="197">
        <v>0</v>
      </c>
      <c r="U1137" s="288">
        <v>0</v>
      </c>
      <c r="V1137" s="282">
        <f>C1137-'часть 1'!L1145</f>
        <v>490826.32000000007</v>
      </c>
      <c r="W1137" s="282"/>
      <c r="X1137" s="28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297"/>
    </row>
    <row r="1138" spans="1:35" ht="28.2">
      <c r="A1138" s="198">
        <v>85</v>
      </c>
      <c r="B1138" s="195" t="s">
        <v>454</v>
      </c>
      <c r="C1138" s="196">
        <v>1787034</v>
      </c>
      <c r="D1138" s="196"/>
      <c r="E1138" s="196"/>
      <c r="F1138" s="196"/>
      <c r="G1138" s="196"/>
      <c r="H1138" s="196"/>
      <c r="I1138" s="196"/>
      <c r="J1138" s="196"/>
      <c r="K1138" s="196">
        <v>0</v>
      </c>
      <c r="L1138" s="194">
        <v>1</v>
      </c>
      <c r="M1138" s="196">
        <v>1787034</v>
      </c>
      <c r="N1138" s="196">
        <v>0</v>
      </c>
      <c r="O1138" s="196">
        <v>0</v>
      </c>
      <c r="P1138" s="194">
        <v>0</v>
      </c>
      <c r="Q1138" s="196">
        <v>0</v>
      </c>
      <c r="R1138" s="200">
        <v>0</v>
      </c>
      <c r="S1138" s="196">
        <v>0</v>
      </c>
      <c r="T1138" s="197">
        <v>0</v>
      </c>
      <c r="U1138" s="288">
        <v>0</v>
      </c>
      <c r="V1138" s="282">
        <f>C1138-'часть 1'!L1146</f>
        <v>533296</v>
      </c>
      <c r="W1138" s="282"/>
      <c r="X1138" s="28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296"/>
    </row>
    <row r="1139" spans="1:35" ht="28.2">
      <c r="A1139" s="198">
        <v>86</v>
      </c>
      <c r="B1139" s="195" t="s">
        <v>455</v>
      </c>
      <c r="C1139" s="196">
        <v>437998.57</v>
      </c>
      <c r="D1139" s="196"/>
      <c r="E1139" s="196"/>
      <c r="F1139" s="196"/>
      <c r="G1139" s="196"/>
      <c r="H1139" s="196"/>
      <c r="I1139" s="196"/>
      <c r="J1139" s="196"/>
      <c r="K1139" s="196">
        <v>437998.57</v>
      </c>
      <c r="L1139" s="194">
        <v>0</v>
      </c>
      <c r="M1139" s="196">
        <v>0</v>
      </c>
      <c r="N1139" s="199">
        <v>0</v>
      </c>
      <c r="O1139" s="196">
        <v>0</v>
      </c>
      <c r="P1139" s="194">
        <v>0</v>
      </c>
      <c r="Q1139" s="196">
        <v>0</v>
      </c>
      <c r="R1139" s="200">
        <v>0</v>
      </c>
      <c r="S1139" s="196">
        <v>0</v>
      </c>
      <c r="T1139" s="197">
        <v>0</v>
      </c>
      <c r="U1139" s="288">
        <v>0</v>
      </c>
      <c r="V1139" s="282">
        <f>C1139-'часть 1'!L1147</f>
        <v>-1432047.43</v>
      </c>
      <c r="W1139" s="282"/>
      <c r="X1139" s="28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296"/>
    </row>
    <row r="1140" spans="1:35" ht="28.2">
      <c r="A1140" s="198">
        <v>87</v>
      </c>
      <c r="B1140" s="195" t="s">
        <v>456</v>
      </c>
      <c r="C1140" s="196">
        <v>1116228</v>
      </c>
      <c r="D1140" s="196"/>
      <c r="E1140" s="196"/>
      <c r="F1140" s="196"/>
      <c r="G1140" s="196"/>
      <c r="H1140" s="196"/>
      <c r="I1140" s="196"/>
      <c r="J1140" s="196"/>
      <c r="K1140" s="196">
        <v>0</v>
      </c>
      <c r="L1140" s="194">
        <v>0</v>
      </c>
      <c r="M1140" s="196">
        <v>0</v>
      </c>
      <c r="N1140" s="196">
        <v>734</v>
      </c>
      <c r="O1140" s="196">
        <v>1116228</v>
      </c>
      <c r="P1140" s="194">
        <v>0</v>
      </c>
      <c r="Q1140" s="196">
        <v>0</v>
      </c>
      <c r="R1140" s="200">
        <v>0</v>
      </c>
      <c r="S1140" s="196">
        <v>0</v>
      </c>
      <c r="T1140" s="197">
        <v>0</v>
      </c>
      <c r="U1140" s="288">
        <v>0</v>
      </c>
      <c r="V1140" s="282">
        <f>C1140-'часть 1'!L1148</f>
        <v>-2604448</v>
      </c>
      <c r="W1140" s="282"/>
      <c r="X1140" s="28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296"/>
    </row>
    <row r="1141" spans="1:35" ht="28.2">
      <c r="A1141" s="198">
        <v>88</v>
      </c>
      <c r="B1141" s="195" t="s">
        <v>457</v>
      </c>
      <c r="C1141" s="196">
        <v>1313728</v>
      </c>
      <c r="D1141" s="196"/>
      <c r="E1141" s="196"/>
      <c r="F1141" s="196"/>
      <c r="G1141" s="196"/>
      <c r="H1141" s="196"/>
      <c r="I1141" s="196"/>
      <c r="J1141" s="196"/>
      <c r="K1141" s="196">
        <v>0</v>
      </c>
      <c r="L1141" s="194">
        <v>0</v>
      </c>
      <c r="M1141" s="196">
        <v>0</v>
      </c>
      <c r="N1141" s="199">
        <v>660.7</v>
      </c>
      <c r="O1141" s="196">
        <v>1313728</v>
      </c>
      <c r="P1141" s="194">
        <v>0</v>
      </c>
      <c r="Q1141" s="196">
        <v>0</v>
      </c>
      <c r="R1141" s="197">
        <v>0</v>
      </c>
      <c r="S1141" s="196">
        <v>0</v>
      </c>
      <c r="T1141" s="197">
        <v>0</v>
      </c>
      <c r="U1141" s="288">
        <v>0</v>
      </c>
      <c r="V1141" s="282">
        <f>C1141-'часть 1'!L1149</f>
        <v>-2374180</v>
      </c>
      <c r="W1141" s="282"/>
      <c r="X1141" s="282"/>
      <c r="Y1141" s="12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296"/>
    </row>
    <row r="1142" spans="1:35">
      <c r="A1142" s="198">
        <v>89</v>
      </c>
      <c r="B1142" s="195" t="s">
        <v>241</v>
      </c>
      <c r="C1142" s="196">
        <v>359651</v>
      </c>
      <c r="D1142" s="196"/>
      <c r="E1142" s="196"/>
      <c r="F1142" s="196"/>
      <c r="G1142" s="196"/>
      <c r="H1142" s="196"/>
      <c r="I1142" s="196"/>
      <c r="J1142" s="196"/>
      <c r="K1142" s="196">
        <v>359651</v>
      </c>
      <c r="L1142" s="194">
        <v>0</v>
      </c>
      <c r="M1142" s="196">
        <v>0</v>
      </c>
      <c r="N1142" s="196">
        <v>0</v>
      </c>
      <c r="O1142" s="196">
        <v>0</v>
      </c>
      <c r="P1142" s="194">
        <v>0</v>
      </c>
      <c r="Q1142" s="196">
        <v>0</v>
      </c>
      <c r="R1142" s="197">
        <v>0</v>
      </c>
      <c r="S1142" s="196">
        <v>0</v>
      </c>
      <c r="T1142" s="197">
        <v>0</v>
      </c>
      <c r="U1142" s="288">
        <v>0</v>
      </c>
      <c r="V1142" s="282">
        <f>C1142-'часть 1'!L1150</f>
        <v>-1401316.35</v>
      </c>
      <c r="W1142" s="282"/>
      <c r="X1142" s="282"/>
      <c r="Y1142" s="12"/>
      <c r="Z1142" s="12"/>
      <c r="AA1142" s="12"/>
      <c r="AB1142" s="12"/>
      <c r="AC1142" s="4"/>
      <c r="AD1142" s="12"/>
      <c r="AE1142" s="12"/>
      <c r="AF1142" s="12"/>
      <c r="AG1142" s="12"/>
      <c r="AH1142" s="12"/>
      <c r="AI1142" s="296"/>
    </row>
    <row r="1143" spans="1:35">
      <c r="A1143" s="198">
        <v>90</v>
      </c>
      <c r="B1143" s="195" t="s">
        <v>233</v>
      </c>
      <c r="C1143" s="196">
        <v>906779</v>
      </c>
      <c r="D1143" s="196"/>
      <c r="E1143" s="196"/>
      <c r="F1143" s="196"/>
      <c r="G1143" s="196"/>
      <c r="H1143" s="196"/>
      <c r="I1143" s="196"/>
      <c r="J1143" s="196"/>
      <c r="K1143" s="196">
        <v>906779</v>
      </c>
      <c r="L1143" s="194">
        <v>0</v>
      </c>
      <c r="M1143" s="196">
        <v>0</v>
      </c>
      <c r="N1143" s="196">
        <v>0</v>
      </c>
      <c r="O1143" s="196">
        <v>0</v>
      </c>
      <c r="P1143" s="194">
        <v>0</v>
      </c>
      <c r="Q1143" s="196">
        <v>0</v>
      </c>
      <c r="R1143" s="197">
        <v>0</v>
      </c>
      <c r="S1143" s="196">
        <v>0</v>
      </c>
      <c r="T1143" s="197">
        <v>0</v>
      </c>
      <c r="U1143" s="288">
        <v>0</v>
      </c>
      <c r="V1143" s="282">
        <f>C1143-'часть 1'!L1151</f>
        <v>24832</v>
      </c>
      <c r="W1143" s="282"/>
      <c r="X1143" s="282"/>
      <c r="Y1143" s="12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296"/>
    </row>
    <row r="1144" spans="1:35">
      <c r="A1144" s="198">
        <v>91</v>
      </c>
      <c r="B1144" s="195" t="s">
        <v>278</v>
      </c>
      <c r="C1144" s="196">
        <v>886559</v>
      </c>
      <c r="D1144" s="196"/>
      <c r="E1144" s="196"/>
      <c r="F1144" s="196"/>
      <c r="G1144" s="196"/>
      <c r="H1144" s="196"/>
      <c r="I1144" s="196"/>
      <c r="J1144" s="196"/>
      <c r="K1144" s="196">
        <v>0</v>
      </c>
      <c r="L1144" s="194">
        <v>0</v>
      </c>
      <c r="M1144" s="196">
        <v>0</v>
      </c>
      <c r="N1144" s="196">
        <v>440</v>
      </c>
      <c r="O1144" s="199">
        <v>886559</v>
      </c>
      <c r="P1144" s="194">
        <v>0</v>
      </c>
      <c r="Q1144" s="196">
        <v>0</v>
      </c>
      <c r="R1144" s="197">
        <v>0</v>
      </c>
      <c r="S1144" s="196">
        <v>0</v>
      </c>
      <c r="T1144" s="197">
        <v>0</v>
      </c>
      <c r="U1144" s="288">
        <v>0</v>
      </c>
      <c r="V1144" s="282">
        <f>C1144-'часть 1'!L1152</f>
        <v>368820</v>
      </c>
      <c r="W1144" s="282"/>
      <c r="X1144" s="28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/>
      <c r="AI1144" s="296"/>
    </row>
    <row r="1145" spans="1:35">
      <c r="A1145" s="198">
        <v>92</v>
      </c>
      <c r="B1145" s="195" t="s">
        <v>347</v>
      </c>
      <c r="C1145" s="196">
        <v>642210</v>
      </c>
      <c r="D1145" s="196"/>
      <c r="E1145" s="196"/>
      <c r="F1145" s="196"/>
      <c r="G1145" s="196"/>
      <c r="H1145" s="196"/>
      <c r="I1145" s="196"/>
      <c r="J1145" s="196"/>
      <c r="K1145" s="196">
        <v>0</v>
      </c>
      <c r="L1145" s="194">
        <v>0</v>
      </c>
      <c r="M1145" s="196">
        <v>0</v>
      </c>
      <c r="N1145" s="196">
        <v>0</v>
      </c>
      <c r="O1145" s="196">
        <v>0</v>
      </c>
      <c r="P1145" s="194">
        <v>0</v>
      </c>
      <c r="Q1145" s="196">
        <v>0</v>
      </c>
      <c r="R1145" s="196">
        <v>440</v>
      </c>
      <c r="S1145" s="196">
        <v>642210</v>
      </c>
      <c r="T1145" s="197">
        <v>0</v>
      </c>
      <c r="U1145" s="288">
        <v>0</v>
      </c>
      <c r="V1145" s="282">
        <f>C1145-'часть 1'!L1153</f>
        <v>-1086685</v>
      </c>
      <c r="W1145" s="282"/>
      <c r="X1145" s="28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296"/>
    </row>
    <row r="1146" spans="1:35">
      <c r="A1146" s="198">
        <v>93</v>
      </c>
      <c r="B1146" s="195" t="s">
        <v>266</v>
      </c>
      <c r="C1146" s="196">
        <v>1952489</v>
      </c>
      <c r="D1146" s="196"/>
      <c r="E1146" s="196"/>
      <c r="F1146" s="196"/>
      <c r="G1146" s="196"/>
      <c r="H1146" s="196"/>
      <c r="I1146" s="196"/>
      <c r="J1146" s="196"/>
      <c r="K1146" s="196">
        <v>0</v>
      </c>
      <c r="L1146" s="194">
        <v>0</v>
      </c>
      <c r="M1146" s="196">
        <v>0</v>
      </c>
      <c r="N1146" s="196">
        <v>965</v>
      </c>
      <c r="O1146" s="196">
        <v>1952489</v>
      </c>
      <c r="P1146" s="194">
        <v>0</v>
      </c>
      <c r="Q1146" s="196">
        <v>0</v>
      </c>
      <c r="R1146" s="200">
        <v>0</v>
      </c>
      <c r="S1146" s="196">
        <v>0</v>
      </c>
      <c r="T1146" s="197">
        <v>0</v>
      </c>
      <c r="U1146" s="288">
        <v>0</v>
      </c>
      <c r="V1146" s="282">
        <f>C1146-'часть 1'!L1154</f>
        <v>1269960</v>
      </c>
      <c r="W1146" s="282"/>
      <c r="X1146" s="28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296"/>
    </row>
    <row r="1147" spans="1:35">
      <c r="A1147" s="198">
        <v>94</v>
      </c>
      <c r="B1147" s="195" t="s">
        <v>310</v>
      </c>
      <c r="C1147" s="196">
        <v>15157748</v>
      </c>
      <c r="D1147" s="196"/>
      <c r="E1147" s="196"/>
      <c r="F1147" s="196"/>
      <c r="G1147" s="196"/>
      <c r="H1147" s="196"/>
      <c r="I1147" s="196"/>
      <c r="J1147" s="196"/>
      <c r="K1147" s="196">
        <v>0</v>
      </c>
      <c r="L1147" s="194">
        <v>8</v>
      </c>
      <c r="M1147" s="196">
        <v>15157748</v>
      </c>
      <c r="N1147" s="196">
        <v>0</v>
      </c>
      <c r="O1147" s="196">
        <v>0</v>
      </c>
      <c r="P1147" s="194">
        <v>0</v>
      </c>
      <c r="Q1147" s="196">
        <v>0</v>
      </c>
      <c r="R1147" s="197">
        <v>0</v>
      </c>
      <c r="S1147" s="196">
        <v>0</v>
      </c>
      <c r="T1147" s="197">
        <v>0</v>
      </c>
      <c r="U1147" s="288">
        <v>0</v>
      </c>
      <c r="V1147" s="282">
        <f>C1147-'часть 1'!L1155</f>
        <v>14575591</v>
      </c>
      <c r="W1147" s="282"/>
      <c r="X1147" s="28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296"/>
    </row>
    <row r="1148" spans="1:35">
      <c r="A1148" s="198">
        <v>95</v>
      </c>
      <c r="B1148" s="195" t="s">
        <v>281</v>
      </c>
      <c r="C1148" s="196">
        <v>2542298.37</v>
      </c>
      <c r="D1148" s="196"/>
      <c r="E1148" s="196"/>
      <c r="F1148" s="196"/>
      <c r="G1148" s="196"/>
      <c r="H1148" s="196"/>
      <c r="I1148" s="196"/>
      <c r="J1148" s="196"/>
      <c r="K1148" s="196">
        <v>0</v>
      </c>
      <c r="L1148" s="194">
        <v>0</v>
      </c>
      <c r="M1148" s="196">
        <v>0</v>
      </c>
      <c r="N1148" s="196">
        <v>1350</v>
      </c>
      <c r="O1148" s="196">
        <v>2542298.37</v>
      </c>
      <c r="P1148" s="194">
        <v>0</v>
      </c>
      <c r="Q1148" s="196">
        <v>0</v>
      </c>
      <c r="R1148" s="197">
        <v>0</v>
      </c>
      <c r="S1148" s="196">
        <v>0</v>
      </c>
      <c r="T1148" s="197">
        <v>0</v>
      </c>
      <c r="U1148" s="288">
        <v>0</v>
      </c>
      <c r="V1148" s="282">
        <f>C1148-'часть 1'!L1156</f>
        <v>1840594.37</v>
      </c>
      <c r="W1148" s="282"/>
      <c r="X1148" s="28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296"/>
    </row>
    <row r="1149" spans="1:35">
      <c r="A1149" s="198">
        <v>96</v>
      </c>
      <c r="B1149" s="195" t="s">
        <v>248</v>
      </c>
      <c r="C1149" s="196">
        <v>1114586</v>
      </c>
      <c r="D1149" s="196"/>
      <c r="E1149" s="196"/>
      <c r="F1149" s="196"/>
      <c r="G1149" s="196"/>
      <c r="H1149" s="196"/>
      <c r="I1149" s="196"/>
      <c r="J1149" s="196"/>
      <c r="K1149" s="196">
        <v>0</v>
      </c>
      <c r="L1149" s="194">
        <v>0</v>
      </c>
      <c r="M1149" s="196">
        <v>0</v>
      </c>
      <c r="N1149" s="196">
        <v>550</v>
      </c>
      <c r="O1149" s="196">
        <v>1114586</v>
      </c>
      <c r="P1149" s="194">
        <v>0</v>
      </c>
      <c r="Q1149" s="196">
        <v>0</v>
      </c>
      <c r="R1149" s="200">
        <v>0</v>
      </c>
      <c r="S1149" s="196">
        <v>0</v>
      </c>
      <c r="T1149" s="197">
        <v>0</v>
      </c>
      <c r="U1149" s="288">
        <v>0</v>
      </c>
      <c r="V1149" s="282">
        <f>C1149-'часть 1'!L1157</f>
        <v>-854563</v>
      </c>
      <c r="W1149" s="282"/>
      <c r="X1149" s="28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296"/>
    </row>
    <row r="1150" spans="1:35">
      <c r="A1150" s="198">
        <v>97</v>
      </c>
      <c r="B1150" s="195" t="s">
        <v>301</v>
      </c>
      <c r="C1150" s="196">
        <v>5623853</v>
      </c>
      <c r="D1150" s="196"/>
      <c r="E1150" s="196"/>
      <c r="F1150" s="196"/>
      <c r="G1150" s="196"/>
      <c r="H1150" s="196"/>
      <c r="I1150" s="196"/>
      <c r="J1150" s="196"/>
      <c r="K1150" s="196">
        <v>0</v>
      </c>
      <c r="L1150" s="194">
        <v>3</v>
      </c>
      <c r="M1150" s="202">
        <v>5623853</v>
      </c>
      <c r="N1150" s="196">
        <v>0</v>
      </c>
      <c r="O1150" s="196">
        <v>0</v>
      </c>
      <c r="P1150" s="194">
        <v>0</v>
      </c>
      <c r="Q1150" s="196">
        <v>0</v>
      </c>
      <c r="R1150" s="200">
        <v>0</v>
      </c>
      <c r="S1150" s="196">
        <v>0</v>
      </c>
      <c r="T1150" s="197">
        <v>0</v>
      </c>
      <c r="U1150" s="288">
        <v>0</v>
      </c>
      <c r="V1150" s="282">
        <f>C1150-'часть 1'!L1158</f>
        <v>4600765</v>
      </c>
      <c r="W1150" s="282"/>
      <c r="X1150" s="28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296"/>
    </row>
    <row r="1151" spans="1:35">
      <c r="A1151" s="198">
        <v>98</v>
      </c>
      <c r="B1151" s="195" t="s">
        <v>244</v>
      </c>
      <c r="C1151" s="196">
        <v>2721106</v>
      </c>
      <c r="D1151" s="196"/>
      <c r="E1151" s="196"/>
      <c r="F1151" s="196"/>
      <c r="G1151" s="196"/>
      <c r="H1151" s="196"/>
      <c r="I1151" s="196"/>
      <c r="J1151" s="196"/>
      <c r="K1151" s="196">
        <v>0</v>
      </c>
      <c r="L1151" s="194">
        <v>0</v>
      </c>
      <c r="M1151" s="196">
        <v>0</v>
      </c>
      <c r="N1151" s="196">
        <v>1371</v>
      </c>
      <c r="O1151" s="196">
        <v>2721106</v>
      </c>
      <c r="P1151" s="194">
        <v>0</v>
      </c>
      <c r="Q1151" s="196">
        <v>0</v>
      </c>
      <c r="R1151" s="197">
        <v>0</v>
      </c>
      <c r="S1151" s="196">
        <v>0</v>
      </c>
      <c r="T1151" s="197">
        <v>0</v>
      </c>
      <c r="U1151" s="288">
        <v>0</v>
      </c>
      <c r="V1151" s="282">
        <f>C1151-'часть 1'!L1159</f>
        <v>-613464</v>
      </c>
      <c r="W1151" s="282"/>
      <c r="X1151" s="28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296"/>
    </row>
    <row r="1152" spans="1:35">
      <c r="A1152" s="198">
        <v>99</v>
      </c>
      <c r="B1152" s="195" t="s">
        <v>288</v>
      </c>
      <c r="C1152" s="196">
        <v>9789326.5500000007</v>
      </c>
      <c r="D1152" s="196"/>
      <c r="E1152" s="196"/>
      <c r="F1152" s="196"/>
      <c r="G1152" s="196"/>
      <c r="H1152" s="196"/>
      <c r="I1152" s="196"/>
      <c r="J1152" s="196"/>
      <c r="K1152" s="196">
        <v>6592990.5599999996</v>
      </c>
      <c r="L1152" s="194">
        <v>0</v>
      </c>
      <c r="M1152" s="196">
        <v>0</v>
      </c>
      <c r="N1152" s="196">
        <v>2090</v>
      </c>
      <c r="O1152" s="196">
        <v>3196335.99</v>
      </c>
      <c r="P1152" s="194">
        <v>0</v>
      </c>
      <c r="Q1152" s="196">
        <v>0</v>
      </c>
      <c r="R1152" s="197">
        <v>0</v>
      </c>
      <c r="S1152" s="196">
        <v>0</v>
      </c>
      <c r="T1152" s="197">
        <v>0</v>
      </c>
      <c r="U1152" s="288">
        <v>0</v>
      </c>
      <c r="V1152" s="282">
        <f>C1152-'часть 1'!L1160</f>
        <v>8661952.2200000007</v>
      </c>
      <c r="W1152" s="282"/>
      <c r="X1152" s="282"/>
      <c r="Y1152" s="12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296"/>
    </row>
    <row r="1153" spans="1:35">
      <c r="A1153" s="198">
        <v>100</v>
      </c>
      <c r="B1153" s="195" t="s">
        <v>249</v>
      </c>
      <c r="C1153" s="196">
        <v>1615074</v>
      </c>
      <c r="D1153" s="196"/>
      <c r="E1153" s="196"/>
      <c r="F1153" s="196"/>
      <c r="G1153" s="196"/>
      <c r="H1153" s="196"/>
      <c r="I1153" s="196"/>
      <c r="J1153" s="196"/>
      <c r="K1153" s="196" t="e">
        <f>#REF!</f>
        <v>#REF!</v>
      </c>
      <c r="L1153" s="194">
        <v>0</v>
      </c>
      <c r="M1153" s="196">
        <v>0</v>
      </c>
      <c r="N1153" s="196">
        <v>0</v>
      </c>
      <c r="O1153" s="196">
        <v>0</v>
      </c>
      <c r="P1153" s="194">
        <v>0</v>
      </c>
      <c r="Q1153" s="196">
        <v>0</v>
      </c>
      <c r="R1153" s="200">
        <v>0</v>
      </c>
      <c r="S1153" s="196">
        <v>0</v>
      </c>
      <c r="T1153" s="197">
        <v>0</v>
      </c>
      <c r="U1153" s="288">
        <v>0</v>
      </c>
      <c r="V1153" s="282">
        <f>C1153-'часть 1'!L1161</f>
        <v>453618</v>
      </c>
      <c r="W1153" s="282"/>
      <c r="X1153" s="28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296"/>
    </row>
    <row r="1154" spans="1:35">
      <c r="A1154" s="198">
        <v>101</v>
      </c>
      <c r="B1154" s="195" t="s">
        <v>265</v>
      </c>
      <c r="C1154" s="196">
        <v>824390</v>
      </c>
      <c r="D1154" s="196"/>
      <c r="E1154" s="196"/>
      <c r="F1154" s="196"/>
      <c r="G1154" s="196"/>
      <c r="H1154" s="196"/>
      <c r="I1154" s="196"/>
      <c r="J1154" s="196"/>
      <c r="K1154" s="196">
        <v>824390</v>
      </c>
      <c r="L1154" s="194">
        <v>0</v>
      </c>
      <c r="M1154" s="196">
        <v>0</v>
      </c>
      <c r="N1154" s="196">
        <v>0</v>
      </c>
      <c r="O1154" s="196">
        <v>0</v>
      </c>
      <c r="P1154" s="194">
        <v>0</v>
      </c>
      <c r="Q1154" s="196">
        <v>0</v>
      </c>
      <c r="R1154" s="197">
        <v>0</v>
      </c>
      <c r="S1154" s="196">
        <v>0</v>
      </c>
      <c r="T1154" s="197">
        <v>0</v>
      </c>
      <c r="U1154" s="288">
        <v>0</v>
      </c>
      <c r="V1154" s="282">
        <f>C1154-'часть 1'!L1162</f>
        <v>-372860.23</v>
      </c>
      <c r="W1154" s="282"/>
      <c r="X1154" s="282"/>
      <c r="Y1154" s="12"/>
      <c r="Z1154" s="12"/>
      <c r="AA1154" s="4"/>
      <c r="AB1154" s="12"/>
      <c r="AC1154" s="12"/>
      <c r="AD1154" s="12"/>
      <c r="AE1154" s="12"/>
      <c r="AF1154" s="12"/>
      <c r="AG1154" s="12"/>
      <c r="AH1154" s="12"/>
      <c r="AI1154" s="296"/>
    </row>
    <row r="1155" spans="1:35">
      <c r="A1155" s="198">
        <v>102</v>
      </c>
      <c r="B1155" s="195" t="s">
        <v>292</v>
      </c>
      <c r="C1155" s="196">
        <v>2661189</v>
      </c>
      <c r="D1155" s="196"/>
      <c r="E1155" s="196"/>
      <c r="F1155" s="196"/>
      <c r="G1155" s="196"/>
      <c r="H1155" s="196"/>
      <c r="I1155" s="196"/>
      <c r="J1155" s="196"/>
      <c r="K1155" s="196">
        <v>0</v>
      </c>
      <c r="L1155" s="194">
        <v>0</v>
      </c>
      <c r="M1155" s="196">
        <v>0</v>
      </c>
      <c r="N1155" s="196">
        <v>1338.7</v>
      </c>
      <c r="O1155" s="196">
        <v>2661189</v>
      </c>
      <c r="P1155" s="194">
        <v>0</v>
      </c>
      <c r="Q1155" s="196">
        <v>0</v>
      </c>
      <c r="R1155" s="200">
        <v>0</v>
      </c>
      <c r="S1155" s="196">
        <v>0</v>
      </c>
      <c r="T1155" s="197">
        <v>0</v>
      </c>
      <c r="U1155" s="288">
        <v>0</v>
      </c>
      <c r="V1155" s="282">
        <f>C1155-'часть 1'!L1163</f>
        <v>-123044</v>
      </c>
      <c r="W1155" s="282"/>
      <c r="X1155" s="28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296"/>
    </row>
    <row r="1156" spans="1:35">
      <c r="A1156" s="198">
        <v>103</v>
      </c>
      <c r="B1156" s="195" t="s">
        <v>276</v>
      </c>
      <c r="C1156" s="196">
        <v>278220</v>
      </c>
      <c r="D1156" s="196"/>
      <c r="E1156" s="196"/>
      <c r="F1156" s="196"/>
      <c r="G1156" s="196"/>
      <c r="H1156" s="196"/>
      <c r="I1156" s="196"/>
      <c r="J1156" s="196"/>
      <c r="K1156" s="196">
        <v>278220</v>
      </c>
      <c r="L1156" s="194">
        <v>0</v>
      </c>
      <c r="M1156" s="196">
        <v>0</v>
      </c>
      <c r="N1156" s="196">
        <v>0</v>
      </c>
      <c r="O1156" s="196">
        <v>0</v>
      </c>
      <c r="P1156" s="194">
        <v>0</v>
      </c>
      <c r="Q1156" s="196">
        <v>0</v>
      </c>
      <c r="R1156" s="197">
        <v>0</v>
      </c>
      <c r="S1156" s="196">
        <v>0</v>
      </c>
      <c r="T1156" s="197">
        <v>0</v>
      </c>
      <c r="U1156" s="288">
        <v>0</v>
      </c>
      <c r="V1156" s="282">
        <f>C1156-'часть 1'!L1164</f>
        <v>-2091741</v>
      </c>
      <c r="W1156" s="282"/>
      <c r="X1156" s="282"/>
      <c r="Y1156" s="12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296"/>
    </row>
    <row r="1157" spans="1:35">
      <c r="A1157" s="198">
        <v>104</v>
      </c>
      <c r="B1157" s="195" t="s">
        <v>229</v>
      </c>
      <c r="C1157" s="196">
        <v>2511472</v>
      </c>
      <c r="D1157" s="196"/>
      <c r="E1157" s="196"/>
      <c r="F1157" s="196"/>
      <c r="G1157" s="196"/>
      <c r="H1157" s="196"/>
      <c r="I1157" s="196"/>
      <c r="J1157" s="196"/>
      <c r="K1157" s="196">
        <v>2511472</v>
      </c>
      <c r="L1157" s="194">
        <v>0</v>
      </c>
      <c r="M1157" s="196">
        <v>0</v>
      </c>
      <c r="N1157" s="196">
        <v>0</v>
      </c>
      <c r="O1157" s="196">
        <v>0</v>
      </c>
      <c r="P1157" s="194">
        <v>0</v>
      </c>
      <c r="Q1157" s="196">
        <v>0</v>
      </c>
      <c r="R1157" s="197">
        <v>0</v>
      </c>
      <c r="S1157" s="196">
        <v>0</v>
      </c>
      <c r="T1157" s="197">
        <v>0</v>
      </c>
      <c r="U1157" s="288">
        <v>0</v>
      </c>
      <c r="V1157" s="282">
        <f>C1157-'часть 1'!L1165</f>
        <v>1838653</v>
      </c>
      <c r="W1157" s="282"/>
      <c r="X1157" s="28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296"/>
    </row>
    <row r="1158" spans="1:35">
      <c r="A1158" s="198">
        <v>105</v>
      </c>
      <c r="B1158" s="195" t="s">
        <v>309</v>
      </c>
      <c r="C1158" s="196">
        <v>871988</v>
      </c>
      <c r="D1158" s="196"/>
      <c r="E1158" s="196"/>
      <c r="F1158" s="196"/>
      <c r="G1158" s="196"/>
      <c r="H1158" s="196"/>
      <c r="I1158" s="196"/>
      <c r="J1158" s="196"/>
      <c r="K1158" s="196">
        <v>0</v>
      </c>
      <c r="L1158" s="194">
        <v>0</v>
      </c>
      <c r="M1158" s="196">
        <v>0</v>
      </c>
      <c r="N1158" s="196">
        <v>438.23</v>
      </c>
      <c r="O1158" s="196">
        <v>871988</v>
      </c>
      <c r="P1158" s="194">
        <v>0</v>
      </c>
      <c r="Q1158" s="196">
        <v>0</v>
      </c>
      <c r="R1158" s="197">
        <v>0</v>
      </c>
      <c r="S1158" s="196">
        <v>0</v>
      </c>
      <c r="T1158" s="197">
        <v>0</v>
      </c>
      <c r="U1158" s="288">
        <v>0</v>
      </c>
      <c r="V1158" s="282">
        <f>C1158-'часть 1'!L1166</f>
        <v>-779503</v>
      </c>
      <c r="W1158" s="282"/>
      <c r="X1158" s="28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296"/>
    </row>
    <row r="1159" spans="1:35">
      <c r="A1159" s="198">
        <v>106</v>
      </c>
      <c r="B1159" s="195" t="s">
        <v>308</v>
      </c>
      <c r="C1159" s="196">
        <v>2113335</v>
      </c>
      <c r="D1159" s="196"/>
      <c r="E1159" s="196"/>
      <c r="F1159" s="196"/>
      <c r="G1159" s="196"/>
      <c r="H1159" s="196"/>
      <c r="I1159" s="196"/>
      <c r="J1159" s="196"/>
      <c r="K1159" s="196" t="e">
        <f>#REF!</f>
        <v>#REF!</v>
      </c>
      <c r="L1159" s="194">
        <v>0</v>
      </c>
      <c r="M1159" s="196">
        <v>0</v>
      </c>
      <c r="N1159" s="196">
        <v>0</v>
      </c>
      <c r="O1159" s="196">
        <v>0</v>
      </c>
      <c r="P1159" s="194">
        <v>0</v>
      </c>
      <c r="Q1159" s="196">
        <v>0</v>
      </c>
      <c r="R1159" s="197">
        <v>0</v>
      </c>
      <c r="S1159" s="196">
        <v>0</v>
      </c>
      <c r="T1159" s="197">
        <v>0</v>
      </c>
      <c r="U1159" s="288">
        <v>0</v>
      </c>
      <c r="V1159" s="282">
        <f>C1159-'часть 1'!L1167</f>
        <v>680409</v>
      </c>
      <c r="W1159" s="282"/>
      <c r="X1159" s="28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296"/>
    </row>
    <row r="1160" spans="1:35">
      <c r="A1160" s="198">
        <v>107</v>
      </c>
      <c r="B1160" s="195" t="s">
        <v>296</v>
      </c>
      <c r="C1160" s="196">
        <v>996585</v>
      </c>
      <c r="D1160" s="196"/>
      <c r="E1160" s="196"/>
      <c r="F1160" s="196"/>
      <c r="G1160" s="196"/>
      <c r="H1160" s="196"/>
      <c r="I1160" s="196"/>
      <c r="J1160" s="196"/>
      <c r="K1160" s="196">
        <v>0</v>
      </c>
      <c r="L1160" s="194">
        <v>0</v>
      </c>
      <c r="M1160" s="196">
        <v>0</v>
      </c>
      <c r="N1160" s="196">
        <v>496.2</v>
      </c>
      <c r="O1160" s="196">
        <v>996585</v>
      </c>
      <c r="P1160" s="194">
        <v>0</v>
      </c>
      <c r="Q1160" s="196">
        <v>0</v>
      </c>
      <c r="R1160" s="197">
        <v>0</v>
      </c>
      <c r="S1160" s="196">
        <v>0</v>
      </c>
      <c r="T1160" s="197">
        <v>0</v>
      </c>
      <c r="U1160" s="288">
        <v>0</v>
      </c>
      <c r="V1160" s="282">
        <f>C1160-'часть 1'!L1168</f>
        <v>-141301</v>
      </c>
      <c r="W1160" s="282"/>
      <c r="X1160" s="28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296"/>
    </row>
    <row r="1161" spans="1:35">
      <c r="A1161" s="198">
        <v>108</v>
      </c>
      <c r="B1161" s="195" t="s">
        <v>240</v>
      </c>
      <c r="C1161" s="196">
        <v>637739</v>
      </c>
      <c r="D1161" s="196"/>
      <c r="E1161" s="196"/>
      <c r="F1161" s="196"/>
      <c r="G1161" s="196"/>
      <c r="H1161" s="196"/>
      <c r="I1161" s="196"/>
      <c r="J1161" s="196"/>
      <c r="K1161" s="196">
        <v>637739</v>
      </c>
      <c r="L1161" s="194">
        <v>0</v>
      </c>
      <c r="M1161" s="196">
        <v>0</v>
      </c>
      <c r="N1161" s="196">
        <v>0</v>
      </c>
      <c r="O1161" s="196">
        <v>0</v>
      </c>
      <c r="P1161" s="194">
        <v>0</v>
      </c>
      <c r="Q1161" s="196">
        <v>0</v>
      </c>
      <c r="R1161" s="197">
        <v>0</v>
      </c>
      <c r="S1161" s="196">
        <v>0</v>
      </c>
      <c r="T1161" s="197">
        <v>0</v>
      </c>
      <c r="U1161" s="288">
        <v>0</v>
      </c>
      <c r="V1161" s="282">
        <f>C1161-'часть 1'!L1169</f>
        <v>-1177099</v>
      </c>
      <c r="W1161" s="282"/>
      <c r="X1161" s="28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296"/>
    </row>
    <row r="1162" spans="1:35">
      <c r="A1162" s="198">
        <v>109</v>
      </c>
      <c r="B1162" s="195" t="s">
        <v>243</v>
      </c>
      <c r="C1162" s="196">
        <v>1357217</v>
      </c>
      <c r="D1162" s="196"/>
      <c r="E1162" s="196"/>
      <c r="F1162" s="196"/>
      <c r="G1162" s="196"/>
      <c r="H1162" s="196"/>
      <c r="I1162" s="196"/>
      <c r="J1162" s="196"/>
      <c r="K1162" s="196">
        <v>0</v>
      </c>
      <c r="L1162" s="194">
        <v>0</v>
      </c>
      <c r="M1162" s="196">
        <v>0</v>
      </c>
      <c r="N1162" s="196">
        <v>675</v>
      </c>
      <c r="O1162" s="196">
        <v>1357217</v>
      </c>
      <c r="P1162" s="194">
        <v>0</v>
      </c>
      <c r="Q1162" s="196">
        <v>0</v>
      </c>
      <c r="R1162" s="197">
        <v>0</v>
      </c>
      <c r="S1162" s="196">
        <v>0</v>
      </c>
      <c r="T1162" s="197">
        <v>0</v>
      </c>
      <c r="U1162" s="288">
        <v>0</v>
      </c>
      <c r="V1162" s="282">
        <f>C1162-'часть 1'!L1170</f>
        <v>-187142.54000000004</v>
      </c>
      <c r="W1162" s="282"/>
      <c r="X1162" s="28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296"/>
    </row>
    <row r="1163" spans="1:35">
      <c r="A1163" s="198">
        <v>110</v>
      </c>
      <c r="B1163" s="195" t="s">
        <v>269</v>
      </c>
      <c r="C1163" s="196">
        <v>836226</v>
      </c>
      <c r="D1163" s="196"/>
      <c r="E1163" s="196"/>
      <c r="F1163" s="196"/>
      <c r="G1163" s="196"/>
      <c r="H1163" s="196"/>
      <c r="I1163" s="196"/>
      <c r="J1163" s="196"/>
      <c r="K1163" s="196">
        <v>0</v>
      </c>
      <c r="L1163" s="194">
        <v>0</v>
      </c>
      <c r="M1163" s="196">
        <v>0</v>
      </c>
      <c r="N1163" s="196">
        <v>414.1</v>
      </c>
      <c r="O1163" s="199">
        <v>836226</v>
      </c>
      <c r="P1163" s="194">
        <v>0</v>
      </c>
      <c r="Q1163" s="196">
        <v>0</v>
      </c>
      <c r="R1163" s="197">
        <v>0</v>
      </c>
      <c r="S1163" s="196">
        <v>0</v>
      </c>
      <c r="T1163" s="197">
        <v>0</v>
      </c>
      <c r="U1163" s="288">
        <v>0</v>
      </c>
      <c r="V1163" s="282">
        <f>C1163-'часть 1'!L1171</f>
        <v>-950808</v>
      </c>
      <c r="W1163" s="282"/>
      <c r="X1163" s="282"/>
      <c r="Y1163" s="12"/>
      <c r="Z1163" s="12"/>
      <c r="AA1163" s="12"/>
      <c r="AB1163" s="12"/>
      <c r="AC1163" s="12"/>
      <c r="AD1163" s="12"/>
      <c r="AE1163" s="12"/>
      <c r="AF1163" s="12"/>
      <c r="AG1163" s="12"/>
      <c r="AH1163" s="12"/>
      <c r="AI1163" s="296"/>
    </row>
    <row r="1164" spans="1:35">
      <c r="A1164" s="198">
        <v>111</v>
      </c>
      <c r="B1164" s="195" t="s">
        <v>299</v>
      </c>
      <c r="C1164" s="196">
        <v>640078</v>
      </c>
      <c r="D1164" s="196"/>
      <c r="E1164" s="196"/>
      <c r="F1164" s="196"/>
      <c r="G1164" s="196"/>
      <c r="H1164" s="196"/>
      <c r="I1164" s="196"/>
      <c r="J1164" s="196"/>
      <c r="K1164" s="196">
        <v>640078</v>
      </c>
      <c r="L1164" s="194">
        <v>0</v>
      </c>
      <c r="M1164" s="196">
        <v>0</v>
      </c>
      <c r="N1164" s="196">
        <v>0</v>
      </c>
      <c r="O1164" s="196">
        <v>0</v>
      </c>
      <c r="P1164" s="194">
        <v>0</v>
      </c>
      <c r="Q1164" s="196">
        <v>0</v>
      </c>
      <c r="R1164" s="197">
        <v>0</v>
      </c>
      <c r="S1164" s="196">
        <v>0</v>
      </c>
      <c r="T1164" s="197">
        <v>0</v>
      </c>
      <c r="U1164" s="288">
        <v>0</v>
      </c>
      <c r="V1164" s="282">
        <f>C1164-'часть 1'!L1172</f>
        <v>202079.43</v>
      </c>
      <c r="W1164" s="282"/>
      <c r="X1164" s="28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296"/>
    </row>
    <row r="1165" spans="1:35">
      <c r="A1165" s="198">
        <v>112</v>
      </c>
      <c r="B1165" s="195" t="s">
        <v>236</v>
      </c>
      <c r="C1165" s="196">
        <v>202649</v>
      </c>
      <c r="D1165" s="196"/>
      <c r="E1165" s="196"/>
      <c r="F1165" s="196"/>
      <c r="G1165" s="196"/>
      <c r="H1165" s="196"/>
      <c r="I1165" s="196"/>
      <c r="J1165" s="196"/>
      <c r="K1165" s="196" t="e">
        <f>#REF!</f>
        <v>#REF!</v>
      </c>
      <c r="L1165" s="194">
        <v>0</v>
      </c>
      <c r="M1165" s="196">
        <v>0</v>
      </c>
      <c r="N1165" s="196">
        <v>0</v>
      </c>
      <c r="O1165" s="196">
        <v>0</v>
      </c>
      <c r="P1165" s="194">
        <v>0</v>
      </c>
      <c r="Q1165" s="196">
        <v>0</v>
      </c>
      <c r="R1165" s="200">
        <v>0</v>
      </c>
      <c r="S1165" s="196">
        <v>0</v>
      </c>
      <c r="T1165" s="197">
        <v>0</v>
      </c>
      <c r="U1165" s="288">
        <v>0</v>
      </c>
      <c r="V1165" s="282">
        <f>C1165-'часть 1'!L1173</f>
        <v>-913579</v>
      </c>
      <c r="W1165" s="282"/>
      <c r="X1165" s="282"/>
      <c r="Y1165" s="12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296"/>
    </row>
    <row r="1166" spans="1:35">
      <c r="A1166" s="198">
        <v>113</v>
      </c>
      <c r="B1166" s="195" t="s">
        <v>285</v>
      </c>
      <c r="C1166" s="196">
        <v>7892437</v>
      </c>
      <c r="D1166" s="196"/>
      <c r="E1166" s="196"/>
      <c r="F1166" s="196"/>
      <c r="G1166" s="196"/>
      <c r="H1166" s="196"/>
      <c r="I1166" s="196"/>
      <c r="J1166" s="196"/>
      <c r="K1166" s="196">
        <v>7892437</v>
      </c>
      <c r="L1166" s="194">
        <v>0</v>
      </c>
      <c r="M1166" s="196">
        <v>0</v>
      </c>
      <c r="N1166" s="196">
        <v>0</v>
      </c>
      <c r="O1166" s="196">
        <v>0</v>
      </c>
      <c r="P1166" s="194">
        <v>0</v>
      </c>
      <c r="Q1166" s="196">
        <v>0</v>
      </c>
      <c r="R1166" s="197">
        <v>0</v>
      </c>
      <c r="S1166" s="196">
        <v>0</v>
      </c>
      <c r="T1166" s="197">
        <v>0</v>
      </c>
      <c r="U1166" s="288">
        <v>0</v>
      </c>
      <c r="V1166" s="282">
        <f>C1166-'часть 1'!L1174</f>
        <v>6578709</v>
      </c>
      <c r="W1166" s="282"/>
      <c r="X1166" s="28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296"/>
    </row>
    <row r="1167" spans="1:35">
      <c r="A1167" s="198">
        <v>114</v>
      </c>
      <c r="B1167" s="195" t="s">
        <v>237</v>
      </c>
      <c r="C1167" s="196">
        <v>523389</v>
      </c>
      <c r="D1167" s="196"/>
      <c r="E1167" s="196"/>
      <c r="F1167" s="196"/>
      <c r="G1167" s="196"/>
      <c r="H1167" s="196"/>
      <c r="I1167" s="196"/>
      <c r="J1167" s="196"/>
      <c r="K1167" s="196">
        <v>0</v>
      </c>
      <c r="L1167" s="194">
        <v>0</v>
      </c>
      <c r="M1167" s="196">
        <v>0</v>
      </c>
      <c r="N1167" s="196">
        <v>255</v>
      </c>
      <c r="O1167" s="196">
        <v>523389</v>
      </c>
      <c r="P1167" s="194">
        <v>0</v>
      </c>
      <c r="Q1167" s="196">
        <v>0</v>
      </c>
      <c r="R1167" s="200">
        <v>0</v>
      </c>
      <c r="S1167" s="196">
        <v>0</v>
      </c>
      <c r="T1167" s="197">
        <v>0</v>
      </c>
      <c r="U1167" s="288">
        <v>0</v>
      </c>
      <c r="V1167" s="282">
        <f>C1167-'часть 1'!L1175</f>
        <v>163738</v>
      </c>
      <c r="W1167" s="282"/>
      <c r="X1167" s="28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296"/>
    </row>
    <row r="1168" spans="1:35">
      <c r="A1168" s="198">
        <v>115</v>
      </c>
      <c r="B1168" s="195" t="s">
        <v>264</v>
      </c>
      <c r="C1168" s="196">
        <v>1038920</v>
      </c>
      <c r="D1168" s="196"/>
      <c r="E1168" s="196"/>
      <c r="F1168" s="196"/>
      <c r="G1168" s="196"/>
      <c r="H1168" s="196"/>
      <c r="I1168" s="196"/>
      <c r="J1168" s="196"/>
      <c r="K1168" s="196">
        <v>1038920</v>
      </c>
      <c r="L1168" s="194">
        <v>0</v>
      </c>
      <c r="M1168" s="196">
        <v>0</v>
      </c>
      <c r="N1168" s="196">
        <v>0</v>
      </c>
      <c r="O1168" s="196">
        <v>0</v>
      </c>
      <c r="P1168" s="194">
        <v>0</v>
      </c>
      <c r="Q1168" s="196">
        <v>0</v>
      </c>
      <c r="R1168" s="197">
        <v>0</v>
      </c>
      <c r="S1168" s="196">
        <v>0</v>
      </c>
      <c r="T1168" s="197">
        <v>0</v>
      </c>
      <c r="U1168" s="288">
        <v>0</v>
      </c>
      <c r="V1168" s="282">
        <f>C1168-'часть 1'!L1176</f>
        <v>132141</v>
      </c>
      <c r="W1168" s="282"/>
      <c r="X1168" s="282"/>
      <c r="Y1168" s="12"/>
      <c r="Z1168" s="12"/>
      <c r="AA1168" s="12"/>
      <c r="AB1168" s="12"/>
      <c r="AC1168" s="4"/>
      <c r="AD1168" s="12"/>
      <c r="AE1168" s="12"/>
      <c r="AF1168" s="12"/>
      <c r="AG1168" s="12"/>
      <c r="AH1168" s="12"/>
      <c r="AI1168" s="296"/>
    </row>
    <row r="1169" spans="1:35">
      <c r="A1169" s="194">
        <v>116</v>
      </c>
      <c r="B1169" s="195" t="s">
        <v>258</v>
      </c>
      <c r="C1169" s="196">
        <v>1742553</v>
      </c>
      <c r="D1169" s="196"/>
      <c r="E1169" s="196"/>
      <c r="F1169" s="196"/>
      <c r="G1169" s="196"/>
      <c r="H1169" s="196"/>
      <c r="I1169" s="196"/>
      <c r="J1169" s="196"/>
      <c r="K1169" s="196">
        <v>0</v>
      </c>
      <c r="L1169" s="194">
        <v>0</v>
      </c>
      <c r="M1169" s="196">
        <v>0</v>
      </c>
      <c r="N1169" s="196">
        <v>874.22</v>
      </c>
      <c r="O1169" s="199">
        <v>1742553</v>
      </c>
      <c r="P1169" s="194">
        <v>0</v>
      </c>
      <c r="Q1169" s="196">
        <v>0</v>
      </c>
      <c r="R1169" s="197">
        <v>0</v>
      </c>
      <c r="S1169" s="196">
        <v>0</v>
      </c>
      <c r="T1169" s="197">
        <v>0</v>
      </c>
      <c r="U1169" s="288">
        <v>0</v>
      </c>
      <c r="V1169" s="282">
        <f>C1169-'часть 1'!L1177</f>
        <v>855994</v>
      </c>
      <c r="W1169" s="282"/>
      <c r="X1169" s="28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296"/>
    </row>
    <row r="1170" spans="1:35">
      <c r="A1170" s="194">
        <v>117</v>
      </c>
      <c r="B1170" s="195" t="s">
        <v>250</v>
      </c>
      <c r="C1170" s="196">
        <v>2124581</v>
      </c>
      <c r="D1170" s="196"/>
      <c r="E1170" s="196"/>
      <c r="F1170" s="196"/>
      <c r="G1170" s="196"/>
      <c r="H1170" s="196"/>
      <c r="I1170" s="196"/>
      <c r="J1170" s="196"/>
      <c r="K1170" s="196">
        <v>0</v>
      </c>
      <c r="L1170" s="194">
        <v>0</v>
      </c>
      <c r="M1170" s="196">
        <v>0</v>
      </c>
      <c r="N1170" s="196">
        <v>1070</v>
      </c>
      <c r="O1170" s="199">
        <v>2124581</v>
      </c>
      <c r="P1170" s="194">
        <v>0</v>
      </c>
      <c r="Q1170" s="196">
        <v>0</v>
      </c>
      <c r="R1170" s="200">
        <v>0</v>
      </c>
      <c r="S1170" s="196">
        <v>0</v>
      </c>
      <c r="T1170" s="197">
        <v>0</v>
      </c>
      <c r="U1170" s="288">
        <v>0</v>
      </c>
      <c r="V1170" s="282">
        <f>C1170-'часть 1'!L1178</f>
        <v>1482371</v>
      </c>
      <c r="W1170" s="282"/>
      <c r="X1170" s="28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296"/>
    </row>
    <row r="1171" spans="1:35">
      <c r="A1171" s="194">
        <v>118</v>
      </c>
      <c r="B1171" s="195" t="s">
        <v>282</v>
      </c>
      <c r="C1171" s="196">
        <v>2347478</v>
      </c>
      <c r="D1171" s="196"/>
      <c r="E1171" s="196"/>
      <c r="F1171" s="196"/>
      <c r="G1171" s="196"/>
      <c r="H1171" s="196"/>
      <c r="I1171" s="196"/>
      <c r="J1171" s="196"/>
      <c r="K1171" s="196">
        <v>0</v>
      </c>
      <c r="L1171" s="194">
        <v>0</v>
      </c>
      <c r="M1171" s="196">
        <v>0</v>
      </c>
      <c r="N1171" s="196">
        <v>1185.07</v>
      </c>
      <c r="O1171" s="196">
        <v>2347478</v>
      </c>
      <c r="P1171" s="194">
        <v>0</v>
      </c>
      <c r="Q1171" s="196">
        <v>0</v>
      </c>
      <c r="R1171" s="197">
        <v>0</v>
      </c>
      <c r="S1171" s="196">
        <v>0</v>
      </c>
      <c r="T1171" s="197">
        <v>0</v>
      </c>
      <c r="U1171" s="288">
        <v>0</v>
      </c>
      <c r="V1171" s="282">
        <f>C1171-'часть 1'!L1179</f>
        <v>394989</v>
      </c>
      <c r="W1171" s="282"/>
      <c r="X1171" s="28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296"/>
    </row>
    <row r="1172" spans="1:35">
      <c r="A1172" s="194">
        <v>119</v>
      </c>
      <c r="B1172" s="195" t="s">
        <v>267</v>
      </c>
      <c r="C1172" s="196">
        <v>2468472</v>
      </c>
      <c r="D1172" s="196"/>
      <c r="E1172" s="196"/>
      <c r="F1172" s="196"/>
      <c r="G1172" s="196"/>
      <c r="H1172" s="196"/>
      <c r="I1172" s="196"/>
      <c r="J1172" s="196"/>
      <c r="K1172" s="196">
        <v>0</v>
      </c>
      <c r="L1172" s="194">
        <v>0</v>
      </c>
      <c r="M1172" s="196">
        <v>0</v>
      </c>
      <c r="N1172" s="199">
        <v>1246.5</v>
      </c>
      <c r="O1172" s="196">
        <v>2468472</v>
      </c>
      <c r="P1172" s="194">
        <v>0</v>
      </c>
      <c r="Q1172" s="196">
        <v>0</v>
      </c>
      <c r="R1172" s="197">
        <v>0</v>
      </c>
      <c r="S1172" s="196">
        <v>0</v>
      </c>
      <c r="T1172" s="197">
        <v>0</v>
      </c>
      <c r="U1172" s="288">
        <v>0</v>
      </c>
      <c r="V1172" s="282">
        <f>C1172-'часть 1'!L1180</f>
        <v>-12689276</v>
      </c>
      <c r="W1172" s="282"/>
      <c r="X1172" s="28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296"/>
    </row>
    <row r="1173" spans="1:35">
      <c r="A1173" s="194">
        <v>120</v>
      </c>
      <c r="B1173" s="195" t="s">
        <v>284</v>
      </c>
      <c r="C1173" s="196">
        <v>1612780</v>
      </c>
      <c r="D1173" s="196"/>
      <c r="E1173" s="196"/>
      <c r="F1173" s="196"/>
      <c r="G1173" s="196"/>
      <c r="H1173" s="196"/>
      <c r="I1173" s="196"/>
      <c r="J1173" s="196"/>
      <c r="K1173" s="196">
        <v>0</v>
      </c>
      <c r="L1173" s="194">
        <v>0</v>
      </c>
      <c r="M1173" s="196">
        <v>0</v>
      </c>
      <c r="N1173" s="196">
        <v>810.5</v>
      </c>
      <c r="O1173" s="196">
        <v>1612780</v>
      </c>
      <c r="P1173" s="194">
        <v>0</v>
      </c>
      <c r="Q1173" s="196">
        <v>0</v>
      </c>
      <c r="R1173" s="197">
        <v>0</v>
      </c>
      <c r="S1173" s="196">
        <v>0</v>
      </c>
      <c r="T1173" s="197">
        <v>0</v>
      </c>
      <c r="U1173" s="288">
        <v>0</v>
      </c>
      <c r="V1173" s="282">
        <f>C1173-'часть 1'!L1181</f>
        <v>-929518.37000000011</v>
      </c>
      <c r="W1173" s="282"/>
      <c r="X1173" s="28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296"/>
    </row>
    <row r="1174" spans="1:35">
      <c r="A1174" s="194">
        <v>121</v>
      </c>
      <c r="B1174" s="195" t="s">
        <v>256</v>
      </c>
      <c r="C1174" s="196">
        <v>2580419</v>
      </c>
      <c r="D1174" s="196"/>
      <c r="E1174" s="196"/>
      <c r="F1174" s="196"/>
      <c r="G1174" s="196"/>
      <c r="H1174" s="196"/>
      <c r="I1174" s="196"/>
      <c r="J1174" s="196"/>
      <c r="K1174" s="196">
        <v>0</v>
      </c>
      <c r="L1174" s="194">
        <v>0</v>
      </c>
      <c r="M1174" s="196">
        <v>0</v>
      </c>
      <c r="N1174" s="196">
        <v>786.3</v>
      </c>
      <c r="O1174" s="196">
        <v>1565675</v>
      </c>
      <c r="P1174" s="194">
        <v>0</v>
      </c>
      <c r="Q1174" s="196">
        <v>0</v>
      </c>
      <c r="R1174" s="196">
        <v>700</v>
      </c>
      <c r="S1174" s="196">
        <v>1014744</v>
      </c>
      <c r="T1174" s="197">
        <v>0</v>
      </c>
      <c r="U1174" s="288">
        <v>0</v>
      </c>
      <c r="V1174" s="282">
        <f>C1174-'часть 1'!L1182</f>
        <v>1465833</v>
      </c>
      <c r="W1174" s="282"/>
      <c r="X1174" s="28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296"/>
    </row>
    <row r="1175" spans="1:35">
      <c r="A1175" s="194">
        <v>122</v>
      </c>
      <c r="B1175" s="195" t="s">
        <v>335</v>
      </c>
      <c r="C1175" s="196">
        <v>1681645</v>
      </c>
      <c r="D1175" s="196"/>
      <c r="E1175" s="196"/>
      <c r="F1175" s="196"/>
      <c r="G1175" s="196"/>
      <c r="H1175" s="196"/>
      <c r="I1175" s="196"/>
      <c r="J1175" s="196"/>
      <c r="K1175" s="196">
        <v>0</v>
      </c>
      <c r="L1175" s="194">
        <v>0</v>
      </c>
      <c r="M1175" s="196">
        <v>0</v>
      </c>
      <c r="N1175" s="196">
        <v>848.59</v>
      </c>
      <c r="O1175" s="196">
        <v>1681645</v>
      </c>
      <c r="P1175" s="194">
        <v>0</v>
      </c>
      <c r="Q1175" s="196">
        <v>0</v>
      </c>
      <c r="R1175" s="200">
        <v>0</v>
      </c>
      <c r="S1175" s="196">
        <v>0</v>
      </c>
      <c r="T1175" s="197">
        <v>0</v>
      </c>
      <c r="U1175" s="288">
        <v>0</v>
      </c>
      <c r="V1175" s="282">
        <f>C1175-'часть 1'!L1183</f>
        <v>-3942208</v>
      </c>
      <c r="W1175" s="282"/>
      <c r="X1175" s="28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296"/>
    </row>
    <row r="1176" spans="1:35">
      <c r="A1176" s="194">
        <v>123</v>
      </c>
      <c r="B1176" s="195" t="s">
        <v>255</v>
      </c>
      <c r="C1176" s="196">
        <v>1318880</v>
      </c>
      <c r="D1176" s="196"/>
      <c r="E1176" s="196"/>
      <c r="F1176" s="196"/>
      <c r="G1176" s="196"/>
      <c r="H1176" s="196"/>
      <c r="I1176" s="196"/>
      <c r="J1176" s="196"/>
      <c r="K1176" s="196">
        <v>0</v>
      </c>
      <c r="L1176" s="194">
        <v>0</v>
      </c>
      <c r="M1176" s="196">
        <v>0</v>
      </c>
      <c r="N1176" s="196">
        <v>660</v>
      </c>
      <c r="O1176" s="196">
        <v>1318880</v>
      </c>
      <c r="P1176" s="194">
        <v>0</v>
      </c>
      <c r="Q1176" s="196">
        <v>0</v>
      </c>
      <c r="R1176" s="200">
        <v>0</v>
      </c>
      <c r="S1176" s="196">
        <v>0</v>
      </c>
      <c r="T1176" s="197">
        <v>0</v>
      </c>
      <c r="U1176" s="288">
        <v>0</v>
      </c>
      <c r="V1176" s="282">
        <f>C1176-'часть 1'!L1184</f>
        <v>-1402226</v>
      </c>
      <c r="W1176" s="282"/>
      <c r="X1176" s="28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296"/>
    </row>
    <row r="1177" spans="1:35">
      <c r="A1177" s="194">
        <v>124</v>
      </c>
      <c r="B1177" s="195" t="s">
        <v>245</v>
      </c>
      <c r="C1177" s="196">
        <v>1566345</v>
      </c>
      <c r="D1177" s="196"/>
      <c r="E1177" s="196"/>
      <c r="F1177" s="196"/>
      <c r="G1177" s="196"/>
      <c r="H1177" s="196"/>
      <c r="I1177" s="196"/>
      <c r="J1177" s="196"/>
      <c r="K1177" s="196">
        <v>0</v>
      </c>
      <c r="L1177" s="194">
        <v>0</v>
      </c>
      <c r="M1177" s="196">
        <v>0</v>
      </c>
      <c r="N1177" s="196">
        <v>422</v>
      </c>
      <c r="O1177" s="196">
        <v>850468</v>
      </c>
      <c r="P1177" s="194">
        <v>0</v>
      </c>
      <c r="Q1177" s="196">
        <v>0</v>
      </c>
      <c r="R1177" s="196">
        <v>492</v>
      </c>
      <c r="S1177" s="196">
        <v>715877</v>
      </c>
      <c r="T1177" s="197">
        <v>0</v>
      </c>
      <c r="U1177" s="288">
        <v>0</v>
      </c>
      <c r="V1177" s="282">
        <f>C1177-'часть 1'!L1185</f>
        <v>-8222981.5500000007</v>
      </c>
      <c r="W1177" s="282"/>
      <c r="X1177" s="28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296"/>
    </row>
    <row r="1178" spans="1:35" ht="27.6">
      <c r="A1178" s="194">
        <v>125</v>
      </c>
      <c r="B1178" s="195" t="s">
        <v>451</v>
      </c>
      <c r="C1178" s="196">
        <v>1910088</v>
      </c>
      <c r="D1178" s="196"/>
      <c r="E1178" s="196"/>
      <c r="F1178" s="196"/>
      <c r="G1178" s="196"/>
      <c r="H1178" s="196"/>
      <c r="I1178" s="196"/>
      <c r="J1178" s="196"/>
      <c r="K1178" s="196">
        <v>1910088</v>
      </c>
      <c r="L1178" s="194">
        <v>0</v>
      </c>
      <c r="M1178" s="196">
        <v>0</v>
      </c>
      <c r="N1178" s="196">
        <v>0</v>
      </c>
      <c r="O1178" s="196">
        <v>0</v>
      </c>
      <c r="P1178" s="194">
        <v>0</v>
      </c>
      <c r="Q1178" s="196">
        <v>0</v>
      </c>
      <c r="R1178" s="200">
        <v>0</v>
      </c>
      <c r="S1178" s="196">
        <v>0</v>
      </c>
      <c r="T1178" s="197">
        <v>0</v>
      </c>
      <c r="U1178" s="288">
        <v>0</v>
      </c>
      <c r="V1178" s="282">
        <f>C1178-'часть 1'!L1186</f>
        <v>295014</v>
      </c>
      <c r="W1178" s="282"/>
      <c r="X1178" s="282"/>
      <c r="Y1178" s="12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296"/>
    </row>
    <row r="1179" spans="1:35">
      <c r="A1179" s="194">
        <v>126</v>
      </c>
      <c r="B1179" s="195" t="s">
        <v>280</v>
      </c>
      <c r="C1179" s="196">
        <v>2694957</v>
      </c>
      <c r="D1179" s="196"/>
      <c r="E1179" s="196"/>
      <c r="F1179" s="196"/>
      <c r="G1179" s="196"/>
      <c r="H1179" s="196"/>
      <c r="I1179" s="196"/>
      <c r="J1179" s="196"/>
      <c r="K1179" s="196">
        <v>710638</v>
      </c>
      <c r="L1179" s="194">
        <v>0</v>
      </c>
      <c r="M1179" s="196">
        <v>0</v>
      </c>
      <c r="N1179" s="196">
        <v>0</v>
      </c>
      <c r="O1179" s="196">
        <v>0</v>
      </c>
      <c r="P1179" s="194">
        <v>0</v>
      </c>
      <c r="Q1179" s="196">
        <v>0</v>
      </c>
      <c r="R1179" s="196">
        <v>1359.5</v>
      </c>
      <c r="S1179" s="196">
        <v>1984319</v>
      </c>
      <c r="T1179" s="197">
        <v>0</v>
      </c>
      <c r="U1179" s="288">
        <v>0</v>
      </c>
      <c r="V1179" s="282">
        <f>C1179-'часть 1'!L1187</f>
        <v>1870567</v>
      </c>
      <c r="W1179" s="282"/>
      <c r="X1179" s="28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296"/>
    </row>
    <row r="1180" spans="1:35">
      <c r="A1180" s="194">
        <v>127</v>
      </c>
      <c r="B1180" s="195" t="s">
        <v>367</v>
      </c>
      <c r="C1180" s="196">
        <v>580578</v>
      </c>
      <c r="D1180" s="196"/>
      <c r="E1180" s="196"/>
      <c r="F1180" s="196"/>
      <c r="G1180" s="196"/>
      <c r="H1180" s="196"/>
      <c r="I1180" s="196"/>
      <c r="J1180" s="196"/>
      <c r="K1180" s="196">
        <v>0</v>
      </c>
      <c r="L1180" s="194">
        <v>0</v>
      </c>
      <c r="M1180" s="196">
        <v>0</v>
      </c>
      <c r="N1180" s="196">
        <v>293.5</v>
      </c>
      <c r="O1180" s="196">
        <v>580578</v>
      </c>
      <c r="P1180" s="194">
        <v>0</v>
      </c>
      <c r="Q1180" s="196">
        <v>0</v>
      </c>
      <c r="R1180" s="197">
        <v>0</v>
      </c>
      <c r="S1180" s="196">
        <v>0</v>
      </c>
      <c r="T1180" s="197">
        <v>0</v>
      </c>
      <c r="U1180" s="288">
        <v>0</v>
      </c>
      <c r="V1180" s="282">
        <f>C1180-'часть 1'!L1188</f>
        <v>-2080611</v>
      </c>
      <c r="W1180" s="282"/>
      <c r="X1180" s="28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296"/>
    </row>
    <row r="1181" spans="1:35">
      <c r="A1181" s="194">
        <v>128</v>
      </c>
      <c r="B1181" s="195" t="s">
        <v>464</v>
      </c>
      <c r="C1181" s="196">
        <v>615357</v>
      </c>
      <c r="D1181" s="196"/>
      <c r="E1181" s="196"/>
      <c r="F1181" s="196"/>
      <c r="G1181" s="196"/>
      <c r="H1181" s="196"/>
      <c r="I1181" s="196"/>
      <c r="J1181" s="196"/>
      <c r="K1181" s="196">
        <v>0</v>
      </c>
      <c r="L1181" s="194">
        <v>0</v>
      </c>
      <c r="M1181" s="196">
        <v>0</v>
      </c>
      <c r="N1181" s="196">
        <v>301</v>
      </c>
      <c r="O1181" s="196">
        <v>615357</v>
      </c>
      <c r="P1181" s="194">
        <v>0</v>
      </c>
      <c r="Q1181" s="196">
        <v>0</v>
      </c>
      <c r="R1181" s="197">
        <v>0</v>
      </c>
      <c r="S1181" s="196">
        <v>0</v>
      </c>
      <c r="T1181" s="197">
        <v>0</v>
      </c>
      <c r="U1181" s="288">
        <v>0</v>
      </c>
      <c r="V1181" s="282">
        <f>C1181-'часть 1'!L1189</f>
        <v>337137</v>
      </c>
      <c r="W1181" s="282"/>
      <c r="X1181" s="28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296"/>
    </row>
    <row r="1182" spans="1:35">
      <c r="A1182" s="194">
        <v>129</v>
      </c>
      <c r="B1182" s="195" t="s">
        <v>385</v>
      </c>
      <c r="C1182" s="196">
        <v>269948.13</v>
      </c>
      <c r="D1182" s="196"/>
      <c r="E1182" s="196"/>
      <c r="F1182" s="196"/>
      <c r="G1182" s="196"/>
      <c r="H1182" s="196"/>
      <c r="I1182" s="196"/>
      <c r="J1182" s="196"/>
      <c r="K1182" s="196">
        <v>269948.13</v>
      </c>
      <c r="L1182" s="194">
        <v>0</v>
      </c>
      <c r="M1182" s="196">
        <v>0</v>
      </c>
      <c r="N1182" s="196">
        <v>0</v>
      </c>
      <c r="O1182" s="196">
        <v>0</v>
      </c>
      <c r="P1182" s="194">
        <v>0</v>
      </c>
      <c r="Q1182" s="196">
        <v>0</v>
      </c>
      <c r="R1182" s="197">
        <v>0</v>
      </c>
      <c r="S1182" s="196">
        <v>0</v>
      </c>
      <c r="T1182" s="197">
        <v>0</v>
      </c>
      <c r="U1182" s="288">
        <v>0</v>
      </c>
      <c r="V1182" s="282">
        <f>C1182-'часть 1'!L1190</f>
        <v>-2241523.87</v>
      </c>
      <c r="W1182" s="282"/>
      <c r="X1182" s="28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296"/>
    </row>
    <row r="1183" spans="1:35">
      <c r="A1183" s="194">
        <v>130</v>
      </c>
      <c r="B1183" s="195" t="s">
        <v>238</v>
      </c>
      <c r="C1183" s="196">
        <v>807980</v>
      </c>
      <c r="D1183" s="196"/>
      <c r="E1183" s="196"/>
      <c r="F1183" s="196"/>
      <c r="G1183" s="196"/>
      <c r="H1183" s="196"/>
      <c r="I1183" s="196"/>
      <c r="J1183" s="196"/>
      <c r="K1183" s="196">
        <v>0</v>
      </c>
      <c r="L1183" s="194">
        <v>0</v>
      </c>
      <c r="M1183" s="196">
        <v>0</v>
      </c>
      <c r="N1183" s="196">
        <v>400</v>
      </c>
      <c r="O1183" s="196">
        <v>807980</v>
      </c>
      <c r="P1183" s="194">
        <v>0</v>
      </c>
      <c r="Q1183" s="196">
        <v>0</v>
      </c>
      <c r="R1183" s="200">
        <v>0</v>
      </c>
      <c r="S1183" s="196">
        <v>0</v>
      </c>
      <c r="T1183" s="197">
        <v>0</v>
      </c>
      <c r="U1183" s="288">
        <v>0</v>
      </c>
      <c r="V1183" s="282">
        <f>C1183-'часть 1'!L1191</f>
        <v>-64008</v>
      </c>
      <c r="W1183" s="282"/>
      <c r="X1183" s="28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296"/>
    </row>
    <row r="1184" spans="1:35">
      <c r="A1184" s="194">
        <v>131</v>
      </c>
      <c r="B1184" s="195" t="s">
        <v>273</v>
      </c>
      <c r="C1184" s="196">
        <v>661525</v>
      </c>
      <c r="D1184" s="196"/>
      <c r="E1184" s="196"/>
      <c r="F1184" s="196"/>
      <c r="G1184" s="196"/>
      <c r="H1184" s="196"/>
      <c r="I1184" s="196"/>
      <c r="J1184" s="196"/>
      <c r="K1184" s="196">
        <v>0</v>
      </c>
      <c r="L1184" s="194">
        <v>0</v>
      </c>
      <c r="M1184" s="196">
        <v>0</v>
      </c>
      <c r="N1184" s="196">
        <v>325</v>
      </c>
      <c r="O1184" s="199">
        <v>661525</v>
      </c>
      <c r="P1184" s="194">
        <v>0</v>
      </c>
      <c r="Q1184" s="196">
        <v>0</v>
      </c>
      <c r="R1184" s="197">
        <v>0</v>
      </c>
      <c r="S1184" s="196">
        <v>0</v>
      </c>
      <c r="T1184" s="197">
        <v>0</v>
      </c>
      <c r="U1184" s="288">
        <v>0</v>
      </c>
      <c r="V1184" s="282">
        <f>C1184-'часть 1'!L1192</f>
        <v>-1451810</v>
      </c>
      <c r="W1184" s="282"/>
      <c r="X1184" s="28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296"/>
    </row>
    <row r="1185" spans="1:35">
      <c r="A1185" s="198">
        <v>132</v>
      </c>
      <c r="B1185" s="195" t="s">
        <v>297</v>
      </c>
      <c r="C1185" s="196">
        <v>3719885</v>
      </c>
      <c r="D1185" s="196"/>
      <c r="E1185" s="196"/>
      <c r="F1185" s="196"/>
      <c r="G1185" s="196"/>
      <c r="H1185" s="196"/>
      <c r="I1185" s="196"/>
      <c r="J1185" s="196"/>
      <c r="K1185" s="196">
        <v>0</v>
      </c>
      <c r="L1185" s="194">
        <v>2</v>
      </c>
      <c r="M1185" s="196">
        <v>3719885</v>
      </c>
      <c r="N1185" s="196">
        <v>0</v>
      </c>
      <c r="O1185" s="196">
        <v>0</v>
      </c>
      <c r="P1185" s="194">
        <v>0</v>
      </c>
      <c r="Q1185" s="196">
        <v>0</v>
      </c>
      <c r="R1185" s="197">
        <v>0</v>
      </c>
      <c r="S1185" s="196">
        <v>0</v>
      </c>
      <c r="T1185" s="197">
        <v>0</v>
      </c>
      <c r="U1185" s="288">
        <v>0</v>
      </c>
      <c r="V1185" s="282">
        <f>C1185-'часть 1'!L1193</f>
        <v>2723300</v>
      </c>
      <c r="W1185" s="282"/>
      <c r="X1185" s="28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296"/>
    </row>
    <row r="1186" spans="1:35">
      <c r="A1186" s="198">
        <v>133</v>
      </c>
      <c r="B1186" s="195" t="s">
        <v>263</v>
      </c>
      <c r="C1186" s="196">
        <v>1726391</v>
      </c>
      <c r="D1186" s="196"/>
      <c r="E1186" s="196"/>
      <c r="F1186" s="196"/>
      <c r="G1186" s="196"/>
      <c r="H1186" s="196"/>
      <c r="I1186" s="196"/>
      <c r="J1186" s="196"/>
      <c r="K1186" s="196">
        <v>0</v>
      </c>
      <c r="L1186" s="194">
        <v>0</v>
      </c>
      <c r="M1186" s="196">
        <v>0</v>
      </c>
      <c r="N1186" s="196">
        <v>866.8</v>
      </c>
      <c r="O1186" s="196">
        <v>1726391</v>
      </c>
      <c r="P1186" s="194">
        <v>0</v>
      </c>
      <c r="Q1186" s="196">
        <v>0</v>
      </c>
      <c r="R1186" s="197">
        <v>0</v>
      </c>
      <c r="S1186" s="196">
        <v>0</v>
      </c>
      <c r="T1186" s="197">
        <v>0</v>
      </c>
      <c r="U1186" s="288">
        <v>0</v>
      </c>
      <c r="V1186" s="282">
        <f>C1186-'часть 1'!L1194</f>
        <v>1088652</v>
      </c>
      <c r="W1186" s="282"/>
      <c r="X1186" s="28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296"/>
    </row>
    <row r="1187" spans="1:35">
      <c r="A1187" s="198">
        <v>134</v>
      </c>
      <c r="B1187" s="195" t="s">
        <v>235</v>
      </c>
      <c r="C1187" s="196">
        <v>1521754</v>
      </c>
      <c r="D1187" s="196"/>
      <c r="E1187" s="196"/>
      <c r="F1187" s="196"/>
      <c r="G1187" s="196"/>
      <c r="H1187" s="196"/>
      <c r="I1187" s="196"/>
      <c r="J1187" s="196"/>
      <c r="K1187" s="196">
        <v>0</v>
      </c>
      <c r="L1187" s="194">
        <v>0</v>
      </c>
      <c r="M1187" s="196">
        <v>0</v>
      </c>
      <c r="N1187" s="196">
        <v>430</v>
      </c>
      <c r="O1187" s="196">
        <v>866735</v>
      </c>
      <c r="P1187" s="194">
        <v>0</v>
      </c>
      <c r="Q1187" s="196">
        <v>0</v>
      </c>
      <c r="R1187" s="196">
        <v>449</v>
      </c>
      <c r="S1187" s="196">
        <v>655019</v>
      </c>
      <c r="T1187" s="197">
        <v>0</v>
      </c>
      <c r="U1187" s="288">
        <v>0</v>
      </c>
      <c r="V1187" s="282">
        <f>C1187-'часть 1'!L1195</f>
        <v>164537</v>
      </c>
      <c r="W1187" s="282"/>
      <c r="X1187" s="28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296"/>
    </row>
    <row r="1188" spans="1:35">
      <c r="A1188" s="198">
        <v>135</v>
      </c>
      <c r="B1188" s="195" t="s">
        <v>227</v>
      </c>
      <c r="C1188" s="196">
        <v>671505</v>
      </c>
      <c r="D1188" s="196"/>
      <c r="E1188" s="196"/>
      <c r="F1188" s="196"/>
      <c r="G1188" s="196"/>
      <c r="H1188" s="196"/>
      <c r="I1188" s="196"/>
      <c r="J1188" s="196"/>
      <c r="K1188" s="196" t="e">
        <f>#REF!</f>
        <v>#REF!</v>
      </c>
      <c r="L1188" s="194">
        <v>0</v>
      </c>
      <c r="M1188" s="196">
        <v>0</v>
      </c>
      <c r="N1188" s="196">
        <v>0</v>
      </c>
      <c r="O1188" s="196">
        <v>0</v>
      </c>
      <c r="P1188" s="194">
        <v>0</v>
      </c>
      <c r="Q1188" s="196">
        <v>0</v>
      </c>
      <c r="R1188" s="196">
        <v>404.5</v>
      </c>
      <c r="S1188" s="196">
        <v>591227</v>
      </c>
      <c r="T1188" s="197">
        <v>0</v>
      </c>
      <c r="U1188" s="288">
        <v>0</v>
      </c>
      <c r="V1188" s="282">
        <f>C1188-'часть 1'!L1196</f>
        <v>-164721</v>
      </c>
      <c r="W1188" s="282"/>
      <c r="X1188" s="282"/>
      <c r="Y1188" s="12"/>
      <c r="Z1188" s="274"/>
      <c r="AA1188" s="12"/>
      <c r="AB1188" s="12"/>
      <c r="AC1188" s="12"/>
      <c r="AD1188" s="12"/>
      <c r="AE1188" s="12"/>
      <c r="AF1188" s="12"/>
      <c r="AG1188" s="12"/>
      <c r="AH1188" s="12"/>
      <c r="AI1188" s="296"/>
    </row>
    <row r="1189" spans="1:35">
      <c r="A1189" s="198">
        <v>136</v>
      </c>
      <c r="B1189" s="195" t="s">
        <v>339</v>
      </c>
      <c r="C1189" s="196">
        <v>1081718</v>
      </c>
      <c r="D1189" s="196"/>
      <c r="E1189" s="196"/>
      <c r="F1189" s="196"/>
      <c r="G1189" s="196"/>
      <c r="H1189" s="196"/>
      <c r="I1189" s="196"/>
      <c r="J1189" s="196"/>
      <c r="K1189" s="196">
        <v>0</v>
      </c>
      <c r="L1189" s="194">
        <v>0</v>
      </c>
      <c r="M1189" s="196">
        <v>0</v>
      </c>
      <c r="N1189" s="196">
        <v>531.70000000000005</v>
      </c>
      <c r="O1189" s="196">
        <v>1081718</v>
      </c>
      <c r="P1189" s="194">
        <v>0</v>
      </c>
      <c r="Q1189" s="196">
        <v>0</v>
      </c>
      <c r="R1189" s="197">
        <v>0</v>
      </c>
      <c r="S1189" s="196">
        <v>0</v>
      </c>
      <c r="T1189" s="197">
        <v>0</v>
      </c>
      <c r="U1189" s="288">
        <v>0</v>
      </c>
      <c r="V1189" s="282">
        <f>C1189-'часть 1'!L1197</f>
        <v>441640</v>
      </c>
      <c r="W1189" s="282"/>
      <c r="X1189" s="282"/>
      <c r="Y1189" s="12"/>
      <c r="Z1189" s="12"/>
      <c r="AA1189" s="12"/>
      <c r="AB1189" s="12"/>
      <c r="AC1189" s="12"/>
      <c r="AD1189" s="12"/>
      <c r="AE1189" s="12"/>
      <c r="AF1189" s="12"/>
      <c r="AG1189" s="12"/>
      <c r="AH1189" s="12"/>
      <c r="AI1189" s="296"/>
    </row>
    <row r="1190" spans="1:35">
      <c r="A1190" s="198">
        <v>137</v>
      </c>
      <c r="B1190" s="195" t="s">
        <v>231</v>
      </c>
      <c r="C1190" s="196">
        <v>206635</v>
      </c>
      <c r="D1190" s="196"/>
      <c r="E1190" s="196"/>
      <c r="F1190" s="196"/>
      <c r="G1190" s="196"/>
      <c r="H1190" s="196"/>
      <c r="I1190" s="196"/>
      <c r="J1190" s="196"/>
      <c r="K1190" s="196">
        <v>206635</v>
      </c>
      <c r="L1190" s="194">
        <v>0</v>
      </c>
      <c r="M1190" s="196">
        <v>0</v>
      </c>
      <c r="N1190" s="196">
        <v>0</v>
      </c>
      <c r="O1190" s="196">
        <v>0</v>
      </c>
      <c r="P1190" s="194">
        <v>0</v>
      </c>
      <c r="Q1190" s="196">
        <v>0</v>
      </c>
      <c r="R1190" s="197">
        <v>0</v>
      </c>
      <c r="S1190" s="196">
        <v>0</v>
      </c>
      <c r="T1190" s="197">
        <v>0</v>
      </c>
      <c r="U1190" s="288">
        <v>0</v>
      </c>
      <c r="V1190" s="282">
        <f>C1190-'часть 1'!L1198</f>
        <v>3986</v>
      </c>
      <c r="W1190" s="282"/>
      <c r="X1190" s="28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296"/>
    </row>
    <row r="1191" spans="1:35">
      <c r="A1191" s="198">
        <v>138</v>
      </c>
      <c r="B1191" s="195" t="s">
        <v>300</v>
      </c>
      <c r="C1191" s="196">
        <v>1044081.04</v>
      </c>
      <c r="D1191" s="196"/>
      <c r="E1191" s="196"/>
      <c r="F1191" s="196"/>
      <c r="G1191" s="196"/>
      <c r="H1191" s="196"/>
      <c r="I1191" s="196"/>
      <c r="J1191" s="196"/>
      <c r="K1191" s="196">
        <v>0</v>
      </c>
      <c r="L1191" s="194">
        <v>0</v>
      </c>
      <c r="M1191" s="196">
        <v>0</v>
      </c>
      <c r="N1191" s="196">
        <v>516.5</v>
      </c>
      <c r="O1191" s="196">
        <v>1044081.04</v>
      </c>
      <c r="P1191" s="194">
        <v>0</v>
      </c>
      <c r="Q1191" s="196">
        <v>0</v>
      </c>
      <c r="R1191" s="200">
        <v>0</v>
      </c>
      <c r="S1191" s="196">
        <v>0</v>
      </c>
      <c r="T1191" s="197">
        <v>0</v>
      </c>
      <c r="U1191" s="288">
        <v>0</v>
      </c>
      <c r="V1191" s="282">
        <f>C1191-'часть 1'!L1199</f>
        <v>-6848355.96</v>
      </c>
      <c r="W1191" s="282"/>
      <c r="X1191" s="28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296"/>
    </row>
    <row r="1192" spans="1:35">
      <c r="A1192" s="198">
        <v>139</v>
      </c>
      <c r="B1192" s="195" t="s">
        <v>283</v>
      </c>
      <c r="C1192" s="196">
        <v>1340000</v>
      </c>
      <c r="D1192" s="196"/>
      <c r="E1192" s="196"/>
      <c r="F1192" s="196"/>
      <c r="G1192" s="196"/>
      <c r="H1192" s="196"/>
      <c r="I1192" s="196"/>
      <c r="J1192" s="196"/>
      <c r="K1192" s="196">
        <v>1340000</v>
      </c>
      <c r="L1192" s="194">
        <v>0</v>
      </c>
      <c r="M1192" s="196">
        <v>0</v>
      </c>
      <c r="N1192" s="196">
        <v>0</v>
      </c>
      <c r="O1192" s="196">
        <v>0</v>
      </c>
      <c r="P1192" s="194">
        <v>0</v>
      </c>
      <c r="Q1192" s="196">
        <v>0</v>
      </c>
      <c r="R1192" s="197">
        <v>0</v>
      </c>
      <c r="S1192" s="196">
        <v>0</v>
      </c>
      <c r="T1192" s="197">
        <v>0</v>
      </c>
      <c r="U1192" s="288">
        <v>0</v>
      </c>
      <c r="V1192" s="282">
        <f>C1192-'часть 1'!L1200</f>
        <v>816611</v>
      </c>
      <c r="W1192" s="282"/>
      <c r="X1192" s="28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296"/>
    </row>
    <row r="1193" spans="1:35">
      <c r="A1193" s="198">
        <v>140</v>
      </c>
      <c r="B1193" s="195" t="s">
        <v>450</v>
      </c>
      <c r="C1193" s="196">
        <v>2294529</v>
      </c>
      <c r="D1193" s="196"/>
      <c r="E1193" s="196"/>
      <c r="F1193" s="196"/>
      <c r="G1193" s="196"/>
      <c r="H1193" s="196"/>
      <c r="I1193" s="196"/>
      <c r="J1193" s="196"/>
      <c r="K1193" s="196">
        <v>0</v>
      </c>
      <c r="L1193" s="194">
        <v>0</v>
      </c>
      <c r="M1193" s="196">
        <v>0</v>
      </c>
      <c r="N1193" s="196">
        <v>1162</v>
      </c>
      <c r="O1193" s="196">
        <v>2294529</v>
      </c>
      <c r="P1193" s="194">
        <v>0</v>
      </c>
      <c r="Q1193" s="196">
        <v>0</v>
      </c>
      <c r="R1193" s="197">
        <v>0</v>
      </c>
      <c r="S1193" s="196">
        <v>0</v>
      </c>
      <c r="T1193" s="197">
        <v>0</v>
      </c>
      <c r="U1193" s="288">
        <v>0</v>
      </c>
      <c r="V1193" s="282">
        <f>C1193-'часть 1'!L1201</f>
        <v>1255609</v>
      </c>
      <c r="W1193" s="282"/>
      <c r="X1193" s="28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296"/>
    </row>
    <row r="1194" spans="1:35">
      <c r="A1194" s="198">
        <v>141</v>
      </c>
      <c r="B1194" s="195" t="s">
        <v>230</v>
      </c>
      <c r="C1194" s="196">
        <v>2615616.2000000002</v>
      </c>
      <c r="D1194" s="196"/>
      <c r="E1194" s="196"/>
      <c r="F1194" s="196"/>
      <c r="G1194" s="196"/>
      <c r="H1194" s="196"/>
      <c r="I1194" s="196"/>
      <c r="J1194" s="196"/>
      <c r="K1194" s="196">
        <v>0</v>
      </c>
      <c r="L1194" s="194">
        <v>0</v>
      </c>
      <c r="M1194" s="196">
        <v>0</v>
      </c>
      <c r="N1194" s="196">
        <v>0</v>
      </c>
      <c r="O1194" s="196">
        <v>0</v>
      </c>
      <c r="P1194" s="194">
        <v>0</v>
      </c>
      <c r="Q1194" s="196">
        <v>0</v>
      </c>
      <c r="R1194" s="196">
        <v>2540</v>
      </c>
      <c r="S1194" s="196">
        <v>2615616.2000000002</v>
      </c>
      <c r="T1194" s="197">
        <v>0</v>
      </c>
      <c r="U1194" s="288">
        <v>0</v>
      </c>
      <c r="V1194" s="282">
        <f>C1194-'часть 1'!L1202</f>
        <v>873063.20000000019</v>
      </c>
      <c r="W1194" s="282"/>
      <c r="X1194" s="28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296"/>
    </row>
    <row r="1195" spans="1:35">
      <c r="A1195" s="198">
        <v>142</v>
      </c>
      <c r="B1195" s="195" t="s">
        <v>295</v>
      </c>
      <c r="C1195" s="196">
        <v>1561539</v>
      </c>
      <c r="D1195" s="196"/>
      <c r="E1195" s="196"/>
      <c r="F1195" s="196"/>
      <c r="G1195" s="196"/>
      <c r="H1195" s="196"/>
      <c r="I1195" s="196"/>
      <c r="J1195" s="196"/>
      <c r="K1195" s="196">
        <v>0</v>
      </c>
      <c r="L1195" s="194">
        <v>0</v>
      </c>
      <c r="M1195" s="196">
        <v>0</v>
      </c>
      <c r="N1195" s="196">
        <v>787.85</v>
      </c>
      <c r="O1195" s="196">
        <v>1561539</v>
      </c>
      <c r="P1195" s="201">
        <v>0</v>
      </c>
      <c r="Q1195" s="196">
        <v>0</v>
      </c>
      <c r="R1195" s="200">
        <v>0</v>
      </c>
      <c r="S1195" s="196">
        <v>0</v>
      </c>
      <c r="T1195" s="197">
        <v>0</v>
      </c>
      <c r="U1195" s="288">
        <v>0</v>
      </c>
      <c r="V1195" s="282">
        <f>C1195-'часть 1'!L1203</f>
        <v>-563042</v>
      </c>
      <c r="W1195" s="282"/>
      <c r="X1195" s="28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296"/>
    </row>
    <row r="1196" spans="1:35">
      <c r="A1196" s="198">
        <v>143</v>
      </c>
      <c r="B1196" s="195" t="s">
        <v>294</v>
      </c>
      <c r="C1196" s="196">
        <v>1421187</v>
      </c>
      <c r="D1196" s="196"/>
      <c r="E1196" s="196"/>
      <c r="F1196" s="196"/>
      <c r="G1196" s="196"/>
      <c r="H1196" s="196"/>
      <c r="I1196" s="196"/>
      <c r="J1196" s="196"/>
      <c r="K1196" s="196">
        <v>0</v>
      </c>
      <c r="L1196" s="194">
        <v>0</v>
      </c>
      <c r="M1196" s="196">
        <v>0</v>
      </c>
      <c r="N1196" s="196">
        <v>687</v>
      </c>
      <c r="O1196" s="199">
        <v>1421187</v>
      </c>
      <c r="P1196" s="194">
        <v>0</v>
      </c>
      <c r="Q1196" s="196">
        <v>0</v>
      </c>
      <c r="R1196" s="200">
        <v>0</v>
      </c>
      <c r="S1196" s="196">
        <v>0</v>
      </c>
      <c r="T1196" s="197">
        <v>0</v>
      </c>
      <c r="U1196" s="288">
        <v>0</v>
      </c>
      <c r="V1196" s="282">
        <f>C1196-'часть 1'!L1204</f>
        <v>-926291</v>
      </c>
      <c r="W1196" s="282"/>
      <c r="X1196" s="28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296"/>
    </row>
    <row r="1197" spans="1:35">
      <c r="A1197" s="198">
        <v>144</v>
      </c>
      <c r="B1197" s="195" t="s">
        <v>270</v>
      </c>
      <c r="C1197" s="196">
        <v>2469740</v>
      </c>
      <c r="D1197" s="196"/>
      <c r="E1197" s="196"/>
      <c r="F1197" s="196"/>
      <c r="G1197" s="196"/>
      <c r="H1197" s="196"/>
      <c r="I1197" s="196"/>
      <c r="J1197" s="196"/>
      <c r="K1197" s="196">
        <v>757154</v>
      </c>
      <c r="L1197" s="194">
        <v>0</v>
      </c>
      <c r="M1197" s="196">
        <v>0</v>
      </c>
      <c r="N1197" s="196">
        <v>868.1</v>
      </c>
      <c r="O1197" s="196">
        <v>1712586</v>
      </c>
      <c r="P1197" s="194">
        <v>0</v>
      </c>
      <c r="Q1197" s="196">
        <v>0</v>
      </c>
      <c r="R1197" s="197">
        <v>0</v>
      </c>
      <c r="S1197" s="196">
        <v>0</v>
      </c>
      <c r="T1197" s="197">
        <v>0</v>
      </c>
      <c r="U1197" s="288">
        <v>0</v>
      </c>
      <c r="V1197" s="282">
        <f>C1197-'часть 1'!L1205</f>
        <v>1268</v>
      </c>
      <c r="W1197" s="282"/>
      <c r="X1197" s="28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296"/>
    </row>
    <row r="1198" spans="1:35">
      <c r="A1198" s="198">
        <v>145</v>
      </c>
      <c r="B1198" s="195" t="s">
        <v>252</v>
      </c>
      <c r="C1198" s="196">
        <v>1104857</v>
      </c>
      <c r="D1198" s="196"/>
      <c r="E1198" s="196"/>
      <c r="F1198" s="196"/>
      <c r="G1198" s="196"/>
      <c r="H1198" s="196"/>
      <c r="I1198" s="196"/>
      <c r="J1198" s="196"/>
      <c r="K1198" s="196">
        <v>0</v>
      </c>
      <c r="L1198" s="194">
        <v>0</v>
      </c>
      <c r="M1198" s="196">
        <v>0</v>
      </c>
      <c r="N1198" s="196">
        <v>545.6</v>
      </c>
      <c r="O1198" s="196">
        <v>1104857</v>
      </c>
      <c r="P1198" s="194">
        <v>0</v>
      </c>
      <c r="Q1198" s="196">
        <v>0</v>
      </c>
      <c r="R1198" s="200">
        <v>0</v>
      </c>
      <c r="S1198" s="196">
        <v>0</v>
      </c>
      <c r="T1198" s="197">
        <v>0</v>
      </c>
      <c r="U1198" s="288">
        <v>0</v>
      </c>
      <c r="V1198" s="282">
        <f>C1198-'часть 1'!L1206</f>
        <v>-507923</v>
      </c>
      <c r="W1198" s="282"/>
      <c r="X1198" s="28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296"/>
    </row>
    <row r="1199" spans="1:35">
      <c r="A1199" s="198">
        <v>146</v>
      </c>
      <c r="B1199" s="195" t="s">
        <v>304</v>
      </c>
      <c r="C1199" s="196">
        <v>1877378</v>
      </c>
      <c r="D1199" s="196"/>
      <c r="E1199" s="196"/>
      <c r="F1199" s="196"/>
      <c r="G1199" s="196"/>
      <c r="H1199" s="196"/>
      <c r="I1199" s="196"/>
      <c r="J1199" s="196"/>
      <c r="K1199" s="196">
        <v>0</v>
      </c>
      <c r="L1199" s="194">
        <v>1</v>
      </c>
      <c r="M1199" s="199">
        <v>1877378</v>
      </c>
      <c r="N1199" s="196">
        <v>0</v>
      </c>
      <c r="O1199" s="196">
        <v>0</v>
      </c>
      <c r="P1199" s="194">
        <v>0</v>
      </c>
      <c r="Q1199" s="196">
        <v>0</v>
      </c>
      <c r="R1199" s="197">
        <v>0</v>
      </c>
      <c r="S1199" s="196">
        <v>0</v>
      </c>
      <c r="T1199" s="197">
        <v>0</v>
      </c>
      <c r="U1199" s="288">
        <v>0</v>
      </c>
      <c r="V1199" s="282">
        <f>C1199-'часть 1'!L1207</f>
        <v>-703041</v>
      </c>
      <c r="W1199" s="282"/>
      <c r="X1199" s="28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296"/>
    </row>
    <row r="1200" spans="1:35">
      <c r="A1200" s="198">
        <v>147</v>
      </c>
      <c r="B1200" s="195" t="s">
        <v>228</v>
      </c>
      <c r="C1200" s="196">
        <v>2945836</v>
      </c>
      <c r="D1200" s="196"/>
      <c r="E1200" s="196"/>
      <c r="F1200" s="196"/>
      <c r="G1200" s="196"/>
      <c r="H1200" s="196"/>
      <c r="I1200" s="196"/>
      <c r="J1200" s="196"/>
      <c r="K1200" s="196" t="e">
        <f>#REF!</f>
        <v>#REF!</v>
      </c>
      <c r="L1200" s="194">
        <v>0</v>
      </c>
      <c r="M1200" s="196">
        <v>0</v>
      </c>
      <c r="N1200" s="196">
        <v>0</v>
      </c>
      <c r="O1200" s="196">
        <v>0</v>
      </c>
      <c r="P1200" s="194">
        <v>0</v>
      </c>
      <c r="Q1200" s="196">
        <v>0</v>
      </c>
      <c r="R1200" s="197">
        <v>0</v>
      </c>
      <c r="S1200" s="196">
        <v>0</v>
      </c>
      <c r="T1200" s="197">
        <v>0</v>
      </c>
      <c r="U1200" s="288">
        <v>0</v>
      </c>
      <c r="V1200" s="282">
        <f>C1200-'часть 1'!L1208</f>
        <v>1264191</v>
      </c>
      <c r="W1200" s="282"/>
      <c r="X1200" s="282"/>
      <c r="Y1200" s="12"/>
      <c r="Z1200" s="12"/>
      <c r="AA1200" s="12"/>
      <c r="AB1200" s="274"/>
      <c r="AC1200" s="12"/>
      <c r="AD1200" s="12"/>
      <c r="AE1200" s="12"/>
      <c r="AF1200" s="274"/>
      <c r="AG1200" s="12"/>
      <c r="AH1200" s="12"/>
      <c r="AI1200" s="296"/>
    </row>
    <row r="1201" spans="1:35">
      <c r="A1201" s="198">
        <v>148</v>
      </c>
      <c r="B1201" s="195" t="s">
        <v>225</v>
      </c>
      <c r="C1201" s="196">
        <v>1118494</v>
      </c>
      <c r="D1201" s="196"/>
      <c r="E1201" s="196"/>
      <c r="F1201" s="196"/>
      <c r="G1201" s="196"/>
      <c r="H1201" s="196"/>
      <c r="I1201" s="196"/>
      <c r="J1201" s="196"/>
      <c r="K1201" s="196">
        <v>1118494</v>
      </c>
      <c r="L1201" s="194">
        <v>0</v>
      </c>
      <c r="M1201" s="196">
        <v>0</v>
      </c>
      <c r="N1201" s="199">
        <v>0</v>
      </c>
      <c r="O1201" s="196">
        <v>0</v>
      </c>
      <c r="P1201" s="194">
        <v>0</v>
      </c>
      <c r="Q1201" s="196">
        <v>0</v>
      </c>
      <c r="R1201" s="200">
        <v>0</v>
      </c>
      <c r="S1201" s="196">
        <v>0</v>
      </c>
      <c r="T1201" s="197">
        <v>0</v>
      </c>
      <c r="U1201" s="288">
        <v>0</v>
      </c>
      <c r="V1201" s="282">
        <f>C1201-'часть 1'!L1209</f>
        <v>-200386</v>
      </c>
      <c r="W1201" s="282"/>
      <c r="X1201" s="28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296"/>
    </row>
    <row r="1202" spans="1:35">
      <c r="A1202" s="198">
        <v>149</v>
      </c>
      <c r="B1202" s="195" t="s">
        <v>232</v>
      </c>
      <c r="C1202" s="196">
        <v>2540427</v>
      </c>
      <c r="D1202" s="196"/>
      <c r="E1202" s="196"/>
      <c r="F1202" s="196"/>
      <c r="G1202" s="196"/>
      <c r="H1202" s="196"/>
      <c r="I1202" s="196"/>
      <c r="J1202" s="196"/>
      <c r="K1202" s="196">
        <v>0</v>
      </c>
      <c r="L1202" s="194">
        <v>0</v>
      </c>
      <c r="M1202" s="196">
        <v>0</v>
      </c>
      <c r="N1202" s="196">
        <v>592</v>
      </c>
      <c r="O1202" s="196">
        <v>1201460</v>
      </c>
      <c r="P1202" s="194">
        <v>0</v>
      </c>
      <c r="Q1202" s="196">
        <v>0</v>
      </c>
      <c r="R1202" s="196">
        <v>922</v>
      </c>
      <c r="S1202" s="196">
        <v>1338967</v>
      </c>
      <c r="T1202" s="197">
        <v>0</v>
      </c>
      <c r="U1202" s="288">
        <v>0</v>
      </c>
      <c r="V1202" s="282">
        <f>C1202-'часть 1'!L1210</f>
        <v>974082</v>
      </c>
      <c r="W1202" s="282"/>
      <c r="X1202" s="28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296"/>
    </row>
    <row r="1203" spans="1:35">
      <c r="A1203" s="198">
        <v>150</v>
      </c>
      <c r="B1203" s="195" t="s">
        <v>275</v>
      </c>
      <c r="C1203" s="196">
        <v>2253297</v>
      </c>
      <c r="D1203" s="196"/>
      <c r="E1203" s="196"/>
      <c r="F1203" s="196"/>
      <c r="G1203" s="196"/>
      <c r="H1203" s="196"/>
      <c r="I1203" s="196"/>
      <c r="J1203" s="196"/>
      <c r="K1203" s="196">
        <v>0</v>
      </c>
      <c r="L1203" s="194">
        <v>0</v>
      </c>
      <c r="M1203" s="196">
        <v>0</v>
      </c>
      <c r="N1203" s="196">
        <v>1126</v>
      </c>
      <c r="O1203" s="196">
        <v>2253297</v>
      </c>
      <c r="P1203" s="194">
        <v>0</v>
      </c>
      <c r="Q1203" s="196">
        <v>0</v>
      </c>
      <c r="R1203" s="197">
        <v>0</v>
      </c>
      <c r="S1203" s="196">
        <v>0</v>
      </c>
      <c r="T1203" s="197">
        <v>0</v>
      </c>
      <c r="U1203" s="288">
        <v>0</v>
      </c>
      <c r="V1203" s="282">
        <f>C1203-'часть 1'!L1211</f>
        <v>343209</v>
      </c>
      <c r="W1203" s="282"/>
      <c r="X1203" s="28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296"/>
    </row>
    <row r="1204" spans="1:35" s="278" customFormat="1">
      <c r="A1204" s="194">
        <v>151</v>
      </c>
      <c r="B1204" s="195" t="s">
        <v>286</v>
      </c>
      <c r="C1204" s="196">
        <v>1390061</v>
      </c>
      <c r="D1204" s="196"/>
      <c r="E1204" s="196"/>
      <c r="F1204" s="196"/>
      <c r="G1204" s="196"/>
      <c r="H1204" s="196"/>
      <c r="I1204" s="196"/>
      <c r="J1204" s="196"/>
      <c r="K1204" s="196" t="e">
        <f>#REF!</f>
        <v>#REF!</v>
      </c>
      <c r="L1204" s="194">
        <v>0</v>
      </c>
      <c r="M1204" s="196">
        <v>0</v>
      </c>
      <c r="N1204" s="196">
        <v>0</v>
      </c>
      <c r="O1204" s="196">
        <v>0</v>
      </c>
      <c r="P1204" s="194">
        <v>0</v>
      </c>
      <c r="Q1204" s="196">
        <v>0</v>
      </c>
      <c r="R1204" s="197">
        <v>0</v>
      </c>
      <c r="S1204" s="196">
        <v>0</v>
      </c>
      <c r="T1204" s="197">
        <v>0</v>
      </c>
      <c r="U1204" s="288">
        <v>0</v>
      </c>
      <c r="V1204" s="282">
        <f>C1204-'часть 1'!L1212</f>
        <v>-1304896</v>
      </c>
      <c r="W1204" s="282"/>
      <c r="X1204" s="282"/>
      <c r="Y1204" s="277"/>
      <c r="Z1204" s="277"/>
      <c r="AA1204" s="277"/>
      <c r="AB1204" s="277"/>
      <c r="AC1204" s="277"/>
      <c r="AD1204" s="277"/>
      <c r="AE1204" s="277"/>
      <c r="AF1204" s="277"/>
      <c r="AG1204" s="277"/>
      <c r="AH1204" s="277"/>
      <c r="AI1204" s="298"/>
    </row>
    <row r="1205" spans="1:35" ht="27.6">
      <c r="A1205" s="198">
        <v>152</v>
      </c>
      <c r="B1205" s="195" t="s">
        <v>342</v>
      </c>
      <c r="C1205" s="196">
        <v>3213804</v>
      </c>
      <c r="D1205" s="196"/>
      <c r="E1205" s="196"/>
      <c r="F1205" s="196"/>
      <c r="G1205" s="196"/>
      <c r="H1205" s="196"/>
      <c r="I1205" s="196"/>
      <c r="J1205" s="196"/>
      <c r="K1205" s="196">
        <v>846948</v>
      </c>
      <c r="L1205" s="194">
        <v>0</v>
      </c>
      <c r="M1205" s="196">
        <v>0</v>
      </c>
      <c r="N1205" s="196">
        <v>1200</v>
      </c>
      <c r="O1205" s="196">
        <v>2366856</v>
      </c>
      <c r="P1205" s="194">
        <v>0</v>
      </c>
      <c r="Q1205" s="196">
        <v>0</v>
      </c>
      <c r="R1205" s="197">
        <v>0</v>
      </c>
      <c r="S1205" s="196">
        <v>0</v>
      </c>
      <c r="T1205" s="197">
        <v>0</v>
      </c>
      <c r="U1205" s="288">
        <v>0</v>
      </c>
      <c r="V1205" s="282">
        <f>C1205-'часть 1'!L1213</f>
        <v>2633226</v>
      </c>
      <c r="W1205" s="282"/>
      <c r="X1205" s="28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2"/>
      <c r="AI1205" s="296"/>
    </row>
    <row r="1206" spans="1:35">
      <c r="A1206" s="198">
        <v>153</v>
      </c>
      <c r="B1206" s="195" t="s">
        <v>298</v>
      </c>
      <c r="C1206" s="196">
        <v>3202371</v>
      </c>
      <c r="D1206" s="196"/>
      <c r="E1206" s="196"/>
      <c r="F1206" s="196"/>
      <c r="G1206" s="196"/>
      <c r="H1206" s="196"/>
      <c r="I1206" s="196"/>
      <c r="J1206" s="196"/>
      <c r="K1206" s="196">
        <v>0</v>
      </c>
      <c r="L1206" s="194">
        <v>0</v>
      </c>
      <c r="M1206" s="196">
        <v>0</v>
      </c>
      <c r="N1206" s="196">
        <v>0</v>
      </c>
      <c r="O1206" s="196">
        <v>0</v>
      </c>
      <c r="P1206" s="194">
        <v>0</v>
      </c>
      <c r="Q1206" s="196">
        <v>0</v>
      </c>
      <c r="R1206" s="196">
        <v>2220.83</v>
      </c>
      <c r="S1206" s="196">
        <v>3202371</v>
      </c>
      <c r="T1206" s="197">
        <v>0</v>
      </c>
      <c r="U1206" s="288">
        <v>0</v>
      </c>
      <c r="V1206" s="282">
        <f>C1206-'часть 1'!L1214</f>
        <v>2587014</v>
      </c>
      <c r="W1206" s="282"/>
      <c r="X1206" s="28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296"/>
    </row>
    <row r="1207" spans="1:35">
      <c r="A1207" s="198">
        <v>154</v>
      </c>
      <c r="B1207" s="195" t="s">
        <v>253</v>
      </c>
      <c r="C1207" s="196">
        <v>709022</v>
      </c>
      <c r="D1207" s="196"/>
      <c r="E1207" s="196"/>
      <c r="F1207" s="196"/>
      <c r="G1207" s="196"/>
      <c r="H1207" s="196"/>
      <c r="I1207" s="196"/>
      <c r="J1207" s="196"/>
      <c r="K1207" s="196">
        <v>0</v>
      </c>
      <c r="L1207" s="194">
        <v>0</v>
      </c>
      <c r="M1207" s="196">
        <v>0</v>
      </c>
      <c r="N1207" s="196">
        <v>0</v>
      </c>
      <c r="O1207" s="196">
        <v>0</v>
      </c>
      <c r="P1207" s="194">
        <v>0</v>
      </c>
      <c r="Q1207" s="196">
        <v>0</v>
      </c>
      <c r="R1207" s="196">
        <v>486.6</v>
      </c>
      <c r="S1207" s="199">
        <v>709022</v>
      </c>
      <c r="T1207" s="197">
        <v>0</v>
      </c>
      <c r="U1207" s="288">
        <v>0</v>
      </c>
      <c r="V1207" s="282">
        <f>C1207-'часть 1'!L1215</f>
        <v>439073.87</v>
      </c>
      <c r="W1207" s="282"/>
      <c r="X1207" s="28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296"/>
    </row>
    <row r="1208" spans="1:35">
      <c r="A1208" s="194">
        <v>155</v>
      </c>
      <c r="B1208" s="195" t="s">
        <v>260</v>
      </c>
      <c r="C1208" s="196">
        <v>1136930</v>
      </c>
      <c r="D1208" s="196"/>
      <c r="E1208" s="196"/>
      <c r="F1208" s="196"/>
      <c r="G1208" s="196"/>
      <c r="H1208" s="196"/>
      <c r="I1208" s="196"/>
      <c r="J1208" s="196"/>
      <c r="K1208" s="196">
        <v>0</v>
      </c>
      <c r="L1208" s="194">
        <v>0</v>
      </c>
      <c r="M1208" s="196">
        <v>0</v>
      </c>
      <c r="N1208" s="196">
        <v>278</v>
      </c>
      <c r="O1208" s="196">
        <v>570382</v>
      </c>
      <c r="P1208" s="194">
        <v>0</v>
      </c>
      <c r="Q1208" s="196">
        <v>0</v>
      </c>
      <c r="R1208" s="196">
        <v>386.88</v>
      </c>
      <c r="S1208" s="196">
        <v>566548</v>
      </c>
      <c r="T1208" s="197">
        <v>0</v>
      </c>
      <c r="U1208" s="288">
        <v>0</v>
      </c>
      <c r="V1208" s="282">
        <f>C1208-'часть 1'!L1216</f>
        <v>328950</v>
      </c>
      <c r="W1208" s="282"/>
      <c r="X1208" s="28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296"/>
    </row>
    <row r="1209" spans="1:35">
      <c r="A1209" s="198">
        <v>156</v>
      </c>
      <c r="B1209" s="195" t="s">
        <v>349</v>
      </c>
      <c r="C1209" s="196">
        <v>1320636</v>
      </c>
      <c r="D1209" s="196"/>
      <c r="E1209" s="196"/>
      <c r="F1209" s="196"/>
      <c r="G1209" s="196"/>
      <c r="H1209" s="196"/>
      <c r="I1209" s="196"/>
      <c r="J1209" s="196"/>
      <c r="K1209" s="196">
        <v>0</v>
      </c>
      <c r="L1209" s="194">
        <v>0</v>
      </c>
      <c r="M1209" s="196">
        <v>0</v>
      </c>
      <c r="N1209" s="203">
        <v>662</v>
      </c>
      <c r="O1209" s="199">
        <v>1320636</v>
      </c>
      <c r="P1209" s="194">
        <v>0</v>
      </c>
      <c r="Q1209" s="196">
        <v>0</v>
      </c>
      <c r="R1209" s="197">
        <v>0</v>
      </c>
      <c r="S1209" s="196">
        <v>0</v>
      </c>
      <c r="T1209" s="197">
        <v>0</v>
      </c>
      <c r="U1209" s="288">
        <v>0</v>
      </c>
      <c r="V1209" s="282">
        <f>C1209-'часть 1'!L1217</f>
        <v>659111</v>
      </c>
      <c r="W1209" s="282"/>
      <c r="X1209" s="28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296"/>
    </row>
    <row r="1210" spans="1:35">
      <c r="A1210" s="198">
        <v>157</v>
      </c>
      <c r="B1210" s="195" t="s">
        <v>302</v>
      </c>
      <c r="C1210" s="196">
        <v>4265098</v>
      </c>
      <c r="D1210" s="196"/>
      <c r="E1210" s="196"/>
      <c r="F1210" s="196"/>
      <c r="G1210" s="196"/>
      <c r="H1210" s="196"/>
      <c r="I1210" s="196"/>
      <c r="J1210" s="196"/>
      <c r="K1210" s="196">
        <v>0</v>
      </c>
      <c r="L1210" s="194">
        <v>0</v>
      </c>
      <c r="M1210" s="196">
        <v>0</v>
      </c>
      <c r="N1210" s="196">
        <v>0</v>
      </c>
      <c r="O1210" s="196">
        <v>0</v>
      </c>
      <c r="P1210" s="194">
        <v>0</v>
      </c>
      <c r="Q1210" s="196">
        <v>0</v>
      </c>
      <c r="R1210" s="196">
        <v>2927.5</v>
      </c>
      <c r="S1210" s="196">
        <v>4265098</v>
      </c>
      <c r="T1210" s="197">
        <v>0</v>
      </c>
      <c r="U1210" s="288">
        <v>0</v>
      </c>
      <c r="V1210" s="282">
        <f>C1210-'часть 1'!L1218</f>
        <v>545213</v>
      </c>
      <c r="W1210" s="282"/>
      <c r="X1210" s="28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296"/>
    </row>
    <row r="1211" spans="1:35">
      <c r="A1211" s="198">
        <v>158</v>
      </c>
      <c r="B1211" s="195" t="s">
        <v>341</v>
      </c>
      <c r="C1211" s="196">
        <v>2115890</v>
      </c>
      <c r="D1211" s="196"/>
      <c r="E1211" s="196"/>
      <c r="F1211" s="196"/>
      <c r="G1211" s="196"/>
      <c r="H1211" s="196"/>
      <c r="I1211" s="196"/>
      <c r="J1211" s="196"/>
      <c r="K1211" s="196">
        <v>2115890</v>
      </c>
      <c r="L1211" s="194">
        <v>0</v>
      </c>
      <c r="M1211" s="196">
        <v>0</v>
      </c>
      <c r="N1211" s="196">
        <v>0</v>
      </c>
      <c r="O1211" s="196">
        <v>0</v>
      </c>
      <c r="P1211" s="194">
        <v>0</v>
      </c>
      <c r="Q1211" s="196">
        <v>0</v>
      </c>
      <c r="R1211" s="197">
        <v>0</v>
      </c>
      <c r="S1211" s="196">
        <v>0</v>
      </c>
      <c r="T1211" s="197">
        <v>0</v>
      </c>
      <c r="U1211" s="288">
        <v>0</v>
      </c>
      <c r="V1211" s="282">
        <f>C1211-'часть 1'!L1219</f>
        <v>389499</v>
      </c>
      <c r="W1211" s="282"/>
      <c r="X1211" s="28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296"/>
    </row>
    <row r="1212" spans="1:35">
      <c r="A1212" s="198">
        <v>159</v>
      </c>
      <c r="B1212" s="195" t="s">
        <v>242</v>
      </c>
      <c r="C1212" s="196">
        <v>482251.51</v>
      </c>
      <c r="D1212" s="196"/>
      <c r="E1212" s="196"/>
      <c r="F1212" s="196"/>
      <c r="G1212" s="196"/>
      <c r="H1212" s="196"/>
      <c r="I1212" s="196"/>
      <c r="J1212" s="196"/>
      <c r="K1212" s="196">
        <v>482251.51</v>
      </c>
      <c r="L1212" s="194">
        <v>0</v>
      </c>
      <c r="M1212" s="196">
        <v>0</v>
      </c>
      <c r="N1212" s="196">
        <v>0</v>
      </c>
      <c r="O1212" s="196">
        <v>0</v>
      </c>
      <c r="P1212" s="194">
        <v>0</v>
      </c>
      <c r="Q1212" s="196">
        <v>0</v>
      </c>
      <c r="R1212" s="197">
        <v>0</v>
      </c>
      <c r="S1212" s="196">
        <v>0</v>
      </c>
      <c r="T1212" s="197">
        <v>0</v>
      </c>
      <c r="U1212" s="288">
        <v>0</v>
      </c>
      <c r="V1212" s="282">
        <f>C1212-'часть 1'!L1220</f>
        <v>-1039502.49</v>
      </c>
      <c r="W1212" s="282"/>
      <c r="X1212" s="28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296"/>
    </row>
    <row r="1213" spans="1:35">
      <c r="A1213" s="198">
        <v>160</v>
      </c>
      <c r="B1213" s="195" t="s">
        <v>279</v>
      </c>
      <c r="C1213" s="196">
        <v>1018040.92</v>
      </c>
      <c r="D1213" s="196"/>
      <c r="E1213" s="196"/>
      <c r="F1213" s="196"/>
      <c r="G1213" s="196"/>
      <c r="H1213" s="196"/>
      <c r="I1213" s="196"/>
      <c r="J1213" s="196"/>
      <c r="K1213" s="196">
        <v>0</v>
      </c>
      <c r="L1213" s="194">
        <v>0</v>
      </c>
      <c r="M1213" s="196">
        <v>0</v>
      </c>
      <c r="N1213" s="196">
        <v>516.5</v>
      </c>
      <c r="O1213" s="196">
        <v>1018040.92</v>
      </c>
      <c r="P1213" s="194">
        <v>0</v>
      </c>
      <c r="Q1213" s="196">
        <v>0</v>
      </c>
      <c r="R1213" s="197">
        <v>0</v>
      </c>
      <c r="S1213" s="196">
        <v>0</v>
      </c>
      <c r="T1213" s="197">
        <v>0</v>
      </c>
      <c r="U1213" s="288">
        <v>0</v>
      </c>
      <c r="V1213" s="282">
        <f>C1213-'часть 1'!L1221</f>
        <v>346535.92000000004</v>
      </c>
      <c r="W1213" s="282"/>
      <c r="X1213" s="28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296"/>
    </row>
    <row r="1214" spans="1:35">
      <c r="A1214" s="198">
        <v>161</v>
      </c>
      <c r="B1214" s="195" t="s">
        <v>262</v>
      </c>
      <c r="C1214" s="196">
        <v>1871554</v>
      </c>
      <c r="D1214" s="196"/>
      <c r="E1214" s="196"/>
      <c r="F1214" s="196"/>
      <c r="G1214" s="196"/>
      <c r="H1214" s="196"/>
      <c r="I1214" s="196"/>
      <c r="J1214" s="196"/>
      <c r="K1214" s="196">
        <v>0</v>
      </c>
      <c r="L1214" s="194">
        <v>1</v>
      </c>
      <c r="M1214" s="196">
        <v>1871554</v>
      </c>
      <c r="N1214" s="196">
        <v>0</v>
      </c>
      <c r="O1214" s="196">
        <v>0</v>
      </c>
      <c r="P1214" s="194">
        <v>0</v>
      </c>
      <c r="Q1214" s="196">
        <v>0</v>
      </c>
      <c r="R1214" s="197">
        <v>0</v>
      </c>
      <c r="S1214" s="196">
        <v>0</v>
      </c>
      <c r="T1214" s="197">
        <v>0</v>
      </c>
      <c r="U1214" s="288">
        <v>0</v>
      </c>
      <c r="V1214" s="282">
        <f>C1214-'часть 1'!L1222</f>
        <v>789836</v>
      </c>
      <c r="W1214" s="282"/>
      <c r="X1214" s="28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296"/>
    </row>
    <row r="1215" spans="1:35">
      <c r="A1215" s="198">
        <v>162</v>
      </c>
      <c r="B1215" s="195" t="s">
        <v>290</v>
      </c>
      <c r="C1215" s="196">
        <v>2652530</v>
      </c>
      <c r="D1215" s="196"/>
      <c r="E1215" s="196"/>
      <c r="F1215" s="196"/>
      <c r="G1215" s="196"/>
      <c r="H1215" s="196"/>
      <c r="I1215" s="196"/>
      <c r="J1215" s="196"/>
      <c r="K1215" s="196">
        <v>2652530</v>
      </c>
      <c r="L1215" s="194">
        <v>0</v>
      </c>
      <c r="M1215" s="196">
        <v>0</v>
      </c>
      <c r="N1215" s="199">
        <v>0</v>
      </c>
      <c r="O1215" s="196">
        <v>0</v>
      </c>
      <c r="P1215" s="194">
        <v>0</v>
      </c>
      <c r="Q1215" s="196">
        <v>0</v>
      </c>
      <c r="R1215" s="200">
        <v>0</v>
      </c>
      <c r="S1215" s="196">
        <v>0</v>
      </c>
      <c r="T1215" s="197">
        <v>0</v>
      </c>
      <c r="U1215" s="288">
        <v>0</v>
      </c>
      <c r="V1215" s="282">
        <f>C1215-'часть 1'!L1223</f>
        <v>2445895</v>
      </c>
      <c r="W1215" s="282"/>
      <c r="X1215" s="28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296"/>
    </row>
    <row r="1216" spans="1:35">
      <c r="A1216" s="198">
        <v>163</v>
      </c>
      <c r="B1216" s="195" t="s">
        <v>356</v>
      </c>
      <c r="C1216" s="196">
        <v>3645969</v>
      </c>
      <c r="D1216" s="196"/>
      <c r="E1216" s="196"/>
      <c r="F1216" s="196"/>
      <c r="G1216" s="196"/>
      <c r="H1216" s="196"/>
      <c r="I1216" s="196"/>
      <c r="J1216" s="196"/>
      <c r="K1216" s="196" t="e">
        <f>#REF!</f>
        <v>#REF!</v>
      </c>
      <c r="L1216" s="194">
        <v>0</v>
      </c>
      <c r="M1216" s="196">
        <v>0</v>
      </c>
      <c r="N1216" s="196">
        <v>0</v>
      </c>
      <c r="O1216" s="196">
        <v>0</v>
      </c>
      <c r="P1216" s="194">
        <v>0</v>
      </c>
      <c r="Q1216" s="196">
        <v>0</v>
      </c>
      <c r="R1216" s="200">
        <v>0</v>
      </c>
      <c r="S1216" s="196">
        <v>0</v>
      </c>
      <c r="T1216" s="197">
        <v>0</v>
      </c>
      <c r="U1216" s="288">
        <v>0</v>
      </c>
      <c r="V1216" s="282">
        <f>C1216-'часть 1'!L1224</f>
        <v>2601887.96</v>
      </c>
      <c r="W1216" s="282"/>
      <c r="X1216" s="282"/>
      <c r="Y1216" s="12"/>
      <c r="Z1216" s="12"/>
      <c r="AA1216" s="12"/>
      <c r="AB1216" s="12"/>
      <c r="AC1216" s="4"/>
      <c r="AD1216" s="12"/>
      <c r="AE1216" s="12"/>
      <c r="AF1216" s="12"/>
      <c r="AG1216" s="12"/>
      <c r="AH1216" s="12"/>
      <c r="AI1216" s="296"/>
    </row>
    <row r="1217" spans="1:35">
      <c r="A1217" s="198">
        <v>164</v>
      </c>
      <c r="B1217" s="195" t="s">
        <v>354</v>
      </c>
      <c r="C1217" s="196">
        <v>771330</v>
      </c>
      <c r="D1217" s="196"/>
      <c r="E1217" s="196"/>
      <c r="F1217" s="196"/>
      <c r="G1217" s="196"/>
      <c r="H1217" s="196"/>
      <c r="I1217" s="196"/>
      <c r="J1217" s="196"/>
      <c r="K1217" s="196">
        <v>0</v>
      </c>
      <c r="L1217" s="194">
        <v>0</v>
      </c>
      <c r="M1217" s="196">
        <v>0</v>
      </c>
      <c r="N1217" s="196">
        <v>376</v>
      </c>
      <c r="O1217" s="196">
        <v>771330</v>
      </c>
      <c r="P1217" s="194">
        <v>0</v>
      </c>
      <c r="Q1217" s="196">
        <v>0</v>
      </c>
      <c r="R1217" s="197">
        <v>0</v>
      </c>
      <c r="S1217" s="196">
        <v>0</v>
      </c>
      <c r="T1217" s="197">
        <v>0</v>
      </c>
      <c r="U1217" s="288">
        <v>0</v>
      </c>
      <c r="V1217" s="282">
        <f>C1217-'часть 1'!L1225</f>
        <v>-568670</v>
      </c>
      <c r="W1217" s="282"/>
      <c r="X1217" s="28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296"/>
    </row>
    <row r="1218" spans="1:35">
      <c r="A1218" s="198">
        <v>165</v>
      </c>
      <c r="B1218" s="195" t="s">
        <v>352</v>
      </c>
      <c r="C1218" s="196">
        <v>1894719</v>
      </c>
      <c r="D1218" s="196"/>
      <c r="E1218" s="196"/>
      <c r="F1218" s="196"/>
      <c r="G1218" s="196"/>
      <c r="H1218" s="196"/>
      <c r="I1218" s="196"/>
      <c r="J1218" s="196"/>
      <c r="K1218" s="196">
        <v>0</v>
      </c>
      <c r="L1218" s="194">
        <v>1</v>
      </c>
      <c r="M1218" s="196">
        <v>1894719</v>
      </c>
      <c r="N1218" s="196">
        <v>0</v>
      </c>
      <c r="O1218" s="196">
        <v>0</v>
      </c>
      <c r="P1218" s="194">
        <v>0</v>
      </c>
      <c r="Q1218" s="196">
        <v>0</v>
      </c>
      <c r="R1218" s="197">
        <v>0</v>
      </c>
      <c r="S1218" s="196">
        <v>0</v>
      </c>
      <c r="T1218" s="197">
        <v>0</v>
      </c>
      <c r="U1218" s="288">
        <v>0</v>
      </c>
      <c r="V1218" s="282">
        <f>C1218-'часть 1'!L1226</f>
        <v>-399810</v>
      </c>
      <c r="W1218" s="282"/>
      <c r="X1218" s="28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296"/>
    </row>
    <row r="1219" spans="1:35">
      <c r="A1219" s="198">
        <v>166</v>
      </c>
      <c r="B1219" s="195" t="s">
        <v>355</v>
      </c>
      <c r="C1219" s="196">
        <v>1492412</v>
      </c>
      <c r="D1219" s="196"/>
      <c r="E1219" s="196"/>
      <c r="F1219" s="196"/>
      <c r="G1219" s="196"/>
      <c r="H1219" s="196"/>
      <c r="I1219" s="196"/>
      <c r="J1219" s="196"/>
      <c r="K1219" s="196">
        <v>0</v>
      </c>
      <c r="L1219" s="194">
        <v>0</v>
      </c>
      <c r="M1219" s="196">
        <v>0</v>
      </c>
      <c r="N1219" s="196">
        <v>752</v>
      </c>
      <c r="O1219" s="196">
        <v>1492412</v>
      </c>
      <c r="P1219" s="194">
        <v>0</v>
      </c>
      <c r="Q1219" s="196">
        <v>0</v>
      </c>
      <c r="R1219" s="197">
        <v>0</v>
      </c>
      <c r="S1219" s="196">
        <v>0</v>
      </c>
      <c r="T1219" s="197">
        <v>0</v>
      </c>
      <c r="U1219" s="288">
        <v>0</v>
      </c>
      <c r="V1219" s="282">
        <f>C1219-'часть 1'!L1227</f>
        <v>-1123204.2000000002</v>
      </c>
      <c r="W1219" s="282"/>
      <c r="X1219" s="28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296"/>
    </row>
    <row r="1220" spans="1:35">
      <c r="A1220" s="198">
        <v>167</v>
      </c>
      <c r="B1220" s="195" t="s">
        <v>318</v>
      </c>
      <c r="C1220" s="196">
        <v>651523.25</v>
      </c>
      <c r="D1220" s="196"/>
      <c r="E1220" s="196"/>
      <c r="F1220" s="196"/>
      <c r="G1220" s="196"/>
      <c r="H1220" s="196"/>
      <c r="I1220" s="196"/>
      <c r="J1220" s="196"/>
      <c r="K1220" s="196">
        <v>651523.25</v>
      </c>
      <c r="L1220" s="194">
        <v>0</v>
      </c>
      <c r="M1220" s="196">
        <v>0</v>
      </c>
      <c r="N1220" s="199">
        <v>0</v>
      </c>
      <c r="O1220" s="196">
        <v>0</v>
      </c>
      <c r="P1220" s="194">
        <v>0</v>
      </c>
      <c r="Q1220" s="196">
        <v>0</v>
      </c>
      <c r="R1220" s="200">
        <v>0</v>
      </c>
      <c r="S1220" s="196">
        <v>0</v>
      </c>
      <c r="T1220" s="197">
        <v>0</v>
      </c>
      <c r="U1220" s="288">
        <v>0</v>
      </c>
      <c r="V1220" s="282">
        <f>C1220-'часть 1'!L1228</f>
        <v>-910015.75</v>
      </c>
      <c r="W1220" s="282"/>
      <c r="X1220" s="28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296"/>
    </row>
    <row r="1221" spans="1:35" ht="15" thickBot="1">
      <c r="A1221" s="198">
        <v>168</v>
      </c>
      <c r="B1221" s="195" t="s">
        <v>353</v>
      </c>
      <c r="C1221" s="196">
        <v>1221424.83</v>
      </c>
      <c r="D1221" s="196"/>
      <c r="E1221" s="196"/>
      <c r="F1221" s="196"/>
      <c r="G1221" s="196"/>
      <c r="H1221" s="196"/>
      <c r="I1221" s="196"/>
      <c r="J1221" s="196"/>
      <c r="K1221" s="196">
        <v>0</v>
      </c>
      <c r="L1221" s="194">
        <v>0</v>
      </c>
      <c r="M1221" s="196">
        <v>0</v>
      </c>
      <c r="N1221" s="196">
        <v>640</v>
      </c>
      <c r="O1221" s="196">
        <v>1221424.83</v>
      </c>
      <c r="P1221" s="194">
        <v>0</v>
      </c>
      <c r="Q1221" s="196">
        <v>0</v>
      </c>
      <c r="R1221" s="200">
        <v>0</v>
      </c>
      <c r="S1221" s="196">
        <v>0</v>
      </c>
      <c r="T1221" s="197">
        <v>0</v>
      </c>
      <c r="U1221" s="288">
        <v>0</v>
      </c>
      <c r="V1221" s="282">
        <f>C1221-'часть 1'!L1229</f>
        <v>-199762.16999999993</v>
      </c>
      <c r="W1221" s="282"/>
      <c r="X1221" s="282"/>
      <c r="Y1221" s="65"/>
      <c r="Z1221" s="12"/>
      <c r="AA1221" s="65"/>
      <c r="AB1221" s="12"/>
      <c r="AC1221" s="65"/>
      <c r="AD1221" s="12"/>
      <c r="AE1221" s="65"/>
      <c r="AF1221" s="12"/>
      <c r="AG1221" s="65"/>
      <c r="AH1221" s="12"/>
      <c r="AI1221" s="299"/>
    </row>
    <row r="1222" spans="1:35" ht="31.5" customHeight="1">
      <c r="A1222" s="198"/>
      <c r="B1222" s="195" t="s">
        <v>91</v>
      </c>
      <c r="C1222" s="196">
        <f>C1223+C1224+C1225+C1226+C1227+C1228+C1229+C1230+C1231+C1232+C1233</f>
        <v>20085822.140000001</v>
      </c>
      <c r="D1222" s="196">
        <f t="shared" ref="D1222:U1222" si="184">D1223+D1224+D1225+D1226+D1227+D1228+D1229+D1230+D1231+D1232+D1233</f>
        <v>0</v>
      </c>
      <c r="E1222" s="196">
        <f t="shared" si="184"/>
        <v>0</v>
      </c>
      <c r="F1222" s="196">
        <f t="shared" si="184"/>
        <v>0</v>
      </c>
      <c r="G1222" s="196">
        <f t="shared" si="184"/>
        <v>0</v>
      </c>
      <c r="H1222" s="196">
        <f t="shared" si="184"/>
        <v>0</v>
      </c>
      <c r="I1222" s="196">
        <f t="shared" si="184"/>
        <v>0</v>
      </c>
      <c r="J1222" s="196">
        <f t="shared" si="184"/>
        <v>0</v>
      </c>
      <c r="K1222" s="196">
        <f t="shared" si="184"/>
        <v>0</v>
      </c>
      <c r="L1222" s="196">
        <f t="shared" si="184"/>
        <v>0</v>
      </c>
      <c r="M1222" s="196">
        <f t="shared" si="184"/>
        <v>0</v>
      </c>
      <c r="N1222" s="196">
        <f t="shared" si="184"/>
        <v>6378.11</v>
      </c>
      <c r="O1222" s="196">
        <f t="shared" si="184"/>
        <v>20085822.140000001</v>
      </c>
      <c r="P1222" s="196">
        <f t="shared" si="184"/>
        <v>0</v>
      </c>
      <c r="Q1222" s="196">
        <f t="shared" si="184"/>
        <v>0</v>
      </c>
      <c r="R1222" s="196">
        <f t="shared" si="184"/>
        <v>0</v>
      </c>
      <c r="S1222" s="196">
        <f t="shared" si="184"/>
        <v>0</v>
      </c>
      <c r="T1222" s="196">
        <f t="shared" si="184"/>
        <v>0</v>
      </c>
      <c r="U1222" s="196">
        <f t="shared" si="184"/>
        <v>0</v>
      </c>
      <c r="V1222" s="282"/>
      <c r="W1222" s="282"/>
      <c r="X1222" s="282"/>
    </row>
    <row r="1223" spans="1:35" ht="15.6">
      <c r="A1223" s="198">
        <v>169</v>
      </c>
      <c r="B1223" s="941" t="s">
        <v>963</v>
      </c>
      <c r="C1223" s="196">
        <f>'часть 1'!L1256</f>
        <v>568539.85</v>
      </c>
      <c r="D1223" s="196">
        <v>0</v>
      </c>
      <c r="E1223" s="196">
        <v>0</v>
      </c>
      <c r="F1223" s="196">
        <v>0</v>
      </c>
      <c r="G1223" s="196">
        <v>0</v>
      </c>
      <c r="H1223" s="196">
        <v>0</v>
      </c>
      <c r="I1223" s="196">
        <v>0</v>
      </c>
      <c r="J1223" s="196">
        <v>0</v>
      </c>
      <c r="K1223" s="196">
        <v>0</v>
      </c>
      <c r="L1223" s="207">
        <v>0</v>
      </c>
      <c r="M1223" s="199">
        <v>0</v>
      </c>
      <c r="N1223" s="199">
        <v>311</v>
      </c>
      <c r="O1223" s="199">
        <f>C1223</f>
        <v>568539.85</v>
      </c>
      <c r="P1223" s="208">
        <v>0</v>
      </c>
      <c r="Q1223" s="199">
        <v>0</v>
      </c>
      <c r="R1223" s="200">
        <v>0</v>
      </c>
      <c r="S1223" s="209">
        <v>0</v>
      </c>
      <c r="T1223" s="208">
        <v>0</v>
      </c>
      <c r="U1223" s="289">
        <v>0</v>
      </c>
      <c r="V1223" s="282"/>
      <c r="W1223" s="282">
        <f>O1223/N1223</f>
        <v>1828.1024115755627</v>
      </c>
      <c r="X1223" s="282"/>
    </row>
    <row r="1224" spans="1:35" ht="15.6">
      <c r="A1224" s="198">
        <v>170</v>
      </c>
      <c r="B1224" s="941" t="s">
        <v>964</v>
      </c>
      <c r="C1224" s="196">
        <f>'часть 1'!L1257</f>
        <v>690413</v>
      </c>
      <c r="D1224" s="196">
        <v>0</v>
      </c>
      <c r="E1224" s="196">
        <v>0</v>
      </c>
      <c r="F1224" s="196">
        <v>0</v>
      </c>
      <c r="G1224" s="196">
        <v>0</v>
      </c>
      <c r="H1224" s="196">
        <v>0</v>
      </c>
      <c r="I1224" s="196">
        <v>0</v>
      </c>
      <c r="J1224" s="196">
        <v>0</v>
      </c>
      <c r="K1224" s="196">
        <v>0</v>
      </c>
      <c r="L1224" s="207">
        <v>0</v>
      </c>
      <c r="M1224" s="199">
        <v>0</v>
      </c>
      <c r="N1224" s="199">
        <v>214.48</v>
      </c>
      <c r="O1224" s="199">
        <f t="shared" ref="O1224:O1233" si="185">C1224</f>
        <v>690413</v>
      </c>
      <c r="P1224" s="208">
        <v>0</v>
      </c>
      <c r="Q1224" s="199">
        <v>0</v>
      </c>
      <c r="R1224" s="200">
        <v>0</v>
      </c>
      <c r="S1224" s="209">
        <v>0</v>
      </c>
      <c r="T1224" s="208">
        <v>0</v>
      </c>
      <c r="U1224" s="289">
        <v>0</v>
      </c>
      <c r="V1224" s="282"/>
      <c r="W1224" s="282">
        <f t="shared" ref="W1224:W1233" si="186">O1224/N1224</f>
        <v>3219.0087653860501</v>
      </c>
      <c r="X1224" s="282"/>
    </row>
    <row r="1225" spans="1:35" ht="15.6">
      <c r="A1225" s="198">
        <v>171</v>
      </c>
      <c r="B1225" s="941" t="s">
        <v>965</v>
      </c>
      <c r="C1225" s="196">
        <f>'часть 1'!L1258</f>
        <v>1677206</v>
      </c>
      <c r="D1225" s="196">
        <v>0</v>
      </c>
      <c r="E1225" s="196">
        <v>0</v>
      </c>
      <c r="F1225" s="196">
        <v>0</v>
      </c>
      <c r="G1225" s="196">
        <v>0</v>
      </c>
      <c r="H1225" s="196">
        <v>0</v>
      </c>
      <c r="I1225" s="196">
        <v>0</v>
      </c>
      <c r="J1225" s="196">
        <v>0</v>
      </c>
      <c r="K1225" s="196">
        <v>0</v>
      </c>
      <c r="L1225" s="207">
        <v>0</v>
      </c>
      <c r="M1225" s="199">
        <v>0</v>
      </c>
      <c r="N1225" s="199">
        <v>525</v>
      </c>
      <c r="O1225" s="199">
        <f t="shared" si="185"/>
        <v>1677206</v>
      </c>
      <c r="P1225" s="208">
        <v>0</v>
      </c>
      <c r="Q1225" s="199">
        <v>0</v>
      </c>
      <c r="R1225" s="200">
        <v>0</v>
      </c>
      <c r="S1225" s="209">
        <v>0</v>
      </c>
      <c r="T1225" s="208">
        <v>0</v>
      </c>
      <c r="U1225" s="289">
        <v>0</v>
      </c>
      <c r="V1225" s="282"/>
      <c r="W1225" s="282">
        <f t="shared" si="186"/>
        <v>3194.678095238095</v>
      </c>
      <c r="X1225" s="282"/>
    </row>
    <row r="1226" spans="1:35" ht="15.6">
      <c r="A1226" s="198">
        <v>172</v>
      </c>
      <c r="B1226" s="941" t="s">
        <v>966</v>
      </c>
      <c r="C1226" s="196">
        <f>'часть 1'!L1259</f>
        <v>1912197</v>
      </c>
      <c r="D1226" s="196">
        <v>0</v>
      </c>
      <c r="E1226" s="196">
        <v>0</v>
      </c>
      <c r="F1226" s="196">
        <v>0</v>
      </c>
      <c r="G1226" s="196">
        <v>0</v>
      </c>
      <c r="H1226" s="196">
        <v>0</v>
      </c>
      <c r="I1226" s="196">
        <v>0</v>
      </c>
      <c r="J1226" s="196">
        <v>0</v>
      </c>
      <c r="K1226" s="196">
        <v>0</v>
      </c>
      <c r="L1226" s="207">
        <v>0</v>
      </c>
      <c r="M1226" s="199">
        <v>0</v>
      </c>
      <c r="N1226" s="199">
        <v>600</v>
      </c>
      <c r="O1226" s="199">
        <f t="shared" si="185"/>
        <v>1912197</v>
      </c>
      <c r="P1226" s="208">
        <v>0</v>
      </c>
      <c r="Q1226" s="199">
        <v>0</v>
      </c>
      <c r="R1226" s="200">
        <v>0</v>
      </c>
      <c r="S1226" s="209">
        <v>0</v>
      </c>
      <c r="T1226" s="208">
        <v>0</v>
      </c>
      <c r="U1226" s="289">
        <v>0</v>
      </c>
      <c r="V1226" s="282"/>
      <c r="W1226" s="282">
        <f t="shared" si="186"/>
        <v>3186.9949999999999</v>
      </c>
      <c r="X1226" s="282"/>
    </row>
    <row r="1227" spans="1:35" ht="15.6">
      <c r="A1227" s="198">
        <v>173</v>
      </c>
      <c r="B1227" s="941" t="s">
        <v>967</v>
      </c>
      <c r="C1227" s="196">
        <f>'часть 1'!L1260</f>
        <v>2920191</v>
      </c>
      <c r="D1227" s="196">
        <v>0</v>
      </c>
      <c r="E1227" s="196">
        <v>0</v>
      </c>
      <c r="F1227" s="196">
        <v>0</v>
      </c>
      <c r="G1227" s="196">
        <v>0</v>
      </c>
      <c r="H1227" s="196">
        <v>0</v>
      </c>
      <c r="I1227" s="196">
        <v>0</v>
      </c>
      <c r="J1227" s="196">
        <v>0</v>
      </c>
      <c r="K1227" s="196">
        <v>0</v>
      </c>
      <c r="L1227" s="207">
        <v>0</v>
      </c>
      <c r="M1227" s="199">
        <v>0</v>
      </c>
      <c r="N1227" s="199">
        <v>915</v>
      </c>
      <c r="O1227" s="199">
        <f t="shared" si="185"/>
        <v>2920191</v>
      </c>
      <c r="P1227" s="208">
        <v>0</v>
      </c>
      <c r="Q1227" s="199">
        <v>0</v>
      </c>
      <c r="R1227" s="200">
        <v>0</v>
      </c>
      <c r="S1227" s="209">
        <v>0</v>
      </c>
      <c r="T1227" s="208">
        <v>0</v>
      </c>
      <c r="U1227" s="289">
        <v>0</v>
      </c>
      <c r="V1227" s="282"/>
      <c r="W1227" s="282">
        <f t="shared" si="186"/>
        <v>3191.465573770492</v>
      </c>
      <c r="X1227" s="282"/>
    </row>
    <row r="1228" spans="1:35" ht="15.6">
      <c r="A1228" s="198">
        <v>174</v>
      </c>
      <c r="B1228" s="941" t="s">
        <v>968</v>
      </c>
      <c r="C1228" s="196">
        <f>'часть 1'!L1261</f>
        <v>1379030</v>
      </c>
      <c r="D1228" s="196">
        <v>0</v>
      </c>
      <c r="E1228" s="196">
        <v>0</v>
      </c>
      <c r="F1228" s="196">
        <v>0</v>
      </c>
      <c r="G1228" s="196">
        <v>0</v>
      </c>
      <c r="H1228" s="196">
        <v>0</v>
      </c>
      <c r="I1228" s="196">
        <v>0</v>
      </c>
      <c r="J1228" s="196">
        <v>0</v>
      </c>
      <c r="K1228" s="196">
        <v>0</v>
      </c>
      <c r="L1228" s="207">
        <v>0</v>
      </c>
      <c r="M1228" s="199">
        <v>0</v>
      </c>
      <c r="N1228" s="199">
        <v>430.15</v>
      </c>
      <c r="O1228" s="199">
        <f t="shared" si="185"/>
        <v>1379030</v>
      </c>
      <c r="P1228" s="208">
        <v>0</v>
      </c>
      <c r="Q1228" s="199">
        <v>0</v>
      </c>
      <c r="R1228" s="200">
        <v>0</v>
      </c>
      <c r="S1228" s="209">
        <v>0</v>
      </c>
      <c r="T1228" s="208">
        <v>0</v>
      </c>
      <c r="U1228" s="289">
        <v>0</v>
      </c>
      <c r="V1228" s="282"/>
      <c r="W1228" s="282">
        <f t="shared" si="186"/>
        <v>3205.9281645937467</v>
      </c>
      <c r="X1228" s="282"/>
    </row>
    <row r="1229" spans="1:35" ht="15.6">
      <c r="A1229" s="198"/>
      <c r="B1229" s="941" t="s">
        <v>969</v>
      </c>
      <c r="C1229" s="196">
        <f>'часть 1'!L1262</f>
        <v>1053343</v>
      </c>
      <c r="D1229" s="196">
        <v>0</v>
      </c>
      <c r="E1229" s="196">
        <v>0</v>
      </c>
      <c r="F1229" s="196">
        <v>0</v>
      </c>
      <c r="G1229" s="196">
        <v>0</v>
      </c>
      <c r="H1229" s="196">
        <v>0</v>
      </c>
      <c r="I1229" s="196">
        <v>0</v>
      </c>
      <c r="J1229" s="196">
        <v>0</v>
      </c>
      <c r="K1229" s="196">
        <v>0</v>
      </c>
      <c r="L1229" s="207">
        <v>0</v>
      </c>
      <c r="M1229" s="199">
        <v>0</v>
      </c>
      <c r="N1229" s="199">
        <v>327</v>
      </c>
      <c r="O1229" s="199">
        <f t="shared" si="185"/>
        <v>1053343</v>
      </c>
      <c r="P1229" s="208">
        <v>0</v>
      </c>
      <c r="Q1229" s="199">
        <v>0</v>
      </c>
      <c r="R1229" s="200">
        <v>0</v>
      </c>
      <c r="S1229" s="209">
        <v>0</v>
      </c>
      <c r="T1229" s="208">
        <v>0</v>
      </c>
      <c r="U1229" s="289">
        <v>0</v>
      </c>
      <c r="V1229" s="282"/>
      <c r="W1229" s="282">
        <f t="shared" si="186"/>
        <v>3221.2324159021405</v>
      </c>
      <c r="X1229" s="282"/>
    </row>
    <row r="1230" spans="1:35" ht="15.6">
      <c r="A1230" s="198"/>
      <c r="B1230" s="941" t="s">
        <v>970</v>
      </c>
      <c r="C1230" s="196">
        <f>'часть 1'!L1263</f>
        <v>2217592</v>
      </c>
      <c r="D1230" s="196">
        <v>0</v>
      </c>
      <c r="E1230" s="196">
        <v>0</v>
      </c>
      <c r="F1230" s="196">
        <v>0</v>
      </c>
      <c r="G1230" s="196">
        <v>0</v>
      </c>
      <c r="H1230" s="196">
        <v>0</v>
      </c>
      <c r="I1230" s="196">
        <v>0</v>
      </c>
      <c r="J1230" s="196">
        <v>0</v>
      </c>
      <c r="K1230" s="196">
        <v>0</v>
      </c>
      <c r="L1230" s="207">
        <v>0</v>
      </c>
      <c r="M1230" s="199">
        <v>0</v>
      </c>
      <c r="N1230" s="199">
        <v>883.7</v>
      </c>
      <c r="O1230" s="199">
        <f t="shared" si="185"/>
        <v>2217592</v>
      </c>
      <c r="P1230" s="208">
        <v>0</v>
      </c>
      <c r="Q1230" s="199">
        <v>0</v>
      </c>
      <c r="R1230" s="200">
        <v>0</v>
      </c>
      <c r="S1230" s="209">
        <v>0</v>
      </c>
      <c r="T1230" s="208">
        <v>0</v>
      </c>
      <c r="U1230" s="289">
        <v>0</v>
      </c>
      <c r="V1230" s="282"/>
      <c r="W1230" s="282">
        <f t="shared" si="186"/>
        <v>2509.4398551544641</v>
      </c>
      <c r="X1230" s="282"/>
    </row>
    <row r="1231" spans="1:35" ht="15.6">
      <c r="A1231" s="198"/>
      <c r="B1231" s="941" t="s">
        <v>971</v>
      </c>
      <c r="C1231" s="196">
        <f>'часть 1'!L1264</f>
        <v>3519351</v>
      </c>
      <c r="D1231" s="196">
        <v>0</v>
      </c>
      <c r="E1231" s="196">
        <v>0</v>
      </c>
      <c r="F1231" s="196">
        <v>0</v>
      </c>
      <c r="G1231" s="196">
        <v>0</v>
      </c>
      <c r="H1231" s="196">
        <v>0</v>
      </c>
      <c r="I1231" s="196">
        <v>0</v>
      </c>
      <c r="J1231" s="196">
        <v>0</v>
      </c>
      <c r="K1231" s="196">
        <v>0</v>
      </c>
      <c r="L1231" s="207">
        <v>0</v>
      </c>
      <c r="M1231" s="199">
        <v>0</v>
      </c>
      <c r="N1231" s="199">
        <v>1106.78</v>
      </c>
      <c r="O1231" s="199">
        <f t="shared" si="185"/>
        <v>3519351</v>
      </c>
      <c r="P1231" s="208">
        <v>0</v>
      </c>
      <c r="Q1231" s="199">
        <v>0</v>
      </c>
      <c r="R1231" s="200">
        <v>0</v>
      </c>
      <c r="S1231" s="209">
        <v>0</v>
      </c>
      <c r="T1231" s="208">
        <v>0</v>
      </c>
      <c r="U1231" s="289">
        <v>0</v>
      </c>
      <c r="V1231" s="282"/>
      <c r="W1231" s="282">
        <f t="shared" si="186"/>
        <v>3179.8108025081769</v>
      </c>
      <c r="X1231" s="282"/>
    </row>
    <row r="1232" spans="1:35" ht="15.6">
      <c r="A1232" s="198">
        <v>175</v>
      </c>
      <c r="B1232" s="941" t="s">
        <v>972</v>
      </c>
      <c r="C1232" s="196">
        <f>'часть 1'!L1265</f>
        <v>1482982.29</v>
      </c>
      <c r="D1232" s="196">
        <v>0</v>
      </c>
      <c r="E1232" s="196">
        <v>0</v>
      </c>
      <c r="F1232" s="196">
        <v>0</v>
      </c>
      <c r="G1232" s="196">
        <v>0</v>
      </c>
      <c r="H1232" s="196">
        <v>0</v>
      </c>
      <c r="I1232" s="196">
        <v>0</v>
      </c>
      <c r="J1232" s="196">
        <v>0</v>
      </c>
      <c r="K1232" s="196">
        <v>0</v>
      </c>
      <c r="L1232" s="207">
        <v>0</v>
      </c>
      <c r="M1232" s="199">
        <v>0</v>
      </c>
      <c r="N1232" s="199">
        <v>0</v>
      </c>
      <c r="O1232" s="199">
        <f t="shared" si="185"/>
        <v>1482982.29</v>
      </c>
      <c r="P1232" s="208">
        <v>0</v>
      </c>
      <c r="Q1232" s="199">
        <v>0</v>
      </c>
      <c r="R1232" s="200">
        <v>0</v>
      </c>
      <c r="S1232" s="209">
        <v>0</v>
      </c>
      <c r="T1232" s="208">
        <v>0</v>
      </c>
      <c r="U1232" s="289">
        <v>0</v>
      </c>
      <c r="V1232" s="282"/>
      <c r="W1232" s="282" t="e">
        <f t="shared" si="186"/>
        <v>#DIV/0!</v>
      </c>
      <c r="X1232" s="282"/>
    </row>
    <row r="1233" spans="1:24" ht="15.6">
      <c r="A1233" s="198">
        <v>176</v>
      </c>
      <c r="B1233" s="941" t="s">
        <v>973</v>
      </c>
      <c r="C1233" s="196">
        <f>'часть 1'!L1266</f>
        <v>2664977</v>
      </c>
      <c r="D1233" s="196">
        <v>0</v>
      </c>
      <c r="E1233" s="196">
        <v>0</v>
      </c>
      <c r="F1233" s="196">
        <v>0</v>
      </c>
      <c r="G1233" s="196">
        <v>0</v>
      </c>
      <c r="H1233" s="196">
        <v>0</v>
      </c>
      <c r="I1233" s="196">
        <v>0</v>
      </c>
      <c r="J1233" s="196">
        <v>0</v>
      </c>
      <c r="K1233" s="196">
        <v>0</v>
      </c>
      <c r="L1233" s="207">
        <v>0</v>
      </c>
      <c r="M1233" s="199">
        <v>0</v>
      </c>
      <c r="N1233" s="199">
        <v>1065</v>
      </c>
      <c r="O1233" s="199">
        <f t="shared" si="185"/>
        <v>2664977</v>
      </c>
      <c r="P1233" s="208">
        <v>0</v>
      </c>
      <c r="Q1233" s="199">
        <v>0</v>
      </c>
      <c r="R1233" s="200">
        <v>0</v>
      </c>
      <c r="S1233" s="209">
        <v>0</v>
      </c>
      <c r="T1233" s="208">
        <v>0</v>
      </c>
      <c r="U1233" s="289">
        <v>0</v>
      </c>
      <c r="V1233" s="282"/>
      <c r="W1233" s="282">
        <f t="shared" si="186"/>
        <v>2502.3258215962442</v>
      </c>
      <c r="X1233" s="282"/>
    </row>
    <row r="1234" spans="1:24" ht="18.75" customHeight="1">
      <c r="A1234" s="470"/>
      <c r="B1234" s="520" t="s">
        <v>92</v>
      </c>
      <c r="C1234" s="512">
        <f>C1235</f>
        <v>0</v>
      </c>
      <c r="D1234" s="512">
        <f t="shared" ref="D1234:U1234" si="187">D1235</f>
        <v>0</v>
      </c>
      <c r="E1234" s="512">
        <f t="shared" si="187"/>
        <v>0</v>
      </c>
      <c r="F1234" s="512">
        <f t="shared" si="187"/>
        <v>0</v>
      </c>
      <c r="G1234" s="512">
        <f t="shared" si="187"/>
        <v>0</v>
      </c>
      <c r="H1234" s="512">
        <f t="shared" si="187"/>
        <v>0</v>
      </c>
      <c r="I1234" s="512">
        <f t="shared" si="187"/>
        <v>0</v>
      </c>
      <c r="J1234" s="512">
        <f t="shared" si="187"/>
        <v>0</v>
      </c>
      <c r="K1234" s="512">
        <f t="shared" si="187"/>
        <v>0</v>
      </c>
      <c r="L1234" s="512">
        <f t="shared" si="187"/>
        <v>0</v>
      </c>
      <c r="M1234" s="512">
        <f t="shared" si="187"/>
        <v>0</v>
      </c>
      <c r="N1234" s="512">
        <f t="shared" si="187"/>
        <v>0</v>
      </c>
      <c r="O1234" s="512">
        <f t="shared" si="187"/>
        <v>0</v>
      </c>
      <c r="P1234" s="512">
        <f t="shared" si="187"/>
        <v>0</v>
      </c>
      <c r="Q1234" s="512">
        <f t="shared" si="187"/>
        <v>0</v>
      </c>
      <c r="R1234" s="512">
        <f t="shared" si="187"/>
        <v>0</v>
      </c>
      <c r="S1234" s="512">
        <f t="shared" si="187"/>
        <v>0</v>
      </c>
      <c r="T1234" s="512">
        <f t="shared" si="187"/>
        <v>0</v>
      </c>
      <c r="U1234" s="512">
        <f t="shared" si="187"/>
        <v>0</v>
      </c>
      <c r="V1234" s="282"/>
      <c r="W1234" s="282"/>
      <c r="X1234" s="282"/>
    </row>
    <row r="1235" spans="1:24">
      <c r="A1235" s="470"/>
      <c r="B1235" s="520"/>
      <c r="C1235" s="512"/>
      <c r="D1235" s="512"/>
      <c r="E1235" s="512"/>
      <c r="F1235" s="512"/>
      <c r="G1235" s="512"/>
      <c r="H1235" s="512"/>
      <c r="I1235" s="512"/>
      <c r="J1235" s="512"/>
      <c r="K1235" s="512"/>
      <c r="L1235" s="525"/>
      <c r="M1235" s="472"/>
      <c r="N1235" s="558"/>
      <c r="O1235" s="472"/>
      <c r="P1235" s="473"/>
      <c r="Q1235" s="472"/>
      <c r="R1235" s="474"/>
      <c r="S1235" s="475"/>
      <c r="T1235" s="473"/>
      <c r="U1235" s="904"/>
      <c r="V1235" s="282"/>
      <c r="W1235" s="282"/>
      <c r="X1235" s="282"/>
    </row>
    <row r="1236" spans="1:24" ht="18.75" customHeight="1">
      <c r="A1236" s="470"/>
      <c r="B1236" s="511" t="s">
        <v>93</v>
      </c>
      <c r="C1236" s="512">
        <f>C1237+C1238+C1239+C1240</f>
        <v>12233600</v>
      </c>
      <c r="D1236" s="512">
        <f t="shared" ref="D1236:V1236" si="188">D1237+D1238+D1239+D1240</f>
        <v>0</v>
      </c>
      <c r="E1236" s="512">
        <f t="shared" si="188"/>
        <v>0</v>
      </c>
      <c r="F1236" s="512">
        <f t="shared" si="188"/>
        <v>0</v>
      </c>
      <c r="G1236" s="512">
        <f t="shared" si="188"/>
        <v>0</v>
      </c>
      <c r="H1236" s="512">
        <f t="shared" si="188"/>
        <v>0</v>
      </c>
      <c r="I1236" s="512">
        <f t="shared" si="188"/>
        <v>0</v>
      </c>
      <c r="J1236" s="512">
        <f t="shared" si="188"/>
        <v>0</v>
      </c>
      <c r="K1236" s="512">
        <f t="shared" si="188"/>
        <v>0</v>
      </c>
      <c r="L1236" s="512">
        <f t="shared" si="188"/>
        <v>0</v>
      </c>
      <c r="M1236" s="512">
        <f t="shared" si="188"/>
        <v>0</v>
      </c>
      <c r="N1236" s="512">
        <f t="shared" si="188"/>
        <v>4541.1400000000003</v>
      </c>
      <c r="O1236" s="512">
        <f t="shared" si="188"/>
        <v>12233600</v>
      </c>
      <c r="P1236" s="512">
        <f t="shared" si="188"/>
        <v>0</v>
      </c>
      <c r="Q1236" s="512">
        <f t="shared" si="188"/>
        <v>0</v>
      </c>
      <c r="R1236" s="512">
        <f t="shared" si="188"/>
        <v>0</v>
      </c>
      <c r="S1236" s="512">
        <f t="shared" si="188"/>
        <v>0</v>
      </c>
      <c r="T1236" s="512">
        <f t="shared" si="188"/>
        <v>0</v>
      </c>
      <c r="U1236" s="512">
        <f t="shared" si="188"/>
        <v>0</v>
      </c>
      <c r="V1236" s="512">
        <f t="shared" si="188"/>
        <v>0</v>
      </c>
      <c r="W1236" s="282"/>
      <c r="X1236" s="282"/>
    </row>
    <row r="1237" spans="1:24" s="23" customFormat="1">
      <c r="A1237" s="470">
        <v>178</v>
      </c>
      <c r="B1237" s="699" t="s">
        <v>790</v>
      </c>
      <c r="C1237" s="479">
        <f>'часть 1'!L1270</f>
        <v>3401438</v>
      </c>
      <c r="D1237" s="479">
        <v>0</v>
      </c>
      <c r="E1237" s="479">
        <v>0</v>
      </c>
      <c r="F1237" s="479">
        <v>0</v>
      </c>
      <c r="G1237" s="479">
        <v>0</v>
      </c>
      <c r="H1237" s="479">
        <v>0</v>
      </c>
      <c r="I1237" s="479">
        <v>0</v>
      </c>
      <c r="J1237" s="479">
        <v>0</v>
      </c>
      <c r="K1237" s="479">
        <v>0</v>
      </c>
      <c r="L1237" s="515">
        <v>0</v>
      </c>
      <c r="M1237" s="479">
        <v>0</v>
      </c>
      <c r="N1237" s="479">
        <v>1360.8</v>
      </c>
      <c r="O1237" s="479">
        <v>3401438</v>
      </c>
      <c r="P1237" s="515">
        <v>0</v>
      </c>
      <c r="Q1237" s="479">
        <v>0</v>
      </c>
      <c r="R1237" s="516">
        <v>0</v>
      </c>
      <c r="S1237" s="479">
        <v>0</v>
      </c>
      <c r="T1237" s="515">
        <v>0</v>
      </c>
      <c r="U1237" s="517">
        <v>0</v>
      </c>
      <c r="V1237" s="282"/>
      <c r="W1237" s="282">
        <f>O1237/N1237</f>
        <v>2499.5870076425631</v>
      </c>
      <c r="X1237" s="282"/>
    </row>
    <row r="1238" spans="1:24" s="23" customFormat="1">
      <c r="A1238" s="470">
        <v>179</v>
      </c>
      <c r="B1238" s="699" t="s">
        <v>791</v>
      </c>
      <c r="C1238" s="479">
        <f>'часть 1'!L1271</f>
        <v>2323942</v>
      </c>
      <c r="D1238" s="479">
        <v>0</v>
      </c>
      <c r="E1238" s="479">
        <v>0</v>
      </c>
      <c r="F1238" s="479">
        <v>0</v>
      </c>
      <c r="G1238" s="479">
        <v>0</v>
      </c>
      <c r="H1238" s="479">
        <v>0</v>
      </c>
      <c r="I1238" s="479">
        <v>0</v>
      </c>
      <c r="J1238" s="479">
        <v>0</v>
      </c>
      <c r="K1238" s="479">
        <v>0</v>
      </c>
      <c r="L1238" s="515">
        <v>0</v>
      </c>
      <c r="M1238" s="479">
        <v>0</v>
      </c>
      <c r="N1238" s="479">
        <v>927</v>
      </c>
      <c r="O1238" s="479">
        <v>2323942</v>
      </c>
      <c r="P1238" s="515">
        <v>0</v>
      </c>
      <c r="Q1238" s="479">
        <v>0</v>
      </c>
      <c r="R1238" s="516">
        <v>0</v>
      </c>
      <c r="S1238" s="479">
        <v>0</v>
      </c>
      <c r="T1238" s="515">
        <v>0</v>
      </c>
      <c r="U1238" s="517">
        <v>0</v>
      </c>
      <c r="V1238" s="282"/>
      <c r="W1238" s="282">
        <f t="shared" ref="W1238:W1240" si="189">O1238/N1238</f>
        <v>2506.9492988133766</v>
      </c>
      <c r="X1238" s="282"/>
    </row>
    <row r="1239" spans="1:24" s="23" customFormat="1">
      <c r="A1239" s="470">
        <v>180</v>
      </c>
      <c r="B1239" s="699" t="s">
        <v>792</v>
      </c>
      <c r="C1239" s="479">
        <f>'часть 1'!L1272</f>
        <v>4059506</v>
      </c>
      <c r="D1239" s="479">
        <v>0</v>
      </c>
      <c r="E1239" s="479">
        <v>0</v>
      </c>
      <c r="F1239" s="479">
        <v>0</v>
      </c>
      <c r="G1239" s="479">
        <v>0</v>
      </c>
      <c r="H1239" s="479">
        <v>0</v>
      </c>
      <c r="I1239" s="479">
        <v>0</v>
      </c>
      <c r="J1239" s="479">
        <v>0</v>
      </c>
      <c r="K1239" s="479">
        <v>0</v>
      </c>
      <c r="L1239" s="515">
        <v>0</v>
      </c>
      <c r="M1239" s="479">
        <v>0</v>
      </c>
      <c r="N1239" s="479">
        <v>1275.8399999999999</v>
      </c>
      <c r="O1239" s="479">
        <v>4059506</v>
      </c>
      <c r="P1239" s="515">
        <v>0</v>
      </c>
      <c r="Q1239" s="479">
        <v>0</v>
      </c>
      <c r="R1239" s="516">
        <v>0</v>
      </c>
      <c r="S1239" s="479">
        <v>0</v>
      </c>
      <c r="T1239" s="515">
        <v>0</v>
      </c>
      <c r="U1239" s="517">
        <v>0</v>
      </c>
      <c r="V1239" s="282"/>
      <c r="W1239" s="282">
        <f t="shared" si="189"/>
        <v>3181.830010032606</v>
      </c>
      <c r="X1239" s="282"/>
    </row>
    <row r="1240" spans="1:24" s="23" customFormat="1">
      <c r="A1240" s="470">
        <v>181</v>
      </c>
      <c r="B1240" s="699" t="s">
        <v>793</v>
      </c>
      <c r="C1240" s="479">
        <f>'часть 1'!L1273</f>
        <v>2448714</v>
      </c>
      <c r="D1240" s="479">
        <v>0</v>
      </c>
      <c r="E1240" s="479">
        <v>0</v>
      </c>
      <c r="F1240" s="479">
        <v>0</v>
      </c>
      <c r="G1240" s="479">
        <v>0</v>
      </c>
      <c r="H1240" s="479">
        <v>0</v>
      </c>
      <c r="I1240" s="479">
        <v>0</v>
      </c>
      <c r="J1240" s="479">
        <v>0</v>
      </c>
      <c r="K1240" s="479">
        <v>0</v>
      </c>
      <c r="L1240" s="515">
        <v>0</v>
      </c>
      <c r="M1240" s="479">
        <v>0</v>
      </c>
      <c r="N1240" s="479">
        <v>977.5</v>
      </c>
      <c r="O1240" s="479">
        <v>2448714</v>
      </c>
      <c r="P1240" s="515">
        <v>0</v>
      </c>
      <c r="Q1240" s="479">
        <v>0</v>
      </c>
      <c r="R1240" s="516">
        <v>0</v>
      </c>
      <c r="S1240" s="479">
        <v>0</v>
      </c>
      <c r="T1240" s="515">
        <v>0</v>
      </c>
      <c r="U1240" s="517">
        <v>0</v>
      </c>
      <c r="V1240" s="282"/>
      <c r="W1240" s="282">
        <f t="shared" si="189"/>
        <v>2505.0782608695654</v>
      </c>
      <c r="X1240" s="282"/>
    </row>
    <row r="1241" spans="1:24" s="23" customFormat="1">
      <c r="A1241" s="470"/>
      <c r="B1241" s="699"/>
      <c r="C1241" s="479"/>
      <c r="D1241" s="479"/>
      <c r="E1241" s="479"/>
      <c r="F1241" s="479"/>
      <c r="G1241" s="479"/>
      <c r="H1241" s="479"/>
      <c r="I1241" s="479"/>
      <c r="J1241" s="479"/>
      <c r="K1241" s="479"/>
      <c r="L1241" s="515"/>
      <c r="M1241" s="479"/>
      <c r="N1241" s="479"/>
      <c r="O1241" s="479"/>
      <c r="P1241" s="515"/>
      <c r="Q1241" s="479"/>
      <c r="R1241" s="516"/>
      <c r="S1241" s="479"/>
      <c r="T1241" s="515"/>
      <c r="U1241" s="517"/>
      <c r="V1241" s="282"/>
      <c r="W1241" s="282"/>
      <c r="X1241" s="282"/>
    </row>
    <row r="1242" spans="1:24" s="23" customFormat="1">
      <c r="A1242" s="470"/>
      <c r="B1242" s="699"/>
      <c r="C1242" s="479"/>
      <c r="D1242" s="479"/>
      <c r="E1242" s="479"/>
      <c r="F1242" s="479"/>
      <c r="G1242" s="479"/>
      <c r="H1242" s="479"/>
      <c r="I1242" s="479"/>
      <c r="J1242" s="479"/>
      <c r="K1242" s="479"/>
      <c r="L1242" s="515"/>
      <c r="M1242" s="479"/>
      <c r="N1242" s="479"/>
      <c r="O1242" s="479"/>
      <c r="P1242" s="515"/>
      <c r="Q1242" s="479"/>
      <c r="R1242" s="516"/>
      <c r="S1242" s="479"/>
      <c r="T1242" s="515"/>
      <c r="U1242" s="517"/>
      <c r="V1242" s="282"/>
      <c r="W1242" s="282"/>
      <c r="X1242" s="282"/>
    </row>
    <row r="1243" spans="1:24" s="23" customFormat="1">
      <c r="A1243" s="470"/>
      <c r="B1243" s="699"/>
      <c r="C1243" s="479"/>
      <c r="D1243" s="479"/>
      <c r="E1243" s="479"/>
      <c r="F1243" s="479"/>
      <c r="G1243" s="479"/>
      <c r="H1243" s="479"/>
      <c r="I1243" s="479"/>
      <c r="J1243" s="479"/>
      <c r="K1243" s="479"/>
      <c r="L1243" s="515"/>
      <c r="M1243" s="479"/>
      <c r="N1243" s="479"/>
      <c r="O1243" s="479"/>
      <c r="P1243" s="515"/>
      <c r="Q1243" s="479"/>
      <c r="R1243" s="516"/>
      <c r="S1243" s="479"/>
      <c r="T1243" s="515"/>
      <c r="U1243" s="517"/>
      <c r="V1243" s="282"/>
      <c r="W1243" s="282"/>
      <c r="X1243" s="282"/>
    </row>
    <row r="1244" spans="1:24" s="23" customFormat="1">
      <c r="A1244" s="470"/>
      <c r="B1244" s="699"/>
      <c r="C1244" s="479"/>
      <c r="D1244" s="479"/>
      <c r="E1244" s="479"/>
      <c r="F1244" s="479"/>
      <c r="G1244" s="479"/>
      <c r="H1244" s="479"/>
      <c r="I1244" s="479"/>
      <c r="J1244" s="479"/>
      <c r="K1244" s="479"/>
      <c r="L1244" s="515"/>
      <c r="M1244" s="479"/>
      <c r="N1244" s="479"/>
      <c r="O1244" s="479"/>
      <c r="P1244" s="515"/>
      <c r="Q1244" s="479"/>
      <c r="R1244" s="516"/>
      <c r="S1244" s="479"/>
      <c r="T1244" s="515"/>
      <c r="U1244" s="517"/>
      <c r="V1244" s="282"/>
      <c r="W1244" s="282"/>
      <c r="X1244" s="282"/>
    </row>
    <row r="1245" spans="1:24" s="23" customFormat="1">
      <c r="A1245" s="470"/>
      <c r="B1245" s="699"/>
      <c r="C1245" s="479"/>
      <c r="D1245" s="479"/>
      <c r="E1245" s="479"/>
      <c r="F1245" s="479"/>
      <c r="G1245" s="479"/>
      <c r="H1245" s="479"/>
      <c r="I1245" s="479"/>
      <c r="J1245" s="479"/>
      <c r="K1245" s="479"/>
      <c r="L1245" s="515"/>
      <c r="M1245" s="479"/>
      <c r="N1245" s="479"/>
      <c r="O1245" s="479"/>
      <c r="P1245" s="515"/>
      <c r="Q1245" s="479"/>
      <c r="R1245" s="516"/>
      <c r="S1245" s="479"/>
      <c r="T1245" s="515"/>
      <c r="U1245" s="517"/>
      <c r="V1245" s="282"/>
      <c r="W1245" s="282"/>
      <c r="X1245" s="282"/>
    </row>
    <row r="1246" spans="1:24" s="23" customFormat="1">
      <c r="A1246" s="470"/>
      <c r="B1246" s="699"/>
      <c r="C1246" s="479"/>
      <c r="D1246" s="479"/>
      <c r="E1246" s="479"/>
      <c r="F1246" s="479"/>
      <c r="G1246" s="479"/>
      <c r="H1246" s="479"/>
      <c r="I1246" s="479"/>
      <c r="J1246" s="479"/>
      <c r="K1246" s="479"/>
      <c r="L1246" s="515"/>
      <c r="M1246" s="479"/>
      <c r="N1246" s="479"/>
      <c r="O1246" s="479"/>
      <c r="P1246" s="515"/>
      <c r="Q1246" s="479"/>
      <c r="R1246" s="516"/>
      <c r="S1246" s="479"/>
      <c r="T1246" s="515"/>
      <c r="U1246" s="517"/>
      <c r="V1246" s="282"/>
      <c r="W1246" s="282"/>
      <c r="X1246" s="282"/>
    </row>
    <row r="1247" spans="1:24" s="23" customFormat="1">
      <c r="A1247" s="470"/>
      <c r="B1247" s="699"/>
      <c r="C1247" s="479"/>
      <c r="D1247" s="479"/>
      <c r="E1247" s="479"/>
      <c r="F1247" s="479"/>
      <c r="G1247" s="479"/>
      <c r="H1247" s="479"/>
      <c r="I1247" s="479"/>
      <c r="J1247" s="479"/>
      <c r="K1247" s="479"/>
      <c r="L1247" s="515"/>
      <c r="M1247" s="479"/>
      <c r="N1247" s="479"/>
      <c r="O1247" s="479"/>
      <c r="P1247" s="515"/>
      <c r="Q1247" s="479"/>
      <c r="R1247" s="516"/>
      <c r="S1247" s="479"/>
      <c r="T1247" s="515"/>
      <c r="U1247" s="517"/>
      <c r="V1247" s="282"/>
      <c r="W1247" s="282"/>
      <c r="X1247" s="282"/>
    </row>
    <row r="1248" spans="1:24" s="23" customFormat="1">
      <c r="A1248" s="470"/>
      <c r="B1248" s="699"/>
      <c r="C1248" s="479"/>
      <c r="D1248" s="479"/>
      <c r="E1248" s="479"/>
      <c r="F1248" s="479"/>
      <c r="G1248" s="479"/>
      <c r="H1248" s="479"/>
      <c r="I1248" s="479"/>
      <c r="J1248" s="479"/>
      <c r="K1248" s="479"/>
      <c r="L1248" s="515"/>
      <c r="M1248" s="479"/>
      <c r="N1248" s="479"/>
      <c r="O1248" s="479"/>
      <c r="P1248" s="515"/>
      <c r="Q1248" s="479"/>
      <c r="R1248" s="516"/>
      <c r="S1248" s="479"/>
      <c r="T1248" s="515"/>
      <c r="U1248" s="517"/>
      <c r="V1248" s="282"/>
      <c r="W1248" s="282"/>
      <c r="X1248" s="282"/>
    </row>
    <row r="1249" spans="1:32" s="23" customFormat="1">
      <c r="A1249" s="470"/>
      <c r="B1249" s="699"/>
      <c r="C1249" s="479"/>
      <c r="D1249" s="479"/>
      <c r="E1249" s="479"/>
      <c r="F1249" s="479"/>
      <c r="G1249" s="479"/>
      <c r="H1249" s="479"/>
      <c r="I1249" s="479"/>
      <c r="J1249" s="479"/>
      <c r="K1249" s="479"/>
      <c r="L1249" s="515"/>
      <c r="M1249" s="479"/>
      <c r="N1249" s="479"/>
      <c r="O1249" s="479"/>
      <c r="P1249" s="515"/>
      <c r="Q1249" s="479"/>
      <c r="R1249" s="516"/>
      <c r="S1249" s="479"/>
      <c r="T1249" s="515"/>
      <c r="U1249" s="517"/>
      <c r="V1249" s="282"/>
      <c r="W1249" s="282"/>
      <c r="X1249" s="282"/>
    </row>
    <row r="1250" spans="1:32" s="23" customFormat="1">
      <c r="A1250" s="470"/>
      <c r="B1250" s="699"/>
      <c r="C1250" s="479"/>
      <c r="D1250" s="479"/>
      <c r="E1250" s="479"/>
      <c r="F1250" s="479"/>
      <c r="G1250" s="479"/>
      <c r="H1250" s="479"/>
      <c r="I1250" s="479"/>
      <c r="J1250" s="479"/>
      <c r="K1250" s="479"/>
      <c r="L1250" s="515"/>
      <c r="M1250" s="479"/>
      <c r="N1250" s="479"/>
      <c r="O1250" s="479"/>
      <c r="P1250" s="515"/>
      <c r="Q1250" s="479"/>
      <c r="R1250" s="516"/>
      <c r="S1250" s="479"/>
      <c r="T1250" s="515"/>
      <c r="U1250" s="517"/>
      <c r="V1250" s="282"/>
      <c r="W1250" s="282"/>
      <c r="X1250" s="282"/>
    </row>
    <row r="1251" spans="1:32" s="23" customFormat="1">
      <c r="A1251" s="470"/>
      <c r="B1251" s="699"/>
      <c r="C1251" s="479"/>
      <c r="D1251" s="479"/>
      <c r="E1251" s="479"/>
      <c r="F1251" s="479"/>
      <c r="G1251" s="479"/>
      <c r="H1251" s="479"/>
      <c r="I1251" s="479"/>
      <c r="J1251" s="479"/>
      <c r="K1251" s="479"/>
      <c r="L1251" s="515"/>
      <c r="M1251" s="479"/>
      <c r="N1251" s="479"/>
      <c r="O1251" s="479"/>
      <c r="P1251" s="515"/>
      <c r="Q1251" s="479"/>
      <c r="R1251" s="516"/>
      <c r="S1251" s="479"/>
      <c r="T1251" s="515"/>
      <c r="U1251" s="517"/>
      <c r="V1251" s="282"/>
      <c r="W1251" s="282"/>
      <c r="X1251" s="282"/>
    </row>
    <row r="1252" spans="1:32" s="23" customFormat="1">
      <c r="A1252" s="470"/>
      <c r="B1252" s="699"/>
      <c r="C1252" s="479"/>
      <c r="D1252" s="479"/>
      <c r="E1252" s="479"/>
      <c r="F1252" s="479"/>
      <c r="G1252" s="479"/>
      <c r="H1252" s="479"/>
      <c r="I1252" s="479"/>
      <c r="J1252" s="479"/>
      <c r="K1252" s="479"/>
      <c r="L1252" s="515"/>
      <c r="M1252" s="479"/>
      <c r="N1252" s="479"/>
      <c r="O1252" s="479"/>
      <c r="P1252" s="515"/>
      <c r="Q1252" s="479"/>
      <c r="R1252" s="516"/>
      <c r="S1252" s="479"/>
      <c r="T1252" s="515"/>
      <c r="U1252" s="517"/>
      <c r="V1252" s="282"/>
      <c r="W1252" s="282"/>
      <c r="X1252" s="282"/>
    </row>
    <row r="1253" spans="1:32" s="23" customFormat="1">
      <c r="A1253" s="470"/>
      <c r="B1253" s="699"/>
      <c r="C1253" s="479"/>
      <c r="D1253" s="479"/>
      <c r="E1253" s="479"/>
      <c r="F1253" s="479"/>
      <c r="G1253" s="479"/>
      <c r="H1253" s="479"/>
      <c r="I1253" s="479"/>
      <c r="J1253" s="479"/>
      <c r="K1253" s="479"/>
      <c r="L1253" s="515"/>
      <c r="M1253" s="479"/>
      <c r="N1253" s="479"/>
      <c r="O1253" s="479"/>
      <c r="P1253" s="515"/>
      <c r="Q1253" s="479"/>
      <c r="R1253" s="516"/>
      <c r="S1253" s="479"/>
      <c r="T1253" s="515"/>
      <c r="U1253" s="517"/>
      <c r="V1253" s="282"/>
      <c r="W1253" s="282"/>
      <c r="X1253" s="282"/>
    </row>
    <row r="1254" spans="1:32" s="23" customFormat="1">
      <c r="A1254" s="470"/>
      <c r="B1254" s="699"/>
      <c r="C1254" s="479"/>
      <c r="D1254" s="479"/>
      <c r="E1254" s="479"/>
      <c r="F1254" s="479"/>
      <c r="G1254" s="479"/>
      <c r="H1254" s="479"/>
      <c r="I1254" s="479"/>
      <c r="J1254" s="479"/>
      <c r="K1254" s="479"/>
      <c r="L1254" s="515"/>
      <c r="M1254" s="479"/>
      <c r="N1254" s="479"/>
      <c r="O1254" s="479"/>
      <c r="P1254" s="515"/>
      <c r="Q1254" s="479"/>
      <c r="R1254" s="516"/>
      <c r="S1254" s="479"/>
      <c r="T1254" s="515"/>
      <c r="U1254" s="517"/>
      <c r="V1254" s="282"/>
      <c r="W1254" s="282"/>
      <c r="X1254" s="282"/>
    </row>
    <row r="1255" spans="1:32" s="23" customFormat="1">
      <c r="A1255" s="470"/>
      <c r="B1255" s="699"/>
      <c r="C1255" s="479"/>
      <c r="D1255" s="479"/>
      <c r="E1255" s="479"/>
      <c r="F1255" s="479"/>
      <c r="G1255" s="479"/>
      <c r="H1255" s="479"/>
      <c r="I1255" s="479"/>
      <c r="J1255" s="479"/>
      <c r="K1255" s="479"/>
      <c r="L1255" s="515"/>
      <c r="M1255" s="479"/>
      <c r="N1255" s="479"/>
      <c r="O1255" s="479"/>
      <c r="P1255" s="515"/>
      <c r="Q1255" s="479"/>
      <c r="R1255" s="516"/>
      <c r="S1255" s="479"/>
      <c r="T1255" s="515"/>
      <c r="U1255" s="517"/>
      <c r="V1255" s="282"/>
      <c r="W1255" s="282"/>
      <c r="X1255" s="282"/>
    </row>
    <row r="1256" spans="1:32" s="23" customFormat="1">
      <c r="A1256" s="470"/>
      <c r="B1256" s="699"/>
      <c r="C1256" s="479"/>
      <c r="D1256" s="479"/>
      <c r="E1256" s="479"/>
      <c r="F1256" s="479"/>
      <c r="G1256" s="479"/>
      <c r="H1256" s="479"/>
      <c r="I1256" s="479"/>
      <c r="J1256" s="479"/>
      <c r="K1256" s="479"/>
      <c r="L1256" s="515"/>
      <c r="M1256" s="479"/>
      <c r="N1256" s="479"/>
      <c r="O1256" s="479"/>
      <c r="P1256" s="515"/>
      <c r="Q1256" s="479"/>
      <c r="R1256" s="516"/>
      <c r="S1256" s="479"/>
      <c r="T1256" s="515"/>
      <c r="U1256" s="517"/>
      <c r="V1256" s="282"/>
      <c r="W1256" s="282"/>
      <c r="X1256" s="282"/>
    </row>
    <row r="1257" spans="1:32" s="23" customFormat="1">
      <c r="A1257" s="470"/>
      <c r="B1257" s="699"/>
      <c r="C1257" s="479"/>
      <c r="D1257" s="479"/>
      <c r="E1257" s="479"/>
      <c r="F1257" s="479"/>
      <c r="G1257" s="479"/>
      <c r="H1257" s="479"/>
      <c r="I1257" s="479"/>
      <c r="J1257" s="479"/>
      <c r="K1257" s="479"/>
      <c r="L1257" s="515"/>
      <c r="M1257" s="479"/>
      <c r="N1257" s="479"/>
      <c r="O1257" s="479"/>
      <c r="P1257" s="515"/>
      <c r="Q1257" s="479"/>
      <c r="R1257" s="516"/>
      <c r="S1257" s="479"/>
      <c r="T1257" s="515"/>
      <c r="U1257" s="517"/>
      <c r="V1257" s="282"/>
      <c r="W1257" s="282"/>
      <c r="X1257" s="282"/>
    </row>
    <row r="1258" spans="1:32" s="23" customFormat="1">
      <c r="A1258" s="470"/>
      <c r="B1258" s="699"/>
      <c r="C1258" s="479"/>
      <c r="D1258" s="479"/>
      <c r="E1258" s="479"/>
      <c r="F1258" s="479"/>
      <c r="G1258" s="479"/>
      <c r="H1258" s="479"/>
      <c r="I1258" s="479"/>
      <c r="J1258" s="479"/>
      <c r="K1258" s="479"/>
      <c r="L1258" s="515"/>
      <c r="M1258" s="479"/>
      <c r="N1258" s="479"/>
      <c r="O1258" s="479"/>
      <c r="P1258" s="515"/>
      <c r="Q1258" s="479"/>
      <c r="R1258" s="516"/>
      <c r="S1258" s="479"/>
      <c r="T1258" s="515"/>
      <c r="U1258" s="517"/>
      <c r="V1258" s="282"/>
      <c r="W1258" s="282"/>
      <c r="X1258" s="282"/>
    </row>
    <row r="1259" spans="1:32" s="23" customFormat="1">
      <c r="A1259" s="470"/>
      <c r="B1259" s="699"/>
      <c r="C1259" s="479"/>
      <c r="D1259" s="479"/>
      <c r="E1259" s="479"/>
      <c r="F1259" s="479"/>
      <c r="G1259" s="479"/>
      <c r="H1259" s="479"/>
      <c r="I1259" s="479"/>
      <c r="J1259" s="479"/>
      <c r="K1259" s="479"/>
      <c r="L1259" s="515"/>
      <c r="M1259" s="479"/>
      <c r="N1259" s="479"/>
      <c r="O1259" s="479"/>
      <c r="P1259" s="515"/>
      <c r="Q1259" s="479"/>
      <c r="R1259" s="516"/>
      <c r="S1259" s="479"/>
      <c r="T1259" s="515"/>
      <c r="U1259" s="517"/>
      <c r="V1259" s="282"/>
      <c r="W1259" s="282"/>
      <c r="X1259" s="282"/>
    </row>
    <row r="1260" spans="1:32" s="23" customFormat="1">
      <c r="A1260" s="470"/>
      <c r="B1260" s="699"/>
      <c r="C1260" s="479"/>
      <c r="D1260" s="479"/>
      <c r="E1260" s="479"/>
      <c r="F1260" s="479"/>
      <c r="G1260" s="479"/>
      <c r="H1260" s="479"/>
      <c r="I1260" s="479"/>
      <c r="J1260" s="479"/>
      <c r="K1260" s="479"/>
      <c r="L1260" s="515"/>
      <c r="M1260" s="479"/>
      <c r="N1260" s="479"/>
      <c r="O1260" s="479"/>
      <c r="P1260" s="515"/>
      <c r="Q1260" s="479"/>
      <c r="R1260" s="516"/>
      <c r="S1260" s="479"/>
      <c r="T1260" s="515"/>
      <c r="U1260" s="517"/>
      <c r="V1260" s="282"/>
      <c r="W1260" s="282"/>
      <c r="X1260" s="282"/>
    </row>
    <row r="1261" spans="1:32" s="23" customFormat="1">
      <c r="A1261" s="470"/>
      <c r="B1261" s="699"/>
      <c r="C1261" s="479"/>
      <c r="D1261" s="479"/>
      <c r="E1261" s="479"/>
      <c r="F1261" s="479"/>
      <c r="G1261" s="479"/>
      <c r="H1261" s="479"/>
      <c r="I1261" s="479"/>
      <c r="J1261" s="479"/>
      <c r="K1261" s="479"/>
      <c r="L1261" s="515"/>
      <c r="M1261" s="479"/>
      <c r="N1261" s="479"/>
      <c r="O1261" s="479"/>
      <c r="P1261" s="515"/>
      <c r="Q1261" s="479"/>
      <c r="R1261" s="516"/>
      <c r="S1261" s="479"/>
      <c r="T1261" s="515"/>
      <c r="U1261" s="517"/>
      <c r="V1261" s="282"/>
      <c r="W1261" s="282"/>
      <c r="X1261" s="282"/>
    </row>
    <row r="1262" spans="1:32" ht="18.75" customHeight="1">
      <c r="A1262" s="198"/>
      <c r="B1262" s="214" t="s">
        <v>94</v>
      </c>
      <c r="C1262" s="211">
        <f>C1263+C1264</f>
        <v>2634518</v>
      </c>
      <c r="D1262" s="211">
        <f t="shared" ref="D1262:V1262" si="190">D1263+D1264</f>
        <v>0</v>
      </c>
      <c r="E1262" s="211">
        <f t="shared" si="190"/>
        <v>0</v>
      </c>
      <c r="F1262" s="211">
        <f t="shared" si="190"/>
        <v>0</v>
      </c>
      <c r="G1262" s="211">
        <f t="shared" si="190"/>
        <v>0</v>
      </c>
      <c r="H1262" s="211">
        <f t="shared" si="190"/>
        <v>0</v>
      </c>
      <c r="I1262" s="211">
        <f t="shared" si="190"/>
        <v>0</v>
      </c>
      <c r="J1262" s="211">
        <f t="shared" si="190"/>
        <v>0</v>
      </c>
      <c r="K1262" s="211">
        <f t="shared" si="190"/>
        <v>0</v>
      </c>
      <c r="L1262" s="211">
        <f t="shared" si="190"/>
        <v>1</v>
      </c>
      <c r="M1262" s="211">
        <f t="shared" si="190"/>
        <v>1960022</v>
      </c>
      <c r="N1262" s="211">
        <f t="shared" si="190"/>
        <v>0</v>
      </c>
      <c r="O1262" s="211">
        <f t="shared" si="190"/>
        <v>0</v>
      </c>
      <c r="P1262" s="211">
        <f t="shared" si="190"/>
        <v>0</v>
      </c>
      <c r="Q1262" s="211">
        <f t="shared" si="190"/>
        <v>0</v>
      </c>
      <c r="R1262" s="211">
        <f t="shared" si="190"/>
        <v>438.6</v>
      </c>
      <c r="S1262" s="211">
        <f t="shared" si="190"/>
        <v>674496</v>
      </c>
      <c r="T1262" s="211">
        <f t="shared" si="190"/>
        <v>0</v>
      </c>
      <c r="U1262" s="211">
        <f t="shared" si="190"/>
        <v>0</v>
      </c>
      <c r="V1262" s="211">
        <f t="shared" si="190"/>
        <v>0</v>
      </c>
      <c r="W1262" s="282"/>
      <c r="X1262" s="282"/>
      <c r="Y1262" s="10"/>
      <c r="Z1262" s="10"/>
      <c r="AA1262" s="10"/>
      <c r="AB1262" s="10"/>
    </row>
    <row r="1263" spans="1:32" s="5" customFormat="1">
      <c r="A1263" s="470"/>
      <c r="B1263" s="471" t="s">
        <v>976</v>
      </c>
      <c r="C1263" s="472">
        <f>'часть 1'!L1296</f>
        <v>1960022</v>
      </c>
      <c r="D1263" s="472">
        <v>0</v>
      </c>
      <c r="E1263" s="472">
        <v>0</v>
      </c>
      <c r="F1263" s="472">
        <v>0</v>
      </c>
      <c r="G1263" s="472">
        <v>0</v>
      </c>
      <c r="H1263" s="472">
        <v>0</v>
      </c>
      <c r="I1263" s="472">
        <v>0</v>
      </c>
      <c r="J1263" s="472">
        <v>0</v>
      </c>
      <c r="K1263" s="472">
        <v>0</v>
      </c>
      <c r="L1263" s="473">
        <v>1</v>
      </c>
      <c r="M1263" s="472">
        <v>1960022</v>
      </c>
      <c r="N1263" s="472">
        <v>0</v>
      </c>
      <c r="O1263" s="472">
        <v>0</v>
      </c>
      <c r="P1263" s="473">
        <v>0</v>
      </c>
      <c r="Q1263" s="472">
        <v>0</v>
      </c>
      <c r="R1263" s="474">
        <v>0</v>
      </c>
      <c r="S1263" s="475">
        <v>0</v>
      </c>
      <c r="T1263" s="476">
        <v>0</v>
      </c>
      <c r="U1263" s="477">
        <v>0</v>
      </c>
      <c r="V1263" s="282"/>
      <c r="W1263" s="282"/>
      <c r="X1263" s="282"/>
      <c r="Y1263" s="24"/>
      <c r="Z1263" s="24"/>
      <c r="AA1263" s="8"/>
      <c r="AB1263" s="8"/>
      <c r="AF1263" s="5">
        <f>M1263/L1263</f>
        <v>1960022</v>
      </c>
    </row>
    <row r="1264" spans="1:32" s="5" customFormat="1">
      <c r="A1264" s="470"/>
      <c r="B1264" s="471" t="s">
        <v>977</v>
      </c>
      <c r="C1264" s="472">
        <f>'часть 1'!L1297</f>
        <v>674496</v>
      </c>
      <c r="D1264" s="472">
        <v>0</v>
      </c>
      <c r="E1264" s="472">
        <v>0</v>
      </c>
      <c r="F1264" s="472">
        <v>0</v>
      </c>
      <c r="G1264" s="472">
        <v>0</v>
      </c>
      <c r="H1264" s="472">
        <v>0</v>
      </c>
      <c r="I1264" s="472">
        <v>0</v>
      </c>
      <c r="J1264" s="472">
        <v>0</v>
      </c>
      <c r="K1264" s="472">
        <v>0</v>
      </c>
      <c r="L1264" s="473">
        <v>0</v>
      </c>
      <c r="M1264" s="472">
        <v>0</v>
      </c>
      <c r="N1264" s="472">
        <v>0</v>
      </c>
      <c r="O1264" s="472">
        <v>0</v>
      </c>
      <c r="P1264" s="473">
        <v>0</v>
      </c>
      <c r="Q1264" s="472">
        <v>0</v>
      </c>
      <c r="R1264" s="474">
        <v>438.6</v>
      </c>
      <c r="S1264" s="475">
        <v>674496</v>
      </c>
      <c r="T1264" s="476">
        <v>0</v>
      </c>
      <c r="U1264" s="477">
        <v>0</v>
      </c>
      <c r="V1264" s="282"/>
      <c r="W1264" s="282"/>
      <c r="X1264" s="282">
        <f>S1264/R1264</f>
        <v>1537.8385772913816</v>
      </c>
      <c r="Y1264" s="24"/>
      <c r="Z1264" s="24"/>
      <c r="AA1264" s="8"/>
      <c r="AB1264" s="8"/>
    </row>
    <row r="1265" spans="1:30" s="5" customFormat="1">
      <c r="A1265" s="470"/>
      <c r="B1265" s="471"/>
      <c r="C1265" s="472"/>
      <c r="D1265" s="472"/>
      <c r="E1265" s="472"/>
      <c r="F1265" s="472"/>
      <c r="G1265" s="472"/>
      <c r="H1265" s="472"/>
      <c r="I1265" s="472"/>
      <c r="J1265" s="472"/>
      <c r="K1265" s="472"/>
      <c r="L1265" s="473"/>
      <c r="M1265" s="472"/>
      <c r="N1265" s="472"/>
      <c r="O1265" s="472"/>
      <c r="P1265" s="473"/>
      <c r="Q1265" s="472"/>
      <c r="R1265" s="474"/>
      <c r="S1265" s="475"/>
      <c r="T1265" s="476"/>
      <c r="U1265" s="477"/>
      <c r="V1265" s="282"/>
      <c r="W1265" s="282"/>
      <c r="X1265" s="282"/>
      <c r="Y1265" s="24"/>
      <c r="Z1265" s="24"/>
      <c r="AA1265" s="8"/>
      <c r="AB1265" s="8"/>
    </row>
    <row r="1266" spans="1:30" s="5" customFormat="1">
      <c r="A1266" s="470"/>
      <c r="B1266" s="478"/>
      <c r="C1266" s="472"/>
      <c r="D1266" s="472"/>
      <c r="E1266" s="472"/>
      <c r="F1266" s="472"/>
      <c r="G1266" s="472"/>
      <c r="H1266" s="472"/>
      <c r="I1266" s="472"/>
      <c r="J1266" s="472"/>
      <c r="K1266" s="472"/>
      <c r="L1266" s="473"/>
      <c r="M1266" s="472"/>
      <c r="N1266" s="472"/>
      <c r="O1266" s="472"/>
      <c r="P1266" s="473"/>
      <c r="Q1266" s="472"/>
      <c r="R1266" s="474"/>
      <c r="S1266" s="475"/>
      <c r="T1266" s="476"/>
      <c r="U1266" s="477"/>
      <c r="V1266" s="282"/>
      <c r="W1266" s="282"/>
      <c r="X1266" s="282"/>
      <c r="Y1266" s="24"/>
      <c r="Z1266" s="24"/>
      <c r="AA1266" s="8"/>
      <c r="AB1266" s="8"/>
    </row>
    <row r="1267" spans="1:30" s="5" customFormat="1">
      <c r="A1267" s="470"/>
      <c r="B1267" s="471"/>
      <c r="C1267" s="472"/>
      <c r="D1267" s="472"/>
      <c r="E1267" s="472"/>
      <c r="F1267" s="472"/>
      <c r="G1267" s="472"/>
      <c r="H1267" s="472"/>
      <c r="I1267" s="472"/>
      <c r="J1267" s="472"/>
      <c r="K1267" s="472"/>
      <c r="L1267" s="473"/>
      <c r="M1267" s="472"/>
      <c r="N1267" s="479"/>
      <c r="O1267" s="472"/>
      <c r="P1267" s="473"/>
      <c r="Q1267" s="472"/>
      <c r="R1267" s="474"/>
      <c r="S1267" s="475"/>
      <c r="T1267" s="476"/>
      <c r="U1267" s="477"/>
      <c r="V1267" s="282"/>
      <c r="W1267" s="282"/>
      <c r="X1267" s="282"/>
      <c r="Y1267" s="24"/>
      <c r="Z1267" s="24"/>
      <c r="AA1267" s="8"/>
      <c r="AB1267" s="8"/>
    </row>
    <row r="1268" spans="1:30" s="5" customFormat="1">
      <c r="A1268" s="470"/>
      <c r="B1268" s="471"/>
      <c r="C1268" s="472"/>
      <c r="D1268" s="472"/>
      <c r="E1268" s="472"/>
      <c r="F1268" s="472"/>
      <c r="G1268" s="472"/>
      <c r="H1268" s="472"/>
      <c r="I1268" s="472"/>
      <c r="J1268" s="472"/>
      <c r="K1268" s="472"/>
      <c r="L1268" s="473"/>
      <c r="M1268" s="472"/>
      <c r="N1268" s="472"/>
      <c r="O1268" s="472"/>
      <c r="P1268" s="473"/>
      <c r="Q1268" s="472"/>
      <c r="R1268" s="474"/>
      <c r="S1268" s="475"/>
      <c r="T1268" s="476"/>
      <c r="U1268" s="477"/>
      <c r="V1268" s="282"/>
      <c r="W1268" s="282"/>
      <c r="X1268" s="282"/>
      <c r="Y1268" s="24"/>
      <c r="Z1268" s="24"/>
      <c r="AA1268" s="8"/>
      <c r="AB1268" s="8"/>
    </row>
    <row r="1269" spans="1:30" s="5" customFormat="1">
      <c r="A1269" s="470"/>
      <c r="B1269" s="471"/>
      <c r="C1269" s="472"/>
      <c r="D1269" s="472"/>
      <c r="E1269" s="472"/>
      <c r="F1269" s="472"/>
      <c r="G1269" s="472"/>
      <c r="H1269" s="472"/>
      <c r="I1269" s="472"/>
      <c r="J1269" s="472"/>
      <c r="K1269" s="472"/>
      <c r="L1269" s="473"/>
      <c r="M1269" s="472"/>
      <c r="N1269" s="472"/>
      <c r="O1269" s="472"/>
      <c r="P1269" s="473"/>
      <c r="Q1269" s="472"/>
      <c r="R1269" s="474"/>
      <c r="S1269" s="475"/>
      <c r="T1269" s="476"/>
      <c r="U1269" s="477"/>
      <c r="V1269" s="282"/>
      <c r="W1269" s="282"/>
      <c r="X1269" s="282"/>
      <c r="Y1269" s="24"/>
      <c r="Z1269" s="24"/>
      <c r="AA1269" s="8"/>
      <c r="AB1269" s="8"/>
    </row>
    <row r="1270" spans="1:30" s="5" customFormat="1">
      <c r="A1270" s="470"/>
      <c r="B1270" s="471"/>
      <c r="C1270" s="472"/>
      <c r="D1270" s="472"/>
      <c r="E1270" s="472"/>
      <c r="F1270" s="472"/>
      <c r="G1270" s="472"/>
      <c r="H1270" s="472"/>
      <c r="I1270" s="472"/>
      <c r="J1270" s="472"/>
      <c r="K1270" s="472"/>
      <c r="L1270" s="473"/>
      <c r="M1270" s="472"/>
      <c r="N1270" s="472"/>
      <c r="O1270" s="472"/>
      <c r="P1270" s="473"/>
      <c r="Q1270" s="472"/>
      <c r="R1270" s="474"/>
      <c r="S1270" s="475"/>
      <c r="T1270" s="476"/>
      <c r="U1270" s="477"/>
      <c r="V1270" s="282"/>
      <c r="W1270" s="282"/>
      <c r="X1270" s="282"/>
      <c r="Y1270" s="24"/>
      <c r="Z1270" s="24"/>
      <c r="AA1270" s="8"/>
      <c r="AB1270" s="8"/>
    </row>
    <row r="1271" spans="1:30" s="5" customFormat="1">
      <c r="A1271" s="470"/>
      <c r="B1271" s="471"/>
      <c r="C1271" s="472"/>
      <c r="D1271" s="472"/>
      <c r="E1271" s="472"/>
      <c r="F1271" s="472"/>
      <c r="G1271" s="472"/>
      <c r="H1271" s="472"/>
      <c r="I1271" s="472"/>
      <c r="J1271" s="472"/>
      <c r="K1271" s="472"/>
      <c r="L1271" s="473"/>
      <c r="M1271" s="472"/>
      <c r="N1271" s="472"/>
      <c r="O1271" s="472"/>
      <c r="P1271" s="473"/>
      <c r="Q1271" s="472"/>
      <c r="R1271" s="474"/>
      <c r="S1271" s="475"/>
      <c r="T1271" s="476"/>
      <c r="U1271" s="477"/>
      <c r="V1271" s="282"/>
      <c r="W1271" s="282"/>
      <c r="X1271" s="282"/>
      <c r="Y1271" s="6"/>
      <c r="Z1271" s="6"/>
      <c r="AA1271" s="7"/>
      <c r="AB1271" s="7"/>
    </row>
    <row r="1272" spans="1:30" s="5" customFormat="1">
      <c r="A1272" s="470"/>
      <c r="B1272" s="480"/>
      <c r="C1272" s="472"/>
      <c r="D1272" s="472"/>
      <c r="E1272" s="472"/>
      <c r="F1272" s="472"/>
      <c r="G1272" s="472"/>
      <c r="H1272" s="472"/>
      <c r="I1272" s="472"/>
      <c r="J1272" s="472"/>
      <c r="K1272" s="472"/>
      <c r="L1272" s="473"/>
      <c r="M1272" s="472"/>
      <c r="N1272" s="472"/>
      <c r="O1272" s="472"/>
      <c r="P1272" s="473"/>
      <c r="Q1272" s="472"/>
      <c r="R1272" s="474"/>
      <c r="S1272" s="475"/>
      <c r="T1272" s="476"/>
      <c r="U1272" s="477"/>
      <c r="V1272" s="282"/>
      <c r="W1272" s="282"/>
      <c r="X1272" s="282"/>
      <c r="Y1272" s="24"/>
      <c r="Z1272" s="24"/>
      <c r="AA1272" s="8"/>
      <c r="AB1272" s="8"/>
    </row>
    <row r="1273" spans="1:30" s="5" customFormat="1">
      <c r="A1273" s="470"/>
      <c r="B1273" s="480"/>
      <c r="C1273" s="472"/>
      <c r="D1273" s="472"/>
      <c r="E1273" s="472"/>
      <c r="F1273" s="472"/>
      <c r="G1273" s="472"/>
      <c r="H1273" s="472"/>
      <c r="I1273" s="472"/>
      <c r="J1273" s="472"/>
      <c r="K1273" s="472"/>
      <c r="L1273" s="473"/>
      <c r="M1273" s="472"/>
      <c r="N1273" s="472"/>
      <c r="O1273" s="472"/>
      <c r="P1273" s="473"/>
      <c r="Q1273" s="472"/>
      <c r="R1273" s="474"/>
      <c r="S1273" s="475"/>
      <c r="T1273" s="476"/>
      <c r="U1273" s="477"/>
      <c r="V1273" s="282"/>
      <c r="W1273" s="282"/>
      <c r="X1273" s="282"/>
      <c r="Y1273" s="24"/>
      <c r="Z1273" s="24"/>
      <c r="AA1273" s="8"/>
      <c r="AB1273" s="8"/>
    </row>
    <row r="1274" spans="1:30" s="5" customFormat="1">
      <c r="A1274" s="470"/>
      <c r="B1274" s="481"/>
      <c r="C1274" s="472"/>
      <c r="D1274" s="472"/>
      <c r="E1274" s="472"/>
      <c r="F1274" s="472"/>
      <c r="G1274" s="472"/>
      <c r="H1274" s="472"/>
      <c r="I1274" s="472"/>
      <c r="J1274" s="472"/>
      <c r="K1274" s="472"/>
      <c r="L1274" s="473"/>
      <c r="M1274" s="472"/>
      <c r="N1274" s="472"/>
      <c r="O1274" s="472"/>
      <c r="P1274" s="473"/>
      <c r="Q1274" s="472"/>
      <c r="R1274" s="474"/>
      <c r="S1274" s="475"/>
      <c r="T1274" s="476"/>
      <c r="U1274" s="477"/>
      <c r="V1274" s="282"/>
      <c r="W1274" s="282"/>
      <c r="X1274" s="282"/>
      <c r="Y1274" s="24"/>
      <c r="Z1274" s="24"/>
      <c r="AA1274" s="8"/>
      <c r="AB1274" s="8"/>
    </row>
    <row r="1275" spans="1:30" ht="18.600000000000001" customHeight="1">
      <c r="A1275" s="470"/>
      <c r="B1275" s="511" t="s">
        <v>123</v>
      </c>
      <c r="C1275" s="512">
        <f>C1276+C1277+C1278</f>
        <v>10007426</v>
      </c>
      <c r="D1275" s="512">
        <f t="shared" ref="D1275:U1275" si="191">D1276+D1277+D1278</f>
        <v>3698811</v>
      </c>
      <c r="E1275" s="512">
        <f t="shared" si="191"/>
        <v>0</v>
      </c>
      <c r="F1275" s="512">
        <f t="shared" si="191"/>
        <v>0</v>
      </c>
      <c r="G1275" s="512">
        <f t="shared" si="191"/>
        <v>0</v>
      </c>
      <c r="H1275" s="512">
        <f t="shared" si="191"/>
        <v>0</v>
      </c>
      <c r="I1275" s="512">
        <f t="shared" si="191"/>
        <v>3698811</v>
      </c>
      <c r="J1275" s="512">
        <f t="shared" si="191"/>
        <v>0</v>
      </c>
      <c r="K1275" s="512">
        <f t="shared" si="191"/>
        <v>0</v>
      </c>
      <c r="L1275" s="512">
        <f t="shared" si="191"/>
        <v>0</v>
      </c>
      <c r="M1275" s="512">
        <f t="shared" si="191"/>
        <v>0</v>
      </c>
      <c r="N1275" s="512">
        <f t="shared" si="191"/>
        <v>2523.1999999999998</v>
      </c>
      <c r="O1275" s="512">
        <f t="shared" si="191"/>
        <v>6308615</v>
      </c>
      <c r="P1275" s="512">
        <f t="shared" si="191"/>
        <v>0</v>
      </c>
      <c r="Q1275" s="512">
        <f t="shared" si="191"/>
        <v>0</v>
      </c>
      <c r="R1275" s="512">
        <f t="shared" si="191"/>
        <v>0</v>
      </c>
      <c r="S1275" s="512">
        <f t="shared" si="191"/>
        <v>0</v>
      </c>
      <c r="T1275" s="512">
        <f t="shared" si="191"/>
        <v>0</v>
      </c>
      <c r="U1275" s="512">
        <f t="shared" si="191"/>
        <v>0</v>
      </c>
      <c r="V1275" s="196" t="e">
        <f>V1276++V1277+#REF!+V1278</f>
        <v>#REF!</v>
      </c>
      <c r="W1275" s="282"/>
      <c r="X1275" s="282"/>
    </row>
    <row r="1276" spans="1:30" ht="15.6">
      <c r="A1276" s="470">
        <v>215</v>
      </c>
      <c r="B1276" s="877" t="s">
        <v>943</v>
      </c>
      <c r="C1276" s="512">
        <f>'часть 1'!L1309</f>
        <v>3237114</v>
      </c>
      <c r="D1276" s="512">
        <f t="shared" ref="D1276:D1278" si="192">E1276+F1276+G1276+H1276+I1276+J1276+K1276</f>
        <v>0</v>
      </c>
      <c r="E1276" s="512">
        <v>0</v>
      </c>
      <c r="F1276" s="512">
        <v>0</v>
      </c>
      <c r="G1276" s="512">
        <v>0</v>
      </c>
      <c r="H1276" s="512">
        <v>0</v>
      </c>
      <c r="I1276" s="512">
        <v>0</v>
      </c>
      <c r="J1276" s="512">
        <v>0</v>
      </c>
      <c r="K1276" s="558">
        <v>0</v>
      </c>
      <c r="L1276" s="651">
        <v>0</v>
      </c>
      <c r="M1276" s="518">
        <v>0</v>
      </c>
      <c r="N1276" s="518">
        <v>1295</v>
      </c>
      <c r="O1276" s="518">
        <v>3237114</v>
      </c>
      <c r="P1276" s="651">
        <v>0</v>
      </c>
      <c r="Q1276" s="518">
        <v>0</v>
      </c>
      <c r="R1276" s="652">
        <v>0</v>
      </c>
      <c r="S1276" s="518">
        <v>0</v>
      </c>
      <c r="T1276" s="651">
        <v>0</v>
      </c>
      <c r="U1276" s="477">
        <v>0</v>
      </c>
      <c r="V1276" s="282"/>
      <c r="W1276" s="282">
        <f>O1276/N1276</f>
        <v>2499.7019305019303</v>
      </c>
      <c r="X1276" s="282"/>
      <c r="AD1276" s="1">
        <f>J1276/'часть 1'!I1309</f>
        <v>0</v>
      </c>
    </row>
    <row r="1277" spans="1:30" ht="15.6">
      <c r="A1277" s="470">
        <v>216</v>
      </c>
      <c r="B1277" s="877" t="s">
        <v>741</v>
      </c>
      <c r="C1277" s="512">
        <f>'часть 1'!L1310</f>
        <v>3071501</v>
      </c>
      <c r="D1277" s="512">
        <f t="shared" si="192"/>
        <v>0</v>
      </c>
      <c r="E1277" s="512">
        <v>0</v>
      </c>
      <c r="F1277" s="512">
        <v>0</v>
      </c>
      <c r="G1277" s="512">
        <v>0</v>
      </c>
      <c r="H1277" s="512">
        <v>0</v>
      </c>
      <c r="I1277" s="512">
        <v>0</v>
      </c>
      <c r="J1277" s="512">
        <v>0</v>
      </c>
      <c r="K1277" s="558">
        <v>0</v>
      </c>
      <c r="L1277" s="651">
        <v>0</v>
      </c>
      <c r="M1277" s="518">
        <v>0</v>
      </c>
      <c r="N1277" s="518">
        <v>1228.2</v>
      </c>
      <c r="O1277" s="518">
        <v>3071501</v>
      </c>
      <c r="P1277" s="651">
        <v>0</v>
      </c>
      <c r="Q1277" s="518">
        <v>0</v>
      </c>
      <c r="R1277" s="652">
        <v>0</v>
      </c>
      <c r="S1277" s="518">
        <v>0</v>
      </c>
      <c r="T1277" s="651">
        <v>0</v>
      </c>
      <c r="U1277" s="477">
        <v>0</v>
      </c>
      <c r="V1277" s="282"/>
      <c r="W1277" s="282">
        <f>O1277/N1277</f>
        <v>2500.8150138413939</v>
      </c>
      <c r="X1277" s="282"/>
    </row>
    <row r="1278" spans="1:30" ht="15.6">
      <c r="A1278" s="470">
        <v>218</v>
      </c>
      <c r="B1278" s="877" t="s">
        <v>742</v>
      </c>
      <c r="C1278" s="512">
        <f>'часть 1'!L1311</f>
        <v>3698811</v>
      </c>
      <c r="D1278" s="512">
        <f t="shared" si="192"/>
        <v>3698811</v>
      </c>
      <c r="E1278" s="512">
        <v>0</v>
      </c>
      <c r="F1278" s="512">
        <v>0</v>
      </c>
      <c r="G1278" s="512">
        <v>0</v>
      </c>
      <c r="H1278" s="512">
        <v>0</v>
      </c>
      <c r="I1278" s="512">
        <v>3698811</v>
      </c>
      <c r="J1278" s="512">
        <v>0</v>
      </c>
      <c r="K1278" s="558">
        <v>0</v>
      </c>
      <c r="L1278" s="651">
        <v>0</v>
      </c>
      <c r="M1278" s="518">
        <v>0</v>
      </c>
      <c r="N1278" s="518">
        <v>0</v>
      </c>
      <c r="O1278" s="518">
        <v>0</v>
      </c>
      <c r="P1278" s="651">
        <v>0</v>
      </c>
      <c r="Q1278" s="518">
        <v>0</v>
      </c>
      <c r="R1278" s="652">
        <v>0</v>
      </c>
      <c r="S1278" s="518">
        <v>0</v>
      </c>
      <c r="T1278" s="651">
        <v>0</v>
      </c>
      <c r="U1278" s="477">
        <v>0</v>
      </c>
      <c r="V1278" s="282"/>
      <c r="W1278" s="282"/>
      <c r="X1278" s="282"/>
      <c r="AC1278" s="1">
        <f>I1278/'часть 1'!I1311</f>
        <v>781.28268712454701</v>
      </c>
    </row>
    <row r="1279" spans="1:30">
      <c r="A1279" s="470"/>
      <c r="B1279" s="524"/>
      <c r="C1279" s="512"/>
      <c r="D1279" s="512"/>
      <c r="E1279" s="512"/>
      <c r="F1279" s="512"/>
      <c r="G1279" s="512"/>
      <c r="H1279" s="512"/>
      <c r="I1279" s="512"/>
      <c r="J1279" s="512"/>
      <c r="K1279" s="512"/>
      <c r="L1279" s="651"/>
      <c r="M1279" s="518"/>
      <c r="N1279" s="518"/>
      <c r="O1279" s="518"/>
      <c r="P1279" s="651"/>
      <c r="Q1279" s="518"/>
      <c r="R1279" s="652"/>
      <c r="S1279" s="518"/>
      <c r="T1279" s="651"/>
      <c r="U1279" s="477"/>
      <c r="V1279" s="282"/>
      <c r="W1279" s="282"/>
      <c r="X1279" s="282"/>
    </row>
    <row r="1280" spans="1:30">
      <c r="A1280" s="470"/>
      <c r="B1280" s="524"/>
      <c r="C1280" s="512"/>
      <c r="D1280" s="512"/>
      <c r="E1280" s="512"/>
      <c r="F1280" s="512"/>
      <c r="G1280" s="512"/>
      <c r="H1280" s="512"/>
      <c r="I1280" s="512"/>
      <c r="J1280" s="512"/>
      <c r="K1280" s="558"/>
      <c r="L1280" s="651"/>
      <c r="M1280" s="518"/>
      <c r="N1280" s="518"/>
      <c r="O1280" s="518"/>
      <c r="P1280" s="651"/>
      <c r="Q1280" s="518"/>
      <c r="R1280" s="652"/>
      <c r="S1280" s="518"/>
      <c r="T1280" s="651"/>
      <c r="U1280" s="477"/>
      <c r="V1280" s="282"/>
      <c r="W1280" s="282"/>
      <c r="X1280" s="282"/>
    </row>
    <row r="1281" spans="1:24">
      <c r="A1281" s="470"/>
      <c r="B1281" s="524"/>
      <c r="C1281" s="512"/>
      <c r="D1281" s="512"/>
      <c r="E1281" s="512"/>
      <c r="F1281" s="512"/>
      <c r="G1281" s="512"/>
      <c r="H1281" s="512"/>
      <c r="I1281" s="512"/>
      <c r="J1281" s="512"/>
      <c r="K1281" s="512"/>
      <c r="L1281" s="651"/>
      <c r="M1281" s="518"/>
      <c r="N1281" s="518"/>
      <c r="O1281" s="518"/>
      <c r="P1281" s="651"/>
      <c r="Q1281" s="518"/>
      <c r="R1281" s="652"/>
      <c r="S1281" s="518"/>
      <c r="T1281" s="651"/>
      <c r="U1281" s="477"/>
      <c r="V1281" s="282"/>
      <c r="W1281" s="282"/>
      <c r="X1281" s="282"/>
    </row>
    <row r="1282" spans="1:24">
      <c r="A1282" s="470"/>
      <c r="B1282" s="524"/>
      <c r="C1282" s="512"/>
      <c r="D1282" s="512"/>
      <c r="E1282" s="512"/>
      <c r="F1282" s="512"/>
      <c r="G1282" s="512"/>
      <c r="H1282" s="512"/>
      <c r="I1282" s="512"/>
      <c r="J1282" s="512"/>
      <c r="K1282" s="512"/>
      <c r="L1282" s="651"/>
      <c r="M1282" s="518"/>
      <c r="N1282" s="518"/>
      <c r="O1282" s="518"/>
      <c r="P1282" s="651"/>
      <c r="Q1282" s="518"/>
      <c r="R1282" s="652"/>
      <c r="S1282" s="518"/>
      <c r="T1282" s="651"/>
      <c r="U1282" s="477"/>
      <c r="V1282" s="282"/>
      <c r="W1282" s="282"/>
      <c r="X1282" s="282"/>
    </row>
    <row r="1283" spans="1:24">
      <c r="A1283" s="470"/>
      <c r="B1283" s="524"/>
      <c r="C1283" s="512"/>
      <c r="D1283" s="512"/>
      <c r="E1283" s="512"/>
      <c r="F1283" s="512"/>
      <c r="G1283" s="512"/>
      <c r="H1283" s="512"/>
      <c r="I1283" s="512"/>
      <c r="J1283" s="512"/>
      <c r="K1283" s="558"/>
      <c r="L1283" s="651"/>
      <c r="M1283" s="518"/>
      <c r="N1283" s="518"/>
      <c r="O1283" s="518"/>
      <c r="P1283" s="651"/>
      <c r="Q1283" s="518"/>
      <c r="R1283" s="652"/>
      <c r="S1283" s="518"/>
      <c r="T1283" s="651"/>
      <c r="U1283" s="477"/>
      <c r="V1283" s="282"/>
      <c r="W1283" s="282"/>
      <c r="X1283" s="282"/>
    </row>
    <row r="1284" spans="1:24">
      <c r="A1284" s="470"/>
      <c r="B1284" s="524"/>
      <c r="C1284" s="512"/>
      <c r="D1284" s="512"/>
      <c r="E1284" s="512"/>
      <c r="F1284" s="512"/>
      <c r="G1284" s="512"/>
      <c r="H1284" s="512"/>
      <c r="I1284" s="512"/>
      <c r="J1284" s="512"/>
      <c r="K1284" s="558"/>
      <c r="L1284" s="651"/>
      <c r="M1284" s="518"/>
      <c r="N1284" s="518"/>
      <c r="O1284" s="518"/>
      <c r="P1284" s="651"/>
      <c r="Q1284" s="518"/>
      <c r="R1284" s="652"/>
      <c r="S1284" s="518"/>
      <c r="T1284" s="651"/>
      <c r="U1284" s="477"/>
      <c r="V1284" s="282"/>
      <c r="W1284" s="282"/>
      <c r="X1284" s="282"/>
    </row>
    <row r="1285" spans="1:24">
      <c r="A1285" s="470"/>
      <c r="B1285" s="524"/>
      <c r="C1285" s="512"/>
      <c r="D1285" s="512"/>
      <c r="E1285" s="512"/>
      <c r="F1285" s="512"/>
      <c r="G1285" s="512"/>
      <c r="H1285" s="512"/>
      <c r="I1285" s="512"/>
      <c r="J1285" s="512"/>
      <c r="K1285" s="558"/>
      <c r="L1285" s="651"/>
      <c r="M1285" s="518"/>
      <c r="N1285" s="518"/>
      <c r="O1285" s="518"/>
      <c r="P1285" s="651"/>
      <c r="Q1285" s="518"/>
      <c r="R1285" s="652"/>
      <c r="S1285" s="518"/>
      <c r="T1285" s="651"/>
      <c r="U1285" s="477"/>
      <c r="V1285" s="282"/>
      <c r="W1285" s="282"/>
      <c r="X1285" s="282"/>
    </row>
    <row r="1286" spans="1:24">
      <c r="A1286" s="470"/>
      <c r="B1286" s="524"/>
      <c r="C1286" s="512"/>
      <c r="D1286" s="512"/>
      <c r="E1286" s="512"/>
      <c r="F1286" s="512"/>
      <c r="G1286" s="512"/>
      <c r="H1286" s="512"/>
      <c r="I1286" s="512"/>
      <c r="J1286" s="512"/>
      <c r="K1286" s="558"/>
      <c r="L1286" s="651"/>
      <c r="M1286" s="518"/>
      <c r="N1286" s="518"/>
      <c r="O1286" s="518"/>
      <c r="P1286" s="651"/>
      <c r="Q1286" s="518"/>
      <c r="R1286" s="652"/>
      <c r="S1286" s="518"/>
      <c r="T1286" s="651"/>
      <c r="U1286" s="477"/>
      <c r="V1286" s="282"/>
      <c r="W1286" s="282"/>
      <c r="X1286" s="282"/>
    </row>
    <row r="1287" spans="1:24">
      <c r="A1287" s="470"/>
      <c r="B1287" s="524"/>
      <c r="C1287" s="512"/>
      <c r="D1287" s="512"/>
      <c r="E1287" s="512"/>
      <c r="F1287" s="512"/>
      <c r="G1287" s="512"/>
      <c r="H1287" s="512"/>
      <c r="I1287" s="512"/>
      <c r="J1287" s="512"/>
      <c r="K1287" s="558"/>
      <c r="L1287" s="651"/>
      <c r="M1287" s="518"/>
      <c r="N1287" s="518"/>
      <c r="O1287" s="518"/>
      <c r="P1287" s="651"/>
      <c r="Q1287" s="518"/>
      <c r="R1287" s="652"/>
      <c r="S1287" s="518"/>
      <c r="T1287" s="651"/>
      <c r="U1287" s="477"/>
      <c r="V1287" s="282"/>
      <c r="W1287" s="282"/>
      <c r="X1287" s="282"/>
    </row>
    <row r="1288" spans="1:24" ht="18.600000000000001" customHeight="1">
      <c r="A1288" s="470"/>
      <c r="B1288" s="524" t="s">
        <v>864</v>
      </c>
      <c r="C1288" s="512">
        <f>C1289</f>
        <v>1112894</v>
      </c>
      <c r="D1288" s="512">
        <f t="shared" ref="D1288:V1288" si="193">D1289</f>
        <v>0</v>
      </c>
      <c r="E1288" s="512">
        <f t="shared" si="193"/>
        <v>0</v>
      </c>
      <c r="F1288" s="512">
        <f t="shared" si="193"/>
        <v>0</v>
      </c>
      <c r="G1288" s="512">
        <f t="shared" si="193"/>
        <v>0</v>
      </c>
      <c r="H1288" s="512">
        <f t="shared" si="193"/>
        <v>0</v>
      </c>
      <c r="I1288" s="512">
        <f t="shared" si="193"/>
        <v>0</v>
      </c>
      <c r="J1288" s="512">
        <f t="shared" si="193"/>
        <v>0</v>
      </c>
      <c r="K1288" s="512">
        <f t="shared" si="193"/>
        <v>0</v>
      </c>
      <c r="L1288" s="512">
        <f t="shared" si="193"/>
        <v>0</v>
      </c>
      <c r="M1288" s="512">
        <f t="shared" si="193"/>
        <v>0</v>
      </c>
      <c r="N1288" s="512">
        <f t="shared" si="193"/>
        <v>0</v>
      </c>
      <c r="O1288" s="512">
        <f t="shared" si="193"/>
        <v>0</v>
      </c>
      <c r="P1288" s="512">
        <f t="shared" si="193"/>
        <v>0</v>
      </c>
      <c r="Q1288" s="512">
        <f t="shared" si="193"/>
        <v>0</v>
      </c>
      <c r="R1288" s="512">
        <f t="shared" si="193"/>
        <v>721.5</v>
      </c>
      <c r="S1288" s="512">
        <f t="shared" si="193"/>
        <v>1112894</v>
      </c>
      <c r="T1288" s="512">
        <f t="shared" si="193"/>
        <v>0</v>
      </c>
      <c r="U1288" s="512">
        <f t="shared" si="193"/>
        <v>0</v>
      </c>
      <c r="V1288" s="196">
        <f t="shared" si="193"/>
        <v>0</v>
      </c>
      <c r="W1288" s="282"/>
      <c r="X1288" s="282"/>
    </row>
    <row r="1289" spans="1:24">
      <c r="A1289" s="470"/>
      <c r="B1289" s="524" t="s">
        <v>869</v>
      </c>
      <c r="C1289" s="512">
        <f>'часть 1'!L1321</f>
        <v>1112894</v>
      </c>
      <c r="D1289" s="512">
        <v>0</v>
      </c>
      <c r="E1289" s="512">
        <v>0</v>
      </c>
      <c r="F1289" s="512">
        <v>0</v>
      </c>
      <c r="G1289" s="512">
        <v>0</v>
      </c>
      <c r="H1289" s="512">
        <v>0</v>
      </c>
      <c r="I1289" s="512">
        <v>0</v>
      </c>
      <c r="J1289" s="512">
        <v>0</v>
      </c>
      <c r="K1289" s="558">
        <v>0</v>
      </c>
      <c r="L1289" s="651">
        <v>0</v>
      </c>
      <c r="M1289" s="518">
        <v>0</v>
      </c>
      <c r="N1289" s="558">
        <v>0</v>
      </c>
      <c r="O1289" s="558">
        <v>0</v>
      </c>
      <c r="P1289" s="651">
        <v>0</v>
      </c>
      <c r="Q1289" s="518">
        <v>0</v>
      </c>
      <c r="R1289" s="815">
        <v>721.5</v>
      </c>
      <c r="S1289" s="518">
        <v>1112894</v>
      </c>
      <c r="T1289" s="651">
        <v>0</v>
      </c>
      <c r="U1289" s="477">
        <v>0</v>
      </c>
      <c r="V1289" s="282"/>
      <c r="W1289" s="282"/>
      <c r="X1289" s="282">
        <f>S1289/R1289</f>
        <v>1542.4726264726264</v>
      </c>
    </row>
    <row r="1290" spans="1:24" ht="18.75" customHeight="1">
      <c r="A1290" s="470"/>
      <c r="B1290" s="480" t="s">
        <v>72</v>
      </c>
      <c r="C1290" s="512">
        <f>C1291</f>
        <v>4547991</v>
      </c>
      <c r="D1290" s="512">
        <f t="shared" ref="D1290:V1290" si="194">D1291</f>
        <v>0</v>
      </c>
      <c r="E1290" s="512">
        <f t="shared" si="194"/>
        <v>0</v>
      </c>
      <c r="F1290" s="512">
        <f t="shared" si="194"/>
        <v>0</v>
      </c>
      <c r="G1290" s="512">
        <f t="shared" si="194"/>
        <v>0</v>
      </c>
      <c r="H1290" s="512">
        <f t="shared" si="194"/>
        <v>0</v>
      </c>
      <c r="I1290" s="512">
        <f t="shared" si="194"/>
        <v>0</v>
      </c>
      <c r="J1290" s="512">
        <f t="shared" si="194"/>
        <v>0</v>
      </c>
      <c r="K1290" s="512">
        <f t="shared" si="194"/>
        <v>0</v>
      </c>
      <c r="L1290" s="512">
        <f t="shared" si="194"/>
        <v>0</v>
      </c>
      <c r="M1290" s="512">
        <f t="shared" si="194"/>
        <v>0</v>
      </c>
      <c r="N1290" s="512">
        <f t="shared" si="194"/>
        <v>460</v>
      </c>
      <c r="O1290" s="512">
        <f t="shared" si="194"/>
        <v>1471990</v>
      </c>
      <c r="P1290" s="512">
        <f t="shared" si="194"/>
        <v>0</v>
      </c>
      <c r="Q1290" s="512">
        <f t="shared" si="194"/>
        <v>0</v>
      </c>
      <c r="R1290" s="512">
        <f t="shared" si="194"/>
        <v>2006</v>
      </c>
      <c r="S1290" s="512">
        <f t="shared" si="194"/>
        <v>3076001</v>
      </c>
      <c r="T1290" s="512">
        <f t="shared" si="194"/>
        <v>0</v>
      </c>
      <c r="U1290" s="512">
        <f t="shared" si="194"/>
        <v>0</v>
      </c>
      <c r="V1290" s="196">
        <f t="shared" si="194"/>
        <v>0</v>
      </c>
      <c r="W1290" s="282"/>
      <c r="X1290" s="282"/>
    </row>
    <row r="1291" spans="1:24" ht="30.75" customHeight="1">
      <c r="A1291" s="470"/>
      <c r="B1291" s="480" t="s">
        <v>95</v>
      </c>
      <c r="C1291" s="512">
        <f>C1292+C1293+C1294+C1295</f>
        <v>4547991</v>
      </c>
      <c r="D1291" s="512">
        <f t="shared" ref="D1291:U1291" si="195">D1292+D1293+D1294+D1295</f>
        <v>0</v>
      </c>
      <c r="E1291" s="512">
        <f t="shared" si="195"/>
        <v>0</v>
      </c>
      <c r="F1291" s="512">
        <f t="shared" si="195"/>
        <v>0</v>
      </c>
      <c r="G1291" s="512">
        <f t="shared" si="195"/>
        <v>0</v>
      </c>
      <c r="H1291" s="512">
        <f t="shared" si="195"/>
        <v>0</v>
      </c>
      <c r="I1291" s="512">
        <f t="shared" si="195"/>
        <v>0</v>
      </c>
      <c r="J1291" s="512">
        <f t="shared" si="195"/>
        <v>0</v>
      </c>
      <c r="K1291" s="512">
        <f t="shared" si="195"/>
        <v>0</v>
      </c>
      <c r="L1291" s="512">
        <f t="shared" si="195"/>
        <v>0</v>
      </c>
      <c r="M1291" s="512">
        <f t="shared" si="195"/>
        <v>0</v>
      </c>
      <c r="N1291" s="512">
        <f t="shared" si="195"/>
        <v>460</v>
      </c>
      <c r="O1291" s="512">
        <f t="shared" si="195"/>
        <v>1471990</v>
      </c>
      <c r="P1291" s="512">
        <f t="shared" si="195"/>
        <v>0</v>
      </c>
      <c r="Q1291" s="512">
        <f t="shared" si="195"/>
        <v>0</v>
      </c>
      <c r="R1291" s="512">
        <f t="shared" si="195"/>
        <v>2006</v>
      </c>
      <c r="S1291" s="512">
        <f t="shared" si="195"/>
        <v>3076001</v>
      </c>
      <c r="T1291" s="512">
        <f t="shared" si="195"/>
        <v>0</v>
      </c>
      <c r="U1291" s="512">
        <f t="shared" si="195"/>
        <v>0</v>
      </c>
      <c r="V1291" s="282"/>
      <c r="W1291" s="282"/>
      <c r="X1291" s="282"/>
    </row>
    <row r="1292" spans="1:24" ht="15.6">
      <c r="A1292" s="470">
        <v>231</v>
      </c>
      <c r="B1292" s="338" t="s">
        <v>625</v>
      </c>
      <c r="C1292" s="512">
        <f>'часть 1'!L1324</f>
        <v>2106656</v>
      </c>
      <c r="D1292" s="512">
        <v>0</v>
      </c>
      <c r="E1292" s="512">
        <v>0</v>
      </c>
      <c r="F1292" s="512">
        <v>0</v>
      </c>
      <c r="G1292" s="512">
        <v>0</v>
      </c>
      <c r="H1292" s="512">
        <v>0</v>
      </c>
      <c r="I1292" s="512">
        <v>0</v>
      </c>
      <c r="J1292" s="512">
        <v>0</v>
      </c>
      <c r="K1292" s="512">
        <v>0</v>
      </c>
      <c r="L1292" s="525">
        <v>0</v>
      </c>
      <c r="M1292" s="562">
        <v>0</v>
      </c>
      <c r="N1292" s="472">
        <v>460</v>
      </c>
      <c r="O1292" s="512">
        <v>1471990</v>
      </c>
      <c r="P1292" s="525">
        <v>0</v>
      </c>
      <c r="Q1292" s="512">
        <v>0</v>
      </c>
      <c r="R1292" s="513">
        <v>412</v>
      </c>
      <c r="S1292" s="512">
        <v>634666</v>
      </c>
      <c r="T1292" s="525">
        <v>0</v>
      </c>
      <c r="U1292" s="563">
        <v>0</v>
      </c>
      <c r="V1292" s="282"/>
      <c r="W1292" s="282">
        <f>O1292/N1292</f>
        <v>3199.978260869565</v>
      </c>
      <c r="X1292" s="282">
        <f>S1292/R1292</f>
        <v>1540.4514563106795</v>
      </c>
    </row>
    <row r="1293" spans="1:24" ht="15.6">
      <c r="A1293" s="470">
        <v>232</v>
      </c>
      <c r="B1293" s="338" t="s">
        <v>626</v>
      </c>
      <c r="C1293" s="512">
        <f>'часть 1'!L1325</f>
        <v>649678</v>
      </c>
      <c r="D1293" s="512">
        <v>0</v>
      </c>
      <c r="E1293" s="512">
        <v>0</v>
      </c>
      <c r="F1293" s="512">
        <v>0</v>
      </c>
      <c r="G1293" s="512">
        <v>0</v>
      </c>
      <c r="H1293" s="512">
        <v>0</v>
      </c>
      <c r="I1293" s="512">
        <v>0</v>
      </c>
      <c r="J1293" s="512">
        <v>0</v>
      </c>
      <c r="K1293" s="512">
        <v>0</v>
      </c>
      <c r="L1293" s="525">
        <v>0</v>
      </c>
      <c r="M1293" s="562">
        <v>0</v>
      </c>
      <c r="N1293" s="472">
        <v>0</v>
      </c>
      <c r="O1293" s="512">
        <v>0</v>
      </c>
      <c r="P1293" s="525">
        <v>0</v>
      </c>
      <c r="Q1293" s="512">
        <v>0</v>
      </c>
      <c r="R1293" s="513">
        <v>422</v>
      </c>
      <c r="S1293" s="512">
        <v>649678</v>
      </c>
      <c r="T1293" s="525">
        <v>0</v>
      </c>
      <c r="U1293" s="563">
        <v>0</v>
      </c>
      <c r="V1293" s="282"/>
      <c r="W1293" s="282"/>
      <c r="X1293" s="282">
        <f t="shared" ref="X1293:X1295" si="196">S1293/R1293</f>
        <v>1539.5213270142181</v>
      </c>
    </row>
    <row r="1294" spans="1:24" ht="15.6">
      <c r="A1294" s="470">
        <v>233</v>
      </c>
      <c r="B1294" s="338" t="s">
        <v>443</v>
      </c>
      <c r="C1294" s="512">
        <f>'часть 1'!L1326</f>
        <v>1157557</v>
      </c>
      <c r="D1294" s="512">
        <v>0</v>
      </c>
      <c r="E1294" s="512">
        <v>0</v>
      </c>
      <c r="F1294" s="512">
        <v>0</v>
      </c>
      <c r="G1294" s="512">
        <v>0</v>
      </c>
      <c r="H1294" s="512">
        <v>0</v>
      </c>
      <c r="I1294" s="512">
        <v>0</v>
      </c>
      <c r="J1294" s="512">
        <v>0</v>
      </c>
      <c r="K1294" s="512">
        <v>0</v>
      </c>
      <c r="L1294" s="525">
        <v>0</v>
      </c>
      <c r="M1294" s="562">
        <v>0</v>
      </c>
      <c r="N1294" s="472">
        <v>0</v>
      </c>
      <c r="O1294" s="512">
        <v>0</v>
      </c>
      <c r="P1294" s="525">
        <v>0</v>
      </c>
      <c r="Q1294" s="512">
        <v>0</v>
      </c>
      <c r="R1294" s="513">
        <v>760</v>
      </c>
      <c r="S1294" s="512">
        <v>1157557</v>
      </c>
      <c r="T1294" s="525">
        <v>0</v>
      </c>
      <c r="U1294" s="563">
        <v>0</v>
      </c>
      <c r="V1294" s="282"/>
      <c r="W1294" s="282"/>
      <c r="X1294" s="282">
        <f t="shared" si="196"/>
        <v>1523.1013157894736</v>
      </c>
    </row>
    <row r="1295" spans="1:24" ht="15.6">
      <c r="A1295" s="470">
        <v>234</v>
      </c>
      <c r="B1295" s="338" t="s">
        <v>391</v>
      </c>
      <c r="C1295" s="512">
        <f>'часть 1'!L1327</f>
        <v>634100</v>
      </c>
      <c r="D1295" s="512">
        <v>0</v>
      </c>
      <c r="E1295" s="512">
        <v>0</v>
      </c>
      <c r="F1295" s="512">
        <v>0</v>
      </c>
      <c r="G1295" s="512">
        <v>0</v>
      </c>
      <c r="H1295" s="512">
        <v>0</v>
      </c>
      <c r="I1295" s="512">
        <v>0</v>
      </c>
      <c r="J1295" s="512">
        <v>0</v>
      </c>
      <c r="K1295" s="512">
        <v>0</v>
      </c>
      <c r="L1295" s="525">
        <v>0</v>
      </c>
      <c r="M1295" s="562">
        <v>0</v>
      </c>
      <c r="N1295" s="472">
        <v>0</v>
      </c>
      <c r="O1295" s="512">
        <v>0</v>
      </c>
      <c r="P1295" s="525">
        <v>0</v>
      </c>
      <c r="Q1295" s="512">
        <v>0</v>
      </c>
      <c r="R1295" s="513">
        <v>412</v>
      </c>
      <c r="S1295" s="512">
        <v>634100</v>
      </c>
      <c r="T1295" s="525">
        <v>0</v>
      </c>
      <c r="U1295" s="563">
        <v>0</v>
      </c>
      <c r="V1295" s="282"/>
      <c r="W1295" s="282"/>
      <c r="X1295" s="282">
        <f t="shared" si="196"/>
        <v>1539.0776699029127</v>
      </c>
    </row>
    <row r="1296" spans="1:24" ht="15.6">
      <c r="A1296" s="470"/>
      <c r="B1296" s="338"/>
      <c r="C1296" s="512"/>
      <c r="D1296" s="512"/>
      <c r="E1296" s="512"/>
      <c r="F1296" s="512"/>
      <c r="G1296" s="512"/>
      <c r="H1296" s="512"/>
      <c r="I1296" s="512"/>
      <c r="J1296" s="512"/>
      <c r="K1296" s="512"/>
      <c r="L1296" s="525"/>
      <c r="M1296" s="562"/>
      <c r="N1296" s="472"/>
      <c r="O1296" s="512"/>
      <c r="P1296" s="525"/>
      <c r="Q1296" s="512"/>
      <c r="R1296" s="513"/>
      <c r="S1296" s="562"/>
      <c r="T1296" s="525"/>
      <c r="U1296" s="563"/>
      <c r="V1296" s="282"/>
      <c r="W1296" s="282"/>
      <c r="X1296" s="282"/>
    </row>
    <row r="1297" spans="1:35" ht="15.6">
      <c r="A1297" s="470"/>
      <c r="B1297" s="338"/>
      <c r="C1297" s="512"/>
      <c r="D1297" s="512"/>
      <c r="E1297" s="512"/>
      <c r="F1297" s="512"/>
      <c r="G1297" s="512"/>
      <c r="H1297" s="512"/>
      <c r="I1297" s="512"/>
      <c r="J1297" s="512"/>
      <c r="K1297" s="512"/>
      <c r="L1297" s="525"/>
      <c r="M1297" s="562"/>
      <c r="N1297" s="472"/>
      <c r="O1297" s="512"/>
      <c r="P1297" s="525"/>
      <c r="Q1297" s="512"/>
      <c r="R1297" s="513"/>
      <c r="S1297" s="562"/>
      <c r="T1297" s="525"/>
      <c r="U1297" s="563"/>
      <c r="V1297" s="282"/>
      <c r="W1297" s="282"/>
      <c r="X1297" s="282"/>
    </row>
    <row r="1298" spans="1:35" ht="15.6">
      <c r="A1298" s="470"/>
      <c r="B1298" s="338"/>
      <c r="C1298" s="512"/>
      <c r="D1298" s="512"/>
      <c r="E1298" s="512"/>
      <c r="F1298" s="512"/>
      <c r="G1298" s="512"/>
      <c r="H1298" s="512"/>
      <c r="I1298" s="512"/>
      <c r="J1298" s="512"/>
      <c r="K1298" s="512"/>
      <c r="L1298" s="525"/>
      <c r="M1298" s="562"/>
      <c r="N1298" s="472"/>
      <c r="O1298" s="512"/>
      <c r="P1298" s="525"/>
      <c r="Q1298" s="512"/>
      <c r="R1298" s="513"/>
      <c r="S1298" s="562"/>
      <c r="T1298" s="525"/>
      <c r="U1298" s="563"/>
      <c r="V1298" s="282"/>
      <c r="W1298" s="282"/>
      <c r="X1298" s="282"/>
    </row>
    <row r="1299" spans="1:35">
      <c r="A1299" s="198"/>
      <c r="B1299" s="217" t="s">
        <v>41</v>
      </c>
      <c r="C1299" s="192">
        <f>C1300</f>
        <v>12671361</v>
      </c>
      <c r="D1299" s="192">
        <f t="shared" ref="D1299:U1299" si="197">D1300</f>
        <v>8521269</v>
      </c>
      <c r="E1299" s="192">
        <f t="shared" si="197"/>
        <v>0</v>
      </c>
      <c r="F1299" s="192">
        <f t="shared" si="197"/>
        <v>5886903</v>
      </c>
      <c r="G1299" s="192">
        <f t="shared" si="197"/>
        <v>0</v>
      </c>
      <c r="H1299" s="192">
        <f t="shared" si="197"/>
        <v>1602037</v>
      </c>
      <c r="I1299" s="192">
        <f t="shared" si="197"/>
        <v>0</v>
      </c>
      <c r="J1299" s="192">
        <f t="shared" si="197"/>
        <v>1032329</v>
      </c>
      <c r="K1299" s="192">
        <f t="shared" si="197"/>
        <v>0</v>
      </c>
      <c r="L1299" s="192">
        <f t="shared" si="197"/>
        <v>0</v>
      </c>
      <c r="M1299" s="192">
        <f t="shared" si="197"/>
        <v>0</v>
      </c>
      <c r="N1299" s="192">
        <f t="shared" si="197"/>
        <v>1654</v>
      </c>
      <c r="O1299" s="192">
        <f t="shared" si="197"/>
        <v>4150092</v>
      </c>
      <c r="P1299" s="192">
        <f t="shared" si="197"/>
        <v>0</v>
      </c>
      <c r="Q1299" s="192">
        <f t="shared" si="197"/>
        <v>0</v>
      </c>
      <c r="R1299" s="192">
        <f t="shared" si="197"/>
        <v>0</v>
      </c>
      <c r="S1299" s="192">
        <f t="shared" si="197"/>
        <v>0</v>
      </c>
      <c r="T1299" s="192">
        <f t="shared" si="197"/>
        <v>0</v>
      </c>
      <c r="U1299" s="192">
        <f t="shared" si="197"/>
        <v>0</v>
      </c>
      <c r="V1299" s="282"/>
      <c r="W1299" s="282"/>
      <c r="X1299" s="282"/>
    </row>
    <row r="1300" spans="1:35" ht="27.6">
      <c r="A1300" s="198"/>
      <c r="B1300" s="195" t="s">
        <v>96</v>
      </c>
      <c r="C1300" s="196">
        <f>C1301+C1302+C1303+C1304</f>
        <v>12671361</v>
      </c>
      <c r="D1300" s="196">
        <f t="shared" ref="D1300:U1300" si="198">D1301+D1302+D1303+D1304</f>
        <v>8521269</v>
      </c>
      <c r="E1300" s="196">
        <f t="shared" si="198"/>
        <v>0</v>
      </c>
      <c r="F1300" s="196">
        <f t="shared" si="198"/>
        <v>5886903</v>
      </c>
      <c r="G1300" s="196">
        <f t="shared" si="198"/>
        <v>0</v>
      </c>
      <c r="H1300" s="196">
        <f t="shared" si="198"/>
        <v>1602037</v>
      </c>
      <c r="I1300" s="196">
        <f t="shared" si="198"/>
        <v>0</v>
      </c>
      <c r="J1300" s="196">
        <f t="shared" si="198"/>
        <v>1032329</v>
      </c>
      <c r="K1300" s="196">
        <f t="shared" si="198"/>
        <v>0</v>
      </c>
      <c r="L1300" s="196">
        <f t="shared" si="198"/>
        <v>0</v>
      </c>
      <c r="M1300" s="196">
        <f t="shared" si="198"/>
        <v>0</v>
      </c>
      <c r="N1300" s="196">
        <f t="shared" si="198"/>
        <v>1654</v>
      </c>
      <c r="O1300" s="196">
        <f t="shared" si="198"/>
        <v>4150092</v>
      </c>
      <c r="P1300" s="196">
        <f t="shared" si="198"/>
        <v>0</v>
      </c>
      <c r="Q1300" s="196">
        <f t="shared" si="198"/>
        <v>0</v>
      </c>
      <c r="R1300" s="196">
        <f t="shared" si="198"/>
        <v>0</v>
      </c>
      <c r="S1300" s="196">
        <f t="shared" si="198"/>
        <v>0</v>
      </c>
      <c r="T1300" s="196">
        <f t="shared" si="198"/>
        <v>0</v>
      </c>
      <c r="U1300" s="196">
        <f t="shared" si="198"/>
        <v>0</v>
      </c>
      <c r="V1300" s="196">
        <f t="shared" ref="V1300" si="199">V1301+V1302+V1303+V1304</f>
        <v>0</v>
      </c>
      <c r="W1300" s="282"/>
      <c r="X1300" s="282"/>
    </row>
    <row r="1301" spans="1:35" ht="31.2">
      <c r="A1301" s="198">
        <v>238</v>
      </c>
      <c r="B1301" s="780" t="s">
        <v>831</v>
      </c>
      <c r="C1301" s="196">
        <f>'часть 1'!L1333</f>
        <v>4056611</v>
      </c>
      <c r="D1301" s="196">
        <f>E1301+F1301+G1301+H1301+I1301+J1301+K1301</f>
        <v>4056611</v>
      </c>
      <c r="E1301" s="196">
        <v>0</v>
      </c>
      <c r="F1301" s="196">
        <v>4056611</v>
      </c>
      <c r="G1301" s="196">
        <v>0</v>
      </c>
      <c r="H1301" s="196">
        <v>0</v>
      </c>
      <c r="I1301" s="196">
        <v>0</v>
      </c>
      <c r="J1301" s="196">
        <v>0</v>
      </c>
      <c r="K1301" s="196">
        <v>0</v>
      </c>
      <c r="L1301" s="204">
        <v>0</v>
      </c>
      <c r="M1301" s="199">
        <v>0</v>
      </c>
      <c r="N1301" s="199">
        <v>0</v>
      </c>
      <c r="O1301" s="196">
        <v>0</v>
      </c>
      <c r="P1301" s="193">
        <v>0</v>
      </c>
      <c r="Q1301" s="192">
        <v>0</v>
      </c>
      <c r="R1301" s="193">
        <v>0</v>
      </c>
      <c r="S1301" s="192">
        <v>0</v>
      </c>
      <c r="T1301" s="205">
        <v>0</v>
      </c>
      <c r="U1301" s="287">
        <v>0</v>
      </c>
      <c r="V1301" s="282"/>
      <c r="W1301" s="282"/>
      <c r="X1301" s="282"/>
      <c r="AA1301" s="1">
        <f>F1301/'часть 1'!I1333</f>
        <v>997.98047638025787</v>
      </c>
    </row>
    <row r="1302" spans="1:35" ht="31.2">
      <c r="A1302" s="198">
        <v>239</v>
      </c>
      <c r="B1302" s="780" t="s">
        <v>832</v>
      </c>
      <c r="C1302" s="196">
        <f>'часть 1'!L1334</f>
        <v>2157151</v>
      </c>
      <c r="D1302" s="196">
        <f t="shared" ref="D1302:D1304" si="200">E1302+F1302+G1302+H1302+I1302+J1302+K1302</f>
        <v>0</v>
      </c>
      <c r="E1302" s="196">
        <v>0</v>
      </c>
      <c r="F1302" s="196">
        <v>0</v>
      </c>
      <c r="G1302" s="196">
        <v>0</v>
      </c>
      <c r="H1302" s="196">
        <v>0</v>
      </c>
      <c r="I1302" s="196">
        <v>0</v>
      </c>
      <c r="J1302" s="196">
        <v>0</v>
      </c>
      <c r="K1302" s="196">
        <v>0</v>
      </c>
      <c r="L1302" s="204">
        <v>0</v>
      </c>
      <c r="M1302" s="199">
        <v>0</v>
      </c>
      <c r="N1302" s="199">
        <v>860</v>
      </c>
      <c r="O1302" s="196">
        <v>2157151</v>
      </c>
      <c r="P1302" s="193">
        <v>0</v>
      </c>
      <c r="Q1302" s="192">
        <v>0</v>
      </c>
      <c r="R1302" s="193">
        <v>0</v>
      </c>
      <c r="S1302" s="192">
        <v>0</v>
      </c>
      <c r="T1302" s="205">
        <v>0</v>
      </c>
      <c r="U1302" s="287">
        <v>0</v>
      </c>
      <c r="V1302" s="282"/>
      <c r="W1302" s="282">
        <f>O1302/N1302</f>
        <v>2508.3151162790696</v>
      </c>
      <c r="X1302" s="282"/>
    </row>
    <row r="1303" spans="1:35" ht="24" customHeight="1">
      <c r="A1303" s="198">
        <v>240</v>
      </c>
      <c r="B1303" s="780" t="s">
        <v>833</v>
      </c>
      <c r="C1303" s="196">
        <f>'часть 1'!L1335</f>
        <v>1992941</v>
      </c>
      <c r="D1303" s="196">
        <f t="shared" si="200"/>
        <v>0</v>
      </c>
      <c r="E1303" s="196">
        <v>0</v>
      </c>
      <c r="F1303" s="196">
        <v>0</v>
      </c>
      <c r="G1303" s="196">
        <v>0</v>
      </c>
      <c r="H1303" s="196">
        <v>0</v>
      </c>
      <c r="I1303" s="196">
        <v>0</v>
      </c>
      <c r="J1303" s="196">
        <v>0</v>
      </c>
      <c r="K1303" s="196">
        <v>0</v>
      </c>
      <c r="L1303" s="204">
        <v>0</v>
      </c>
      <c r="M1303" s="199">
        <v>0</v>
      </c>
      <c r="N1303" s="199">
        <v>794</v>
      </c>
      <c r="O1303" s="196">
        <v>1992941</v>
      </c>
      <c r="P1303" s="193">
        <v>0</v>
      </c>
      <c r="Q1303" s="192">
        <v>0</v>
      </c>
      <c r="R1303" s="193">
        <v>0</v>
      </c>
      <c r="S1303" s="192">
        <v>0</v>
      </c>
      <c r="T1303" s="205">
        <v>0</v>
      </c>
      <c r="U1303" s="287">
        <v>0</v>
      </c>
      <c r="V1303" s="282"/>
      <c r="W1303" s="282">
        <f>O1303/N1303</f>
        <v>2510.001259445844</v>
      </c>
      <c r="X1303" s="282"/>
    </row>
    <row r="1304" spans="1:35" ht="19.95" customHeight="1">
      <c r="A1304" s="198"/>
      <c r="B1304" s="218" t="s">
        <v>948</v>
      </c>
      <c r="C1304" s="196">
        <f>'часть 1'!L1336</f>
        <v>4464658</v>
      </c>
      <c r="D1304" s="196">
        <f t="shared" si="200"/>
        <v>4464658</v>
      </c>
      <c r="E1304" s="196">
        <v>0</v>
      </c>
      <c r="F1304" s="196">
        <v>1830292</v>
      </c>
      <c r="G1304" s="196">
        <v>0</v>
      </c>
      <c r="H1304" s="196">
        <v>1602037</v>
      </c>
      <c r="I1304" s="196">
        <v>0</v>
      </c>
      <c r="J1304" s="196">
        <v>1032329</v>
      </c>
      <c r="K1304" s="196">
        <v>0</v>
      </c>
      <c r="L1304" s="204">
        <v>0</v>
      </c>
      <c r="M1304" s="199">
        <v>0</v>
      </c>
      <c r="N1304" s="192">
        <v>0</v>
      </c>
      <c r="O1304" s="192">
        <v>0</v>
      </c>
      <c r="P1304" s="193">
        <v>0</v>
      </c>
      <c r="Q1304" s="192">
        <v>0</v>
      </c>
      <c r="R1304" s="193">
        <v>0</v>
      </c>
      <c r="S1304" s="192">
        <v>0</v>
      </c>
      <c r="T1304" s="205">
        <v>0</v>
      </c>
      <c r="U1304" s="287">
        <v>0</v>
      </c>
      <c r="V1304" s="282"/>
      <c r="W1304" s="282"/>
      <c r="X1304" s="282"/>
      <c r="AA1304" s="1">
        <f>F1304/'часть 1'!I1336</f>
        <v>927.85764980229146</v>
      </c>
      <c r="AB1304" s="1">
        <f>H1304/'часть 1'!I1336</f>
        <v>812.14488492345129</v>
      </c>
      <c r="AD1304" s="1">
        <f>J1304/'часть 1'!I1336</f>
        <v>523.33417824191429</v>
      </c>
    </row>
    <row r="1305" spans="1:35">
      <c r="A1305" s="198"/>
      <c r="B1305" s="195"/>
      <c r="C1305" s="196"/>
      <c r="D1305" s="196"/>
      <c r="E1305" s="196"/>
      <c r="F1305" s="196"/>
      <c r="G1305" s="196"/>
      <c r="H1305" s="196"/>
      <c r="I1305" s="196"/>
      <c r="J1305" s="196"/>
      <c r="K1305" s="196"/>
      <c r="L1305" s="204"/>
      <c r="M1305" s="199"/>
      <c r="N1305" s="199"/>
      <c r="O1305" s="196"/>
      <c r="P1305" s="193"/>
      <c r="Q1305" s="211"/>
      <c r="R1305" s="213"/>
      <c r="S1305" s="211"/>
      <c r="T1305" s="212"/>
      <c r="U1305" s="290"/>
      <c r="V1305" s="282"/>
      <c r="W1305" s="282"/>
      <c r="X1305" s="282"/>
    </row>
    <row r="1306" spans="1:35">
      <c r="A1306" s="198"/>
      <c r="B1306" s="218" t="s">
        <v>68</v>
      </c>
      <c r="C1306" s="196">
        <f>C1307</f>
        <v>0</v>
      </c>
      <c r="D1306" s="196">
        <f t="shared" ref="D1306:U1306" si="201">D1307</f>
        <v>0</v>
      </c>
      <c r="E1306" s="196">
        <f t="shared" si="201"/>
        <v>0</v>
      </c>
      <c r="F1306" s="196">
        <f t="shared" si="201"/>
        <v>0</v>
      </c>
      <c r="G1306" s="196">
        <f t="shared" si="201"/>
        <v>0</v>
      </c>
      <c r="H1306" s="196">
        <f t="shared" si="201"/>
        <v>0</v>
      </c>
      <c r="I1306" s="196">
        <f t="shared" si="201"/>
        <v>0</v>
      </c>
      <c r="J1306" s="196">
        <f t="shared" si="201"/>
        <v>0</v>
      </c>
      <c r="K1306" s="196">
        <f t="shared" si="201"/>
        <v>0</v>
      </c>
      <c r="L1306" s="196">
        <f t="shared" si="201"/>
        <v>0</v>
      </c>
      <c r="M1306" s="196">
        <f t="shared" si="201"/>
        <v>0</v>
      </c>
      <c r="N1306" s="196">
        <f t="shared" si="201"/>
        <v>0</v>
      </c>
      <c r="O1306" s="196">
        <f t="shared" si="201"/>
        <v>0</v>
      </c>
      <c r="P1306" s="196">
        <f t="shared" si="201"/>
        <v>0</v>
      </c>
      <c r="Q1306" s="196">
        <f t="shared" si="201"/>
        <v>0</v>
      </c>
      <c r="R1306" s="196">
        <f t="shared" si="201"/>
        <v>0</v>
      </c>
      <c r="S1306" s="196">
        <f t="shared" si="201"/>
        <v>0</v>
      </c>
      <c r="T1306" s="196">
        <f t="shared" si="201"/>
        <v>0</v>
      </c>
      <c r="U1306" s="196">
        <f t="shared" si="201"/>
        <v>0</v>
      </c>
      <c r="V1306" s="282"/>
      <c r="W1306" s="282"/>
      <c r="X1306" s="282"/>
    </row>
    <row r="1307" spans="1:35" ht="27.6">
      <c r="A1307" s="470"/>
      <c r="B1307" s="511" t="s">
        <v>97</v>
      </c>
      <c r="C1307" s="512">
        <v>0</v>
      </c>
      <c r="D1307" s="512">
        <v>0</v>
      </c>
      <c r="E1307" s="512">
        <v>0</v>
      </c>
      <c r="F1307" s="512">
        <v>0</v>
      </c>
      <c r="G1307" s="512">
        <v>0</v>
      </c>
      <c r="H1307" s="512">
        <v>0</v>
      </c>
      <c r="I1307" s="512">
        <v>0</v>
      </c>
      <c r="J1307" s="512">
        <v>0</v>
      </c>
      <c r="K1307" s="512">
        <v>0</v>
      </c>
      <c r="L1307" s="525">
        <v>0</v>
      </c>
      <c r="M1307" s="512">
        <v>0</v>
      </c>
      <c r="N1307" s="512">
        <v>0</v>
      </c>
      <c r="O1307" s="512">
        <v>0</v>
      </c>
      <c r="P1307" s="513">
        <v>0</v>
      </c>
      <c r="Q1307" s="512">
        <v>0</v>
      </c>
      <c r="R1307" s="513">
        <v>0</v>
      </c>
      <c r="S1307" s="512">
        <v>0</v>
      </c>
      <c r="T1307" s="525">
        <v>0</v>
      </c>
      <c r="U1307" s="514">
        <v>0</v>
      </c>
      <c r="V1307" s="282"/>
      <c r="W1307" s="282"/>
      <c r="X1307" s="282"/>
    </row>
    <row r="1308" spans="1:35">
      <c r="A1308" s="470"/>
      <c r="B1308" s="524"/>
      <c r="C1308" s="479"/>
      <c r="D1308" s="479"/>
      <c r="E1308" s="479"/>
      <c r="F1308" s="479"/>
      <c r="G1308" s="479"/>
      <c r="H1308" s="479"/>
      <c r="I1308" s="479"/>
      <c r="J1308" s="479"/>
      <c r="K1308" s="479"/>
      <c r="L1308" s="515"/>
      <c r="M1308" s="479"/>
      <c r="N1308" s="479"/>
      <c r="O1308" s="479"/>
      <c r="P1308" s="516"/>
      <c r="Q1308" s="479"/>
      <c r="R1308" s="516"/>
      <c r="S1308" s="479"/>
      <c r="T1308" s="515"/>
      <c r="U1308" s="517"/>
      <c r="V1308" s="282"/>
      <c r="W1308" s="282"/>
      <c r="X1308" s="282"/>
    </row>
    <row r="1309" spans="1:35" s="18" customFormat="1">
      <c r="A1309" s="198"/>
      <c r="B1309" s="216" t="s">
        <v>43</v>
      </c>
      <c r="C1309" s="211">
        <v>23032470</v>
      </c>
      <c r="D1309" s="211"/>
      <c r="E1309" s="211"/>
      <c r="F1309" s="211"/>
      <c r="G1309" s="211"/>
      <c r="H1309" s="211"/>
      <c r="I1309" s="211"/>
      <c r="J1309" s="211"/>
      <c r="K1309" s="211">
        <v>0</v>
      </c>
      <c r="L1309" s="213">
        <v>0</v>
      </c>
      <c r="M1309" s="211">
        <v>0</v>
      </c>
      <c r="N1309" s="211">
        <v>11598.699999999999</v>
      </c>
      <c r="O1309" s="211">
        <v>23032470</v>
      </c>
      <c r="P1309" s="213">
        <v>0</v>
      </c>
      <c r="Q1309" s="211">
        <v>0</v>
      </c>
      <c r="R1309" s="213">
        <v>0</v>
      </c>
      <c r="S1309" s="211">
        <v>0</v>
      </c>
      <c r="T1309" s="213">
        <v>0</v>
      </c>
      <c r="U1309" s="290">
        <v>0</v>
      </c>
      <c r="V1309" s="282"/>
      <c r="W1309" s="282"/>
      <c r="X1309" s="282"/>
    </row>
    <row r="1310" spans="1:35" ht="27.6">
      <c r="A1310" s="198"/>
      <c r="B1310" s="214" t="s">
        <v>125</v>
      </c>
      <c r="C1310" s="211">
        <v>20696312</v>
      </c>
      <c r="D1310" s="211"/>
      <c r="E1310" s="211"/>
      <c r="F1310" s="211"/>
      <c r="G1310" s="211"/>
      <c r="H1310" s="211"/>
      <c r="I1310" s="211"/>
      <c r="J1310" s="211"/>
      <c r="K1310" s="211">
        <v>0</v>
      </c>
      <c r="L1310" s="212">
        <v>0</v>
      </c>
      <c r="M1310" s="211">
        <v>0</v>
      </c>
      <c r="N1310" s="211">
        <v>10402.699999999999</v>
      </c>
      <c r="O1310" s="211">
        <v>20696312</v>
      </c>
      <c r="P1310" s="213">
        <v>0</v>
      </c>
      <c r="Q1310" s="211">
        <v>0</v>
      </c>
      <c r="R1310" s="213">
        <v>0</v>
      </c>
      <c r="S1310" s="211">
        <v>0</v>
      </c>
      <c r="T1310" s="212">
        <v>0</v>
      </c>
      <c r="U1310" s="290">
        <v>0</v>
      </c>
      <c r="V1310" s="282"/>
      <c r="W1310" s="282"/>
      <c r="X1310" s="282"/>
    </row>
    <row r="1311" spans="1:35" s="46" customFormat="1">
      <c r="A1311" s="198">
        <v>244</v>
      </c>
      <c r="B1311" s="219" t="s">
        <v>405</v>
      </c>
      <c r="C1311" s="220">
        <v>2301804</v>
      </c>
      <c r="D1311" s="220"/>
      <c r="E1311" s="220"/>
      <c r="F1311" s="220"/>
      <c r="G1311" s="220"/>
      <c r="H1311" s="220"/>
      <c r="I1311" s="220"/>
      <c r="J1311" s="220"/>
      <c r="K1311" s="221">
        <v>0</v>
      </c>
      <c r="L1311" s="222">
        <v>0</v>
      </c>
      <c r="M1311" s="221">
        <v>0</v>
      </c>
      <c r="N1311" s="223">
        <v>1167</v>
      </c>
      <c r="O1311" s="224">
        <v>2301804</v>
      </c>
      <c r="P1311" s="225">
        <v>0</v>
      </c>
      <c r="Q1311" s="221">
        <v>0</v>
      </c>
      <c r="R1311" s="225">
        <v>0</v>
      </c>
      <c r="S1311" s="221">
        <v>0</v>
      </c>
      <c r="T1311" s="226">
        <v>0</v>
      </c>
      <c r="U1311" s="291">
        <v>0</v>
      </c>
      <c r="V1311" s="282"/>
      <c r="W1311" s="282"/>
      <c r="X1311" s="282"/>
    </row>
    <row r="1312" spans="1:35" s="90" customFormat="1">
      <c r="A1312" s="198">
        <v>245</v>
      </c>
      <c r="B1312" s="219" t="s">
        <v>393</v>
      </c>
      <c r="C1312" s="220">
        <v>1743478</v>
      </c>
      <c r="D1312" s="220"/>
      <c r="E1312" s="220"/>
      <c r="F1312" s="220"/>
      <c r="G1312" s="220"/>
      <c r="H1312" s="220"/>
      <c r="I1312" s="220"/>
      <c r="J1312" s="220"/>
      <c r="K1312" s="227">
        <v>0</v>
      </c>
      <c r="L1312" s="208">
        <v>0</v>
      </c>
      <c r="M1312" s="227">
        <v>0</v>
      </c>
      <c r="N1312" s="228">
        <v>880</v>
      </c>
      <c r="O1312" s="224">
        <v>1743478</v>
      </c>
      <c r="P1312" s="225">
        <v>0</v>
      </c>
      <c r="Q1312" s="221">
        <v>0</v>
      </c>
      <c r="R1312" s="225">
        <v>0</v>
      </c>
      <c r="S1312" s="221">
        <v>0</v>
      </c>
      <c r="T1312" s="226">
        <v>0</v>
      </c>
      <c r="U1312" s="291">
        <v>0</v>
      </c>
      <c r="V1312" s="282"/>
      <c r="W1312" s="282"/>
      <c r="X1312" s="282"/>
      <c r="Y1312" s="46"/>
      <c r="Z1312" s="46"/>
      <c r="AA1312" s="46"/>
      <c r="AB1312" s="46"/>
      <c r="AC1312" s="46"/>
      <c r="AD1312" s="46"/>
      <c r="AE1312" s="46"/>
      <c r="AF1312" s="46"/>
      <c r="AG1312" s="46"/>
      <c r="AH1312" s="46"/>
      <c r="AI1312" s="46"/>
    </row>
    <row r="1313" spans="1:35" s="90" customFormat="1">
      <c r="A1313" s="198">
        <v>246</v>
      </c>
      <c r="B1313" s="219" t="s">
        <v>406</v>
      </c>
      <c r="C1313" s="220">
        <v>2485001</v>
      </c>
      <c r="D1313" s="220"/>
      <c r="E1313" s="220"/>
      <c r="F1313" s="220"/>
      <c r="G1313" s="220"/>
      <c r="H1313" s="220"/>
      <c r="I1313" s="220"/>
      <c r="J1313" s="220"/>
      <c r="K1313" s="221">
        <v>0</v>
      </c>
      <c r="L1313" s="222">
        <v>0</v>
      </c>
      <c r="M1313" s="221">
        <v>0</v>
      </c>
      <c r="N1313" s="229">
        <v>1268.4000000000001</v>
      </c>
      <c r="O1313" s="224">
        <v>2485001</v>
      </c>
      <c r="P1313" s="225">
        <v>0</v>
      </c>
      <c r="Q1313" s="221">
        <v>0</v>
      </c>
      <c r="R1313" s="225">
        <v>0</v>
      </c>
      <c r="S1313" s="221">
        <v>0</v>
      </c>
      <c r="T1313" s="226">
        <v>0</v>
      </c>
      <c r="U1313" s="291">
        <v>0</v>
      </c>
      <c r="V1313" s="282"/>
      <c r="W1313" s="282"/>
      <c r="X1313" s="282"/>
      <c r="Y1313" s="46"/>
      <c r="Z1313" s="46"/>
      <c r="AA1313" s="46"/>
      <c r="AB1313" s="46"/>
      <c r="AC1313" s="46"/>
      <c r="AD1313" s="46"/>
      <c r="AE1313" s="46"/>
      <c r="AF1313" s="46"/>
      <c r="AG1313" s="46"/>
      <c r="AH1313" s="46"/>
      <c r="AI1313" s="46"/>
    </row>
    <row r="1314" spans="1:35" s="46" customFormat="1">
      <c r="A1314" s="198">
        <v>247</v>
      </c>
      <c r="B1314" s="219" t="s">
        <v>402</v>
      </c>
      <c r="C1314" s="220">
        <v>1237591</v>
      </c>
      <c r="D1314" s="220"/>
      <c r="E1314" s="220"/>
      <c r="F1314" s="220"/>
      <c r="G1314" s="220"/>
      <c r="H1314" s="220"/>
      <c r="I1314" s="220"/>
      <c r="J1314" s="220"/>
      <c r="K1314" s="221">
        <v>0</v>
      </c>
      <c r="L1314" s="222">
        <v>0</v>
      </c>
      <c r="M1314" s="221">
        <v>0</v>
      </c>
      <c r="N1314" s="223">
        <v>620</v>
      </c>
      <c r="O1314" s="224">
        <v>1237591</v>
      </c>
      <c r="P1314" s="225">
        <v>0</v>
      </c>
      <c r="Q1314" s="221">
        <v>0</v>
      </c>
      <c r="R1314" s="225">
        <v>0</v>
      </c>
      <c r="S1314" s="221">
        <v>0</v>
      </c>
      <c r="T1314" s="226">
        <v>0</v>
      </c>
      <c r="U1314" s="291">
        <v>0</v>
      </c>
      <c r="V1314" s="282"/>
      <c r="W1314" s="282"/>
      <c r="X1314" s="282"/>
      <c r="Y1314" s="43"/>
      <c r="Z1314" s="43"/>
      <c r="AA1314" s="43"/>
      <c r="AB1314" s="43"/>
      <c r="AC1314" s="43"/>
      <c r="AD1314" s="43"/>
      <c r="AE1314" s="43"/>
      <c r="AF1314" s="43"/>
      <c r="AG1314" s="43"/>
      <c r="AH1314" s="43"/>
      <c r="AI1314" s="43"/>
    </row>
    <row r="1315" spans="1:35" s="42" customFormat="1">
      <c r="A1315" s="198">
        <v>248</v>
      </c>
      <c r="B1315" s="219" t="s">
        <v>397</v>
      </c>
      <c r="C1315" s="220">
        <v>1448078</v>
      </c>
      <c r="D1315" s="220"/>
      <c r="E1315" s="220"/>
      <c r="F1315" s="220"/>
      <c r="G1315" s="220"/>
      <c r="H1315" s="220"/>
      <c r="I1315" s="220"/>
      <c r="J1315" s="220"/>
      <c r="K1315" s="221">
        <v>0</v>
      </c>
      <c r="L1315" s="222">
        <v>0</v>
      </c>
      <c r="M1315" s="221">
        <v>0</v>
      </c>
      <c r="N1315" s="229">
        <v>729</v>
      </c>
      <c r="O1315" s="224">
        <v>1448078</v>
      </c>
      <c r="P1315" s="225">
        <v>0</v>
      </c>
      <c r="Q1315" s="221">
        <v>0</v>
      </c>
      <c r="R1315" s="225">
        <v>0</v>
      </c>
      <c r="S1315" s="221">
        <v>0</v>
      </c>
      <c r="T1315" s="226">
        <v>0</v>
      </c>
      <c r="U1315" s="291">
        <v>0</v>
      </c>
      <c r="V1315" s="282"/>
      <c r="W1315" s="282"/>
      <c r="X1315" s="282"/>
    </row>
    <row r="1316" spans="1:35" s="46" customFormat="1">
      <c r="A1316" s="198">
        <v>249</v>
      </c>
      <c r="B1316" s="219" t="s">
        <v>398</v>
      </c>
      <c r="C1316" s="220">
        <v>1963797</v>
      </c>
      <c r="D1316" s="220"/>
      <c r="E1316" s="220"/>
      <c r="F1316" s="220"/>
      <c r="G1316" s="220"/>
      <c r="H1316" s="220"/>
      <c r="I1316" s="220"/>
      <c r="J1316" s="220"/>
      <c r="K1316" s="221">
        <v>0</v>
      </c>
      <c r="L1316" s="222">
        <v>0</v>
      </c>
      <c r="M1316" s="221">
        <v>0</v>
      </c>
      <c r="N1316" s="223">
        <v>991.4</v>
      </c>
      <c r="O1316" s="224">
        <v>1963797</v>
      </c>
      <c r="P1316" s="225">
        <v>0</v>
      </c>
      <c r="Q1316" s="221">
        <v>0</v>
      </c>
      <c r="R1316" s="225">
        <v>0</v>
      </c>
      <c r="S1316" s="221">
        <v>0</v>
      </c>
      <c r="T1316" s="226">
        <v>0</v>
      </c>
      <c r="U1316" s="291">
        <v>0</v>
      </c>
      <c r="V1316" s="282"/>
      <c r="W1316" s="282"/>
      <c r="X1316" s="282"/>
    </row>
    <row r="1317" spans="1:35" s="46" customFormat="1">
      <c r="A1317" s="198">
        <v>250</v>
      </c>
      <c r="B1317" s="219" t="s">
        <v>399</v>
      </c>
      <c r="C1317" s="220">
        <v>2119530</v>
      </c>
      <c r="D1317" s="220"/>
      <c r="E1317" s="220"/>
      <c r="F1317" s="220"/>
      <c r="G1317" s="220"/>
      <c r="H1317" s="220"/>
      <c r="I1317" s="220"/>
      <c r="J1317" s="220"/>
      <c r="K1317" s="221">
        <v>0</v>
      </c>
      <c r="L1317" s="222">
        <v>0</v>
      </c>
      <c r="M1317" s="221">
        <v>0</v>
      </c>
      <c r="N1317" s="223">
        <v>1054.5</v>
      </c>
      <c r="O1317" s="224">
        <v>2119530</v>
      </c>
      <c r="P1317" s="225">
        <v>0</v>
      </c>
      <c r="Q1317" s="221">
        <v>0</v>
      </c>
      <c r="R1317" s="225">
        <v>0</v>
      </c>
      <c r="S1317" s="221">
        <v>0</v>
      </c>
      <c r="T1317" s="226">
        <v>0</v>
      </c>
      <c r="U1317" s="291">
        <v>0</v>
      </c>
      <c r="V1317" s="282"/>
      <c r="W1317" s="282"/>
      <c r="X1317" s="282"/>
    </row>
    <row r="1318" spans="1:35" s="46" customFormat="1">
      <c r="A1318" s="198">
        <v>251</v>
      </c>
      <c r="B1318" s="219" t="s">
        <v>403</v>
      </c>
      <c r="C1318" s="220">
        <v>1098163</v>
      </c>
      <c r="D1318" s="220"/>
      <c r="E1318" s="220"/>
      <c r="F1318" s="220"/>
      <c r="G1318" s="220"/>
      <c r="H1318" s="220"/>
      <c r="I1318" s="220"/>
      <c r="J1318" s="220"/>
      <c r="K1318" s="221">
        <v>0</v>
      </c>
      <c r="L1318" s="222">
        <v>0</v>
      </c>
      <c r="M1318" s="221">
        <v>0</v>
      </c>
      <c r="N1318" s="223">
        <v>548</v>
      </c>
      <c r="O1318" s="224">
        <v>1098163</v>
      </c>
      <c r="P1318" s="225">
        <v>0</v>
      </c>
      <c r="Q1318" s="221">
        <v>0</v>
      </c>
      <c r="R1318" s="225">
        <v>0</v>
      </c>
      <c r="S1318" s="221">
        <v>0</v>
      </c>
      <c r="T1318" s="226">
        <v>0</v>
      </c>
      <c r="U1318" s="291">
        <v>0</v>
      </c>
      <c r="V1318" s="282"/>
      <c r="W1318" s="282"/>
      <c r="X1318" s="282"/>
      <c r="Y1318" s="43"/>
      <c r="Z1318" s="43"/>
      <c r="AA1318" s="43"/>
      <c r="AB1318" s="43"/>
      <c r="AC1318" s="43"/>
      <c r="AD1318" s="43"/>
      <c r="AE1318" s="43"/>
      <c r="AF1318" s="43"/>
      <c r="AG1318" s="43"/>
      <c r="AH1318" s="43"/>
      <c r="AI1318" s="43"/>
    </row>
    <row r="1319" spans="1:35" s="46" customFormat="1">
      <c r="A1319" s="198">
        <v>252</v>
      </c>
      <c r="B1319" s="219" t="s">
        <v>404</v>
      </c>
      <c r="C1319" s="220">
        <v>1241309</v>
      </c>
      <c r="D1319" s="220"/>
      <c r="E1319" s="220"/>
      <c r="F1319" s="220"/>
      <c r="G1319" s="220"/>
      <c r="H1319" s="220"/>
      <c r="I1319" s="220"/>
      <c r="J1319" s="220"/>
      <c r="K1319" s="221">
        <v>0</v>
      </c>
      <c r="L1319" s="222">
        <v>0</v>
      </c>
      <c r="M1319" s="221">
        <v>0</v>
      </c>
      <c r="N1319" s="223">
        <v>622</v>
      </c>
      <c r="O1319" s="224">
        <v>1241309</v>
      </c>
      <c r="P1319" s="225">
        <v>0</v>
      </c>
      <c r="Q1319" s="221">
        <v>0</v>
      </c>
      <c r="R1319" s="225">
        <v>0</v>
      </c>
      <c r="S1319" s="221">
        <v>0</v>
      </c>
      <c r="T1319" s="226">
        <v>0</v>
      </c>
      <c r="U1319" s="291">
        <v>0</v>
      </c>
      <c r="V1319" s="282"/>
      <c r="W1319" s="282"/>
      <c r="X1319" s="282"/>
    </row>
    <row r="1320" spans="1:35" s="43" customFormat="1">
      <c r="A1320" s="198">
        <v>253</v>
      </c>
      <c r="B1320" s="219" t="s">
        <v>400</v>
      </c>
      <c r="C1320" s="220">
        <v>1041360</v>
      </c>
      <c r="D1320" s="220"/>
      <c r="E1320" s="220"/>
      <c r="F1320" s="220"/>
      <c r="G1320" s="220"/>
      <c r="H1320" s="220"/>
      <c r="I1320" s="220"/>
      <c r="J1320" s="220"/>
      <c r="K1320" s="221">
        <v>0</v>
      </c>
      <c r="L1320" s="222">
        <v>0</v>
      </c>
      <c r="M1320" s="221">
        <v>0</v>
      </c>
      <c r="N1320" s="223">
        <v>520</v>
      </c>
      <c r="O1320" s="224">
        <v>1041360</v>
      </c>
      <c r="P1320" s="225">
        <v>0</v>
      </c>
      <c r="Q1320" s="221">
        <v>0</v>
      </c>
      <c r="R1320" s="225">
        <v>0</v>
      </c>
      <c r="S1320" s="221">
        <v>0</v>
      </c>
      <c r="T1320" s="226">
        <v>0</v>
      </c>
      <c r="U1320" s="291">
        <v>0</v>
      </c>
      <c r="V1320" s="282"/>
      <c r="W1320" s="282"/>
      <c r="X1320" s="282"/>
      <c r="Y1320" s="46"/>
      <c r="Z1320" s="46"/>
      <c r="AA1320" s="46"/>
      <c r="AB1320" s="46"/>
      <c r="AC1320" s="46"/>
      <c r="AD1320" s="46"/>
      <c r="AE1320" s="46"/>
      <c r="AF1320" s="46"/>
      <c r="AG1320" s="46"/>
      <c r="AH1320" s="46"/>
      <c r="AI1320" s="46"/>
    </row>
    <row r="1321" spans="1:35" s="43" customFormat="1">
      <c r="A1321" s="198">
        <v>254</v>
      </c>
      <c r="B1321" s="219" t="s">
        <v>401</v>
      </c>
      <c r="C1321" s="220">
        <v>1138866</v>
      </c>
      <c r="D1321" s="220"/>
      <c r="E1321" s="220"/>
      <c r="F1321" s="220"/>
      <c r="G1321" s="220"/>
      <c r="H1321" s="220"/>
      <c r="I1321" s="220"/>
      <c r="J1321" s="220"/>
      <c r="K1321" s="221">
        <v>0</v>
      </c>
      <c r="L1321" s="222">
        <v>0</v>
      </c>
      <c r="M1321" s="221">
        <v>0</v>
      </c>
      <c r="N1321" s="223">
        <v>570</v>
      </c>
      <c r="O1321" s="224">
        <v>1138866</v>
      </c>
      <c r="P1321" s="225">
        <v>0</v>
      </c>
      <c r="Q1321" s="221">
        <v>0</v>
      </c>
      <c r="R1321" s="225">
        <v>0</v>
      </c>
      <c r="S1321" s="221">
        <v>0</v>
      </c>
      <c r="T1321" s="226">
        <v>0</v>
      </c>
      <c r="U1321" s="291">
        <v>0</v>
      </c>
      <c r="V1321" s="282"/>
      <c r="W1321" s="282"/>
      <c r="X1321" s="282"/>
      <c r="Y1321" s="46"/>
      <c r="Z1321" s="46"/>
      <c r="AA1321" s="46"/>
      <c r="AB1321" s="46"/>
      <c r="AC1321" s="46"/>
      <c r="AD1321" s="46"/>
      <c r="AE1321" s="46"/>
      <c r="AF1321" s="46"/>
      <c r="AG1321" s="46"/>
      <c r="AH1321" s="46"/>
      <c r="AI1321" s="46"/>
    </row>
    <row r="1322" spans="1:35" s="46" customFormat="1">
      <c r="A1322" s="198">
        <v>255</v>
      </c>
      <c r="B1322" s="219" t="s">
        <v>394</v>
      </c>
      <c r="C1322" s="220">
        <v>848546</v>
      </c>
      <c r="D1322" s="220"/>
      <c r="E1322" s="220"/>
      <c r="F1322" s="220"/>
      <c r="G1322" s="220"/>
      <c r="H1322" s="220"/>
      <c r="I1322" s="220"/>
      <c r="J1322" s="220"/>
      <c r="K1322" s="221">
        <v>0</v>
      </c>
      <c r="L1322" s="222">
        <v>0</v>
      </c>
      <c r="M1322" s="221">
        <v>0</v>
      </c>
      <c r="N1322" s="229">
        <v>421.2</v>
      </c>
      <c r="O1322" s="224">
        <v>848546</v>
      </c>
      <c r="P1322" s="225">
        <v>0</v>
      </c>
      <c r="Q1322" s="221">
        <v>0</v>
      </c>
      <c r="R1322" s="225">
        <v>0</v>
      </c>
      <c r="S1322" s="221">
        <v>0</v>
      </c>
      <c r="T1322" s="226">
        <v>0</v>
      </c>
      <c r="U1322" s="291">
        <v>0</v>
      </c>
      <c r="V1322" s="282"/>
      <c r="W1322" s="282"/>
      <c r="X1322" s="282"/>
      <c r="Y1322" s="90"/>
      <c r="Z1322" s="90"/>
      <c r="AA1322" s="90"/>
      <c r="AB1322" s="90"/>
      <c r="AC1322" s="90"/>
      <c r="AD1322" s="90"/>
      <c r="AE1322" s="90"/>
      <c r="AF1322" s="90"/>
      <c r="AG1322" s="90"/>
      <c r="AH1322" s="90"/>
      <c r="AI1322" s="90"/>
    </row>
    <row r="1323" spans="1:35" s="46" customFormat="1">
      <c r="A1323" s="198">
        <v>256</v>
      </c>
      <c r="B1323" s="219" t="s">
        <v>395</v>
      </c>
      <c r="C1323" s="220">
        <v>848706</v>
      </c>
      <c r="D1323" s="220"/>
      <c r="E1323" s="220"/>
      <c r="F1323" s="220"/>
      <c r="G1323" s="220"/>
      <c r="H1323" s="220"/>
      <c r="I1323" s="220"/>
      <c r="J1323" s="220"/>
      <c r="K1323" s="221">
        <v>0</v>
      </c>
      <c r="L1323" s="222">
        <v>0</v>
      </c>
      <c r="M1323" s="221">
        <v>0</v>
      </c>
      <c r="N1323" s="229">
        <v>421.2</v>
      </c>
      <c r="O1323" s="224">
        <v>848706</v>
      </c>
      <c r="P1323" s="225">
        <v>0</v>
      </c>
      <c r="Q1323" s="221">
        <v>0</v>
      </c>
      <c r="R1323" s="225">
        <v>0</v>
      </c>
      <c r="S1323" s="221">
        <v>0</v>
      </c>
      <c r="T1323" s="226">
        <v>0</v>
      </c>
      <c r="U1323" s="291">
        <v>0</v>
      </c>
      <c r="V1323" s="282"/>
      <c r="W1323" s="282"/>
      <c r="X1323" s="282"/>
      <c r="Y1323" s="45"/>
      <c r="Z1323" s="45"/>
      <c r="AA1323" s="45"/>
      <c r="AB1323" s="45"/>
      <c r="AC1323" s="45"/>
      <c r="AD1323" s="45"/>
      <c r="AE1323" s="45"/>
      <c r="AF1323" s="45"/>
      <c r="AG1323" s="45"/>
      <c r="AH1323" s="45"/>
      <c r="AI1323" s="90"/>
    </row>
    <row r="1324" spans="1:35" s="46" customFormat="1">
      <c r="A1324" s="198">
        <v>257</v>
      </c>
      <c r="B1324" s="219" t="s">
        <v>396</v>
      </c>
      <c r="C1324" s="220">
        <v>1180083</v>
      </c>
      <c r="D1324" s="220"/>
      <c r="E1324" s="220"/>
      <c r="F1324" s="220"/>
      <c r="G1324" s="220"/>
      <c r="H1324" s="220"/>
      <c r="I1324" s="220"/>
      <c r="J1324" s="220"/>
      <c r="K1324" s="221">
        <v>0</v>
      </c>
      <c r="L1324" s="222">
        <v>0</v>
      </c>
      <c r="M1324" s="221">
        <v>0</v>
      </c>
      <c r="N1324" s="229">
        <v>590</v>
      </c>
      <c r="O1324" s="224">
        <v>1180083</v>
      </c>
      <c r="P1324" s="225">
        <v>0</v>
      </c>
      <c r="Q1324" s="221">
        <v>0</v>
      </c>
      <c r="R1324" s="225">
        <v>0</v>
      </c>
      <c r="S1324" s="221">
        <v>0</v>
      </c>
      <c r="T1324" s="226">
        <v>0</v>
      </c>
      <c r="U1324" s="291">
        <v>0</v>
      </c>
      <c r="V1324" s="282"/>
      <c r="W1324" s="282"/>
      <c r="X1324" s="282"/>
    </row>
    <row r="1325" spans="1:35" s="46" customFormat="1" ht="27.6">
      <c r="A1325" s="198"/>
      <c r="B1325" s="214" t="s">
        <v>210</v>
      </c>
      <c r="C1325" s="220">
        <v>2336158</v>
      </c>
      <c r="D1325" s="220"/>
      <c r="E1325" s="220"/>
      <c r="F1325" s="220"/>
      <c r="G1325" s="220"/>
      <c r="H1325" s="220"/>
      <c r="I1325" s="220"/>
      <c r="J1325" s="220"/>
      <c r="K1325" s="220">
        <v>0</v>
      </c>
      <c r="L1325" s="222">
        <v>0</v>
      </c>
      <c r="M1325" s="220">
        <v>0</v>
      </c>
      <c r="N1325" s="220">
        <v>1196</v>
      </c>
      <c r="O1325" s="220">
        <v>2336158</v>
      </c>
      <c r="P1325" s="230">
        <v>0</v>
      </c>
      <c r="Q1325" s="220">
        <v>0</v>
      </c>
      <c r="R1325" s="230">
        <v>0</v>
      </c>
      <c r="S1325" s="220">
        <v>0</v>
      </c>
      <c r="T1325" s="222">
        <v>0</v>
      </c>
      <c r="U1325" s="292">
        <v>0</v>
      </c>
      <c r="V1325" s="282"/>
      <c r="W1325" s="282"/>
      <c r="X1325" s="282"/>
    </row>
    <row r="1326" spans="1:35" s="46" customFormat="1">
      <c r="A1326" s="198">
        <v>258</v>
      </c>
      <c r="B1326" s="231" t="s">
        <v>407</v>
      </c>
      <c r="C1326" s="220">
        <v>1168079</v>
      </c>
      <c r="D1326" s="220"/>
      <c r="E1326" s="220"/>
      <c r="F1326" s="220"/>
      <c r="G1326" s="220"/>
      <c r="H1326" s="220"/>
      <c r="I1326" s="220"/>
      <c r="J1326" s="220"/>
      <c r="K1326" s="221">
        <v>0</v>
      </c>
      <c r="L1326" s="222">
        <v>0</v>
      </c>
      <c r="M1326" s="221">
        <v>0</v>
      </c>
      <c r="N1326" s="229">
        <v>598</v>
      </c>
      <c r="O1326" s="224">
        <v>1168079</v>
      </c>
      <c r="P1326" s="230">
        <v>0</v>
      </c>
      <c r="Q1326" s="221">
        <v>0</v>
      </c>
      <c r="R1326" s="230">
        <v>0</v>
      </c>
      <c r="S1326" s="221">
        <v>0</v>
      </c>
      <c r="T1326" s="222">
        <v>0</v>
      </c>
      <c r="U1326" s="291">
        <v>0</v>
      </c>
      <c r="V1326" s="282"/>
      <c r="W1326" s="282"/>
      <c r="X1326" s="282"/>
    </row>
    <row r="1327" spans="1:35" s="46" customFormat="1">
      <c r="A1327" s="198">
        <v>259</v>
      </c>
      <c r="B1327" s="231" t="s">
        <v>408</v>
      </c>
      <c r="C1327" s="220">
        <v>1168079</v>
      </c>
      <c r="D1327" s="220"/>
      <c r="E1327" s="220"/>
      <c r="F1327" s="220"/>
      <c r="G1327" s="220"/>
      <c r="H1327" s="220"/>
      <c r="I1327" s="220"/>
      <c r="J1327" s="220"/>
      <c r="K1327" s="221">
        <v>0</v>
      </c>
      <c r="L1327" s="222">
        <v>0</v>
      </c>
      <c r="M1327" s="221">
        <v>0</v>
      </c>
      <c r="N1327" s="229">
        <v>598</v>
      </c>
      <c r="O1327" s="224">
        <v>1168079</v>
      </c>
      <c r="P1327" s="230">
        <v>0</v>
      </c>
      <c r="Q1327" s="221">
        <v>0</v>
      </c>
      <c r="R1327" s="230">
        <v>0</v>
      </c>
      <c r="S1327" s="221">
        <v>0</v>
      </c>
      <c r="T1327" s="222">
        <v>0</v>
      </c>
      <c r="U1327" s="291">
        <v>0</v>
      </c>
      <c r="V1327" s="282"/>
      <c r="W1327" s="282"/>
      <c r="X1327" s="282"/>
    </row>
    <row r="1328" spans="1:35" s="18" customFormat="1">
      <c r="A1328" s="198"/>
      <c r="B1328" s="216" t="s">
        <v>44</v>
      </c>
      <c r="C1328" s="211">
        <f>C1329</f>
        <v>906976</v>
      </c>
      <c r="D1328" s="211">
        <f t="shared" ref="D1328:U1328" si="202">D1329</f>
        <v>0</v>
      </c>
      <c r="E1328" s="211">
        <f t="shared" si="202"/>
        <v>0</v>
      </c>
      <c r="F1328" s="211">
        <f t="shared" si="202"/>
        <v>0</v>
      </c>
      <c r="G1328" s="211">
        <f t="shared" si="202"/>
        <v>0</v>
      </c>
      <c r="H1328" s="211">
        <f t="shared" si="202"/>
        <v>0</v>
      </c>
      <c r="I1328" s="211">
        <f t="shared" si="202"/>
        <v>0</v>
      </c>
      <c r="J1328" s="211">
        <f t="shared" si="202"/>
        <v>0</v>
      </c>
      <c r="K1328" s="211">
        <f t="shared" si="202"/>
        <v>0</v>
      </c>
      <c r="L1328" s="211">
        <f t="shared" si="202"/>
        <v>0</v>
      </c>
      <c r="M1328" s="211">
        <f t="shared" si="202"/>
        <v>0</v>
      </c>
      <c r="N1328" s="211">
        <f t="shared" si="202"/>
        <v>280</v>
      </c>
      <c r="O1328" s="211">
        <f t="shared" si="202"/>
        <v>906976</v>
      </c>
      <c r="P1328" s="211">
        <f t="shared" si="202"/>
        <v>0</v>
      </c>
      <c r="Q1328" s="211">
        <f t="shared" si="202"/>
        <v>0</v>
      </c>
      <c r="R1328" s="211">
        <f t="shared" si="202"/>
        <v>0</v>
      </c>
      <c r="S1328" s="211">
        <f t="shared" si="202"/>
        <v>0</v>
      </c>
      <c r="T1328" s="211">
        <f t="shared" si="202"/>
        <v>0</v>
      </c>
      <c r="U1328" s="211">
        <f t="shared" si="202"/>
        <v>0</v>
      </c>
      <c r="V1328" s="282"/>
      <c r="W1328" s="282"/>
      <c r="X1328" s="282"/>
    </row>
    <row r="1329" spans="1:35" ht="27.6">
      <c r="A1329" s="198"/>
      <c r="B1329" s="214" t="s">
        <v>435</v>
      </c>
      <c r="C1329" s="211">
        <f>C1330</f>
        <v>906976</v>
      </c>
      <c r="D1329" s="211">
        <f t="shared" ref="D1329:U1329" si="203">D1330</f>
        <v>0</v>
      </c>
      <c r="E1329" s="211">
        <f t="shared" si="203"/>
        <v>0</v>
      </c>
      <c r="F1329" s="211">
        <f t="shared" si="203"/>
        <v>0</v>
      </c>
      <c r="G1329" s="211">
        <f t="shared" si="203"/>
        <v>0</v>
      </c>
      <c r="H1329" s="211">
        <f t="shared" si="203"/>
        <v>0</v>
      </c>
      <c r="I1329" s="211">
        <f t="shared" si="203"/>
        <v>0</v>
      </c>
      <c r="J1329" s="211">
        <f t="shared" si="203"/>
        <v>0</v>
      </c>
      <c r="K1329" s="211">
        <f t="shared" si="203"/>
        <v>0</v>
      </c>
      <c r="L1329" s="211">
        <f t="shared" si="203"/>
        <v>0</v>
      </c>
      <c r="M1329" s="211">
        <f t="shared" si="203"/>
        <v>0</v>
      </c>
      <c r="N1329" s="211">
        <f t="shared" si="203"/>
        <v>280</v>
      </c>
      <c r="O1329" s="211">
        <f t="shared" si="203"/>
        <v>906976</v>
      </c>
      <c r="P1329" s="211">
        <f t="shared" si="203"/>
        <v>0</v>
      </c>
      <c r="Q1329" s="211">
        <f t="shared" si="203"/>
        <v>0</v>
      </c>
      <c r="R1329" s="211">
        <f t="shared" si="203"/>
        <v>0</v>
      </c>
      <c r="S1329" s="211">
        <f t="shared" si="203"/>
        <v>0</v>
      </c>
      <c r="T1329" s="211">
        <f t="shared" si="203"/>
        <v>0</v>
      </c>
      <c r="U1329" s="211">
        <f t="shared" si="203"/>
        <v>0</v>
      </c>
      <c r="V1329" s="211">
        <f t="shared" ref="V1329" si="204">V1330</f>
        <v>0</v>
      </c>
      <c r="W1329" s="211"/>
      <c r="X1329" s="211"/>
      <c r="Y1329" s="211"/>
      <c r="Z1329" s="211"/>
      <c r="AA1329" s="211"/>
      <c r="AB1329" s="211"/>
      <c r="AC1329" s="211"/>
      <c r="AD1329" s="211"/>
      <c r="AE1329" s="211"/>
      <c r="AF1329" s="211"/>
      <c r="AG1329" s="211"/>
      <c r="AH1329" s="211"/>
      <c r="AI1329" s="211"/>
    </row>
    <row r="1330" spans="1:35">
      <c r="A1330" s="470">
        <v>260</v>
      </c>
      <c r="B1330" s="480" t="s">
        <v>768</v>
      </c>
      <c r="C1330" s="479">
        <f>'часть 1'!L1362</f>
        <v>906976</v>
      </c>
      <c r="D1330" s="479">
        <v>0</v>
      </c>
      <c r="E1330" s="479">
        <v>0</v>
      </c>
      <c r="F1330" s="479">
        <v>0</v>
      </c>
      <c r="G1330" s="479">
        <v>0</v>
      </c>
      <c r="H1330" s="479">
        <v>0</v>
      </c>
      <c r="I1330" s="479">
        <v>0</v>
      </c>
      <c r="J1330" s="479">
        <v>0</v>
      </c>
      <c r="K1330" s="479">
        <v>0</v>
      </c>
      <c r="L1330" s="515">
        <v>0</v>
      </c>
      <c r="M1330" s="479">
        <v>0</v>
      </c>
      <c r="N1330" s="472">
        <v>280</v>
      </c>
      <c r="O1330" s="479">
        <v>906976</v>
      </c>
      <c r="P1330" s="516">
        <v>0</v>
      </c>
      <c r="Q1330" s="479">
        <v>0</v>
      </c>
      <c r="R1330" s="516">
        <v>0</v>
      </c>
      <c r="S1330" s="479">
        <v>0</v>
      </c>
      <c r="T1330" s="515">
        <v>0</v>
      </c>
      <c r="U1330" s="517">
        <v>0</v>
      </c>
      <c r="V1330" s="282"/>
      <c r="W1330" s="282">
        <f>O1330/N1330</f>
        <v>3239.2</v>
      </c>
      <c r="X1330" s="282"/>
    </row>
    <row r="1331" spans="1:35">
      <c r="A1331" s="470"/>
      <c r="B1331" s="480"/>
      <c r="C1331" s="479"/>
      <c r="D1331" s="479"/>
      <c r="E1331" s="479"/>
      <c r="F1331" s="479"/>
      <c r="G1331" s="479"/>
      <c r="H1331" s="479"/>
      <c r="I1331" s="479"/>
      <c r="J1331" s="479"/>
      <c r="K1331" s="479"/>
      <c r="L1331" s="515"/>
      <c r="M1331" s="479"/>
      <c r="N1331" s="472"/>
      <c r="O1331" s="479"/>
      <c r="P1331" s="516"/>
      <c r="Q1331" s="479"/>
      <c r="R1331" s="516"/>
      <c r="S1331" s="479"/>
      <c r="T1331" s="515"/>
      <c r="U1331" s="517"/>
      <c r="V1331" s="282"/>
      <c r="W1331" s="282"/>
      <c r="X1331" s="282"/>
    </row>
    <row r="1332" spans="1:35" ht="15.6" customHeight="1">
      <c r="A1332" s="198"/>
      <c r="B1332" s="216" t="s">
        <v>45</v>
      </c>
      <c r="C1332" s="211">
        <f t="shared" ref="C1332:V1332" si="205">C1333+C1335+C1337+C1340+C1341+C1343+C1345</f>
        <v>11109566</v>
      </c>
      <c r="D1332" s="211">
        <f t="shared" si="205"/>
        <v>0</v>
      </c>
      <c r="E1332" s="211">
        <f t="shared" si="205"/>
        <v>0</v>
      </c>
      <c r="F1332" s="211">
        <f t="shared" si="205"/>
        <v>0</v>
      </c>
      <c r="G1332" s="211">
        <f t="shared" si="205"/>
        <v>0</v>
      </c>
      <c r="H1332" s="211">
        <f t="shared" si="205"/>
        <v>0</v>
      </c>
      <c r="I1332" s="211">
        <f t="shared" si="205"/>
        <v>0</v>
      </c>
      <c r="J1332" s="211">
        <f t="shared" si="205"/>
        <v>0</v>
      </c>
      <c r="K1332" s="211">
        <f t="shared" si="205"/>
        <v>0</v>
      </c>
      <c r="L1332" s="211">
        <f t="shared" si="205"/>
        <v>0</v>
      </c>
      <c r="M1332" s="211">
        <f t="shared" si="205"/>
        <v>0</v>
      </c>
      <c r="N1332" s="211">
        <f t="shared" si="205"/>
        <v>3487.1000000000004</v>
      </c>
      <c r="O1332" s="211">
        <f t="shared" si="205"/>
        <v>10208116</v>
      </c>
      <c r="P1332" s="211">
        <f t="shared" si="205"/>
        <v>0</v>
      </c>
      <c r="Q1332" s="211">
        <f t="shared" si="205"/>
        <v>0</v>
      </c>
      <c r="R1332" s="211">
        <f t="shared" si="205"/>
        <v>590</v>
      </c>
      <c r="S1332" s="211">
        <f t="shared" si="205"/>
        <v>901450</v>
      </c>
      <c r="T1332" s="211">
        <f t="shared" si="205"/>
        <v>0</v>
      </c>
      <c r="U1332" s="211">
        <f t="shared" si="205"/>
        <v>0</v>
      </c>
      <c r="V1332" s="211" t="e">
        <f t="shared" si="205"/>
        <v>#REF!</v>
      </c>
      <c r="W1332" s="282"/>
      <c r="X1332" s="282"/>
    </row>
    <row r="1333" spans="1:35" ht="27.6">
      <c r="A1333" s="470"/>
      <c r="B1333" s="480" t="s">
        <v>98</v>
      </c>
      <c r="C1333" s="479">
        <f>C1334</f>
        <v>2377747</v>
      </c>
      <c r="D1333" s="479">
        <f t="shared" ref="D1333:V1333" si="206">D1334</f>
        <v>0</v>
      </c>
      <c r="E1333" s="479">
        <f t="shared" si="206"/>
        <v>0</v>
      </c>
      <c r="F1333" s="479">
        <f t="shared" si="206"/>
        <v>0</v>
      </c>
      <c r="G1333" s="479">
        <f t="shared" si="206"/>
        <v>0</v>
      </c>
      <c r="H1333" s="479">
        <f t="shared" si="206"/>
        <v>0</v>
      </c>
      <c r="I1333" s="479">
        <f t="shared" si="206"/>
        <v>0</v>
      </c>
      <c r="J1333" s="479">
        <f t="shared" si="206"/>
        <v>0</v>
      </c>
      <c r="K1333" s="479">
        <f t="shared" si="206"/>
        <v>0</v>
      </c>
      <c r="L1333" s="479">
        <f t="shared" si="206"/>
        <v>0</v>
      </c>
      <c r="M1333" s="479">
        <f t="shared" si="206"/>
        <v>0</v>
      </c>
      <c r="N1333" s="479">
        <f t="shared" si="206"/>
        <v>949.2</v>
      </c>
      <c r="O1333" s="479">
        <f t="shared" si="206"/>
        <v>2377747</v>
      </c>
      <c r="P1333" s="479">
        <f t="shared" si="206"/>
        <v>0</v>
      </c>
      <c r="Q1333" s="479">
        <f t="shared" si="206"/>
        <v>0</v>
      </c>
      <c r="R1333" s="479">
        <f t="shared" si="206"/>
        <v>0</v>
      </c>
      <c r="S1333" s="479">
        <f t="shared" si="206"/>
        <v>0</v>
      </c>
      <c r="T1333" s="479">
        <f t="shared" si="206"/>
        <v>0</v>
      </c>
      <c r="U1333" s="479">
        <f t="shared" si="206"/>
        <v>0</v>
      </c>
      <c r="V1333" s="479">
        <f t="shared" si="206"/>
        <v>0</v>
      </c>
      <c r="W1333" s="282"/>
      <c r="X1333" s="282"/>
    </row>
    <row r="1334" spans="1:35">
      <c r="A1334" s="470">
        <v>262</v>
      </c>
      <c r="B1334" s="480" t="s">
        <v>798</v>
      </c>
      <c r="C1334" s="479">
        <f>'часть 1'!L1366</f>
        <v>2377747</v>
      </c>
      <c r="D1334" s="479">
        <v>0</v>
      </c>
      <c r="E1334" s="479">
        <v>0</v>
      </c>
      <c r="F1334" s="479">
        <v>0</v>
      </c>
      <c r="G1334" s="479">
        <v>0</v>
      </c>
      <c r="H1334" s="479">
        <v>0</v>
      </c>
      <c r="I1334" s="479">
        <v>0</v>
      </c>
      <c r="J1334" s="479">
        <v>0</v>
      </c>
      <c r="K1334" s="479">
        <v>0</v>
      </c>
      <c r="L1334" s="515">
        <v>0</v>
      </c>
      <c r="M1334" s="479">
        <v>0</v>
      </c>
      <c r="N1334" s="472">
        <v>949.2</v>
      </c>
      <c r="O1334" s="479">
        <v>2377747</v>
      </c>
      <c r="P1334" s="516">
        <v>0</v>
      </c>
      <c r="Q1334" s="479">
        <v>0</v>
      </c>
      <c r="R1334" s="516">
        <v>0</v>
      </c>
      <c r="S1334" s="479">
        <v>0</v>
      </c>
      <c r="T1334" s="515">
        <v>0</v>
      </c>
      <c r="U1334" s="517">
        <v>0</v>
      </c>
      <c r="V1334" s="282"/>
      <c r="W1334" s="282">
        <f>O1334/N1334</f>
        <v>2505.0010535187525</v>
      </c>
      <c r="X1334" s="282"/>
    </row>
    <row r="1335" spans="1:35" ht="27.6">
      <c r="A1335" s="470"/>
      <c r="B1335" s="480" t="s">
        <v>688</v>
      </c>
      <c r="C1335" s="479">
        <f>C1336</f>
        <v>901450</v>
      </c>
      <c r="D1335" s="479">
        <f t="shared" ref="D1335:E1335" si="207">D1336</f>
        <v>0</v>
      </c>
      <c r="E1335" s="479">
        <f t="shared" si="207"/>
        <v>0</v>
      </c>
      <c r="F1335" s="479">
        <f t="shared" ref="F1335" si="208">F1336</f>
        <v>0</v>
      </c>
      <c r="G1335" s="479">
        <f t="shared" ref="G1335" si="209">G1336</f>
        <v>0</v>
      </c>
      <c r="H1335" s="479">
        <f t="shared" ref="H1335" si="210">H1336</f>
        <v>0</v>
      </c>
      <c r="I1335" s="479">
        <f t="shared" ref="I1335" si="211">I1336</f>
        <v>0</v>
      </c>
      <c r="J1335" s="479">
        <f t="shared" ref="J1335" si="212">J1336</f>
        <v>0</v>
      </c>
      <c r="K1335" s="479">
        <f t="shared" ref="K1335" si="213">K1336</f>
        <v>0</v>
      </c>
      <c r="L1335" s="479">
        <f t="shared" ref="L1335" si="214">L1336</f>
        <v>0</v>
      </c>
      <c r="M1335" s="479">
        <f t="shared" ref="M1335" si="215">M1336</f>
        <v>0</v>
      </c>
      <c r="N1335" s="479">
        <f t="shared" ref="N1335" si="216">N1336</f>
        <v>0</v>
      </c>
      <c r="O1335" s="479">
        <f t="shared" ref="O1335" si="217">O1336</f>
        <v>0</v>
      </c>
      <c r="P1335" s="479">
        <f t="shared" ref="P1335" si="218">P1336</f>
        <v>0</v>
      </c>
      <c r="Q1335" s="479">
        <f t="shared" ref="Q1335" si="219">Q1336</f>
        <v>0</v>
      </c>
      <c r="R1335" s="479">
        <f t="shared" ref="R1335" si="220">R1336</f>
        <v>590</v>
      </c>
      <c r="S1335" s="479">
        <f t="shared" ref="S1335" si="221">S1336</f>
        <v>901450</v>
      </c>
      <c r="T1335" s="479">
        <f t="shared" ref="T1335" si="222">T1336</f>
        <v>0</v>
      </c>
      <c r="U1335" s="479">
        <f t="shared" ref="U1335" si="223">U1336</f>
        <v>0</v>
      </c>
      <c r="V1335" s="282"/>
      <c r="W1335" s="282"/>
      <c r="X1335" s="282"/>
    </row>
    <row r="1336" spans="1:35" ht="27.6">
      <c r="A1336" s="470"/>
      <c r="B1336" s="480" t="s">
        <v>691</v>
      </c>
      <c r="C1336" s="479">
        <f>'часть 1'!L1368</f>
        <v>901450</v>
      </c>
      <c r="D1336" s="479">
        <v>0</v>
      </c>
      <c r="E1336" s="479">
        <v>0</v>
      </c>
      <c r="F1336" s="479">
        <v>0</v>
      </c>
      <c r="G1336" s="479">
        <v>0</v>
      </c>
      <c r="H1336" s="479">
        <v>0</v>
      </c>
      <c r="I1336" s="479">
        <v>0</v>
      </c>
      <c r="J1336" s="479">
        <v>0</v>
      </c>
      <c r="K1336" s="479">
        <v>0</v>
      </c>
      <c r="L1336" s="515">
        <v>0</v>
      </c>
      <c r="M1336" s="479">
        <v>0</v>
      </c>
      <c r="N1336" s="472">
        <v>0</v>
      </c>
      <c r="O1336" s="479">
        <v>0</v>
      </c>
      <c r="P1336" s="516">
        <v>0</v>
      </c>
      <c r="Q1336" s="479">
        <v>0</v>
      </c>
      <c r="R1336" s="516">
        <v>590</v>
      </c>
      <c r="S1336" s="479">
        <v>901450</v>
      </c>
      <c r="T1336" s="515">
        <v>0</v>
      </c>
      <c r="U1336" s="517">
        <v>0</v>
      </c>
      <c r="V1336" s="282"/>
      <c r="W1336" s="282"/>
      <c r="X1336" s="282">
        <f>S1336/R1336</f>
        <v>1527.8813559322034</v>
      </c>
    </row>
    <row r="1337" spans="1:35" ht="27.6">
      <c r="A1337" s="470"/>
      <c r="B1337" s="480" t="s">
        <v>99</v>
      </c>
      <c r="C1337" s="479">
        <f>C1338+C1339</f>
        <v>1696092</v>
      </c>
      <c r="D1337" s="479">
        <f t="shared" ref="D1337:V1337" si="224">D1338+D1339</f>
        <v>0</v>
      </c>
      <c r="E1337" s="479">
        <f t="shared" si="224"/>
        <v>0</v>
      </c>
      <c r="F1337" s="479">
        <f t="shared" si="224"/>
        <v>0</v>
      </c>
      <c r="G1337" s="479">
        <f t="shared" si="224"/>
        <v>0</v>
      </c>
      <c r="H1337" s="479">
        <f t="shared" si="224"/>
        <v>0</v>
      </c>
      <c r="I1337" s="479">
        <f t="shared" si="224"/>
        <v>0</v>
      </c>
      <c r="J1337" s="479">
        <f t="shared" si="224"/>
        <v>0</v>
      </c>
      <c r="K1337" s="479">
        <f t="shared" si="224"/>
        <v>0</v>
      </c>
      <c r="L1337" s="479">
        <f t="shared" si="224"/>
        <v>0</v>
      </c>
      <c r="M1337" s="479">
        <f t="shared" si="224"/>
        <v>0</v>
      </c>
      <c r="N1337" s="479">
        <f t="shared" si="224"/>
        <v>522.70000000000005</v>
      </c>
      <c r="O1337" s="479">
        <f t="shared" si="224"/>
        <v>1696092</v>
      </c>
      <c r="P1337" s="479">
        <f t="shared" si="224"/>
        <v>0</v>
      </c>
      <c r="Q1337" s="479">
        <f t="shared" si="224"/>
        <v>0</v>
      </c>
      <c r="R1337" s="479">
        <f t="shared" si="224"/>
        <v>0</v>
      </c>
      <c r="S1337" s="479">
        <f t="shared" si="224"/>
        <v>0</v>
      </c>
      <c r="T1337" s="479">
        <f t="shared" si="224"/>
        <v>0</v>
      </c>
      <c r="U1337" s="479">
        <f t="shared" si="224"/>
        <v>0</v>
      </c>
      <c r="V1337" s="211">
        <f t="shared" si="224"/>
        <v>0</v>
      </c>
      <c r="W1337" s="282"/>
      <c r="X1337" s="282"/>
    </row>
    <row r="1338" spans="1:35" ht="27.6">
      <c r="A1338" s="470">
        <v>265</v>
      </c>
      <c r="B1338" s="480" t="s">
        <v>803</v>
      </c>
      <c r="C1338" s="479">
        <f>'часть 1'!L1370</f>
        <v>851963</v>
      </c>
      <c r="D1338" s="479">
        <v>0</v>
      </c>
      <c r="E1338" s="479">
        <v>0</v>
      </c>
      <c r="F1338" s="479">
        <v>0</v>
      </c>
      <c r="G1338" s="479">
        <v>0</v>
      </c>
      <c r="H1338" s="479">
        <v>0</v>
      </c>
      <c r="I1338" s="479">
        <v>0</v>
      </c>
      <c r="J1338" s="479">
        <v>0</v>
      </c>
      <c r="K1338" s="479">
        <v>0</v>
      </c>
      <c r="L1338" s="515">
        <v>0</v>
      </c>
      <c r="M1338" s="479">
        <v>0</v>
      </c>
      <c r="N1338" s="558">
        <v>262.60000000000002</v>
      </c>
      <c r="O1338" s="479">
        <v>851963</v>
      </c>
      <c r="P1338" s="516">
        <v>0</v>
      </c>
      <c r="Q1338" s="479">
        <v>0</v>
      </c>
      <c r="R1338" s="516">
        <v>0</v>
      </c>
      <c r="S1338" s="479">
        <v>0</v>
      </c>
      <c r="T1338" s="515">
        <v>0</v>
      </c>
      <c r="U1338" s="517">
        <v>0</v>
      </c>
      <c r="V1338" s="282"/>
      <c r="W1338" s="282">
        <f>O1338/N1338</f>
        <v>3244.3373952779889</v>
      </c>
      <c r="X1338" s="282"/>
    </row>
    <row r="1339" spans="1:35" ht="27.6">
      <c r="A1339" s="470">
        <v>266</v>
      </c>
      <c r="B1339" s="480" t="s">
        <v>804</v>
      </c>
      <c r="C1339" s="479">
        <f>'часть 1'!L1371</f>
        <v>844129</v>
      </c>
      <c r="D1339" s="479">
        <v>0</v>
      </c>
      <c r="E1339" s="479">
        <v>0</v>
      </c>
      <c r="F1339" s="479">
        <v>0</v>
      </c>
      <c r="G1339" s="479">
        <v>0</v>
      </c>
      <c r="H1339" s="479">
        <v>0</v>
      </c>
      <c r="I1339" s="479">
        <v>0</v>
      </c>
      <c r="J1339" s="479">
        <v>0</v>
      </c>
      <c r="K1339" s="479">
        <v>0</v>
      </c>
      <c r="L1339" s="515">
        <v>0</v>
      </c>
      <c r="M1339" s="479">
        <v>0</v>
      </c>
      <c r="N1339" s="558">
        <v>260.10000000000002</v>
      </c>
      <c r="O1339" s="479">
        <v>844129</v>
      </c>
      <c r="P1339" s="516">
        <v>0</v>
      </c>
      <c r="Q1339" s="479">
        <v>0</v>
      </c>
      <c r="R1339" s="516">
        <v>0</v>
      </c>
      <c r="S1339" s="479">
        <v>0</v>
      </c>
      <c r="T1339" s="515">
        <v>0</v>
      </c>
      <c r="U1339" s="517">
        <v>0</v>
      </c>
      <c r="V1339" s="282"/>
      <c r="W1339" s="282">
        <f>O1339/N1339</f>
        <v>3245.4017685505573</v>
      </c>
      <c r="X1339" s="282"/>
    </row>
    <row r="1340" spans="1:35" ht="27.6">
      <c r="A1340" s="470"/>
      <c r="B1340" s="480" t="s">
        <v>100</v>
      </c>
      <c r="C1340" s="479">
        <v>0</v>
      </c>
      <c r="D1340" s="479">
        <v>0</v>
      </c>
      <c r="E1340" s="479">
        <v>0</v>
      </c>
      <c r="F1340" s="479">
        <v>0</v>
      </c>
      <c r="G1340" s="479">
        <v>0</v>
      </c>
      <c r="H1340" s="479">
        <v>0</v>
      </c>
      <c r="I1340" s="479">
        <v>0</v>
      </c>
      <c r="J1340" s="479">
        <v>0</v>
      </c>
      <c r="K1340" s="479">
        <v>0</v>
      </c>
      <c r="L1340" s="479">
        <v>0</v>
      </c>
      <c r="M1340" s="479">
        <v>0</v>
      </c>
      <c r="N1340" s="479">
        <v>0</v>
      </c>
      <c r="O1340" s="479">
        <v>0</v>
      </c>
      <c r="P1340" s="479">
        <v>0</v>
      </c>
      <c r="Q1340" s="479">
        <v>0</v>
      </c>
      <c r="R1340" s="479">
        <v>0</v>
      </c>
      <c r="S1340" s="479">
        <v>0</v>
      </c>
      <c r="T1340" s="479">
        <v>0</v>
      </c>
      <c r="U1340" s="479">
        <v>0</v>
      </c>
      <c r="V1340" s="479" t="e">
        <f>#REF!</f>
        <v>#REF!</v>
      </c>
      <c r="W1340" s="282"/>
      <c r="X1340" s="282"/>
    </row>
    <row r="1341" spans="1:35" ht="27.6">
      <c r="A1341" s="470"/>
      <c r="B1341" s="480" t="s">
        <v>101</v>
      </c>
      <c r="C1341" s="479">
        <f>C1342</f>
        <v>1648047</v>
      </c>
      <c r="D1341" s="479">
        <f t="shared" ref="D1341:U1341" si="225">D1342</f>
        <v>0</v>
      </c>
      <c r="E1341" s="479">
        <f t="shared" si="225"/>
        <v>0</v>
      </c>
      <c r="F1341" s="479">
        <f t="shared" si="225"/>
        <v>0</v>
      </c>
      <c r="G1341" s="479">
        <f t="shared" si="225"/>
        <v>0</v>
      </c>
      <c r="H1341" s="479">
        <f t="shared" si="225"/>
        <v>0</v>
      </c>
      <c r="I1341" s="479">
        <f t="shared" si="225"/>
        <v>0</v>
      </c>
      <c r="J1341" s="479">
        <f t="shared" si="225"/>
        <v>0</v>
      </c>
      <c r="K1341" s="479">
        <f t="shared" si="225"/>
        <v>0</v>
      </c>
      <c r="L1341" s="479">
        <f t="shared" si="225"/>
        <v>0</v>
      </c>
      <c r="M1341" s="479">
        <f t="shared" si="225"/>
        <v>0</v>
      </c>
      <c r="N1341" s="479">
        <f t="shared" si="225"/>
        <v>515.20000000000005</v>
      </c>
      <c r="O1341" s="479">
        <f t="shared" si="225"/>
        <v>1648047</v>
      </c>
      <c r="P1341" s="479">
        <f t="shared" si="225"/>
        <v>0</v>
      </c>
      <c r="Q1341" s="479">
        <f t="shared" si="225"/>
        <v>0</v>
      </c>
      <c r="R1341" s="479">
        <f t="shared" si="225"/>
        <v>0</v>
      </c>
      <c r="S1341" s="479">
        <f t="shared" si="225"/>
        <v>0</v>
      </c>
      <c r="T1341" s="479">
        <f t="shared" si="225"/>
        <v>0</v>
      </c>
      <c r="U1341" s="479">
        <f t="shared" si="225"/>
        <v>0</v>
      </c>
      <c r="V1341" s="282"/>
      <c r="W1341" s="282"/>
      <c r="X1341" s="282"/>
    </row>
    <row r="1342" spans="1:35" ht="27.6">
      <c r="A1342" s="470">
        <v>268</v>
      </c>
      <c r="B1342" s="480" t="s">
        <v>926</v>
      </c>
      <c r="C1342" s="479">
        <f>'часть 1'!L1374</f>
        <v>1648047</v>
      </c>
      <c r="D1342" s="479">
        <v>0</v>
      </c>
      <c r="E1342" s="479">
        <v>0</v>
      </c>
      <c r="F1342" s="479">
        <v>0</v>
      </c>
      <c r="G1342" s="479">
        <v>0</v>
      </c>
      <c r="H1342" s="479">
        <v>0</v>
      </c>
      <c r="I1342" s="479">
        <v>0</v>
      </c>
      <c r="J1342" s="479">
        <v>0</v>
      </c>
      <c r="K1342" s="479">
        <v>0</v>
      </c>
      <c r="L1342" s="515">
        <v>0</v>
      </c>
      <c r="M1342" s="479">
        <v>0</v>
      </c>
      <c r="N1342" s="472">
        <v>515.20000000000005</v>
      </c>
      <c r="O1342" s="479">
        <v>1648047</v>
      </c>
      <c r="P1342" s="516">
        <v>0</v>
      </c>
      <c r="Q1342" s="479">
        <v>0</v>
      </c>
      <c r="R1342" s="516">
        <v>0</v>
      </c>
      <c r="S1342" s="479">
        <v>0</v>
      </c>
      <c r="T1342" s="515">
        <v>0</v>
      </c>
      <c r="U1342" s="517">
        <v>0</v>
      </c>
      <c r="V1342" s="282"/>
      <c r="W1342" s="282">
        <f>O1342/N1342</f>
        <v>3198.8489906832297</v>
      </c>
      <c r="X1342" s="282"/>
    </row>
    <row r="1343" spans="1:35" ht="27.6">
      <c r="A1343" s="470"/>
      <c r="B1343" s="480" t="s">
        <v>126</v>
      </c>
      <c r="C1343" s="479">
        <f>C1344</f>
        <v>2577836</v>
      </c>
      <c r="D1343" s="479">
        <f t="shared" ref="D1343:U1343" si="226">D1344</f>
        <v>0</v>
      </c>
      <c r="E1343" s="479">
        <f t="shared" si="226"/>
        <v>0</v>
      </c>
      <c r="F1343" s="479">
        <f t="shared" si="226"/>
        <v>0</v>
      </c>
      <c r="G1343" s="479">
        <f t="shared" si="226"/>
        <v>0</v>
      </c>
      <c r="H1343" s="479">
        <f t="shared" si="226"/>
        <v>0</v>
      </c>
      <c r="I1343" s="479">
        <f t="shared" si="226"/>
        <v>0</v>
      </c>
      <c r="J1343" s="479">
        <f t="shared" si="226"/>
        <v>0</v>
      </c>
      <c r="K1343" s="479">
        <f t="shared" si="226"/>
        <v>0</v>
      </c>
      <c r="L1343" s="479">
        <f t="shared" si="226"/>
        <v>0</v>
      </c>
      <c r="M1343" s="479">
        <f t="shared" si="226"/>
        <v>0</v>
      </c>
      <c r="N1343" s="479">
        <f t="shared" si="226"/>
        <v>811.2</v>
      </c>
      <c r="O1343" s="479">
        <f t="shared" si="226"/>
        <v>2577836</v>
      </c>
      <c r="P1343" s="479">
        <f t="shared" si="226"/>
        <v>0</v>
      </c>
      <c r="Q1343" s="479">
        <f t="shared" si="226"/>
        <v>0</v>
      </c>
      <c r="R1343" s="479">
        <f t="shared" si="226"/>
        <v>0</v>
      </c>
      <c r="S1343" s="479">
        <f t="shared" si="226"/>
        <v>0</v>
      </c>
      <c r="T1343" s="479">
        <f t="shared" si="226"/>
        <v>0</v>
      </c>
      <c r="U1343" s="479">
        <f t="shared" si="226"/>
        <v>0</v>
      </c>
      <c r="V1343" s="282"/>
      <c r="W1343" s="282"/>
      <c r="X1343" s="282"/>
    </row>
    <row r="1344" spans="1:35" ht="27.6">
      <c r="A1344" s="470">
        <v>270</v>
      </c>
      <c r="B1344" s="480" t="s">
        <v>812</v>
      </c>
      <c r="C1344" s="479">
        <v>2577836</v>
      </c>
      <c r="D1344" s="479">
        <v>0</v>
      </c>
      <c r="E1344" s="479">
        <v>0</v>
      </c>
      <c r="F1344" s="479">
        <v>0</v>
      </c>
      <c r="G1344" s="479">
        <v>0</v>
      </c>
      <c r="H1344" s="479">
        <v>0</v>
      </c>
      <c r="I1344" s="479">
        <v>0</v>
      </c>
      <c r="J1344" s="479">
        <v>0</v>
      </c>
      <c r="K1344" s="479">
        <v>0</v>
      </c>
      <c r="L1344" s="515">
        <v>0</v>
      </c>
      <c r="M1344" s="479">
        <v>0</v>
      </c>
      <c r="N1344" s="479">
        <v>811.2</v>
      </c>
      <c r="O1344" s="479">
        <v>2577836</v>
      </c>
      <c r="P1344" s="516">
        <v>0</v>
      </c>
      <c r="Q1344" s="479">
        <v>0</v>
      </c>
      <c r="R1344" s="516">
        <v>0</v>
      </c>
      <c r="S1344" s="479">
        <v>0</v>
      </c>
      <c r="T1344" s="515">
        <v>0</v>
      </c>
      <c r="U1344" s="517">
        <v>0</v>
      </c>
      <c r="V1344" s="282"/>
      <c r="W1344" s="282">
        <f>O1344/N1344</f>
        <v>3177.8057199211044</v>
      </c>
      <c r="X1344" s="282"/>
    </row>
    <row r="1345" spans="1:26" ht="30.6" customHeight="1">
      <c r="A1345" s="470"/>
      <c r="B1345" s="480" t="s">
        <v>861</v>
      </c>
      <c r="C1345" s="479">
        <f>C1346</f>
        <v>1908394</v>
      </c>
      <c r="D1345" s="479">
        <f t="shared" ref="D1345:V1345" si="227">D1346</f>
        <v>0</v>
      </c>
      <c r="E1345" s="479">
        <f t="shared" si="227"/>
        <v>0</v>
      </c>
      <c r="F1345" s="479">
        <f t="shared" si="227"/>
        <v>0</v>
      </c>
      <c r="G1345" s="479">
        <f t="shared" si="227"/>
        <v>0</v>
      </c>
      <c r="H1345" s="479">
        <f t="shared" si="227"/>
        <v>0</v>
      </c>
      <c r="I1345" s="479">
        <f t="shared" si="227"/>
        <v>0</v>
      </c>
      <c r="J1345" s="479">
        <f t="shared" si="227"/>
        <v>0</v>
      </c>
      <c r="K1345" s="479">
        <f t="shared" si="227"/>
        <v>0</v>
      </c>
      <c r="L1345" s="479">
        <f t="shared" si="227"/>
        <v>0</v>
      </c>
      <c r="M1345" s="479">
        <f t="shared" si="227"/>
        <v>0</v>
      </c>
      <c r="N1345" s="479">
        <f t="shared" si="227"/>
        <v>688.8</v>
      </c>
      <c r="O1345" s="479">
        <f t="shared" si="227"/>
        <v>1908394</v>
      </c>
      <c r="P1345" s="479">
        <f t="shared" si="227"/>
        <v>0</v>
      </c>
      <c r="Q1345" s="479">
        <f t="shared" si="227"/>
        <v>0</v>
      </c>
      <c r="R1345" s="479">
        <f t="shared" si="227"/>
        <v>0</v>
      </c>
      <c r="S1345" s="479">
        <f t="shared" si="227"/>
        <v>0</v>
      </c>
      <c r="T1345" s="479">
        <f t="shared" si="227"/>
        <v>0</v>
      </c>
      <c r="U1345" s="479">
        <f t="shared" si="227"/>
        <v>0</v>
      </c>
      <c r="V1345" s="211">
        <f t="shared" si="227"/>
        <v>0</v>
      </c>
      <c r="W1345" s="282"/>
      <c r="X1345" s="282"/>
    </row>
    <row r="1346" spans="1:26" ht="27" customHeight="1">
      <c r="A1346" s="470"/>
      <c r="B1346" s="480" t="s">
        <v>862</v>
      </c>
      <c r="C1346" s="479">
        <f>'часть 1'!L1378</f>
        <v>1908394</v>
      </c>
      <c r="D1346" s="479">
        <v>0</v>
      </c>
      <c r="E1346" s="479">
        <v>0</v>
      </c>
      <c r="F1346" s="479">
        <v>0</v>
      </c>
      <c r="G1346" s="479">
        <v>0</v>
      </c>
      <c r="H1346" s="479">
        <v>0</v>
      </c>
      <c r="I1346" s="479">
        <v>0</v>
      </c>
      <c r="J1346" s="479">
        <v>0</v>
      </c>
      <c r="K1346" s="479">
        <v>0</v>
      </c>
      <c r="L1346" s="515">
        <v>0</v>
      </c>
      <c r="M1346" s="479">
        <v>0</v>
      </c>
      <c r="N1346" s="479">
        <v>688.8</v>
      </c>
      <c r="O1346" s="479">
        <v>1908394</v>
      </c>
      <c r="P1346" s="516">
        <v>0</v>
      </c>
      <c r="Q1346" s="479">
        <v>0</v>
      </c>
      <c r="R1346" s="516">
        <v>0</v>
      </c>
      <c r="S1346" s="479">
        <v>0</v>
      </c>
      <c r="T1346" s="515">
        <v>0</v>
      </c>
      <c r="U1346" s="517">
        <v>0</v>
      </c>
      <c r="V1346" s="282"/>
      <c r="W1346" s="282">
        <f>O1346/N1346</f>
        <v>2770.6068524970965</v>
      </c>
      <c r="X1346" s="282"/>
    </row>
    <row r="1347" spans="1:26">
      <c r="A1347" s="198"/>
      <c r="B1347" s="216" t="s">
        <v>46</v>
      </c>
      <c r="C1347" s="211">
        <f>C1348</f>
        <v>684446</v>
      </c>
      <c r="D1347" s="211">
        <f t="shared" ref="D1347:U1347" si="228">D1348</f>
        <v>0</v>
      </c>
      <c r="E1347" s="211">
        <f t="shared" si="228"/>
        <v>0</v>
      </c>
      <c r="F1347" s="211">
        <f t="shared" si="228"/>
        <v>0</v>
      </c>
      <c r="G1347" s="211">
        <f t="shared" si="228"/>
        <v>0</v>
      </c>
      <c r="H1347" s="211">
        <f t="shared" si="228"/>
        <v>0</v>
      </c>
      <c r="I1347" s="211">
        <f t="shared" si="228"/>
        <v>0</v>
      </c>
      <c r="J1347" s="211">
        <f t="shared" si="228"/>
        <v>0</v>
      </c>
      <c r="K1347" s="211">
        <f t="shared" si="228"/>
        <v>0</v>
      </c>
      <c r="L1347" s="211">
        <f t="shared" si="228"/>
        <v>0</v>
      </c>
      <c r="M1347" s="211">
        <f t="shared" si="228"/>
        <v>0</v>
      </c>
      <c r="N1347" s="211">
        <f t="shared" si="228"/>
        <v>0</v>
      </c>
      <c r="O1347" s="211">
        <f t="shared" si="228"/>
        <v>0</v>
      </c>
      <c r="P1347" s="211">
        <f t="shared" si="228"/>
        <v>0</v>
      </c>
      <c r="Q1347" s="211">
        <f t="shared" si="228"/>
        <v>0</v>
      </c>
      <c r="R1347" s="211">
        <f t="shared" si="228"/>
        <v>445.3</v>
      </c>
      <c r="S1347" s="211">
        <f t="shared" si="228"/>
        <v>684446</v>
      </c>
      <c r="T1347" s="211">
        <f t="shared" si="228"/>
        <v>0</v>
      </c>
      <c r="U1347" s="211">
        <f t="shared" si="228"/>
        <v>0</v>
      </c>
      <c r="V1347" s="282"/>
      <c r="W1347" s="282"/>
      <c r="X1347" s="282"/>
    </row>
    <row r="1348" spans="1:26" ht="27.6">
      <c r="A1348" s="194"/>
      <c r="B1348" s="214" t="s">
        <v>102</v>
      </c>
      <c r="C1348" s="211">
        <f>C1349</f>
        <v>684446</v>
      </c>
      <c r="D1348" s="211">
        <f t="shared" ref="D1348:U1348" si="229">D1349</f>
        <v>0</v>
      </c>
      <c r="E1348" s="211">
        <f t="shared" si="229"/>
        <v>0</v>
      </c>
      <c r="F1348" s="211">
        <f t="shared" si="229"/>
        <v>0</v>
      </c>
      <c r="G1348" s="211">
        <f t="shared" si="229"/>
        <v>0</v>
      </c>
      <c r="H1348" s="211">
        <f t="shared" si="229"/>
        <v>0</v>
      </c>
      <c r="I1348" s="211">
        <f t="shared" si="229"/>
        <v>0</v>
      </c>
      <c r="J1348" s="211">
        <f t="shared" si="229"/>
        <v>0</v>
      </c>
      <c r="K1348" s="211">
        <f t="shared" si="229"/>
        <v>0</v>
      </c>
      <c r="L1348" s="211">
        <f t="shared" si="229"/>
        <v>0</v>
      </c>
      <c r="M1348" s="211">
        <f t="shared" si="229"/>
        <v>0</v>
      </c>
      <c r="N1348" s="211">
        <f t="shared" si="229"/>
        <v>0</v>
      </c>
      <c r="O1348" s="211">
        <f t="shared" si="229"/>
        <v>0</v>
      </c>
      <c r="P1348" s="211">
        <f t="shared" si="229"/>
        <v>0</v>
      </c>
      <c r="Q1348" s="211">
        <f t="shared" si="229"/>
        <v>0</v>
      </c>
      <c r="R1348" s="211">
        <f t="shared" si="229"/>
        <v>445.3</v>
      </c>
      <c r="S1348" s="211">
        <f t="shared" si="229"/>
        <v>684446</v>
      </c>
      <c r="T1348" s="211">
        <f t="shared" si="229"/>
        <v>0</v>
      </c>
      <c r="U1348" s="211">
        <f t="shared" si="229"/>
        <v>0</v>
      </c>
      <c r="V1348" s="282"/>
      <c r="W1348" s="282"/>
      <c r="X1348" s="282"/>
    </row>
    <row r="1349" spans="1:26">
      <c r="A1349" s="470">
        <v>271</v>
      </c>
      <c r="B1349" s="480" t="s">
        <v>592</v>
      </c>
      <c r="C1349" s="479">
        <f>'часть 1'!L1381</f>
        <v>684446</v>
      </c>
      <c r="D1349" s="479">
        <v>0</v>
      </c>
      <c r="E1349" s="479">
        <v>0</v>
      </c>
      <c r="F1349" s="479">
        <v>0</v>
      </c>
      <c r="G1349" s="479">
        <v>0</v>
      </c>
      <c r="H1349" s="479">
        <v>0</v>
      </c>
      <c r="I1349" s="479">
        <v>0</v>
      </c>
      <c r="J1349" s="479">
        <v>0</v>
      </c>
      <c r="K1349" s="479">
        <v>0</v>
      </c>
      <c r="L1349" s="515">
        <v>0</v>
      </c>
      <c r="M1349" s="479">
        <v>0</v>
      </c>
      <c r="N1349" s="512">
        <v>0</v>
      </c>
      <c r="O1349" s="479">
        <v>0</v>
      </c>
      <c r="P1349" s="516">
        <v>0</v>
      </c>
      <c r="Q1349" s="479">
        <v>0</v>
      </c>
      <c r="R1349" s="479">
        <v>445.3</v>
      </c>
      <c r="S1349" s="479">
        <v>684446</v>
      </c>
      <c r="T1349" s="515">
        <v>0</v>
      </c>
      <c r="U1349" s="517">
        <v>0</v>
      </c>
      <c r="V1349" s="282"/>
      <c r="W1349" s="282"/>
      <c r="X1349" s="282">
        <f>S1349/R1349</f>
        <v>1537.0446889737254</v>
      </c>
    </row>
    <row r="1350" spans="1:26">
      <c r="A1350" s="470"/>
      <c r="B1350" s="480"/>
      <c r="C1350" s="479"/>
      <c r="D1350" s="479"/>
      <c r="E1350" s="479"/>
      <c r="F1350" s="479"/>
      <c r="G1350" s="479"/>
      <c r="H1350" s="479"/>
      <c r="I1350" s="479"/>
      <c r="J1350" s="479"/>
      <c r="K1350" s="479"/>
      <c r="L1350" s="515"/>
      <c r="M1350" s="479"/>
      <c r="N1350" s="479"/>
      <c r="O1350" s="479"/>
      <c r="P1350" s="516"/>
      <c r="Q1350" s="479"/>
      <c r="R1350" s="516"/>
      <c r="S1350" s="479"/>
      <c r="T1350" s="515"/>
      <c r="U1350" s="517"/>
      <c r="V1350" s="282"/>
      <c r="W1350" s="282"/>
      <c r="X1350" s="282"/>
    </row>
    <row r="1351" spans="1:26" s="18" customFormat="1" ht="24" customHeight="1">
      <c r="A1351" s="198"/>
      <c r="B1351" s="216" t="s">
        <v>47</v>
      </c>
      <c r="C1351" s="211">
        <f>C1352</f>
        <v>2602688</v>
      </c>
      <c r="D1351" s="211">
        <f t="shared" ref="D1351:V1351" si="230">D1352</f>
        <v>0</v>
      </c>
      <c r="E1351" s="211">
        <f t="shared" si="230"/>
        <v>0</v>
      </c>
      <c r="F1351" s="211">
        <f t="shared" si="230"/>
        <v>0</v>
      </c>
      <c r="G1351" s="211">
        <f t="shared" si="230"/>
        <v>0</v>
      </c>
      <c r="H1351" s="211">
        <f t="shared" si="230"/>
        <v>0</v>
      </c>
      <c r="I1351" s="211">
        <f t="shared" si="230"/>
        <v>0</v>
      </c>
      <c r="J1351" s="211">
        <f t="shared" si="230"/>
        <v>0</v>
      </c>
      <c r="K1351" s="211">
        <f t="shared" si="230"/>
        <v>0</v>
      </c>
      <c r="L1351" s="211">
        <f t="shared" si="230"/>
        <v>0</v>
      </c>
      <c r="M1351" s="211">
        <f t="shared" si="230"/>
        <v>0</v>
      </c>
      <c r="N1351" s="211">
        <f t="shared" si="230"/>
        <v>819.2</v>
      </c>
      <c r="O1351" s="211">
        <f t="shared" si="230"/>
        <v>2602688</v>
      </c>
      <c r="P1351" s="211">
        <f t="shared" si="230"/>
        <v>0</v>
      </c>
      <c r="Q1351" s="211">
        <f t="shared" si="230"/>
        <v>0</v>
      </c>
      <c r="R1351" s="211">
        <f t="shared" si="230"/>
        <v>0</v>
      </c>
      <c r="S1351" s="211">
        <f t="shared" si="230"/>
        <v>0</v>
      </c>
      <c r="T1351" s="211">
        <f t="shared" si="230"/>
        <v>0</v>
      </c>
      <c r="U1351" s="211">
        <f t="shared" si="230"/>
        <v>0</v>
      </c>
      <c r="V1351" s="211">
        <f t="shared" si="230"/>
        <v>0</v>
      </c>
      <c r="W1351" s="282"/>
      <c r="X1351" s="282"/>
    </row>
    <row r="1352" spans="1:26" ht="27.6">
      <c r="A1352" s="470"/>
      <c r="B1352" s="480" t="s">
        <v>103</v>
      </c>
      <c r="C1352" s="479">
        <f>C1353</f>
        <v>2602688</v>
      </c>
      <c r="D1352" s="479">
        <f t="shared" ref="D1352:V1352" si="231">D1353</f>
        <v>0</v>
      </c>
      <c r="E1352" s="479">
        <f t="shared" si="231"/>
        <v>0</v>
      </c>
      <c r="F1352" s="479">
        <f t="shared" si="231"/>
        <v>0</v>
      </c>
      <c r="G1352" s="479">
        <f t="shared" si="231"/>
        <v>0</v>
      </c>
      <c r="H1352" s="479">
        <f t="shared" si="231"/>
        <v>0</v>
      </c>
      <c r="I1352" s="479">
        <f t="shared" si="231"/>
        <v>0</v>
      </c>
      <c r="J1352" s="479">
        <f t="shared" si="231"/>
        <v>0</v>
      </c>
      <c r="K1352" s="479">
        <f t="shared" si="231"/>
        <v>0</v>
      </c>
      <c r="L1352" s="479">
        <f t="shared" si="231"/>
        <v>0</v>
      </c>
      <c r="M1352" s="479">
        <f t="shared" si="231"/>
        <v>0</v>
      </c>
      <c r="N1352" s="479">
        <f t="shared" si="231"/>
        <v>819.2</v>
      </c>
      <c r="O1352" s="479">
        <f t="shared" si="231"/>
        <v>2602688</v>
      </c>
      <c r="P1352" s="479">
        <f t="shared" si="231"/>
        <v>0</v>
      </c>
      <c r="Q1352" s="479">
        <f t="shared" si="231"/>
        <v>0</v>
      </c>
      <c r="R1352" s="479">
        <f t="shared" si="231"/>
        <v>0</v>
      </c>
      <c r="S1352" s="479">
        <f t="shared" si="231"/>
        <v>0</v>
      </c>
      <c r="T1352" s="479">
        <f t="shared" si="231"/>
        <v>0</v>
      </c>
      <c r="U1352" s="479">
        <f t="shared" si="231"/>
        <v>0</v>
      </c>
      <c r="V1352" s="211">
        <f t="shared" si="231"/>
        <v>0</v>
      </c>
      <c r="W1352" s="282"/>
      <c r="X1352" s="282"/>
    </row>
    <row r="1353" spans="1:26" ht="21" customHeight="1">
      <c r="A1353" s="470">
        <v>273</v>
      </c>
      <c r="B1353" s="480" t="s">
        <v>880</v>
      </c>
      <c r="C1353" s="479">
        <f>'часть 1'!L1385</f>
        <v>2602688</v>
      </c>
      <c r="D1353" s="479">
        <v>0</v>
      </c>
      <c r="E1353" s="479">
        <v>0</v>
      </c>
      <c r="F1353" s="479">
        <v>0</v>
      </c>
      <c r="G1353" s="479">
        <v>0</v>
      </c>
      <c r="H1353" s="479">
        <v>0</v>
      </c>
      <c r="I1353" s="479">
        <v>0</v>
      </c>
      <c r="J1353" s="479">
        <v>0</v>
      </c>
      <c r="K1353" s="479">
        <v>0</v>
      </c>
      <c r="L1353" s="515">
        <v>0</v>
      </c>
      <c r="M1353" s="479">
        <v>0</v>
      </c>
      <c r="N1353" s="479">
        <v>819.2</v>
      </c>
      <c r="O1353" s="479">
        <v>2602688</v>
      </c>
      <c r="P1353" s="516">
        <v>0</v>
      </c>
      <c r="Q1353" s="479">
        <v>0</v>
      </c>
      <c r="R1353" s="516">
        <v>0</v>
      </c>
      <c r="S1353" s="479">
        <v>0</v>
      </c>
      <c r="T1353" s="515">
        <v>0</v>
      </c>
      <c r="U1353" s="517">
        <v>0</v>
      </c>
      <c r="V1353" s="282"/>
      <c r="W1353" s="282">
        <f>O1353/N1353</f>
        <v>3177.109375</v>
      </c>
      <c r="X1353" s="282"/>
    </row>
    <row r="1354" spans="1:26" s="91" customFormat="1">
      <c r="A1354" s="198"/>
      <c r="B1354" s="216" t="s">
        <v>48</v>
      </c>
      <c r="C1354" s="211">
        <v>3947863</v>
      </c>
      <c r="D1354" s="211"/>
      <c r="E1354" s="211"/>
      <c r="F1354" s="211"/>
      <c r="G1354" s="211"/>
      <c r="H1354" s="211"/>
      <c r="I1354" s="211"/>
      <c r="J1354" s="211"/>
      <c r="K1354" s="211">
        <v>163315</v>
      </c>
      <c r="L1354" s="212">
        <v>0</v>
      </c>
      <c r="M1354" s="211">
        <v>0</v>
      </c>
      <c r="N1354" s="211">
        <v>1314.93</v>
      </c>
      <c r="O1354" s="211">
        <v>2673179</v>
      </c>
      <c r="P1354" s="213">
        <v>0</v>
      </c>
      <c r="Q1354" s="211">
        <v>0</v>
      </c>
      <c r="R1354" s="211">
        <v>759.4</v>
      </c>
      <c r="S1354" s="211">
        <v>1111369</v>
      </c>
      <c r="T1354" s="212">
        <v>0</v>
      </c>
      <c r="U1354" s="290">
        <v>0</v>
      </c>
      <c r="V1354" s="282"/>
      <c r="W1354" s="282"/>
      <c r="X1354" s="282"/>
    </row>
    <row r="1355" spans="1:26" ht="27.6">
      <c r="A1355" s="470"/>
      <c r="B1355" s="480" t="s">
        <v>107</v>
      </c>
      <c r="C1355" s="479">
        <f>C1356</f>
        <v>2102577</v>
      </c>
      <c r="D1355" s="479">
        <f t="shared" ref="D1355:U1355" si="232">D1356</f>
        <v>0</v>
      </c>
      <c r="E1355" s="479">
        <f t="shared" si="232"/>
        <v>0</v>
      </c>
      <c r="F1355" s="479">
        <f t="shared" si="232"/>
        <v>0</v>
      </c>
      <c r="G1355" s="479">
        <f t="shared" si="232"/>
        <v>0</v>
      </c>
      <c r="H1355" s="479">
        <f t="shared" si="232"/>
        <v>0</v>
      </c>
      <c r="I1355" s="479">
        <f t="shared" si="232"/>
        <v>0</v>
      </c>
      <c r="J1355" s="479">
        <f t="shared" si="232"/>
        <v>0</v>
      </c>
      <c r="K1355" s="479">
        <f t="shared" si="232"/>
        <v>0</v>
      </c>
      <c r="L1355" s="479">
        <f t="shared" si="232"/>
        <v>0</v>
      </c>
      <c r="M1355" s="479">
        <f t="shared" si="232"/>
        <v>0</v>
      </c>
      <c r="N1355" s="479">
        <f t="shared" si="232"/>
        <v>1382.27</v>
      </c>
      <c r="O1355" s="479">
        <f t="shared" si="232"/>
        <v>2102577</v>
      </c>
      <c r="P1355" s="479">
        <f t="shared" si="232"/>
        <v>0</v>
      </c>
      <c r="Q1355" s="479">
        <f t="shared" si="232"/>
        <v>0</v>
      </c>
      <c r="R1355" s="479">
        <f t="shared" si="232"/>
        <v>0</v>
      </c>
      <c r="S1355" s="479">
        <f t="shared" si="232"/>
        <v>0</v>
      </c>
      <c r="T1355" s="479">
        <f t="shared" si="232"/>
        <v>0</v>
      </c>
      <c r="U1355" s="479">
        <f t="shared" si="232"/>
        <v>0</v>
      </c>
      <c r="V1355" s="282"/>
      <c r="W1355" s="282"/>
      <c r="X1355" s="282"/>
    </row>
    <row r="1356" spans="1:26">
      <c r="A1356" s="470">
        <v>277</v>
      </c>
      <c r="B1356" s="480" t="s">
        <v>774</v>
      </c>
      <c r="C1356" s="479">
        <f>'часть 1'!L1388</f>
        <v>2102577</v>
      </c>
      <c r="D1356" s="479">
        <v>0</v>
      </c>
      <c r="E1356" s="479">
        <v>0</v>
      </c>
      <c r="F1356" s="479">
        <v>0</v>
      </c>
      <c r="G1356" s="479">
        <v>0</v>
      </c>
      <c r="H1356" s="479">
        <v>0</v>
      </c>
      <c r="I1356" s="479">
        <v>0</v>
      </c>
      <c r="J1356" s="479">
        <v>0</v>
      </c>
      <c r="K1356" s="518">
        <v>0</v>
      </c>
      <c r="L1356" s="476">
        <v>0</v>
      </c>
      <c r="M1356" s="518">
        <v>0</v>
      </c>
      <c r="N1356" s="518">
        <v>1382.27</v>
      </c>
      <c r="O1356" s="521">
        <v>2102577</v>
      </c>
      <c r="P1356" s="571">
        <v>0</v>
      </c>
      <c r="Q1356" s="518">
        <v>0</v>
      </c>
      <c r="R1356" s="518">
        <v>0</v>
      </c>
      <c r="S1356" s="518">
        <v>0</v>
      </c>
      <c r="T1356" s="476">
        <v>0</v>
      </c>
      <c r="U1356" s="477">
        <v>0</v>
      </c>
      <c r="V1356" s="282"/>
      <c r="W1356" s="282">
        <f>O1356/N1356</f>
        <v>1521.1044152010822</v>
      </c>
      <c r="X1356" s="282"/>
      <c r="Y1356" s="25"/>
      <c r="Z1356" s="25"/>
    </row>
    <row r="1357" spans="1:26" ht="27.6">
      <c r="A1357" s="198"/>
      <c r="B1357" s="214" t="s">
        <v>104</v>
      </c>
      <c r="C1357" s="211">
        <v>553839</v>
      </c>
      <c r="D1357" s="211"/>
      <c r="E1357" s="211"/>
      <c r="F1357" s="211"/>
      <c r="G1357" s="211"/>
      <c r="H1357" s="211"/>
      <c r="I1357" s="211"/>
      <c r="J1357" s="211"/>
      <c r="K1357" s="211">
        <v>0</v>
      </c>
      <c r="L1357" s="212">
        <v>0</v>
      </c>
      <c r="M1357" s="211">
        <v>0</v>
      </c>
      <c r="N1357" s="211">
        <v>270.93</v>
      </c>
      <c r="O1357" s="211">
        <v>553839</v>
      </c>
      <c r="P1357" s="213">
        <v>0</v>
      </c>
      <c r="Q1357" s="211">
        <v>0</v>
      </c>
      <c r="R1357" s="213">
        <v>0</v>
      </c>
      <c r="S1357" s="211">
        <v>0</v>
      </c>
      <c r="T1357" s="212">
        <v>0</v>
      </c>
      <c r="U1357" s="290">
        <v>0</v>
      </c>
      <c r="V1357" s="282"/>
      <c r="W1357" s="282"/>
      <c r="X1357" s="282"/>
    </row>
    <row r="1358" spans="1:26" ht="27.6">
      <c r="A1358" s="198">
        <v>280</v>
      </c>
      <c r="B1358" s="214" t="s">
        <v>452</v>
      </c>
      <c r="C1358" s="211">
        <v>553839</v>
      </c>
      <c r="D1358" s="211"/>
      <c r="E1358" s="211"/>
      <c r="F1358" s="211"/>
      <c r="G1358" s="211"/>
      <c r="H1358" s="211"/>
      <c r="I1358" s="211"/>
      <c r="J1358" s="211"/>
      <c r="K1358" s="211">
        <v>0</v>
      </c>
      <c r="L1358" s="212">
        <v>0</v>
      </c>
      <c r="M1358" s="211">
        <v>0</v>
      </c>
      <c r="N1358" s="199">
        <v>270.93</v>
      </c>
      <c r="O1358" s="211">
        <v>553839</v>
      </c>
      <c r="P1358" s="213">
        <v>0</v>
      </c>
      <c r="Q1358" s="211">
        <v>0</v>
      </c>
      <c r="R1358" s="213">
        <v>0</v>
      </c>
      <c r="S1358" s="211">
        <v>0</v>
      </c>
      <c r="T1358" s="212">
        <v>0</v>
      </c>
      <c r="U1358" s="290">
        <v>0</v>
      </c>
      <c r="V1358" s="282"/>
      <c r="W1358" s="282"/>
      <c r="X1358" s="282"/>
    </row>
    <row r="1359" spans="1:26">
      <c r="A1359" s="198"/>
      <c r="B1359" s="216" t="s">
        <v>49</v>
      </c>
      <c r="C1359" s="211">
        <v>8949722</v>
      </c>
      <c r="D1359" s="211"/>
      <c r="E1359" s="211"/>
      <c r="F1359" s="211"/>
      <c r="G1359" s="211"/>
      <c r="H1359" s="211"/>
      <c r="I1359" s="211"/>
      <c r="J1359" s="211"/>
      <c r="K1359" s="211">
        <v>0</v>
      </c>
      <c r="L1359" s="212">
        <v>0</v>
      </c>
      <c r="M1359" s="211">
        <v>0</v>
      </c>
      <c r="N1359" s="211">
        <v>3313.5</v>
      </c>
      <c r="O1359" s="211">
        <v>6652861</v>
      </c>
      <c r="P1359" s="213">
        <v>0</v>
      </c>
      <c r="Q1359" s="211">
        <v>0</v>
      </c>
      <c r="R1359" s="211">
        <v>1589</v>
      </c>
      <c r="S1359" s="211">
        <v>2296861</v>
      </c>
      <c r="T1359" s="212">
        <v>0</v>
      </c>
      <c r="U1359" s="290">
        <v>0</v>
      </c>
      <c r="V1359" s="282"/>
      <c r="W1359" s="282"/>
      <c r="X1359" s="282"/>
    </row>
    <row r="1360" spans="1:26" ht="27.6">
      <c r="A1360" s="198"/>
      <c r="B1360" s="214" t="s">
        <v>105</v>
      </c>
      <c r="C1360" s="211">
        <f>C1361</f>
        <v>1551685</v>
      </c>
      <c r="D1360" s="211">
        <f t="shared" ref="D1360:U1360" si="233">D1361</f>
        <v>0</v>
      </c>
      <c r="E1360" s="211">
        <f t="shared" si="233"/>
        <v>0</v>
      </c>
      <c r="F1360" s="211">
        <f t="shared" si="233"/>
        <v>0</v>
      </c>
      <c r="G1360" s="211">
        <f t="shared" si="233"/>
        <v>0</v>
      </c>
      <c r="H1360" s="211">
        <f t="shared" si="233"/>
        <v>0</v>
      </c>
      <c r="I1360" s="211">
        <f t="shared" si="233"/>
        <v>0</v>
      </c>
      <c r="J1360" s="211">
        <f t="shared" si="233"/>
        <v>0</v>
      </c>
      <c r="K1360" s="211">
        <f t="shared" si="233"/>
        <v>0</v>
      </c>
      <c r="L1360" s="211">
        <f t="shared" si="233"/>
        <v>0</v>
      </c>
      <c r="M1360" s="211">
        <f t="shared" si="233"/>
        <v>0</v>
      </c>
      <c r="N1360" s="211">
        <f t="shared" si="233"/>
        <v>485.1</v>
      </c>
      <c r="O1360" s="211">
        <f t="shared" si="233"/>
        <v>1551685</v>
      </c>
      <c r="P1360" s="211">
        <f t="shared" si="233"/>
        <v>0</v>
      </c>
      <c r="Q1360" s="211">
        <f t="shared" si="233"/>
        <v>0</v>
      </c>
      <c r="R1360" s="211">
        <f t="shared" si="233"/>
        <v>0</v>
      </c>
      <c r="S1360" s="211">
        <f t="shared" si="233"/>
        <v>0</v>
      </c>
      <c r="T1360" s="211">
        <f t="shared" si="233"/>
        <v>0</v>
      </c>
      <c r="U1360" s="211">
        <f t="shared" si="233"/>
        <v>0</v>
      </c>
      <c r="V1360" s="282"/>
      <c r="W1360" s="282"/>
      <c r="X1360" s="282"/>
    </row>
    <row r="1361" spans="1:24" s="18" customFormat="1">
      <c r="A1361" s="470">
        <v>281</v>
      </c>
      <c r="B1361" s="524" t="s">
        <v>483</v>
      </c>
      <c r="C1361" s="479">
        <v>1551685</v>
      </c>
      <c r="D1361" s="479">
        <v>0</v>
      </c>
      <c r="E1361" s="479">
        <v>0</v>
      </c>
      <c r="F1361" s="479">
        <v>0</v>
      </c>
      <c r="G1361" s="479">
        <v>0</v>
      </c>
      <c r="H1361" s="479">
        <v>0</v>
      </c>
      <c r="I1361" s="479">
        <v>0</v>
      </c>
      <c r="J1361" s="479">
        <v>0</v>
      </c>
      <c r="K1361" s="479">
        <v>0</v>
      </c>
      <c r="L1361" s="515">
        <v>0</v>
      </c>
      <c r="M1361" s="479">
        <v>0</v>
      </c>
      <c r="N1361" s="479">
        <v>485.1</v>
      </c>
      <c r="O1361" s="479">
        <v>1551685</v>
      </c>
      <c r="P1361" s="516">
        <v>0</v>
      </c>
      <c r="Q1361" s="479">
        <v>0</v>
      </c>
      <c r="R1361" s="516">
        <v>0</v>
      </c>
      <c r="S1361" s="479">
        <v>0</v>
      </c>
      <c r="T1361" s="515">
        <v>0</v>
      </c>
      <c r="U1361" s="517">
        <v>0</v>
      </c>
      <c r="V1361" s="282"/>
      <c r="W1361" s="282">
        <f>O1361/N1361</f>
        <v>3198.6909915481342</v>
      </c>
      <c r="X1361" s="282"/>
    </row>
    <row r="1362" spans="1:24" s="18" customFormat="1">
      <c r="A1362" s="470"/>
      <c r="B1362" s="524"/>
      <c r="C1362" s="479"/>
      <c r="D1362" s="479"/>
      <c r="E1362" s="479"/>
      <c r="F1362" s="479"/>
      <c r="G1362" s="479"/>
      <c r="H1362" s="479"/>
      <c r="I1362" s="479"/>
      <c r="J1362" s="479"/>
      <c r="K1362" s="479"/>
      <c r="L1362" s="515"/>
      <c r="M1362" s="479"/>
      <c r="N1362" s="479"/>
      <c r="O1362" s="479"/>
      <c r="P1362" s="516"/>
      <c r="Q1362" s="479"/>
      <c r="R1362" s="516"/>
      <c r="S1362" s="479"/>
      <c r="T1362" s="515"/>
      <c r="U1362" s="517"/>
      <c r="V1362" s="282"/>
      <c r="W1362" s="282"/>
      <c r="X1362" s="282"/>
    </row>
    <row r="1363" spans="1:24" s="18" customFormat="1" ht="27.6">
      <c r="A1363" s="198"/>
      <c r="B1363" s="214" t="s">
        <v>188</v>
      </c>
      <c r="C1363" s="211">
        <v>1905804</v>
      </c>
      <c r="D1363" s="211"/>
      <c r="E1363" s="211"/>
      <c r="F1363" s="211"/>
      <c r="G1363" s="211"/>
      <c r="H1363" s="211"/>
      <c r="I1363" s="211"/>
      <c r="J1363" s="211"/>
      <c r="K1363" s="211">
        <v>0</v>
      </c>
      <c r="L1363" s="212">
        <v>0</v>
      </c>
      <c r="M1363" s="211">
        <v>0</v>
      </c>
      <c r="N1363" s="211">
        <v>968.7</v>
      </c>
      <c r="O1363" s="211">
        <v>1905804</v>
      </c>
      <c r="P1363" s="213">
        <v>0</v>
      </c>
      <c r="Q1363" s="211">
        <v>0</v>
      </c>
      <c r="R1363" s="213">
        <v>0</v>
      </c>
      <c r="S1363" s="211">
        <v>0</v>
      </c>
      <c r="T1363" s="212">
        <v>0</v>
      </c>
      <c r="U1363" s="290">
        <v>0</v>
      </c>
      <c r="V1363" s="282"/>
      <c r="W1363" s="282"/>
      <c r="X1363" s="282"/>
    </row>
    <row r="1364" spans="1:24" s="18" customFormat="1">
      <c r="A1364" s="198">
        <v>283</v>
      </c>
      <c r="B1364" s="214" t="s">
        <v>410</v>
      </c>
      <c r="C1364" s="211">
        <v>958459</v>
      </c>
      <c r="D1364" s="211"/>
      <c r="E1364" s="211"/>
      <c r="F1364" s="211"/>
      <c r="G1364" s="211"/>
      <c r="H1364" s="211"/>
      <c r="I1364" s="211"/>
      <c r="J1364" s="211"/>
      <c r="K1364" s="211">
        <v>0</v>
      </c>
      <c r="L1364" s="212">
        <v>0</v>
      </c>
      <c r="M1364" s="211">
        <v>0</v>
      </c>
      <c r="N1364" s="211">
        <v>487.2</v>
      </c>
      <c r="O1364" s="211">
        <v>958459</v>
      </c>
      <c r="P1364" s="213">
        <v>0</v>
      </c>
      <c r="Q1364" s="211">
        <v>0</v>
      </c>
      <c r="R1364" s="213">
        <v>0</v>
      </c>
      <c r="S1364" s="211">
        <v>0</v>
      </c>
      <c r="T1364" s="212">
        <v>0</v>
      </c>
      <c r="U1364" s="290">
        <v>0</v>
      </c>
      <c r="V1364" s="282"/>
      <c r="W1364" s="282"/>
      <c r="X1364" s="282"/>
    </row>
    <row r="1365" spans="1:24" s="18" customFormat="1">
      <c r="A1365" s="198">
        <v>284</v>
      </c>
      <c r="B1365" s="214" t="s">
        <v>411</v>
      </c>
      <c r="C1365" s="211">
        <v>947345</v>
      </c>
      <c r="D1365" s="211"/>
      <c r="E1365" s="211"/>
      <c r="F1365" s="211"/>
      <c r="G1365" s="211"/>
      <c r="H1365" s="211"/>
      <c r="I1365" s="211"/>
      <c r="J1365" s="211"/>
      <c r="K1365" s="211">
        <v>0</v>
      </c>
      <c r="L1365" s="212">
        <v>0</v>
      </c>
      <c r="M1365" s="211">
        <v>0</v>
      </c>
      <c r="N1365" s="211">
        <v>481.5</v>
      </c>
      <c r="O1365" s="211">
        <v>947345</v>
      </c>
      <c r="P1365" s="213">
        <v>0</v>
      </c>
      <c r="Q1365" s="211">
        <v>0</v>
      </c>
      <c r="R1365" s="213">
        <v>0</v>
      </c>
      <c r="S1365" s="211">
        <v>0</v>
      </c>
      <c r="T1365" s="212">
        <v>0</v>
      </c>
      <c r="U1365" s="290">
        <v>0</v>
      </c>
      <c r="V1365" s="282"/>
      <c r="W1365" s="282"/>
      <c r="X1365" s="282"/>
    </row>
    <row r="1366" spans="1:24" s="18" customFormat="1" ht="27.6">
      <c r="A1366" s="198"/>
      <c r="B1366" s="214" t="s">
        <v>189</v>
      </c>
      <c r="C1366" s="211">
        <v>820660</v>
      </c>
      <c r="D1366" s="211"/>
      <c r="E1366" s="211"/>
      <c r="F1366" s="211"/>
      <c r="G1366" s="211"/>
      <c r="H1366" s="211"/>
      <c r="I1366" s="211"/>
      <c r="J1366" s="211"/>
      <c r="K1366" s="211">
        <v>0</v>
      </c>
      <c r="L1366" s="212">
        <v>0</v>
      </c>
      <c r="M1366" s="211">
        <v>0</v>
      </c>
      <c r="N1366" s="211">
        <v>406.8</v>
      </c>
      <c r="O1366" s="211">
        <v>820660</v>
      </c>
      <c r="P1366" s="213">
        <v>0</v>
      </c>
      <c r="Q1366" s="211">
        <v>0</v>
      </c>
      <c r="R1366" s="213">
        <v>0</v>
      </c>
      <c r="S1366" s="211">
        <v>0</v>
      </c>
      <c r="T1366" s="212">
        <v>0</v>
      </c>
      <c r="U1366" s="290">
        <v>0</v>
      </c>
      <c r="V1366" s="282"/>
      <c r="W1366" s="282"/>
      <c r="X1366" s="282"/>
    </row>
    <row r="1367" spans="1:24" s="18" customFormat="1">
      <c r="A1367" s="198">
        <v>285</v>
      </c>
      <c r="B1367" s="214" t="s">
        <v>412</v>
      </c>
      <c r="C1367" s="211">
        <v>820660</v>
      </c>
      <c r="D1367" s="211"/>
      <c r="E1367" s="211"/>
      <c r="F1367" s="211"/>
      <c r="G1367" s="211"/>
      <c r="H1367" s="211"/>
      <c r="I1367" s="211"/>
      <c r="J1367" s="211"/>
      <c r="K1367" s="211">
        <v>0</v>
      </c>
      <c r="L1367" s="212">
        <v>0</v>
      </c>
      <c r="M1367" s="211">
        <v>0</v>
      </c>
      <c r="N1367" s="211">
        <v>406.8</v>
      </c>
      <c r="O1367" s="211">
        <v>820660</v>
      </c>
      <c r="P1367" s="213">
        <v>0</v>
      </c>
      <c r="Q1367" s="211">
        <v>0</v>
      </c>
      <c r="R1367" s="213">
        <v>0</v>
      </c>
      <c r="S1367" s="211">
        <v>0</v>
      </c>
      <c r="T1367" s="212">
        <v>0</v>
      </c>
      <c r="U1367" s="290">
        <v>0</v>
      </c>
      <c r="V1367" s="282"/>
      <c r="W1367" s="282"/>
      <c r="X1367" s="282"/>
    </row>
    <row r="1368" spans="1:24" s="18" customFormat="1" ht="27.6">
      <c r="A1368" s="198"/>
      <c r="B1368" s="214" t="s">
        <v>131</v>
      </c>
      <c r="C1368" s="211">
        <f>C1369</f>
        <v>2802982.3</v>
      </c>
      <c r="D1368" s="211">
        <f t="shared" ref="D1368:V1368" si="234">D1369</f>
        <v>0</v>
      </c>
      <c r="E1368" s="211">
        <f t="shared" si="234"/>
        <v>0</v>
      </c>
      <c r="F1368" s="211">
        <f t="shared" si="234"/>
        <v>0</v>
      </c>
      <c r="G1368" s="211">
        <f t="shared" si="234"/>
        <v>0</v>
      </c>
      <c r="H1368" s="211">
        <f t="shared" si="234"/>
        <v>0</v>
      </c>
      <c r="I1368" s="211">
        <f t="shared" si="234"/>
        <v>0</v>
      </c>
      <c r="J1368" s="211">
        <f t="shared" si="234"/>
        <v>0</v>
      </c>
      <c r="K1368" s="211">
        <f t="shared" si="234"/>
        <v>0</v>
      </c>
      <c r="L1368" s="211">
        <f t="shared" si="234"/>
        <v>0</v>
      </c>
      <c r="M1368" s="211">
        <f t="shared" si="234"/>
        <v>0</v>
      </c>
      <c r="N1368" s="211">
        <f t="shared" si="234"/>
        <v>1929.1</v>
      </c>
      <c r="O1368" s="211">
        <f t="shared" si="234"/>
        <v>2802982.3</v>
      </c>
      <c r="P1368" s="211">
        <f t="shared" si="234"/>
        <v>0</v>
      </c>
      <c r="Q1368" s="211">
        <f t="shared" si="234"/>
        <v>0</v>
      </c>
      <c r="R1368" s="211">
        <f t="shared" si="234"/>
        <v>0</v>
      </c>
      <c r="S1368" s="211">
        <f t="shared" si="234"/>
        <v>0</v>
      </c>
      <c r="T1368" s="211">
        <f t="shared" si="234"/>
        <v>0</v>
      </c>
      <c r="U1368" s="211">
        <f t="shared" si="234"/>
        <v>0</v>
      </c>
      <c r="V1368" s="211">
        <f t="shared" si="234"/>
        <v>0</v>
      </c>
      <c r="W1368" s="282"/>
      <c r="X1368" s="282"/>
    </row>
    <row r="1369" spans="1:24" s="18" customFormat="1" ht="19.95" customHeight="1">
      <c r="A1369" s="198">
        <v>286</v>
      </c>
      <c r="B1369" s="214" t="s">
        <v>662</v>
      </c>
      <c r="C1369" s="211">
        <v>2802982.3</v>
      </c>
      <c r="D1369" s="211">
        <v>0</v>
      </c>
      <c r="E1369" s="211">
        <v>0</v>
      </c>
      <c r="F1369" s="211">
        <v>0</v>
      </c>
      <c r="G1369" s="211">
        <v>0</v>
      </c>
      <c r="H1369" s="211">
        <v>0</v>
      </c>
      <c r="I1369" s="211">
        <v>0</v>
      </c>
      <c r="J1369" s="211">
        <v>0</v>
      </c>
      <c r="K1369" s="211">
        <v>0</v>
      </c>
      <c r="L1369" s="212">
        <v>0</v>
      </c>
      <c r="M1369" s="211">
        <v>0</v>
      </c>
      <c r="N1369" s="233">
        <v>1929.1</v>
      </c>
      <c r="O1369" s="211">
        <v>2802982.3</v>
      </c>
      <c r="P1369" s="213">
        <v>0</v>
      </c>
      <c r="Q1369" s="211">
        <v>0</v>
      </c>
      <c r="R1369" s="213">
        <v>0</v>
      </c>
      <c r="S1369" s="211">
        <v>0</v>
      </c>
      <c r="T1369" s="212">
        <v>0</v>
      </c>
      <c r="U1369" s="290">
        <v>0</v>
      </c>
      <c r="V1369" s="282"/>
      <c r="W1369" s="282">
        <f>O1369/N1369</f>
        <v>1453</v>
      </c>
      <c r="X1369" s="282"/>
    </row>
    <row r="1370" spans="1:24" s="18" customFormat="1">
      <c r="A1370" s="198"/>
      <c r="B1370" s="214"/>
      <c r="C1370" s="211"/>
      <c r="D1370" s="211"/>
      <c r="E1370" s="211"/>
      <c r="F1370" s="211"/>
      <c r="G1370" s="211"/>
      <c r="H1370" s="211"/>
      <c r="I1370" s="211"/>
      <c r="J1370" s="211"/>
      <c r="K1370" s="211"/>
      <c r="L1370" s="212"/>
      <c r="M1370" s="211"/>
      <c r="N1370" s="211"/>
      <c r="O1370" s="211"/>
      <c r="P1370" s="213"/>
      <c r="Q1370" s="211"/>
      <c r="R1370" s="215"/>
      <c r="S1370" s="211"/>
      <c r="T1370" s="212"/>
      <c r="U1370" s="290"/>
      <c r="V1370" s="282"/>
      <c r="W1370" s="282"/>
      <c r="X1370" s="282"/>
    </row>
    <row r="1371" spans="1:24" s="17" customFormat="1" ht="21.6" customHeight="1">
      <c r="A1371" s="198"/>
      <c r="B1371" s="216" t="s">
        <v>50</v>
      </c>
      <c r="C1371" s="211">
        <f>C1372</f>
        <v>13218958</v>
      </c>
      <c r="D1371" s="211">
        <f t="shared" ref="D1371:V1371" si="235">D1372</f>
        <v>0</v>
      </c>
      <c r="E1371" s="211">
        <f t="shared" si="235"/>
        <v>0</v>
      </c>
      <c r="F1371" s="211">
        <f t="shared" si="235"/>
        <v>0</v>
      </c>
      <c r="G1371" s="211">
        <f t="shared" si="235"/>
        <v>0</v>
      </c>
      <c r="H1371" s="211">
        <f t="shared" si="235"/>
        <v>0</v>
      </c>
      <c r="I1371" s="211">
        <f t="shared" si="235"/>
        <v>0</v>
      </c>
      <c r="J1371" s="211">
        <f t="shared" si="235"/>
        <v>0</v>
      </c>
      <c r="K1371" s="211">
        <f t="shared" si="235"/>
        <v>0</v>
      </c>
      <c r="L1371" s="211">
        <f t="shared" si="235"/>
        <v>0</v>
      </c>
      <c r="M1371" s="211">
        <f t="shared" si="235"/>
        <v>0</v>
      </c>
      <c r="N1371" s="211">
        <f t="shared" si="235"/>
        <v>4654.3</v>
      </c>
      <c r="O1371" s="211">
        <f t="shared" si="235"/>
        <v>13218958</v>
      </c>
      <c r="P1371" s="211">
        <f t="shared" si="235"/>
        <v>0</v>
      </c>
      <c r="Q1371" s="211">
        <f t="shared" si="235"/>
        <v>0</v>
      </c>
      <c r="R1371" s="211">
        <f t="shared" si="235"/>
        <v>0</v>
      </c>
      <c r="S1371" s="211">
        <f t="shared" si="235"/>
        <v>0</v>
      </c>
      <c r="T1371" s="211">
        <f t="shared" si="235"/>
        <v>0</v>
      </c>
      <c r="U1371" s="211">
        <f t="shared" si="235"/>
        <v>0</v>
      </c>
      <c r="V1371" s="211">
        <f t="shared" si="235"/>
        <v>0</v>
      </c>
      <c r="W1371" s="282"/>
      <c r="X1371" s="282"/>
    </row>
    <row r="1372" spans="1:24" ht="27.6">
      <c r="A1372" s="198"/>
      <c r="B1372" s="214" t="s">
        <v>106</v>
      </c>
      <c r="C1372" s="211">
        <f>C1373+C1374+C1375+C1376+C1377+C1378+C1379+C1380+C1381</f>
        <v>13218958</v>
      </c>
      <c r="D1372" s="211">
        <f t="shared" ref="D1372:U1372" si="236">D1373+D1374+D1375+D1376+D1377+D1378+D1379+D1380+D1381</f>
        <v>0</v>
      </c>
      <c r="E1372" s="211">
        <f t="shared" si="236"/>
        <v>0</v>
      </c>
      <c r="F1372" s="211">
        <f t="shared" si="236"/>
        <v>0</v>
      </c>
      <c r="G1372" s="211">
        <f t="shared" si="236"/>
        <v>0</v>
      </c>
      <c r="H1372" s="211">
        <f t="shared" si="236"/>
        <v>0</v>
      </c>
      <c r="I1372" s="211">
        <f t="shared" si="236"/>
        <v>0</v>
      </c>
      <c r="J1372" s="211">
        <f t="shared" si="236"/>
        <v>0</v>
      </c>
      <c r="K1372" s="211">
        <f t="shared" si="236"/>
        <v>0</v>
      </c>
      <c r="L1372" s="211">
        <f t="shared" si="236"/>
        <v>0</v>
      </c>
      <c r="M1372" s="211">
        <f t="shared" si="236"/>
        <v>0</v>
      </c>
      <c r="N1372" s="211">
        <f t="shared" si="236"/>
        <v>4654.3</v>
      </c>
      <c r="O1372" s="211">
        <f t="shared" si="236"/>
        <v>13218958</v>
      </c>
      <c r="P1372" s="211">
        <f t="shared" si="236"/>
        <v>0</v>
      </c>
      <c r="Q1372" s="211">
        <f t="shared" si="236"/>
        <v>0</v>
      </c>
      <c r="R1372" s="211">
        <f t="shared" si="236"/>
        <v>0</v>
      </c>
      <c r="S1372" s="211">
        <f t="shared" si="236"/>
        <v>0</v>
      </c>
      <c r="T1372" s="211">
        <f t="shared" si="236"/>
        <v>0</v>
      </c>
      <c r="U1372" s="211">
        <f t="shared" si="236"/>
        <v>0</v>
      </c>
      <c r="V1372" s="282"/>
      <c r="W1372" s="282"/>
      <c r="X1372" s="282"/>
    </row>
    <row r="1373" spans="1:24" ht="15.6">
      <c r="A1373" s="198">
        <v>288</v>
      </c>
      <c r="B1373" s="165" t="s">
        <v>852</v>
      </c>
      <c r="C1373" s="211">
        <f>'часть 1'!L1405</f>
        <v>1024592</v>
      </c>
      <c r="D1373" s="211">
        <v>0</v>
      </c>
      <c r="E1373" s="211">
        <v>0</v>
      </c>
      <c r="F1373" s="211">
        <v>0</v>
      </c>
      <c r="G1373" s="211">
        <v>0</v>
      </c>
      <c r="H1373" s="211">
        <v>0</v>
      </c>
      <c r="I1373" s="211">
        <v>0</v>
      </c>
      <c r="J1373" s="211">
        <v>0</v>
      </c>
      <c r="K1373" s="211">
        <v>0</v>
      </c>
      <c r="L1373" s="212">
        <v>0</v>
      </c>
      <c r="M1373" s="211">
        <v>0</v>
      </c>
      <c r="N1373" s="234">
        <v>410</v>
      </c>
      <c r="O1373" s="211">
        <v>1024592</v>
      </c>
      <c r="P1373" s="213">
        <v>0</v>
      </c>
      <c r="Q1373" s="211">
        <v>0</v>
      </c>
      <c r="R1373" s="213">
        <v>0</v>
      </c>
      <c r="S1373" s="211">
        <v>0</v>
      </c>
      <c r="T1373" s="212">
        <v>0</v>
      </c>
      <c r="U1373" s="290">
        <v>0</v>
      </c>
      <c r="V1373" s="282"/>
      <c r="W1373" s="282">
        <f>O1373/N1373</f>
        <v>2499.0048780487805</v>
      </c>
      <c r="X1373" s="282"/>
    </row>
    <row r="1374" spans="1:24" ht="15.6">
      <c r="A1374" s="198">
        <v>289</v>
      </c>
      <c r="B1374" s="165" t="s">
        <v>853</v>
      </c>
      <c r="C1374" s="211">
        <f>'часть 1'!L1406</f>
        <v>1366296</v>
      </c>
      <c r="D1374" s="211">
        <v>0</v>
      </c>
      <c r="E1374" s="211">
        <v>0</v>
      </c>
      <c r="F1374" s="211">
        <v>0</v>
      </c>
      <c r="G1374" s="211">
        <v>0</v>
      </c>
      <c r="H1374" s="211">
        <v>0</v>
      </c>
      <c r="I1374" s="211">
        <v>0</v>
      </c>
      <c r="J1374" s="211">
        <v>0</v>
      </c>
      <c r="K1374" s="211">
        <v>0</v>
      </c>
      <c r="L1374" s="212">
        <v>0</v>
      </c>
      <c r="M1374" s="211">
        <v>0</v>
      </c>
      <c r="N1374" s="234">
        <v>546</v>
      </c>
      <c r="O1374" s="211">
        <v>1366296</v>
      </c>
      <c r="P1374" s="213">
        <v>0</v>
      </c>
      <c r="Q1374" s="211">
        <v>0</v>
      </c>
      <c r="R1374" s="213">
        <v>0</v>
      </c>
      <c r="S1374" s="211">
        <v>0</v>
      </c>
      <c r="T1374" s="212">
        <v>0</v>
      </c>
      <c r="U1374" s="290">
        <v>0</v>
      </c>
      <c r="V1374" s="282"/>
      <c r="W1374" s="282">
        <f t="shared" ref="W1374:W1381" si="237">O1374/N1374</f>
        <v>2502.3736263736264</v>
      </c>
      <c r="X1374" s="282"/>
    </row>
    <row r="1375" spans="1:24" ht="15.6">
      <c r="A1375" s="198">
        <v>290</v>
      </c>
      <c r="B1375" s="165" t="s">
        <v>854</v>
      </c>
      <c r="C1375" s="211">
        <f>'часть 1'!L1407</f>
        <v>1544253</v>
      </c>
      <c r="D1375" s="211">
        <v>0</v>
      </c>
      <c r="E1375" s="211">
        <v>0</v>
      </c>
      <c r="F1375" s="211">
        <v>0</v>
      </c>
      <c r="G1375" s="211">
        <v>0</v>
      </c>
      <c r="H1375" s="211">
        <v>0</v>
      </c>
      <c r="I1375" s="211">
        <v>0</v>
      </c>
      <c r="J1375" s="211">
        <v>0</v>
      </c>
      <c r="K1375" s="211">
        <v>0</v>
      </c>
      <c r="L1375" s="212">
        <v>0</v>
      </c>
      <c r="M1375" s="211">
        <v>0</v>
      </c>
      <c r="N1375" s="234">
        <v>483</v>
      </c>
      <c r="O1375" s="211">
        <v>1544253</v>
      </c>
      <c r="P1375" s="213">
        <v>0</v>
      </c>
      <c r="Q1375" s="211">
        <v>0</v>
      </c>
      <c r="R1375" s="213">
        <v>0</v>
      </c>
      <c r="S1375" s="211">
        <v>0</v>
      </c>
      <c r="T1375" s="212">
        <v>0</v>
      </c>
      <c r="U1375" s="290">
        <v>0</v>
      </c>
      <c r="V1375" s="282"/>
      <c r="W1375" s="282">
        <f t="shared" si="237"/>
        <v>3197.2111801242236</v>
      </c>
      <c r="X1375" s="282"/>
    </row>
    <row r="1376" spans="1:24" ht="15.6">
      <c r="A1376" s="198">
        <v>291</v>
      </c>
      <c r="B1376" s="165" t="s">
        <v>855</v>
      </c>
      <c r="C1376" s="211">
        <f>'часть 1'!L1408</f>
        <v>1119066</v>
      </c>
      <c r="D1376" s="211">
        <v>0</v>
      </c>
      <c r="E1376" s="211">
        <v>0</v>
      </c>
      <c r="F1376" s="211">
        <v>0</v>
      </c>
      <c r="G1376" s="211">
        <v>0</v>
      </c>
      <c r="H1376" s="211">
        <v>0</v>
      </c>
      <c r="I1376" s="211">
        <v>0</v>
      </c>
      <c r="J1376" s="211">
        <v>0</v>
      </c>
      <c r="K1376" s="211">
        <v>0</v>
      </c>
      <c r="L1376" s="212">
        <v>0</v>
      </c>
      <c r="M1376" s="211">
        <v>0</v>
      </c>
      <c r="N1376" s="234">
        <v>348</v>
      </c>
      <c r="O1376" s="211">
        <v>1119066</v>
      </c>
      <c r="P1376" s="213">
        <v>0</v>
      </c>
      <c r="Q1376" s="211">
        <v>0</v>
      </c>
      <c r="R1376" s="213">
        <v>0</v>
      </c>
      <c r="S1376" s="211">
        <v>0</v>
      </c>
      <c r="T1376" s="212">
        <v>0</v>
      </c>
      <c r="U1376" s="290">
        <v>0</v>
      </c>
      <c r="V1376" s="282"/>
      <c r="W1376" s="282">
        <f t="shared" si="237"/>
        <v>3215.7068965517242</v>
      </c>
      <c r="X1376" s="282"/>
    </row>
    <row r="1377" spans="1:24" ht="15.6">
      <c r="A1377" s="198">
        <v>292</v>
      </c>
      <c r="B1377" s="165" t="s">
        <v>856</v>
      </c>
      <c r="C1377" s="211">
        <f>'часть 1'!L1409</f>
        <v>2060671</v>
      </c>
      <c r="D1377" s="211">
        <v>0</v>
      </c>
      <c r="E1377" s="211">
        <v>0</v>
      </c>
      <c r="F1377" s="211">
        <v>0</v>
      </c>
      <c r="G1377" s="211">
        <v>0</v>
      </c>
      <c r="H1377" s="211">
        <v>0</v>
      </c>
      <c r="I1377" s="211">
        <v>0</v>
      </c>
      <c r="J1377" s="211">
        <v>0</v>
      </c>
      <c r="K1377" s="211">
        <v>0</v>
      </c>
      <c r="L1377" s="212">
        <v>0</v>
      </c>
      <c r="M1377" s="211">
        <v>0</v>
      </c>
      <c r="N1377" s="234">
        <v>647</v>
      </c>
      <c r="O1377" s="211">
        <v>2060671</v>
      </c>
      <c r="P1377" s="213">
        <v>0</v>
      </c>
      <c r="Q1377" s="211">
        <v>0</v>
      </c>
      <c r="R1377" s="213">
        <v>0</v>
      </c>
      <c r="S1377" s="211">
        <v>0</v>
      </c>
      <c r="T1377" s="212">
        <v>0</v>
      </c>
      <c r="U1377" s="290">
        <v>0</v>
      </c>
      <c r="V1377" s="282"/>
      <c r="W1377" s="282">
        <f t="shared" si="237"/>
        <v>3184.9629057187017</v>
      </c>
      <c r="X1377" s="282"/>
    </row>
    <row r="1378" spans="1:24" ht="15.6">
      <c r="A1378" s="198">
        <v>293</v>
      </c>
      <c r="B1378" s="165" t="s">
        <v>850</v>
      </c>
      <c r="C1378" s="211">
        <f>'часть 1'!L1410</f>
        <v>1226134</v>
      </c>
      <c r="D1378" s="211">
        <v>0</v>
      </c>
      <c r="E1378" s="211">
        <v>0</v>
      </c>
      <c r="F1378" s="211">
        <v>0</v>
      </c>
      <c r="G1378" s="211">
        <v>0</v>
      </c>
      <c r="H1378" s="211">
        <v>0</v>
      </c>
      <c r="I1378" s="211">
        <v>0</v>
      </c>
      <c r="J1378" s="211">
        <v>0</v>
      </c>
      <c r="K1378" s="211">
        <v>0</v>
      </c>
      <c r="L1378" s="212">
        <v>0</v>
      </c>
      <c r="M1378" s="211">
        <v>0</v>
      </c>
      <c r="N1378" s="234">
        <v>382</v>
      </c>
      <c r="O1378" s="211">
        <v>1226134</v>
      </c>
      <c r="P1378" s="213">
        <v>0</v>
      </c>
      <c r="Q1378" s="211">
        <v>0</v>
      </c>
      <c r="R1378" s="213">
        <v>0</v>
      </c>
      <c r="S1378" s="211">
        <v>0</v>
      </c>
      <c r="T1378" s="212">
        <v>0</v>
      </c>
      <c r="U1378" s="290">
        <v>0</v>
      </c>
      <c r="V1378" s="282"/>
      <c r="W1378" s="282">
        <f t="shared" si="237"/>
        <v>3209.7748691099478</v>
      </c>
      <c r="X1378" s="282"/>
    </row>
    <row r="1379" spans="1:24" ht="15.6">
      <c r="A1379" s="198">
        <v>294</v>
      </c>
      <c r="B1379" s="165" t="s">
        <v>978</v>
      </c>
      <c r="C1379" s="211">
        <f>'часть 1'!L1411</f>
        <v>1002285</v>
      </c>
      <c r="D1379" s="211">
        <v>0</v>
      </c>
      <c r="E1379" s="211">
        <v>0</v>
      </c>
      <c r="F1379" s="211">
        <v>0</v>
      </c>
      <c r="G1379" s="211">
        <v>0</v>
      </c>
      <c r="H1379" s="211">
        <v>0</v>
      </c>
      <c r="I1379" s="211">
        <v>0</v>
      </c>
      <c r="J1379" s="211">
        <v>0</v>
      </c>
      <c r="K1379" s="211">
        <v>0</v>
      </c>
      <c r="L1379" s="212">
        <v>0</v>
      </c>
      <c r="M1379" s="211">
        <v>0</v>
      </c>
      <c r="N1379" s="234">
        <v>401</v>
      </c>
      <c r="O1379" s="211">
        <v>1002285</v>
      </c>
      <c r="P1379" s="213">
        <v>0</v>
      </c>
      <c r="Q1379" s="211">
        <v>0</v>
      </c>
      <c r="R1379" s="213">
        <v>0</v>
      </c>
      <c r="S1379" s="211">
        <v>0</v>
      </c>
      <c r="T1379" s="212">
        <v>0</v>
      </c>
      <c r="U1379" s="290">
        <v>0</v>
      </c>
      <c r="V1379" s="282"/>
      <c r="W1379" s="282">
        <f t="shared" si="237"/>
        <v>2499.4638403990025</v>
      </c>
      <c r="X1379" s="282"/>
    </row>
    <row r="1380" spans="1:24" ht="15.6">
      <c r="A1380" s="198">
        <v>295</v>
      </c>
      <c r="B1380" s="165" t="s">
        <v>979</v>
      </c>
      <c r="C1380" s="211">
        <f>'часть 1'!L1412</f>
        <v>1296378</v>
      </c>
      <c r="D1380" s="211">
        <v>0</v>
      </c>
      <c r="E1380" s="211">
        <v>0</v>
      </c>
      <c r="F1380" s="211">
        <v>0</v>
      </c>
      <c r="G1380" s="211">
        <v>0</v>
      </c>
      <c r="H1380" s="211">
        <v>0</v>
      </c>
      <c r="I1380" s="211">
        <v>0</v>
      </c>
      <c r="J1380" s="211">
        <v>0</v>
      </c>
      <c r="K1380" s="211">
        <v>0</v>
      </c>
      <c r="L1380" s="212">
        <v>0</v>
      </c>
      <c r="M1380" s="211">
        <v>0</v>
      </c>
      <c r="N1380" s="234">
        <v>407.3</v>
      </c>
      <c r="O1380" s="211">
        <v>1296378</v>
      </c>
      <c r="P1380" s="213">
        <v>0</v>
      </c>
      <c r="Q1380" s="211">
        <v>0</v>
      </c>
      <c r="R1380" s="213">
        <v>0</v>
      </c>
      <c r="S1380" s="211">
        <v>0</v>
      </c>
      <c r="T1380" s="212">
        <v>0</v>
      </c>
      <c r="U1380" s="290">
        <v>0</v>
      </c>
      <c r="V1380" s="282"/>
      <c r="W1380" s="282">
        <f t="shared" si="237"/>
        <v>3182.8578443407805</v>
      </c>
      <c r="X1380" s="282"/>
    </row>
    <row r="1381" spans="1:24" ht="15.6">
      <c r="A1381" s="198">
        <v>296</v>
      </c>
      <c r="B1381" s="165" t="s">
        <v>857</v>
      </c>
      <c r="C1381" s="211">
        <f>'часть 1'!L1413</f>
        <v>2579283</v>
      </c>
      <c r="D1381" s="211">
        <v>0</v>
      </c>
      <c r="E1381" s="211">
        <v>0</v>
      </c>
      <c r="F1381" s="211">
        <v>0</v>
      </c>
      <c r="G1381" s="211">
        <v>0</v>
      </c>
      <c r="H1381" s="211">
        <v>0</v>
      </c>
      <c r="I1381" s="211">
        <v>0</v>
      </c>
      <c r="J1381" s="211">
        <v>0</v>
      </c>
      <c r="K1381" s="211">
        <v>0</v>
      </c>
      <c r="L1381" s="212">
        <v>0</v>
      </c>
      <c r="M1381" s="211">
        <v>0</v>
      </c>
      <c r="N1381" s="234">
        <v>1030</v>
      </c>
      <c r="O1381" s="211">
        <v>2579283</v>
      </c>
      <c r="P1381" s="213">
        <v>0</v>
      </c>
      <c r="Q1381" s="211">
        <v>0</v>
      </c>
      <c r="R1381" s="213">
        <v>0</v>
      </c>
      <c r="S1381" s="211">
        <v>0</v>
      </c>
      <c r="T1381" s="212">
        <v>0</v>
      </c>
      <c r="U1381" s="290">
        <v>0</v>
      </c>
      <c r="V1381" s="282"/>
      <c r="W1381" s="282">
        <f t="shared" si="237"/>
        <v>2504.1582524271844</v>
      </c>
      <c r="X1381" s="282"/>
    </row>
    <row r="1382" spans="1:24">
      <c r="A1382" s="198"/>
      <c r="B1382" s="216" t="s">
        <v>51</v>
      </c>
      <c r="C1382" s="211">
        <v>13321832</v>
      </c>
      <c r="D1382" s="211"/>
      <c r="E1382" s="211"/>
      <c r="F1382" s="211"/>
      <c r="G1382" s="211"/>
      <c r="H1382" s="211"/>
      <c r="I1382" s="211"/>
      <c r="J1382" s="211"/>
      <c r="K1382" s="211">
        <v>148073</v>
      </c>
      <c r="L1382" s="212">
        <v>0</v>
      </c>
      <c r="M1382" s="211">
        <v>0</v>
      </c>
      <c r="N1382" s="211">
        <v>6258.7000000000007</v>
      </c>
      <c r="O1382" s="211">
        <v>12532204</v>
      </c>
      <c r="P1382" s="213">
        <v>0</v>
      </c>
      <c r="Q1382" s="211">
        <v>0</v>
      </c>
      <c r="R1382" s="211">
        <v>440.1</v>
      </c>
      <c r="S1382" s="211">
        <v>641555</v>
      </c>
      <c r="T1382" s="212">
        <v>0</v>
      </c>
      <c r="U1382" s="290">
        <v>0</v>
      </c>
      <c r="V1382" s="282"/>
      <c r="W1382" s="282"/>
      <c r="X1382" s="282"/>
    </row>
    <row r="1383" spans="1:24" ht="27.6">
      <c r="A1383" s="198"/>
      <c r="B1383" s="214" t="s">
        <v>108</v>
      </c>
      <c r="C1383" s="211">
        <f>C1384+C1385+C1386+C1387+C1388+C1389+C1390</f>
        <v>10822736</v>
      </c>
      <c r="D1383" s="211">
        <f t="shared" ref="D1383:U1383" si="238">D1384+D1385+D1386+D1387+D1388+D1389+D1390</f>
        <v>0</v>
      </c>
      <c r="E1383" s="211">
        <f t="shared" si="238"/>
        <v>0</v>
      </c>
      <c r="F1383" s="211">
        <f t="shared" si="238"/>
        <v>0</v>
      </c>
      <c r="G1383" s="211">
        <f t="shared" si="238"/>
        <v>0</v>
      </c>
      <c r="H1383" s="211">
        <f t="shared" si="238"/>
        <v>0</v>
      </c>
      <c r="I1383" s="211">
        <f t="shared" si="238"/>
        <v>0</v>
      </c>
      <c r="J1383" s="211">
        <f t="shared" si="238"/>
        <v>0</v>
      </c>
      <c r="K1383" s="211">
        <f t="shared" si="238"/>
        <v>0</v>
      </c>
      <c r="L1383" s="211">
        <f t="shared" si="238"/>
        <v>0</v>
      </c>
      <c r="M1383" s="211">
        <f t="shared" si="238"/>
        <v>0</v>
      </c>
      <c r="N1383" s="211">
        <f t="shared" si="238"/>
        <v>3794.9</v>
      </c>
      <c r="O1383" s="211">
        <f t="shared" si="238"/>
        <v>10822736</v>
      </c>
      <c r="P1383" s="211">
        <f t="shared" si="238"/>
        <v>0</v>
      </c>
      <c r="Q1383" s="211">
        <f t="shared" si="238"/>
        <v>0</v>
      </c>
      <c r="R1383" s="211">
        <f t="shared" si="238"/>
        <v>0</v>
      </c>
      <c r="S1383" s="211">
        <f t="shared" si="238"/>
        <v>0</v>
      </c>
      <c r="T1383" s="211">
        <f t="shared" si="238"/>
        <v>0</v>
      </c>
      <c r="U1383" s="211">
        <f t="shared" si="238"/>
        <v>0</v>
      </c>
      <c r="V1383" s="282"/>
      <c r="W1383" s="282"/>
      <c r="X1383" s="282"/>
    </row>
    <row r="1384" spans="1:24" ht="15.6">
      <c r="A1384" s="198">
        <v>298</v>
      </c>
      <c r="B1384" s="947" t="s">
        <v>1014</v>
      </c>
      <c r="C1384" s="211">
        <f>'часть 1'!L1416</f>
        <v>1488075</v>
      </c>
      <c r="D1384" s="211">
        <v>0</v>
      </c>
      <c r="E1384" s="211">
        <v>0</v>
      </c>
      <c r="F1384" s="211">
        <v>0</v>
      </c>
      <c r="G1384" s="211">
        <v>0</v>
      </c>
      <c r="H1384" s="211">
        <v>0</v>
      </c>
      <c r="I1384" s="211">
        <v>0</v>
      </c>
      <c r="J1384" s="211">
        <v>0</v>
      </c>
      <c r="K1384" s="211">
        <v>0</v>
      </c>
      <c r="L1384" s="212">
        <v>0</v>
      </c>
      <c r="M1384" s="211">
        <v>0</v>
      </c>
      <c r="N1384" s="211">
        <v>471</v>
      </c>
      <c r="O1384" s="211">
        <f>'часть 1'!L1416</f>
        <v>1488075</v>
      </c>
      <c r="P1384" s="213">
        <v>0</v>
      </c>
      <c r="Q1384" s="211">
        <v>0</v>
      </c>
      <c r="R1384" s="213">
        <v>0</v>
      </c>
      <c r="S1384" s="211">
        <v>0</v>
      </c>
      <c r="T1384" s="212">
        <v>0</v>
      </c>
      <c r="U1384" s="290">
        <v>0</v>
      </c>
      <c r="V1384" s="282"/>
      <c r="W1384" s="282">
        <f>O1384/N1384</f>
        <v>3159.3949044585988</v>
      </c>
      <c r="X1384" s="282"/>
    </row>
    <row r="1385" spans="1:24" ht="15.6">
      <c r="A1385" s="198">
        <v>299</v>
      </c>
      <c r="B1385" s="947" t="s">
        <v>486</v>
      </c>
      <c r="C1385" s="211">
        <f>'часть 1'!L1417</f>
        <v>1488068</v>
      </c>
      <c r="D1385" s="211">
        <v>0</v>
      </c>
      <c r="E1385" s="211">
        <v>0</v>
      </c>
      <c r="F1385" s="211">
        <v>0</v>
      </c>
      <c r="G1385" s="211">
        <v>0</v>
      </c>
      <c r="H1385" s="211">
        <v>0</v>
      </c>
      <c r="I1385" s="211">
        <v>0</v>
      </c>
      <c r="J1385" s="211">
        <v>0</v>
      </c>
      <c r="K1385" s="211">
        <v>0</v>
      </c>
      <c r="L1385" s="212">
        <v>0</v>
      </c>
      <c r="M1385" s="211">
        <v>0</v>
      </c>
      <c r="N1385" s="211">
        <v>471</v>
      </c>
      <c r="O1385" s="211">
        <f>'часть 1'!L1417</f>
        <v>1488068</v>
      </c>
      <c r="P1385" s="213">
        <v>0</v>
      </c>
      <c r="Q1385" s="211">
        <v>0</v>
      </c>
      <c r="R1385" s="213">
        <v>0</v>
      </c>
      <c r="S1385" s="211">
        <v>0</v>
      </c>
      <c r="T1385" s="212">
        <v>0</v>
      </c>
      <c r="U1385" s="290">
        <v>0</v>
      </c>
      <c r="V1385" s="282"/>
      <c r="W1385" s="282">
        <f t="shared" ref="W1385:W1390" si="239">O1385/N1385</f>
        <v>3159.3800424628448</v>
      </c>
      <c r="X1385" s="282"/>
    </row>
    <row r="1386" spans="1:24" ht="15.6">
      <c r="A1386" s="198">
        <v>300</v>
      </c>
      <c r="B1386" s="947" t="s">
        <v>1015</v>
      </c>
      <c r="C1386" s="211">
        <f>'часть 1'!L1418</f>
        <v>931593</v>
      </c>
      <c r="D1386" s="211">
        <v>0</v>
      </c>
      <c r="E1386" s="211">
        <v>0</v>
      </c>
      <c r="F1386" s="211">
        <v>0</v>
      </c>
      <c r="G1386" s="211">
        <v>0</v>
      </c>
      <c r="H1386" s="211">
        <v>0</v>
      </c>
      <c r="I1386" s="211">
        <v>0</v>
      </c>
      <c r="J1386" s="211">
        <v>0</v>
      </c>
      <c r="K1386" s="211">
        <v>0</v>
      </c>
      <c r="L1386" s="212">
        <v>0</v>
      </c>
      <c r="M1386" s="211">
        <v>0</v>
      </c>
      <c r="N1386" s="211">
        <v>292</v>
      </c>
      <c r="O1386" s="211">
        <f>'часть 1'!L1418</f>
        <v>931593</v>
      </c>
      <c r="P1386" s="213">
        <v>0</v>
      </c>
      <c r="Q1386" s="211">
        <v>0</v>
      </c>
      <c r="R1386" s="213">
        <v>0</v>
      </c>
      <c r="S1386" s="211">
        <v>0</v>
      </c>
      <c r="T1386" s="212">
        <v>0</v>
      </c>
      <c r="U1386" s="290">
        <v>0</v>
      </c>
      <c r="V1386" s="282"/>
      <c r="W1386" s="282">
        <f t="shared" si="239"/>
        <v>3190.3869863013697</v>
      </c>
      <c r="X1386" s="282"/>
    </row>
    <row r="1387" spans="1:24" ht="15.6">
      <c r="A1387" s="198">
        <v>301</v>
      </c>
      <c r="B1387" s="171" t="s">
        <v>1016</v>
      </c>
      <c r="C1387" s="211">
        <f>'часть 1'!L1419</f>
        <v>741660</v>
      </c>
      <c r="D1387" s="211">
        <v>0</v>
      </c>
      <c r="E1387" s="211">
        <v>0</v>
      </c>
      <c r="F1387" s="211">
        <v>0</v>
      </c>
      <c r="G1387" s="211">
        <v>0</v>
      </c>
      <c r="H1387" s="211">
        <v>0</v>
      </c>
      <c r="I1387" s="211">
        <v>0</v>
      </c>
      <c r="J1387" s="211">
        <v>0</v>
      </c>
      <c r="K1387" s="211">
        <v>0</v>
      </c>
      <c r="L1387" s="212">
        <v>0</v>
      </c>
      <c r="M1387" s="211">
        <v>0</v>
      </c>
      <c r="N1387" s="211">
        <v>233.8</v>
      </c>
      <c r="O1387" s="211">
        <f>'часть 1'!L1419</f>
        <v>741660</v>
      </c>
      <c r="P1387" s="213">
        <v>0</v>
      </c>
      <c r="Q1387" s="211">
        <v>0</v>
      </c>
      <c r="R1387" s="213">
        <v>0</v>
      </c>
      <c r="S1387" s="211">
        <v>0</v>
      </c>
      <c r="T1387" s="212">
        <v>0</v>
      </c>
      <c r="U1387" s="290">
        <v>0</v>
      </c>
      <c r="V1387" s="282"/>
      <c r="W1387" s="282">
        <f t="shared" si="239"/>
        <v>3172.198460222412</v>
      </c>
      <c r="X1387" s="282"/>
    </row>
    <row r="1388" spans="1:24" ht="15.6">
      <c r="A1388" s="198">
        <v>302</v>
      </c>
      <c r="B1388" s="947" t="s">
        <v>1017</v>
      </c>
      <c r="C1388" s="211">
        <f>'часть 1'!L1420</f>
        <v>1854480</v>
      </c>
      <c r="D1388" s="211">
        <v>0</v>
      </c>
      <c r="E1388" s="211">
        <v>0</v>
      </c>
      <c r="F1388" s="211">
        <v>0</v>
      </c>
      <c r="G1388" s="211">
        <v>0</v>
      </c>
      <c r="H1388" s="211">
        <v>0</v>
      </c>
      <c r="I1388" s="211">
        <v>0</v>
      </c>
      <c r="J1388" s="211">
        <v>0</v>
      </c>
      <c r="K1388" s="211">
        <v>0</v>
      </c>
      <c r="L1388" s="212">
        <v>0</v>
      </c>
      <c r="M1388" s="211">
        <v>0</v>
      </c>
      <c r="N1388" s="211">
        <v>584.1</v>
      </c>
      <c r="O1388" s="211">
        <f>'часть 1'!L1420</f>
        <v>1854480</v>
      </c>
      <c r="P1388" s="213">
        <v>0</v>
      </c>
      <c r="Q1388" s="211">
        <v>0</v>
      </c>
      <c r="R1388" s="213">
        <v>0</v>
      </c>
      <c r="S1388" s="211">
        <v>0</v>
      </c>
      <c r="T1388" s="212">
        <v>0</v>
      </c>
      <c r="U1388" s="290">
        <v>0</v>
      </c>
      <c r="V1388" s="282"/>
      <c r="W1388" s="282">
        <f t="shared" si="239"/>
        <v>3174.9357986646123</v>
      </c>
      <c r="X1388" s="282"/>
    </row>
    <row r="1389" spans="1:24" ht="15.6">
      <c r="A1389" s="198">
        <v>303</v>
      </c>
      <c r="B1389" s="567" t="s">
        <v>1018</v>
      </c>
      <c r="C1389" s="211">
        <f>'часть 1'!L1421</f>
        <v>2161845</v>
      </c>
      <c r="D1389" s="211">
        <v>0</v>
      </c>
      <c r="E1389" s="211">
        <v>0</v>
      </c>
      <c r="F1389" s="211">
        <v>0</v>
      </c>
      <c r="G1389" s="211">
        <v>0</v>
      </c>
      <c r="H1389" s="211">
        <v>0</v>
      </c>
      <c r="I1389" s="211">
        <v>0</v>
      </c>
      <c r="J1389" s="211">
        <v>0</v>
      </c>
      <c r="K1389" s="211">
        <v>0</v>
      </c>
      <c r="L1389" s="212">
        <v>0</v>
      </c>
      <c r="M1389" s="211">
        <v>0</v>
      </c>
      <c r="N1389" s="211">
        <v>872.5</v>
      </c>
      <c r="O1389" s="211">
        <f>'часть 1'!L1421</f>
        <v>2161845</v>
      </c>
      <c r="P1389" s="213">
        <v>0</v>
      </c>
      <c r="Q1389" s="211">
        <v>0</v>
      </c>
      <c r="R1389" s="213">
        <v>0</v>
      </c>
      <c r="S1389" s="211">
        <v>0</v>
      </c>
      <c r="T1389" s="212">
        <v>0</v>
      </c>
      <c r="U1389" s="290">
        <v>0</v>
      </c>
      <c r="V1389" s="282"/>
      <c r="W1389" s="282">
        <f t="shared" si="239"/>
        <v>2477.7593123209167</v>
      </c>
      <c r="X1389" s="282"/>
    </row>
    <row r="1390" spans="1:24" ht="15.6">
      <c r="A1390" s="198">
        <v>304</v>
      </c>
      <c r="B1390" s="947" t="s">
        <v>1019</v>
      </c>
      <c r="C1390" s="211">
        <f>'часть 1'!L1422</f>
        <v>2157015</v>
      </c>
      <c r="D1390" s="211">
        <v>0</v>
      </c>
      <c r="E1390" s="211">
        <v>0</v>
      </c>
      <c r="F1390" s="211">
        <v>0</v>
      </c>
      <c r="G1390" s="211">
        <v>0</v>
      </c>
      <c r="H1390" s="211">
        <v>0</v>
      </c>
      <c r="I1390" s="211">
        <v>0</v>
      </c>
      <c r="J1390" s="211">
        <v>0</v>
      </c>
      <c r="K1390" s="211">
        <v>0</v>
      </c>
      <c r="L1390" s="212">
        <v>0</v>
      </c>
      <c r="M1390" s="211">
        <v>0</v>
      </c>
      <c r="N1390" s="211">
        <v>870.5</v>
      </c>
      <c r="O1390" s="211">
        <f>'часть 1'!L1422</f>
        <v>2157015</v>
      </c>
      <c r="P1390" s="213">
        <v>0</v>
      </c>
      <c r="Q1390" s="211">
        <v>0</v>
      </c>
      <c r="R1390" s="213">
        <v>0</v>
      </c>
      <c r="S1390" s="211">
        <v>0</v>
      </c>
      <c r="T1390" s="212">
        <v>0</v>
      </c>
      <c r="U1390" s="290">
        <v>0</v>
      </c>
      <c r="V1390" s="282"/>
      <c r="W1390" s="282">
        <f t="shared" si="239"/>
        <v>2477.9035037334866</v>
      </c>
      <c r="X1390" s="282"/>
    </row>
    <row r="1391" spans="1:24" ht="27.6">
      <c r="A1391" s="470"/>
      <c r="B1391" s="480" t="s">
        <v>882</v>
      </c>
      <c r="C1391" s="479">
        <f>C1392+C1393</f>
        <v>1917878</v>
      </c>
      <c r="D1391" s="479">
        <f t="shared" ref="D1391:U1391" si="240">D1392+D1393</f>
        <v>292645</v>
      </c>
      <c r="E1391" s="479">
        <f t="shared" si="240"/>
        <v>292645</v>
      </c>
      <c r="F1391" s="479">
        <f t="shared" si="240"/>
        <v>0</v>
      </c>
      <c r="G1391" s="479">
        <f t="shared" si="240"/>
        <v>0</v>
      </c>
      <c r="H1391" s="479">
        <f t="shared" si="240"/>
        <v>0</v>
      </c>
      <c r="I1391" s="479">
        <f t="shared" si="240"/>
        <v>0</v>
      </c>
      <c r="J1391" s="479">
        <f t="shared" si="240"/>
        <v>0</v>
      </c>
      <c r="K1391" s="479">
        <f t="shared" si="240"/>
        <v>0</v>
      </c>
      <c r="L1391" s="479">
        <f t="shared" si="240"/>
        <v>0</v>
      </c>
      <c r="M1391" s="479">
        <f t="shared" si="240"/>
        <v>0</v>
      </c>
      <c r="N1391" s="479">
        <f t="shared" si="240"/>
        <v>508.8</v>
      </c>
      <c r="O1391" s="479">
        <f t="shared" si="240"/>
        <v>1625233</v>
      </c>
      <c r="P1391" s="479">
        <f t="shared" si="240"/>
        <v>0</v>
      </c>
      <c r="Q1391" s="479">
        <f t="shared" si="240"/>
        <v>0</v>
      </c>
      <c r="R1391" s="479">
        <f t="shared" si="240"/>
        <v>0</v>
      </c>
      <c r="S1391" s="479">
        <f t="shared" si="240"/>
        <v>0</v>
      </c>
      <c r="T1391" s="479">
        <f t="shared" si="240"/>
        <v>0</v>
      </c>
      <c r="U1391" s="479">
        <f t="shared" si="240"/>
        <v>0</v>
      </c>
      <c r="V1391" s="282"/>
      <c r="W1391" s="282"/>
      <c r="X1391" s="282"/>
    </row>
    <row r="1392" spans="1:24" ht="27.6">
      <c r="A1392" s="470"/>
      <c r="B1392" s="480" t="s">
        <v>886</v>
      </c>
      <c r="C1392" s="479">
        <f>'часть 1'!L1424</f>
        <v>1625233</v>
      </c>
      <c r="D1392" s="479">
        <f>E1392+F1392+G1392+H1392+I1392+J1392+K1392</f>
        <v>0</v>
      </c>
      <c r="E1392" s="479">
        <v>0</v>
      </c>
      <c r="F1392" s="479">
        <v>0</v>
      </c>
      <c r="G1392" s="479">
        <v>0</v>
      </c>
      <c r="H1392" s="479">
        <v>0</v>
      </c>
      <c r="I1392" s="479">
        <v>0</v>
      </c>
      <c r="J1392" s="479">
        <v>0</v>
      </c>
      <c r="K1392" s="479">
        <v>0</v>
      </c>
      <c r="L1392" s="515">
        <v>0</v>
      </c>
      <c r="M1392" s="479">
        <v>0</v>
      </c>
      <c r="N1392" s="479">
        <v>508.8</v>
      </c>
      <c r="O1392" s="479">
        <v>1625233</v>
      </c>
      <c r="P1392" s="516">
        <v>0</v>
      </c>
      <c r="Q1392" s="479">
        <v>0</v>
      </c>
      <c r="R1392" s="479">
        <v>0</v>
      </c>
      <c r="S1392" s="479">
        <v>0</v>
      </c>
      <c r="T1392" s="515">
        <v>0</v>
      </c>
      <c r="U1392" s="517">
        <v>0</v>
      </c>
      <c r="V1392" s="282"/>
      <c r="W1392" s="282">
        <f>O1392/N1392</f>
        <v>3194.2472484276727</v>
      </c>
      <c r="X1392" s="282"/>
    </row>
    <row r="1393" spans="1:28" ht="22.95" customHeight="1">
      <c r="A1393" s="470"/>
      <c r="B1393" s="480" t="s">
        <v>884</v>
      </c>
      <c r="C1393" s="479">
        <f>'часть 1'!L1425</f>
        <v>292645</v>
      </c>
      <c r="D1393" s="479">
        <f>E1393+F1393+G1393+H1393+I1393+J1393+K1393</f>
        <v>292645</v>
      </c>
      <c r="E1393" s="479">
        <v>292645</v>
      </c>
      <c r="F1393" s="479">
        <v>0</v>
      </c>
      <c r="G1393" s="479">
        <v>0</v>
      </c>
      <c r="H1393" s="479">
        <v>0</v>
      </c>
      <c r="I1393" s="479">
        <v>0</v>
      </c>
      <c r="J1393" s="479">
        <v>0</v>
      </c>
      <c r="K1393" s="479">
        <v>0</v>
      </c>
      <c r="L1393" s="515">
        <v>0</v>
      </c>
      <c r="M1393" s="479">
        <v>0</v>
      </c>
      <c r="N1393" s="479">
        <v>0</v>
      </c>
      <c r="O1393" s="479">
        <v>0</v>
      </c>
      <c r="P1393" s="516">
        <v>0</v>
      </c>
      <c r="Q1393" s="479">
        <v>0</v>
      </c>
      <c r="R1393" s="479">
        <v>0</v>
      </c>
      <c r="S1393" s="479">
        <v>0</v>
      </c>
      <c r="T1393" s="515">
        <v>0</v>
      </c>
      <c r="U1393" s="517">
        <v>0</v>
      </c>
      <c r="V1393" s="282"/>
      <c r="W1393" s="282"/>
      <c r="X1393" s="282"/>
      <c r="Y1393" s="1">
        <f>E1393/'часть 1'!I1425</f>
        <v>566.59244917715387</v>
      </c>
    </row>
    <row r="1394" spans="1:28" s="17" customFormat="1">
      <c r="A1394" s="198"/>
      <c r="B1394" s="216" t="s">
        <v>52</v>
      </c>
      <c r="C1394" s="211">
        <v>3908951</v>
      </c>
      <c r="D1394" s="211"/>
      <c r="E1394" s="211"/>
      <c r="F1394" s="211"/>
      <c r="G1394" s="211"/>
      <c r="H1394" s="211"/>
      <c r="I1394" s="211"/>
      <c r="J1394" s="211"/>
      <c r="K1394" s="211">
        <v>201010</v>
      </c>
      <c r="L1394" s="212">
        <v>0</v>
      </c>
      <c r="M1394" s="211">
        <v>0</v>
      </c>
      <c r="N1394" s="211">
        <v>1869.42</v>
      </c>
      <c r="O1394" s="211">
        <v>3707941</v>
      </c>
      <c r="P1394" s="213">
        <v>0</v>
      </c>
      <c r="Q1394" s="211">
        <v>0</v>
      </c>
      <c r="R1394" s="213">
        <v>0</v>
      </c>
      <c r="S1394" s="211">
        <v>0</v>
      </c>
      <c r="T1394" s="212">
        <v>0</v>
      </c>
      <c r="U1394" s="290">
        <v>0</v>
      </c>
      <c r="V1394" s="282"/>
      <c r="W1394" s="282"/>
      <c r="X1394" s="282"/>
    </row>
    <row r="1395" spans="1:28" s="18" customFormat="1" ht="27.6">
      <c r="A1395" s="470"/>
      <c r="B1395" s="480" t="s">
        <v>130</v>
      </c>
      <c r="C1395" s="479">
        <f>C1396</f>
        <v>2385226</v>
      </c>
      <c r="D1395" s="479">
        <f t="shared" ref="D1395:V1395" si="241">D1396</f>
        <v>0</v>
      </c>
      <c r="E1395" s="479">
        <f t="shared" si="241"/>
        <v>0</v>
      </c>
      <c r="F1395" s="479">
        <f t="shared" si="241"/>
        <v>0</v>
      </c>
      <c r="G1395" s="479">
        <f t="shared" si="241"/>
        <v>0</v>
      </c>
      <c r="H1395" s="479">
        <f t="shared" si="241"/>
        <v>0</v>
      </c>
      <c r="I1395" s="479">
        <f t="shared" si="241"/>
        <v>0</v>
      </c>
      <c r="J1395" s="479">
        <f t="shared" si="241"/>
        <v>0</v>
      </c>
      <c r="K1395" s="479">
        <f t="shared" si="241"/>
        <v>0</v>
      </c>
      <c r="L1395" s="479">
        <f t="shared" si="241"/>
        <v>0</v>
      </c>
      <c r="M1395" s="479">
        <f t="shared" si="241"/>
        <v>0</v>
      </c>
      <c r="N1395" s="479">
        <f t="shared" si="241"/>
        <v>751</v>
      </c>
      <c r="O1395" s="479">
        <f t="shared" si="241"/>
        <v>2385226</v>
      </c>
      <c r="P1395" s="479">
        <f t="shared" si="241"/>
        <v>0</v>
      </c>
      <c r="Q1395" s="479">
        <f t="shared" si="241"/>
        <v>0</v>
      </c>
      <c r="R1395" s="479">
        <f t="shared" si="241"/>
        <v>0</v>
      </c>
      <c r="S1395" s="479">
        <f t="shared" si="241"/>
        <v>0</v>
      </c>
      <c r="T1395" s="479">
        <f t="shared" si="241"/>
        <v>0</v>
      </c>
      <c r="U1395" s="479">
        <f t="shared" si="241"/>
        <v>0</v>
      </c>
      <c r="V1395" s="211">
        <f t="shared" si="241"/>
        <v>0</v>
      </c>
      <c r="W1395" s="282"/>
      <c r="X1395" s="282"/>
    </row>
    <row r="1396" spans="1:28" s="17" customFormat="1">
      <c r="A1396" s="470">
        <v>312</v>
      </c>
      <c r="B1396" s="480" t="s">
        <v>674</v>
      </c>
      <c r="C1396" s="479">
        <v>2385226</v>
      </c>
      <c r="D1396" s="479">
        <v>0</v>
      </c>
      <c r="E1396" s="479">
        <v>0</v>
      </c>
      <c r="F1396" s="479">
        <v>0</v>
      </c>
      <c r="G1396" s="479">
        <v>0</v>
      </c>
      <c r="H1396" s="479">
        <v>0</v>
      </c>
      <c r="I1396" s="479">
        <v>0</v>
      </c>
      <c r="J1396" s="479">
        <v>0</v>
      </c>
      <c r="K1396" s="479">
        <v>0</v>
      </c>
      <c r="L1396" s="516">
        <v>0</v>
      </c>
      <c r="M1396" s="479">
        <v>0</v>
      </c>
      <c r="N1396" s="472">
        <v>751</v>
      </c>
      <c r="O1396" s="479">
        <v>2385226</v>
      </c>
      <c r="P1396" s="516">
        <v>0</v>
      </c>
      <c r="Q1396" s="479">
        <v>0</v>
      </c>
      <c r="R1396" s="516">
        <v>0</v>
      </c>
      <c r="S1396" s="479">
        <v>0</v>
      </c>
      <c r="T1396" s="516">
        <v>0</v>
      </c>
      <c r="U1396" s="517">
        <v>0</v>
      </c>
      <c r="V1396" s="282"/>
      <c r="W1396" s="282">
        <f>O1396/N1396</f>
        <v>3176.0665778961384</v>
      </c>
      <c r="X1396" s="282"/>
    </row>
    <row r="1397" spans="1:28" s="17" customFormat="1">
      <c r="A1397" s="470"/>
      <c r="B1397" s="480"/>
      <c r="C1397" s="479"/>
      <c r="D1397" s="479"/>
      <c r="E1397" s="479"/>
      <c r="F1397" s="479"/>
      <c r="G1397" s="479"/>
      <c r="H1397" s="479"/>
      <c r="I1397" s="479"/>
      <c r="J1397" s="479"/>
      <c r="K1397" s="479"/>
      <c r="L1397" s="516"/>
      <c r="M1397" s="479"/>
      <c r="N1397" s="472"/>
      <c r="O1397" s="479"/>
      <c r="P1397" s="516"/>
      <c r="Q1397" s="479"/>
      <c r="R1397" s="516"/>
      <c r="S1397" s="479"/>
      <c r="T1397" s="516"/>
      <c r="U1397" s="517"/>
      <c r="V1397" s="282"/>
      <c r="W1397" s="282"/>
      <c r="X1397" s="282"/>
    </row>
    <row r="1398" spans="1:28" ht="27.6">
      <c r="A1398" s="198"/>
      <c r="B1398" s="214" t="s">
        <v>109</v>
      </c>
      <c r="C1398" s="211">
        <v>201010</v>
      </c>
      <c r="D1398" s="211"/>
      <c r="E1398" s="211"/>
      <c r="F1398" s="211"/>
      <c r="G1398" s="211"/>
      <c r="H1398" s="211"/>
      <c r="I1398" s="211"/>
      <c r="J1398" s="211"/>
      <c r="K1398" s="211">
        <v>201010</v>
      </c>
      <c r="L1398" s="212">
        <v>0</v>
      </c>
      <c r="M1398" s="211">
        <v>0</v>
      </c>
      <c r="N1398" s="211">
        <v>0</v>
      </c>
      <c r="O1398" s="211">
        <v>0</v>
      </c>
      <c r="P1398" s="213">
        <v>0</v>
      </c>
      <c r="Q1398" s="211">
        <v>0</v>
      </c>
      <c r="R1398" s="213">
        <v>0</v>
      </c>
      <c r="S1398" s="211">
        <v>0</v>
      </c>
      <c r="T1398" s="212">
        <v>0</v>
      </c>
      <c r="U1398" s="290">
        <v>0</v>
      </c>
      <c r="V1398" s="282"/>
      <c r="W1398" s="282"/>
      <c r="X1398" s="282"/>
    </row>
    <row r="1399" spans="1:28">
      <c r="A1399" s="198">
        <v>314</v>
      </c>
      <c r="B1399" s="216" t="s">
        <v>414</v>
      </c>
      <c r="C1399" s="211">
        <v>201010</v>
      </c>
      <c r="D1399" s="211"/>
      <c r="E1399" s="211"/>
      <c r="F1399" s="211"/>
      <c r="G1399" s="211"/>
      <c r="H1399" s="211"/>
      <c r="I1399" s="211"/>
      <c r="J1399" s="211"/>
      <c r="K1399" s="211">
        <v>201010</v>
      </c>
      <c r="L1399" s="212">
        <v>0</v>
      </c>
      <c r="M1399" s="211">
        <v>0</v>
      </c>
      <c r="N1399" s="211">
        <v>0</v>
      </c>
      <c r="O1399" s="211">
        <v>0</v>
      </c>
      <c r="P1399" s="213">
        <v>0</v>
      </c>
      <c r="Q1399" s="211">
        <v>0</v>
      </c>
      <c r="R1399" s="213">
        <v>0</v>
      </c>
      <c r="S1399" s="211">
        <v>0</v>
      </c>
      <c r="T1399" s="212">
        <v>0</v>
      </c>
      <c r="U1399" s="290">
        <v>0</v>
      </c>
      <c r="V1399" s="282"/>
      <c r="W1399" s="282"/>
      <c r="X1399" s="282"/>
    </row>
    <row r="1400" spans="1:28" ht="27.6">
      <c r="A1400" s="198"/>
      <c r="B1400" s="214" t="s">
        <v>198</v>
      </c>
      <c r="C1400" s="211">
        <v>1091336</v>
      </c>
      <c r="D1400" s="211"/>
      <c r="E1400" s="211"/>
      <c r="F1400" s="211"/>
      <c r="G1400" s="211"/>
      <c r="H1400" s="211"/>
      <c r="I1400" s="211"/>
      <c r="J1400" s="211"/>
      <c r="K1400" s="211">
        <v>0</v>
      </c>
      <c r="L1400" s="212">
        <v>0</v>
      </c>
      <c r="M1400" s="211">
        <v>0</v>
      </c>
      <c r="N1400" s="211">
        <v>554.41999999999996</v>
      </c>
      <c r="O1400" s="211">
        <v>1091336</v>
      </c>
      <c r="P1400" s="213">
        <v>0</v>
      </c>
      <c r="Q1400" s="211">
        <v>0</v>
      </c>
      <c r="R1400" s="213">
        <v>0</v>
      </c>
      <c r="S1400" s="211">
        <v>0</v>
      </c>
      <c r="T1400" s="212">
        <v>0</v>
      </c>
      <c r="U1400" s="290">
        <v>0</v>
      </c>
      <c r="V1400" s="282"/>
      <c r="W1400" s="282"/>
      <c r="X1400" s="282"/>
    </row>
    <row r="1401" spans="1:28" ht="28.2">
      <c r="A1401" s="198">
        <v>315</v>
      </c>
      <c r="B1401" s="214" t="s">
        <v>444</v>
      </c>
      <c r="C1401" s="211">
        <v>1091336</v>
      </c>
      <c r="D1401" s="211"/>
      <c r="E1401" s="211"/>
      <c r="F1401" s="211"/>
      <c r="G1401" s="211"/>
      <c r="H1401" s="211"/>
      <c r="I1401" s="211"/>
      <c r="J1401" s="211"/>
      <c r="K1401" s="211">
        <v>0</v>
      </c>
      <c r="L1401" s="212">
        <v>0</v>
      </c>
      <c r="M1401" s="211">
        <v>0</v>
      </c>
      <c r="N1401" s="211">
        <v>554.41999999999996</v>
      </c>
      <c r="O1401" s="211">
        <v>1091336</v>
      </c>
      <c r="P1401" s="213">
        <v>0</v>
      </c>
      <c r="Q1401" s="211">
        <v>0</v>
      </c>
      <c r="R1401" s="213">
        <v>0</v>
      </c>
      <c r="S1401" s="211">
        <v>0</v>
      </c>
      <c r="T1401" s="212">
        <v>0</v>
      </c>
      <c r="U1401" s="290">
        <v>0</v>
      </c>
      <c r="V1401" s="282"/>
      <c r="W1401" s="282"/>
      <c r="X1401" s="282"/>
    </row>
    <row r="1402" spans="1:28" s="17" customFormat="1">
      <c r="A1402" s="198"/>
      <c r="B1402" s="216" t="s">
        <v>53</v>
      </c>
      <c r="C1402" s="211">
        <v>51240898.530000001</v>
      </c>
      <c r="D1402" s="211"/>
      <c r="E1402" s="211"/>
      <c r="F1402" s="211"/>
      <c r="G1402" s="211"/>
      <c r="H1402" s="211"/>
      <c r="I1402" s="211"/>
      <c r="J1402" s="211"/>
      <c r="K1402" s="211">
        <v>1666943.13</v>
      </c>
      <c r="L1402" s="212">
        <v>16</v>
      </c>
      <c r="M1402" s="211">
        <f>M1403+M1418+M1420+M1423+M1430+M1431+M1433</f>
        <v>0</v>
      </c>
      <c r="N1402" s="211">
        <f>N1403+N1418+N1420+N1423+N1430+N1431+N1433</f>
        <v>17736.52</v>
      </c>
      <c r="O1402" s="211">
        <f>O1403+O1418+O1420+O1423+O1430+O1431+O1433</f>
        <v>45386855.920000002</v>
      </c>
      <c r="P1402" s="213">
        <v>0</v>
      </c>
      <c r="Q1402" s="211">
        <v>0</v>
      </c>
      <c r="R1402" s="211">
        <v>3776.66</v>
      </c>
      <c r="S1402" s="211">
        <v>2073719.84</v>
      </c>
      <c r="T1402" s="213">
        <v>0</v>
      </c>
      <c r="U1402" s="290">
        <v>0</v>
      </c>
      <c r="V1402" s="282"/>
      <c r="W1402" s="282"/>
      <c r="X1402" s="282"/>
    </row>
    <row r="1403" spans="1:28" ht="27.6">
      <c r="A1403" s="470"/>
      <c r="B1403" s="480" t="s">
        <v>88</v>
      </c>
      <c r="C1403" s="479">
        <f>C1404+C1405+C1406+C1407+C1408+C1409++C1410+C1411+C1412+C1413+C1414</f>
        <v>29036828</v>
      </c>
      <c r="D1403" s="479">
        <f t="shared" ref="D1403:V1403" si="242">D1404+D1405+D1406+D1407+D1408+D1409++D1410+D1411+D1412+D1413+D1414</f>
        <v>0</v>
      </c>
      <c r="E1403" s="479">
        <f t="shared" si="242"/>
        <v>0</v>
      </c>
      <c r="F1403" s="479">
        <f t="shared" si="242"/>
        <v>0</v>
      </c>
      <c r="G1403" s="479">
        <f t="shared" si="242"/>
        <v>0</v>
      </c>
      <c r="H1403" s="479">
        <f t="shared" si="242"/>
        <v>0</v>
      </c>
      <c r="I1403" s="479">
        <f t="shared" si="242"/>
        <v>0</v>
      </c>
      <c r="J1403" s="479">
        <f t="shared" si="242"/>
        <v>0</v>
      </c>
      <c r="K1403" s="479">
        <f t="shared" si="242"/>
        <v>0</v>
      </c>
      <c r="L1403" s="479">
        <f t="shared" si="242"/>
        <v>0</v>
      </c>
      <c r="M1403" s="479">
        <f t="shared" si="242"/>
        <v>0</v>
      </c>
      <c r="N1403" s="479">
        <f t="shared" si="242"/>
        <v>11589.4</v>
      </c>
      <c r="O1403" s="479">
        <f t="shared" si="242"/>
        <v>29036828</v>
      </c>
      <c r="P1403" s="479">
        <f t="shared" si="242"/>
        <v>0</v>
      </c>
      <c r="Q1403" s="479">
        <f t="shared" si="242"/>
        <v>0</v>
      </c>
      <c r="R1403" s="479">
        <f t="shared" si="242"/>
        <v>0</v>
      </c>
      <c r="S1403" s="479">
        <f t="shared" si="242"/>
        <v>0</v>
      </c>
      <c r="T1403" s="479">
        <f t="shared" si="242"/>
        <v>0</v>
      </c>
      <c r="U1403" s="479">
        <f t="shared" si="242"/>
        <v>0</v>
      </c>
      <c r="V1403" s="211">
        <f t="shared" si="242"/>
        <v>0</v>
      </c>
      <c r="W1403" s="282"/>
      <c r="X1403" s="282"/>
      <c r="Y1403" s="10"/>
      <c r="Z1403" s="10"/>
      <c r="AA1403" s="10"/>
      <c r="AB1403" s="10"/>
    </row>
    <row r="1404" spans="1:28" s="19" customFormat="1" ht="15.6">
      <c r="A1404" s="470">
        <v>316</v>
      </c>
      <c r="B1404" s="844" t="s">
        <v>756</v>
      </c>
      <c r="C1404" s="479">
        <f>'часть 1'!L1436</f>
        <v>3116315</v>
      </c>
      <c r="D1404" s="479">
        <v>0</v>
      </c>
      <c r="E1404" s="479">
        <v>0</v>
      </c>
      <c r="F1404" s="479">
        <v>0</v>
      </c>
      <c r="G1404" s="479">
        <v>0</v>
      </c>
      <c r="H1404" s="479">
        <v>0</v>
      </c>
      <c r="I1404" s="479">
        <v>0</v>
      </c>
      <c r="J1404" s="479">
        <v>0</v>
      </c>
      <c r="K1404" s="479">
        <v>0</v>
      </c>
      <c r="L1404" s="515">
        <v>0</v>
      </c>
      <c r="M1404" s="479">
        <v>0</v>
      </c>
      <c r="N1404" s="479">
        <v>1246.5999999999999</v>
      </c>
      <c r="O1404" s="479">
        <f>C1404</f>
        <v>3116315</v>
      </c>
      <c r="P1404" s="516">
        <v>0</v>
      </c>
      <c r="Q1404" s="479">
        <v>0</v>
      </c>
      <c r="R1404" s="516">
        <v>0</v>
      </c>
      <c r="S1404" s="479">
        <v>0</v>
      </c>
      <c r="T1404" s="515">
        <v>0</v>
      </c>
      <c r="U1404" s="517">
        <v>0</v>
      </c>
      <c r="V1404" s="282"/>
      <c r="W1404" s="282">
        <f>O1404/N1404</f>
        <v>2499.8515963420505</v>
      </c>
      <c r="X1404" s="282"/>
      <c r="Y1404" s="27"/>
      <c r="Z1404" s="27"/>
      <c r="AA1404" s="27"/>
      <c r="AB1404" s="27"/>
    </row>
    <row r="1405" spans="1:28" s="19" customFormat="1" ht="15.6">
      <c r="A1405" s="470">
        <v>317</v>
      </c>
      <c r="B1405" s="844" t="s">
        <v>754</v>
      </c>
      <c r="C1405" s="479">
        <f>'часть 1'!L1437</f>
        <v>2952420</v>
      </c>
      <c r="D1405" s="479">
        <v>0</v>
      </c>
      <c r="E1405" s="479">
        <v>0</v>
      </c>
      <c r="F1405" s="479">
        <v>0</v>
      </c>
      <c r="G1405" s="479">
        <v>0</v>
      </c>
      <c r="H1405" s="479">
        <v>0</v>
      </c>
      <c r="I1405" s="479">
        <v>0</v>
      </c>
      <c r="J1405" s="479">
        <v>0</v>
      </c>
      <c r="K1405" s="479">
        <v>0</v>
      </c>
      <c r="L1405" s="515">
        <v>0</v>
      </c>
      <c r="M1405" s="479">
        <v>0</v>
      </c>
      <c r="N1405" s="479">
        <v>1180.8</v>
      </c>
      <c r="O1405" s="479">
        <f t="shared" ref="O1405:O1414" si="243">C1405</f>
        <v>2952420</v>
      </c>
      <c r="P1405" s="516">
        <v>0</v>
      </c>
      <c r="Q1405" s="479">
        <v>0</v>
      </c>
      <c r="R1405" s="516">
        <v>0</v>
      </c>
      <c r="S1405" s="479">
        <v>0</v>
      </c>
      <c r="T1405" s="515">
        <v>0</v>
      </c>
      <c r="U1405" s="517">
        <v>0</v>
      </c>
      <c r="V1405" s="282"/>
      <c r="W1405" s="282">
        <f t="shared" ref="W1405:W1414" si="244">O1405/N1405</f>
        <v>2500.3556910569105</v>
      </c>
      <c r="X1405" s="282"/>
      <c r="Y1405" s="27"/>
      <c r="Z1405" s="27"/>
      <c r="AA1405" s="27"/>
      <c r="AB1405" s="27"/>
    </row>
    <row r="1406" spans="1:28" s="19" customFormat="1" ht="15.6">
      <c r="A1406" s="470">
        <v>318</v>
      </c>
      <c r="B1406" s="844" t="s">
        <v>755</v>
      </c>
      <c r="C1406" s="479">
        <f>'часть 1'!L1438</f>
        <v>2857647</v>
      </c>
      <c r="D1406" s="521">
        <v>0</v>
      </c>
      <c r="E1406" s="521">
        <v>0</v>
      </c>
      <c r="F1406" s="521">
        <v>0</v>
      </c>
      <c r="G1406" s="521">
        <v>0</v>
      </c>
      <c r="H1406" s="521">
        <v>0</v>
      </c>
      <c r="I1406" s="521">
        <v>0</v>
      </c>
      <c r="J1406" s="521">
        <v>0</v>
      </c>
      <c r="K1406" s="860">
        <v>0</v>
      </c>
      <c r="L1406" s="515">
        <v>0</v>
      </c>
      <c r="M1406" s="479">
        <v>0</v>
      </c>
      <c r="N1406" s="521">
        <v>1142</v>
      </c>
      <c r="O1406" s="479">
        <f t="shared" si="243"/>
        <v>2857647</v>
      </c>
      <c r="P1406" s="516">
        <v>0</v>
      </c>
      <c r="Q1406" s="479">
        <v>0</v>
      </c>
      <c r="R1406" s="516">
        <v>0</v>
      </c>
      <c r="S1406" s="479">
        <v>0</v>
      </c>
      <c r="T1406" s="515">
        <v>0</v>
      </c>
      <c r="U1406" s="517">
        <v>0</v>
      </c>
      <c r="V1406" s="282"/>
      <c r="W1406" s="282">
        <f t="shared" si="244"/>
        <v>2502.3178633975481</v>
      </c>
      <c r="X1406" s="282"/>
      <c r="Y1406" s="27"/>
      <c r="Z1406" s="27"/>
      <c r="AA1406" s="27"/>
      <c r="AB1406" s="27"/>
    </row>
    <row r="1407" spans="1:28" s="19" customFormat="1" ht="15.6">
      <c r="A1407" s="470">
        <v>319</v>
      </c>
      <c r="B1407" s="844" t="s">
        <v>759</v>
      </c>
      <c r="C1407" s="479">
        <f>'часть 1'!L1439</f>
        <v>1532580</v>
      </c>
      <c r="D1407" s="479">
        <v>0</v>
      </c>
      <c r="E1407" s="479">
        <v>0</v>
      </c>
      <c r="F1407" s="479">
        <v>0</v>
      </c>
      <c r="G1407" s="479">
        <v>0</v>
      </c>
      <c r="H1407" s="479">
        <v>0</v>
      </c>
      <c r="I1407" s="479">
        <v>0</v>
      </c>
      <c r="J1407" s="479">
        <v>0</v>
      </c>
      <c r="K1407" s="479">
        <v>0</v>
      </c>
      <c r="L1407" s="515">
        <v>0</v>
      </c>
      <c r="M1407" s="479">
        <v>0</v>
      </c>
      <c r="N1407" s="479">
        <v>600</v>
      </c>
      <c r="O1407" s="479">
        <f t="shared" si="243"/>
        <v>1532580</v>
      </c>
      <c r="P1407" s="516">
        <v>0</v>
      </c>
      <c r="Q1407" s="479">
        <v>0</v>
      </c>
      <c r="R1407" s="479">
        <v>0</v>
      </c>
      <c r="S1407" s="479">
        <v>0</v>
      </c>
      <c r="T1407" s="515">
        <v>0</v>
      </c>
      <c r="U1407" s="517">
        <v>0</v>
      </c>
      <c r="V1407" s="282"/>
      <c r="W1407" s="282">
        <f t="shared" si="244"/>
        <v>2554.3000000000002</v>
      </c>
      <c r="X1407" s="282"/>
      <c r="Y1407" s="27"/>
      <c r="Z1407" s="27"/>
      <c r="AA1407" s="27"/>
      <c r="AB1407" s="27"/>
    </row>
    <row r="1408" spans="1:28" s="19" customFormat="1" ht="15.6">
      <c r="A1408" s="470">
        <v>320</v>
      </c>
      <c r="B1408" s="844" t="s">
        <v>760</v>
      </c>
      <c r="C1408" s="479">
        <f>'часть 1'!L1440</f>
        <v>2654053</v>
      </c>
      <c r="D1408" s="521">
        <v>0</v>
      </c>
      <c r="E1408" s="521">
        <v>0</v>
      </c>
      <c r="F1408" s="521">
        <v>0</v>
      </c>
      <c r="G1408" s="521">
        <v>0</v>
      </c>
      <c r="H1408" s="521">
        <v>0</v>
      </c>
      <c r="I1408" s="521">
        <v>0</v>
      </c>
      <c r="J1408" s="521">
        <v>0</v>
      </c>
      <c r="K1408" s="518">
        <v>0</v>
      </c>
      <c r="L1408" s="476">
        <v>0</v>
      </c>
      <c r="M1408" s="521">
        <v>0</v>
      </c>
      <c r="N1408" s="479">
        <v>1060</v>
      </c>
      <c r="O1408" s="479">
        <f t="shared" si="243"/>
        <v>2654053</v>
      </c>
      <c r="P1408" s="516">
        <v>0</v>
      </c>
      <c r="Q1408" s="479">
        <v>0</v>
      </c>
      <c r="R1408" s="516">
        <v>0</v>
      </c>
      <c r="S1408" s="479">
        <v>0</v>
      </c>
      <c r="T1408" s="515">
        <v>0</v>
      </c>
      <c r="U1408" s="517">
        <v>0</v>
      </c>
      <c r="V1408" s="282"/>
      <c r="W1408" s="282">
        <f t="shared" si="244"/>
        <v>2503.8235849056605</v>
      </c>
      <c r="X1408" s="282"/>
      <c r="Y1408" s="6"/>
      <c r="Z1408" s="6"/>
      <c r="AA1408" s="26"/>
      <c r="AB1408" s="26"/>
    </row>
    <row r="1409" spans="1:28" s="19" customFormat="1" ht="15.6">
      <c r="A1409" s="470">
        <v>321</v>
      </c>
      <c r="B1409" s="844" t="s">
        <v>761</v>
      </c>
      <c r="C1409" s="479">
        <f>'часть 1'!L1441</f>
        <v>2653957</v>
      </c>
      <c r="D1409" s="521">
        <v>0</v>
      </c>
      <c r="E1409" s="521">
        <v>0</v>
      </c>
      <c r="F1409" s="521">
        <v>0</v>
      </c>
      <c r="G1409" s="521">
        <v>0</v>
      </c>
      <c r="H1409" s="521">
        <v>0</v>
      </c>
      <c r="I1409" s="521">
        <v>0</v>
      </c>
      <c r="J1409" s="521">
        <v>0</v>
      </c>
      <c r="K1409" s="518">
        <v>0</v>
      </c>
      <c r="L1409" s="476">
        <v>0</v>
      </c>
      <c r="M1409" s="518">
        <v>0</v>
      </c>
      <c r="N1409" s="479">
        <v>1060</v>
      </c>
      <c r="O1409" s="479">
        <f t="shared" si="243"/>
        <v>2653957</v>
      </c>
      <c r="P1409" s="516">
        <v>0</v>
      </c>
      <c r="Q1409" s="479">
        <v>0</v>
      </c>
      <c r="R1409" s="516">
        <v>0</v>
      </c>
      <c r="S1409" s="479">
        <v>0</v>
      </c>
      <c r="T1409" s="515">
        <v>0</v>
      </c>
      <c r="U1409" s="517">
        <v>0</v>
      </c>
      <c r="V1409" s="282"/>
      <c r="W1409" s="282">
        <f t="shared" si="244"/>
        <v>2503.7330188679243</v>
      </c>
      <c r="X1409" s="282"/>
      <c r="Y1409" s="6"/>
      <c r="Z1409" s="6"/>
      <c r="AA1409" s="26"/>
      <c r="AB1409" s="26"/>
    </row>
    <row r="1410" spans="1:28" s="19" customFormat="1" ht="15.6">
      <c r="A1410" s="470">
        <v>322</v>
      </c>
      <c r="B1410" s="844" t="s">
        <v>762</v>
      </c>
      <c r="C1410" s="479">
        <f>'часть 1'!L1442</f>
        <v>2653904</v>
      </c>
      <c r="D1410" s="521">
        <v>0</v>
      </c>
      <c r="E1410" s="521">
        <v>0</v>
      </c>
      <c r="F1410" s="521">
        <v>0</v>
      </c>
      <c r="G1410" s="521">
        <v>0</v>
      </c>
      <c r="H1410" s="521">
        <v>0</v>
      </c>
      <c r="I1410" s="521">
        <v>0</v>
      </c>
      <c r="J1410" s="521">
        <v>0</v>
      </c>
      <c r="K1410" s="518">
        <v>0</v>
      </c>
      <c r="L1410" s="476">
        <v>0</v>
      </c>
      <c r="M1410" s="521">
        <v>0</v>
      </c>
      <c r="N1410" s="479">
        <v>1060</v>
      </c>
      <c r="O1410" s="479">
        <f t="shared" si="243"/>
        <v>2653904</v>
      </c>
      <c r="P1410" s="516">
        <v>0</v>
      </c>
      <c r="Q1410" s="479">
        <v>0</v>
      </c>
      <c r="R1410" s="516">
        <v>0</v>
      </c>
      <c r="S1410" s="479">
        <v>0</v>
      </c>
      <c r="T1410" s="515">
        <v>0</v>
      </c>
      <c r="U1410" s="517">
        <v>0</v>
      </c>
      <c r="V1410" s="282"/>
      <c r="W1410" s="282">
        <f t="shared" si="244"/>
        <v>2503.6830188679246</v>
      </c>
      <c r="X1410" s="282"/>
      <c r="Y1410" s="6"/>
      <c r="Z1410" s="6"/>
      <c r="AA1410" s="26"/>
      <c r="AB1410" s="26"/>
    </row>
    <row r="1411" spans="1:28" s="19" customFormat="1" ht="15.6">
      <c r="A1411" s="470">
        <v>323</v>
      </c>
      <c r="B1411" s="844" t="s">
        <v>763</v>
      </c>
      <c r="C1411" s="479">
        <f>'часть 1'!L1443</f>
        <v>2653979</v>
      </c>
      <c r="D1411" s="479">
        <v>0</v>
      </c>
      <c r="E1411" s="479">
        <v>0</v>
      </c>
      <c r="F1411" s="479">
        <v>0</v>
      </c>
      <c r="G1411" s="479">
        <v>0</v>
      </c>
      <c r="H1411" s="479">
        <v>0</v>
      </c>
      <c r="I1411" s="479">
        <v>0</v>
      </c>
      <c r="J1411" s="479">
        <v>0</v>
      </c>
      <c r="K1411" s="479">
        <v>0</v>
      </c>
      <c r="L1411" s="515">
        <v>0</v>
      </c>
      <c r="M1411" s="479">
        <v>0</v>
      </c>
      <c r="N1411" s="479">
        <v>1060</v>
      </c>
      <c r="O1411" s="479">
        <f t="shared" si="243"/>
        <v>2653979</v>
      </c>
      <c r="P1411" s="516">
        <v>0</v>
      </c>
      <c r="Q1411" s="479">
        <v>0</v>
      </c>
      <c r="R1411" s="479">
        <v>0</v>
      </c>
      <c r="S1411" s="479">
        <v>0</v>
      </c>
      <c r="T1411" s="515">
        <v>0</v>
      </c>
      <c r="U1411" s="517">
        <v>0</v>
      </c>
      <c r="V1411" s="282"/>
      <c r="W1411" s="282">
        <f t="shared" si="244"/>
        <v>2503.7537735849055</v>
      </c>
      <c r="X1411" s="282"/>
      <c r="Y1411" s="27"/>
      <c r="Z1411" s="27"/>
      <c r="AA1411" s="27"/>
      <c r="AB1411" s="27"/>
    </row>
    <row r="1412" spans="1:28" s="19" customFormat="1" ht="15.6">
      <c r="A1412" s="470">
        <v>324</v>
      </c>
      <c r="B1412" s="844" t="s">
        <v>764</v>
      </c>
      <c r="C1412" s="479">
        <f>'часть 1'!L1444</f>
        <v>2654063</v>
      </c>
      <c r="D1412" s="521">
        <v>0</v>
      </c>
      <c r="E1412" s="521">
        <v>0</v>
      </c>
      <c r="F1412" s="521">
        <v>0</v>
      </c>
      <c r="G1412" s="521">
        <v>0</v>
      </c>
      <c r="H1412" s="521">
        <v>0</v>
      </c>
      <c r="I1412" s="521">
        <v>0</v>
      </c>
      <c r="J1412" s="521">
        <v>0</v>
      </c>
      <c r="K1412" s="518">
        <v>0</v>
      </c>
      <c r="L1412" s="476">
        <v>0</v>
      </c>
      <c r="M1412" s="472">
        <v>0</v>
      </c>
      <c r="N1412" s="479">
        <v>1060</v>
      </c>
      <c r="O1412" s="479">
        <f t="shared" si="243"/>
        <v>2654063</v>
      </c>
      <c r="P1412" s="516">
        <v>0</v>
      </c>
      <c r="Q1412" s="479">
        <v>0</v>
      </c>
      <c r="R1412" s="516">
        <v>0</v>
      </c>
      <c r="S1412" s="479">
        <v>0</v>
      </c>
      <c r="T1412" s="515">
        <v>0</v>
      </c>
      <c r="U1412" s="517">
        <v>0</v>
      </c>
      <c r="V1412" s="282"/>
      <c r="W1412" s="282">
        <f t="shared" si="244"/>
        <v>2503.8330188679247</v>
      </c>
      <c r="X1412" s="282"/>
      <c r="Y1412" s="6"/>
      <c r="Z1412" s="6"/>
      <c r="AA1412" s="26"/>
      <c r="AB1412" s="26"/>
    </row>
    <row r="1413" spans="1:28" s="19" customFormat="1" ht="15.6">
      <c r="A1413" s="470">
        <v>325</v>
      </c>
      <c r="B1413" s="844" t="s">
        <v>765</v>
      </c>
      <c r="C1413" s="479">
        <f>'часть 1'!L1445</f>
        <v>2653996</v>
      </c>
      <c r="D1413" s="521">
        <v>0</v>
      </c>
      <c r="E1413" s="521">
        <v>0</v>
      </c>
      <c r="F1413" s="521">
        <v>0</v>
      </c>
      <c r="G1413" s="521">
        <v>0</v>
      </c>
      <c r="H1413" s="521">
        <v>0</v>
      </c>
      <c r="I1413" s="521">
        <v>0</v>
      </c>
      <c r="J1413" s="521">
        <v>0</v>
      </c>
      <c r="K1413" s="518">
        <v>0</v>
      </c>
      <c r="L1413" s="476">
        <v>0</v>
      </c>
      <c r="M1413" s="521">
        <v>0</v>
      </c>
      <c r="N1413" s="479">
        <v>1060</v>
      </c>
      <c r="O1413" s="479">
        <f t="shared" si="243"/>
        <v>2653996</v>
      </c>
      <c r="P1413" s="516">
        <v>0</v>
      </c>
      <c r="Q1413" s="479">
        <v>0</v>
      </c>
      <c r="R1413" s="516">
        <v>0</v>
      </c>
      <c r="S1413" s="479">
        <v>0</v>
      </c>
      <c r="T1413" s="515">
        <v>0</v>
      </c>
      <c r="U1413" s="517">
        <v>0</v>
      </c>
      <c r="V1413" s="282"/>
      <c r="W1413" s="282">
        <f t="shared" si="244"/>
        <v>2503.7698113207548</v>
      </c>
      <c r="X1413" s="282"/>
      <c r="Y1413" s="6"/>
      <c r="Z1413" s="6"/>
      <c r="AA1413" s="26"/>
      <c r="AB1413" s="26"/>
    </row>
    <row r="1414" spans="1:28" s="19" customFormat="1" ht="15.6">
      <c r="A1414" s="470">
        <v>326</v>
      </c>
      <c r="B1414" s="844" t="s">
        <v>766</v>
      </c>
      <c r="C1414" s="479">
        <f>'часть 1'!L1446</f>
        <v>2653914</v>
      </c>
      <c r="D1414" s="521">
        <v>0</v>
      </c>
      <c r="E1414" s="521">
        <v>0</v>
      </c>
      <c r="F1414" s="521">
        <v>0</v>
      </c>
      <c r="G1414" s="521">
        <v>0</v>
      </c>
      <c r="H1414" s="521">
        <v>0</v>
      </c>
      <c r="I1414" s="521">
        <v>0</v>
      </c>
      <c r="J1414" s="521">
        <v>0</v>
      </c>
      <c r="K1414" s="518">
        <v>0</v>
      </c>
      <c r="L1414" s="476">
        <v>0</v>
      </c>
      <c r="M1414" s="518">
        <v>0</v>
      </c>
      <c r="N1414" s="479">
        <v>1060</v>
      </c>
      <c r="O1414" s="479">
        <f t="shared" si="243"/>
        <v>2653914</v>
      </c>
      <c r="P1414" s="516">
        <v>0</v>
      </c>
      <c r="Q1414" s="479">
        <v>0</v>
      </c>
      <c r="R1414" s="516">
        <v>0</v>
      </c>
      <c r="S1414" s="479">
        <v>0</v>
      </c>
      <c r="T1414" s="515">
        <v>0</v>
      </c>
      <c r="U1414" s="517">
        <v>0</v>
      </c>
      <c r="V1414" s="282"/>
      <c r="W1414" s="282">
        <f t="shared" si="244"/>
        <v>2503.6924528301888</v>
      </c>
      <c r="X1414" s="282"/>
      <c r="Y1414" s="6"/>
      <c r="Z1414" s="6"/>
      <c r="AA1414" s="26"/>
      <c r="AB1414" s="26"/>
    </row>
    <row r="1415" spans="1:28" s="19" customFormat="1">
      <c r="A1415" s="470"/>
      <c r="B1415" s="480"/>
      <c r="C1415" s="521"/>
      <c r="D1415" s="521"/>
      <c r="E1415" s="521"/>
      <c r="F1415" s="521"/>
      <c r="G1415" s="521"/>
      <c r="H1415" s="521"/>
      <c r="I1415" s="521"/>
      <c r="J1415" s="521"/>
      <c r="K1415" s="518"/>
      <c r="L1415" s="476"/>
      <c r="M1415" s="518"/>
      <c r="N1415" s="479"/>
      <c r="O1415" s="479"/>
      <c r="P1415" s="516"/>
      <c r="Q1415" s="479"/>
      <c r="R1415" s="516"/>
      <c r="S1415" s="479"/>
      <c r="T1415" s="515"/>
      <c r="U1415" s="517"/>
      <c r="V1415" s="282"/>
      <c r="W1415" s="282"/>
      <c r="X1415" s="282"/>
      <c r="Y1415" s="6"/>
      <c r="Z1415" s="6"/>
      <c r="AA1415" s="26"/>
      <c r="AB1415" s="26"/>
    </row>
    <row r="1416" spans="1:28" s="19" customFormat="1">
      <c r="A1416" s="470"/>
      <c r="B1416" s="480"/>
      <c r="C1416" s="521"/>
      <c r="D1416" s="521"/>
      <c r="E1416" s="521"/>
      <c r="F1416" s="521"/>
      <c r="G1416" s="521"/>
      <c r="H1416" s="521"/>
      <c r="I1416" s="521"/>
      <c r="J1416" s="521"/>
      <c r="K1416" s="518"/>
      <c r="L1416" s="476"/>
      <c r="M1416" s="521"/>
      <c r="N1416" s="479"/>
      <c r="O1416" s="479"/>
      <c r="P1416" s="516"/>
      <c r="Q1416" s="479"/>
      <c r="R1416" s="516"/>
      <c r="S1416" s="479"/>
      <c r="T1416" s="515"/>
      <c r="U1416" s="517"/>
      <c r="V1416" s="282"/>
      <c r="W1416" s="282"/>
      <c r="X1416" s="282"/>
      <c r="Y1416" s="6"/>
      <c r="Z1416" s="6"/>
      <c r="AA1416" s="26"/>
      <c r="AB1416" s="26"/>
    </row>
    <row r="1417" spans="1:28" s="19" customFormat="1">
      <c r="A1417" s="470"/>
      <c r="B1417" s="659"/>
      <c r="C1417" s="479"/>
      <c r="D1417" s="479"/>
      <c r="E1417" s="479"/>
      <c r="F1417" s="479"/>
      <c r="G1417" s="479"/>
      <c r="H1417" s="479"/>
      <c r="I1417" s="479"/>
      <c r="J1417" s="479"/>
      <c r="K1417" s="479"/>
      <c r="L1417" s="515"/>
      <c r="M1417" s="479"/>
      <c r="N1417" s="479"/>
      <c r="O1417" s="479"/>
      <c r="P1417" s="516"/>
      <c r="Q1417" s="479"/>
      <c r="R1417" s="479"/>
      <c r="S1417" s="479"/>
      <c r="T1417" s="515"/>
      <c r="U1417" s="517"/>
      <c r="V1417" s="282"/>
      <c r="W1417" s="282"/>
      <c r="X1417" s="282"/>
      <c r="Y1417" s="27"/>
      <c r="Z1417" s="27"/>
      <c r="AA1417" s="27"/>
      <c r="AB1417" s="27"/>
    </row>
    <row r="1418" spans="1:28" ht="27.6">
      <c r="A1418" s="198"/>
      <c r="B1418" s="214" t="s">
        <v>132</v>
      </c>
      <c r="C1418" s="211">
        <f>C1419</f>
        <v>1854126</v>
      </c>
      <c r="D1418" s="211">
        <f t="shared" ref="D1418:U1418" si="245">D1419</f>
        <v>0</v>
      </c>
      <c r="E1418" s="211">
        <f t="shared" si="245"/>
        <v>0</v>
      </c>
      <c r="F1418" s="211">
        <f t="shared" si="245"/>
        <v>0</v>
      </c>
      <c r="G1418" s="211">
        <f t="shared" si="245"/>
        <v>0</v>
      </c>
      <c r="H1418" s="211">
        <f t="shared" si="245"/>
        <v>0</v>
      </c>
      <c r="I1418" s="211">
        <f t="shared" si="245"/>
        <v>0</v>
      </c>
      <c r="J1418" s="211">
        <f t="shared" si="245"/>
        <v>0</v>
      </c>
      <c r="K1418" s="211">
        <f t="shared" si="245"/>
        <v>0</v>
      </c>
      <c r="L1418" s="211">
        <f t="shared" si="245"/>
        <v>0</v>
      </c>
      <c r="M1418" s="211">
        <f t="shared" si="245"/>
        <v>0</v>
      </c>
      <c r="N1418" s="211">
        <f t="shared" si="245"/>
        <v>581</v>
      </c>
      <c r="O1418" s="211">
        <f t="shared" si="245"/>
        <v>1854126</v>
      </c>
      <c r="P1418" s="211">
        <f t="shared" si="245"/>
        <v>0</v>
      </c>
      <c r="Q1418" s="211">
        <f t="shared" si="245"/>
        <v>0</v>
      </c>
      <c r="R1418" s="211">
        <f t="shared" si="245"/>
        <v>0</v>
      </c>
      <c r="S1418" s="211">
        <f t="shared" si="245"/>
        <v>0</v>
      </c>
      <c r="T1418" s="211">
        <f t="shared" si="245"/>
        <v>0</v>
      </c>
      <c r="U1418" s="211">
        <f t="shared" si="245"/>
        <v>0</v>
      </c>
      <c r="V1418" s="282"/>
      <c r="W1418" s="282"/>
      <c r="X1418" s="282"/>
      <c r="Y1418" s="10"/>
      <c r="Z1418" s="10"/>
      <c r="AA1418" s="10"/>
      <c r="AB1418" s="10"/>
    </row>
    <row r="1419" spans="1:28" ht="27.6">
      <c r="A1419" s="470">
        <v>331</v>
      </c>
      <c r="B1419" s="480" t="s">
        <v>702</v>
      </c>
      <c r="C1419" s="479">
        <f>'часть 1'!L1448</f>
        <v>1854126</v>
      </c>
      <c r="D1419" s="479">
        <v>0</v>
      </c>
      <c r="E1419" s="479">
        <v>0</v>
      </c>
      <c r="F1419" s="479">
        <v>0</v>
      </c>
      <c r="G1419" s="479">
        <v>0</v>
      </c>
      <c r="H1419" s="479">
        <v>0</v>
      </c>
      <c r="I1419" s="479">
        <v>0</v>
      </c>
      <c r="J1419" s="479">
        <v>0</v>
      </c>
      <c r="K1419" s="479">
        <v>0</v>
      </c>
      <c r="L1419" s="515">
        <v>0</v>
      </c>
      <c r="M1419" s="479">
        <v>0</v>
      </c>
      <c r="N1419" s="479">
        <v>581</v>
      </c>
      <c r="O1419" s="479">
        <v>1854126</v>
      </c>
      <c r="P1419" s="516">
        <v>0</v>
      </c>
      <c r="Q1419" s="479">
        <v>0</v>
      </c>
      <c r="R1419" s="516">
        <v>0</v>
      </c>
      <c r="S1419" s="479">
        <v>0</v>
      </c>
      <c r="T1419" s="515">
        <v>0</v>
      </c>
      <c r="U1419" s="517">
        <v>0</v>
      </c>
      <c r="V1419" s="282"/>
      <c r="W1419" s="282">
        <f>O1419/N1419</f>
        <v>3191.2667814113597</v>
      </c>
      <c r="X1419" s="282"/>
      <c r="Y1419" s="10"/>
      <c r="Z1419" s="10"/>
      <c r="AA1419" s="10"/>
      <c r="AB1419" s="10"/>
    </row>
    <row r="1420" spans="1:28" ht="27.6">
      <c r="A1420" s="198"/>
      <c r="B1420" s="214" t="s">
        <v>110</v>
      </c>
      <c r="C1420" s="211">
        <f>C1421</f>
        <v>2569441</v>
      </c>
      <c r="D1420" s="211">
        <f t="shared" ref="D1420:U1420" si="246">D1421</f>
        <v>0</v>
      </c>
      <c r="E1420" s="211">
        <f t="shared" si="246"/>
        <v>0</v>
      </c>
      <c r="F1420" s="211">
        <f t="shared" si="246"/>
        <v>0</v>
      </c>
      <c r="G1420" s="211">
        <f t="shared" si="246"/>
        <v>0</v>
      </c>
      <c r="H1420" s="211">
        <f t="shared" si="246"/>
        <v>0</v>
      </c>
      <c r="I1420" s="211">
        <f t="shared" si="246"/>
        <v>0</v>
      </c>
      <c r="J1420" s="211">
        <f t="shared" si="246"/>
        <v>0</v>
      </c>
      <c r="K1420" s="211">
        <f t="shared" si="246"/>
        <v>0</v>
      </c>
      <c r="L1420" s="211">
        <f t="shared" si="246"/>
        <v>0</v>
      </c>
      <c r="M1420" s="211">
        <f t="shared" si="246"/>
        <v>0</v>
      </c>
      <c r="N1420" s="211">
        <f t="shared" si="246"/>
        <v>802.72</v>
      </c>
      <c r="O1420" s="211">
        <f t="shared" si="246"/>
        <v>2569441</v>
      </c>
      <c r="P1420" s="211">
        <f t="shared" si="246"/>
        <v>0</v>
      </c>
      <c r="Q1420" s="211">
        <f t="shared" si="246"/>
        <v>0</v>
      </c>
      <c r="R1420" s="211">
        <f t="shared" si="246"/>
        <v>0</v>
      </c>
      <c r="S1420" s="211">
        <f t="shared" si="246"/>
        <v>0</v>
      </c>
      <c r="T1420" s="211">
        <f t="shared" si="246"/>
        <v>0</v>
      </c>
      <c r="U1420" s="211">
        <f t="shared" si="246"/>
        <v>0</v>
      </c>
      <c r="V1420" s="282"/>
      <c r="W1420" s="282"/>
      <c r="X1420" s="282"/>
      <c r="Y1420" s="10"/>
      <c r="Z1420" s="10"/>
      <c r="AA1420" s="10"/>
      <c r="AB1420" s="10"/>
    </row>
    <row r="1421" spans="1:28">
      <c r="A1421" s="470">
        <v>332</v>
      </c>
      <c r="B1421" s="523" t="s">
        <v>477</v>
      </c>
      <c r="C1421" s="479">
        <v>2569441</v>
      </c>
      <c r="D1421" s="479">
        <v>0</v>
      </c>
      <c r="E1421" s="479">
        <v>0</v>
      </c>
      <c r="F1421" s="479">
        <v>0</v>
      </c>
      <c r="G1421" s="479">
        <v>0</v>
      </c>
      <c r="H1421" s="479">
        <v>0</v>
      </c>
      <c r="I1421" s="479">
        <v>0</v>
      </c>
      <c r="J1421" s="479">
        <v>0</v>
      </c>
      <c r="K1421" s="479">
        <v>0</v>
      </c>
      <c r="L1421" s="515">
        <v>0</v>
      </c>
      <c r="M1421" s="479">
        <v>0</v>
      </c>
      <c r="N1421" s="472">
        <v>802.72</v>
      </c>
      <c r="O1421" s="479">
        <v>2569441</v>
      </c>
      <c r="P1421" s="516">
        <v>0</v>
      </c>
      <c r="Q1421" s="479">
        <v>0</v>
      </c>
      <c r="R1421" s="516">
        <v>0</v>
      </c>
      <c r="S1421" s="479">
        <v>0</v>
      </c>
      <c r="T1421" s="515">
        <v>0</v>
      </c>
      <c r="U1421" s="517">
        <v>0</v>
      </c>
      <c r="V1421" s="282"/>
      <c r="W1421" s="282">
        <f>O1421/N1421</f>
        <v>3200.9181283635639</v>
      </c>
      <c r="X1421" s="282"/>
    </row>
    <row r="1422" spans="1:28">
      <c r="A1422" s="470"/>
      <c r="B1422" s="480"/>
      <c r="C1422" s="479"/>
      <c r="D1422" s="479"/>
      <c r="E1422" s="479"/>
      <c r="F1422" s="479"/>
      <c r="G1422" s="479"/>
      <c r="H1422" s="479"/>
      <c r="I1422" s="479"/>
      <c r="J1422" s="479"/>
      <c r="K1422" s="479"/>
      <c r="L1422" s="515"/>
      <c r="M1422" s="479"/>
      <c r="N1422" s="479"/>
      <c r="O1422" s="479"/>
      <c r="P1422" s="516"/>
      <c r="Q1422" s="479"/>
      <c r="R1422" s="516"/>
      <c r="S1422" s="479"/>
      <c r="T1422" s="515"/>
      <c r="U1422" s="517"/>
      <c r="V1422" s="282"/>
      <c r="W1422" s="282"/>
      <c r="X1422" s="282"/>
    </row>
    <row r="1423" spans="1:28" ht="27.6">
      <c r="A1423" s="470"/>
      <c r="B1423" s="480" t="s">
        <v>128</v>
      </c>
      <c r="C1423" s="479">
        <f>C1424+C1425+C1426</f>
        <v>9681670</v>
      </c>
      <c r="D1423" s="479">
        <f t="shared" ref="D1423:U1423" si="247">D1424+D1425+D1426</f>
        <v>0</v>
      </c>
      <c r="E1423" s="479">
        <f t="shared" si="247"/>
        <v>0</v>
      </c>
      <c r="F1423" s="479">
        <f t="shared" si="247"/>
        <v>0</v>
      </c>
      <c r="G1423" s="479">
        <f t="shared" si="247"/>
        <v>0</v>
      </c>
      <c r="H1423" s="479">
        <f t="shared" si="247"/>
        <v>0</v>
      </c>
      <c r="I1423" s="479">
        <f t="shared" si="247"/>
        <v>0</v>
      </c>
      <c r="J1423" s="479">
        <f t="shared" si="247"/>
        <v>0</v>
      </c>
      <c r="K1423" s="479">
        <f t="shared" si="247"/>
        <v>0</v>
      </c>
      <c r="L1423" s="479">
        <f t="shared" si="247"/>
        <v>0</v>
      </c>
      <c r="M1423" s="479">
        <f t="shared" si="247"/>
        <v>0</v>
      </c>
      <c r="N1423" s="479">
        <f t="shared" si="247"/>
        <v>3875.7</v>
      </c>
      <c r="O1423" s="479">
        <f t="shared" si="247"/>
        <v>9681670</v>
      </c>
      <c r="P1423" s="479">
        <f t="shared" si="247"/>
        <v>0</v>
      </c>
      <c r="Q1423" s="479">
        <f t="shared" si="247"/>
        <v>0</v>
      </c>
      <c r="R1423" s="479">
        <f t="shared" si="247"/>
        <v>0</v>
      </c>
      <c r="S1423" s="479">
        <f t="shared" si="247"/>
        <v>0</v>
      </c>
      <c r="T1423" s="479">
        <f t="shared" si="247"/>
        <v>0</v>
      </c>
      <c r="U1423" s="479">
        <f t="shared" si="247"/>
        <v>0</v>
      </c>
      <c r="V1423" s="282"/>
      <c r="W1423" s="282"/>
      <c r="X1423" s="282"/>
    </row>
    <row r="1424" spans="1:28" s="59" customFormat="1" ht="22.95" customHeight="1">
      <c r="A1424" s="470">
        <v>334</v>
      </c>
      <c r="B1424" s="520" t="s">
        <v>729</v>
      </c>
      <c r="C1424" s="521">
        <f>'часть 1'!L1452</f>
        <v>2026223</v>
      </c>
      <c r="D1424" s="521">
        <v>0</v>
      </c>
      <c r="E1424" s="521">
        <v>0</v>
      </c>
      <c r="F1424" s="521">
        <v>0</v>
      </c>
      <c r="G1424" s="521">
        <v>0</v>
      </c>
      <c r="H1424" s="521">
        <v>0</v>
      </c>
      <c r="I1424" s="521">
        <v>0</v>
      </c>
      <c r="J1424" s="521">
        <v>0</v>
      </c>
      <c r="K1424" s="521">
        <v>0</v>
      </c>
      <c r="L1424" s="522">
        <v>0</v>
      </c>
      <c r="M1424" s="521">
        <v>0</v>
      </c>
      <c r="N1424" s="472">
        <v>807.7</v>
      </c>
      <c r="O1424" s="521">
        <v>2026223</v>
      </c>
      <c r="P1424" s="522">
        <v>0</v>
      </c>
      <c r="Q1424" s="521">
        <v>0</v>
      </c>
      <c r="R1424" s="522">
        <v>0</v>
      </c>
      <c r="S1424" s="521">
        <v>0</v>
      </c>
      <c r="T1424" s="642">
        <v>0</v>
      </c>
      <c r="U1424" s="643">
        <v>0</v>
      </c>
      <c r="V1424" s="282"/>
      <c r="W1424" s="282">
        <f>O1424/N1424</f>
        <v>2508.6331558747056</v>
      </c>
      <c r="X1424" s="282"/>
    </row>
    <row r="1425" spans="1:24" s="59" customFormat="1" ht="31.2" customHeight="1">
      <c r="A1425" s="470">
        <v>335</v>
      </c>
      <c r="B1425" s="520" t="s">
        <v>730</v>
      </c>
      <c r="C1425" s="521">
        <f>'часть 1'!L1453</f>
        <v>4351244</v>
      </c>
      <c r="D1425" s="521">
        <v>0</v>
      </c>
      <c r="E1425" s="521">
        <v>0</v>
      </c>
      <c r="F1425" s="521">
        <v>0</v>
      </c>
      <c r="G1425" s="521">
        <v>0</v>
      </c>
      <c r="H1425" s="521">
        <v>0</v>
      </c>
      <c r="I1425" s="521">
        <v>0</v>
      </c>
      <c r="J1425" s="521">
        <v>0</v>
      </c>
      <c r="K1425" s="521">
        <v>0</v>
      </c>
      <c r="L1425" s="522">
        <v>0</v>
      </c>
      <c r="M1425" s="521">
        <v>0</v>
      </c>
      <c r="N1425" s="472">
        <v>1745</v>
      </c>
      <c r="O1425" s="521">
        <v>4351244</v>
      </c>
      <c r="P1425" s="522">
        <v>0</v>
      </c>
      <c r="Q1425" s="521">
        <v>0</v>
      </c>
      <c r="R1425" s="522">
        <v>0</v>
      </c>
      <c r="S1425" s="521">
        <v>0</v>
      </c>
      <c r="T1425" s="642">
        <v>0</v>
      </c>
      <c r="U1425" s="643">
        <v>0</v>
      </c>
      <c r="V1425" s="282"/>
      <c r="W1425" s="282">
        <f t="shared" ref="W1425:W1426" si="248">O1425/N1425</f>
        <v>2493.5495702005733</v>
      </c>
      <c r="X1425" s="282"/>
    </row>
    <row r="1426" spans="1:24" s="59" customFormat="1" ht="21.6" customHeight="1">
      <c r="A1426" s="470">
        <v>336</v>
      </c>
      <c r="B1426" s="520" t="s">
        <v>731</v>
      </c>
      <c r="C1426" s="521">
        <f>'часть 1'!L1454</f>
        <v>3304203</v>
      </c>
      <c r="D1426" s="521">
        <v>0</v>
      </c>
      <c r="E1426" s="521">
        <v>0</v>
      </c>
      <c r="F1426" s="521">
        <v>0</v>
      </c>
      <c r="G1426" s="521">
        <v>0</v>
      </c>
      <c r="H1426" s="521">
        <v>0</v>
      </c>
      <c r="I1426" s="521">
        <v>0</v>
      </c>
      <c r="J1426" s="521">
        <v>0</v>
      </c>
      <c r="K1426" s="521">
        <v>0</v>
      </c>
      <c r="L1426" s="522">
        <v>0</v>
      </c>
      <c r="M1426" s="521">
        <v>0</v>
      </c>
      <c r="N1426" s="472">
        <v>1323</v>
      </c>
      <c r="O1426" s="521">
        <v>3304203</v>
      </c>
      <c r="P1426" s="522">
        <v>0</v>
      </c>
      <c r="Q1426" s="521">
        <v>0</v>
      </c>
      <c r="R1426" s="522">
        <v>0</v>
      </c>
      <c r="S1426" s="521">
        <v>0</v>
      </c>
      <c r="T1426" s="642">
        <v>0</v>
      </c>
      <c r="U1426" s="643">
        <v>0</v>
      </c>
      <c r="V1426" s="282"/>
      <c r="W1426" s="282">
        <f t="shared" si="248"/>
        <v>2497.5079365079364</v>
      </c>
      <c r="X1426" s="282"/>
    </row>
    <row r="1427" spans="1:24" s="59" customFormat="1">
      <c r="A1427" s="470"/>
      <c r="B1427" s="520"/>
      <c r="C1427" s="521"/>
      <c r="D1427" s="521"/>
      <c r="E1427" s="521"/>
      <c r="F1427" s="521"/>
      <c r="G1427" s="521"/>
      <c r="H1427" s="521"/>
      <c r="I1427" s="521"/>
      <c r="J1427" s="521"/>
      <c r="K1427" s="521"/>
      <c r="L1427" s="522"/>
      <c r="M1427" s="521"/>
      <c r="N1427" s="472"/>
      <c r="O1427" s="521"/>
      <c r="P1427" s="522"/>
      <c r="Q1427" s="521"/>
      <c r="R1427" s="522"/>
      <c r="S1427" s="521"/>
      <c r="T1427" s="642"/>
      <c r="U1427" s="643"/>
      <c r="V1427" s="282"/>
      <c r="W1427" s="282"/>
      <c r="X1427" s="282"/>
    </row>
    <row r="1428" spans="1:24" s="59" customFormat="1">
      <c r="A1428" s="470"/>
      <c r="B1428" s="520"/>
      <c r="C1428" s="521"/>
      <c r="D1428" s="521"/>
      <c r="E1428" s="521"/>
      <c r="F1428" s="521"/>
      <c r="G1428" s="521"/>
      <c r="H1428" s="521"/>
      <c r="I1428" s="521"/>
      <c r="J1428" s="521"/>
      <c r="K1428" s="521"/>
      <c r="L1428" s="522"/>
      <c r="M1428" s="521"/>
      <c r="N1428" s="472"/>
      <c r="O1428" s="521"/>
      <c r="P1428" s="522"/>
      <c r="Q1428" s="521"/>
      <c r="R1428" s="522"/>
      <c r="S1428" s="521"/>
      <c r="T1428" s="642"/>
      <c r="U1428" s="643"/>
      <c r="V1428" s="282"/>
      <c r="W1428" s="282"/>
      <c r="X1428" s="282"/>
    </row>
    <row r="1429" spans="1:24" s="59" customFormat="1">
      <c r="A1429" s="470"/>
      <c r="B1429" s="520"/>
      <c r="C1429" s="521"/>
      <c r="D1429" s="521"/>
      <c r="E1429" s="521"/>
      <c r="F1429" s="521"/>
      <c r="G1429" s="521"/>
      <c r="H1429" s="521"/>
      <c r="I1429" s="521"/>
      <c r="J1429" s="521"/>
      <c r="K1429" s="521"/>
      <c r="L1429" s="522"/>
      <c r="M1429" s="521"/>
      <c r="N1429" s="472"/>
      <c r="O1429" s="521"/>
      <c r="P1429" s="522"/>
      <c r="Q1429" s="521"/>
      <c r="R1429" s="522"/>
      <c r="S1429" s="521"/>
      <c r="T1429" s="642"/>
      <c r="U1429" s="643"/>
      <c r="V1429" s="282"/>
      <c r="W1429" s="282"/>
      <c r="X1429" s="282"/>
    </row>
    <row r="1430" spans="1:24" ht="27.6">
      <c r="A1430" s="198"/>
      <c r="B1430" s="214" t="s">
        <v>994</v>
      </c>
      <c r="C1430" s="211">
        <f>'часть 1'!L1458</f>
        <v>0</v>
      </c>
      <c r="D1430" s="211">
        <v>0</v>
      </c>
      <c r="E1430" s="211">
        <v>0</v>
      </c>
      <c r="F1430" s="211">
        <v>0</v>
      </c>
      <c r="G1430" s="211">
        <v>0</v>
      </c>
      <c r="H1430" s="211">
        <v>0</v>
      </c>
      <c r="I1430" s="211">
        <v>0</v>
      </c>
      <c r="J1430" s="211">
        <v>0</v>
      </c>
      <c r="K1430" s="211">
        <v>0</v>
      </c>
      <c r="L1430" s="212">
        <v>0</v>
      </c>
      <c r="M1430" s="211">
        <v>0</v>
      </c>
      <c r="N1430" s="211">
        <v>0</v>
      </c>
      <c r="O1430" s="211">
        <v>0</v>
      </c>
      <c r="P1430" s="213">
        <v>0</v>
      </c>
      <c r="Q1430" s="211">
        <v>0</v>
      </c>
      <c r="R1430" s="211">
        <v>0</v>
      </c>
      <c r="S1430" s="211">
        <v>0</v>
      </c>
      <c r="T1430" s="212">
        <v>0</v>
      </c>
      <c r="U1430" s="290">
        <v>0</v>
      </c>
      <c r="V1430" s="282"/>
      <c r="W1430" s="282"/>
      <c r="X1430" s="282"/>
    </row>
    <row r="1431" spans="1:24" ht="27.6">
      <c r="A1431" s="198"/>
      <c r="B1431" s="214" t="s">
        <v>111</v>
      </c>
      <c r="C1431" s="211">
        <v>657835.92000000004</v>
      </c>
      <c r="D1431" s="211"/>
      <c r="E1431" s="211"/>
      <c r="F1431" s="211"/>
      <c r="G1431" s="211"/>
      <c r="H1431" s="211"/>
      <c r="I1431" s="211"/>
      <c r="J1431" s="211"/>
      <c r="K1431" s="211">
        <v>0</v>
      </c>
      <c r="L1431" s="213">
        <v>0</v>
      </c>
      <c r="M1431" s="211">
        <v>0</v>
      </c>
      <c r="N1431" s="211">
        <f>N1432</f>
        <v>396</v>
      </c>
      <c r="O1431" s="211">
        <v>657835.92000000004</v>
      </c>
      <c r="P1431" s="213">
        <v>0</v>
      </c>
      <c r="Q1431" s="240">
        <v>0</v>
      </c>
      <c r="R1431" s="213">
        <v>0</v>
      </c>
      <c r="S1431" s="240">
        <v>0</v>
      </c>
      <c r="T1431" s="212">
        <v>0</v>
      </c>
      <c r="U1431" s="293">
        <v>0</v>
      </c>
      <c r="V1431" s="282"/>
      <c r="W1431" s="282"/>
      <c r="X1431" s="282"/>
    </row>
    <row r="1432" spans="1:24">
      <c r="A1432" s="198">
        <v>341</v>
      </c>
      <c r="B1432" s="214" t="s">
        <v>453</v>
      </c>
      <c r="C1432" s="211">
        <v>657835.92000000004</v>
      </c>
      <c r="D1432" s="211"/>
      <c r="E1432" s="211"/>
      <c r="F1432" s="211"/>
      <c r="G1432" s="211"/>
      <c r="H1432" s="211"/>
      <c r="I1432" s="211"/>
      <c r="J1432" s="211"/>
      <c r="K1432" s="211">
        <v>0</v>
      </c>
      <c r="L1432" s="212">
        <v>0</v>
      </c>
      <c r="M1432" s="211">
        <v>0</v>
      </c>
      <c r="N1432" s="199">
        <v>396</v>
      </c>
      <c r="O1432" s="211">
        <v>657835.92000000004</v>
      </c>
      <c r="P1432" s="213">
        <v>0</v>
      </c>
      <c r="Q1432" s="211">
        <v>0</v>
      </c>
      <c r="R1432" s="213">
        <v>0</v>
      </c>
      <c r="S1432" s="211">
        <v>0</v>
      </c>
      <c r="T1432" s="212">
        <v>0</v>
      </c>
      <c r="U1432" s="290">
        <v>0</v>
      </c>
      <c r="V1432" s="282"/>
      <c r="W1432" s="282"/>
      <c r="X1432" s="282"/>
    </row>
    <row r="1433" spans="1:24" ht="27.6">
      <c r="A1433" s="470"/>
      <c r="B1433" s="480" t="s">
        <v>129</v>
      </c>
      <c r="C1433" s="479">
        <f>C1434</f>
        <v>1586955</v>
      </c>
      <c r="D1433" s="479">
        <f t="shared" ref="D1433:U1433" si="249">D1434</f>
        <v>0</v>
      </c>
      <c r="E1433" s="479">
        <f t="shared" si="249"/>
        <v>0</v>
      </c>
      <c r="F1433" s="479">
        <f t="shared" si="249"/>
        <v>0</v>
      </c>
      <c r="G1433" s="479">
        <f t="shared" si="249"/>
        <v>0</v>
      </c>
      <c r="H1433" s="479">
        <f t="shared" si="249"/>
        <v>0</v>
      </c>
      <c r="I1433" s="479">
        <f t="shared" si="249"/>
        <v>0</v>
      </c>
      <c r="J1433" s="479">
        <f t="shared" si="249"/>
        <v>0</v>
      </c>
      <c r="K1433" s="479">
        <f t="shared" si="249"/>
        <v>0</v>
      </c>
      <c r="L1433" s="479">
        <f t="shared" si="249"/>
        <v>0</v>
      </c>
      <c r="M1433" s="479">
        <f t="shared" si="249"/>
        <v>0</v>
      </c>
      <c r="N1433" s="479">
        <f t="shared" si="249"/>
        <v>491.7</v>
      </c>
      <c r="O1433" s="479">
        <f t="shared" si="249"/>
        <v>1586955</v>
      </c>
      <c r="P1433" s="479">
        <f t="shared" si="249"/>
        <v>0</v>
      </c>
      <c r="Q1433" s="479">
        <f t="shared" si="249"/>
        <v>0</v>
      </c>
      <c r="R1433" s="479">
        <f t="shared" si="249"/>
        <v>0</v>
      </c>
      <c r="S1433" s="479">
        <f t="shared" si="249"/>
        <v>0</v>
      </c>
      <c r="T1433" s="479">
        <f t="shared" si="249"/>
        <v>0</v>
      </c>
      <c r="U1433" s="479">
        <f t="shared" si="249"/>
        <v>0</v>
      </c>
      <c r="V1433" s="282"/>
      <c r="W1433" s="282"/>
      <c r="X1433" s="282"/>
    </row>
    <row r="1434" spans="1:24" s="60" customFormat="1" ht="27.6">
      <c r="A1434" s="470">
        <v>342</v>
      </c>
      <c r="B1434" s="511" t="s">
        <v>684</v>
      </c>
      <c r="C1434" s="512">
        <v>1586955</v>
      </c>
      <c r="D1434" s="512">
        <v>0</v>
      </c>
      <c r="E1434" s="512">
        <v>0</v>
      </c>
      <c r="F1434" s="512">
        <v>0</v>
      </c>
      <c r="G1434" s="512">
        <v>0</v>
      </c>
      <c r="H1434" s="512">
        <v>0</v>
      </c>
      <c r="I1434" s="512">
        <v>0</v>
      </c>
      <c r="J1434" s="512">
        <v>0</v>
      </c>
      <c r="K1434" s="479">
        <v>0</v>
      </c>
      <c r="L1434" s="476">
        <v>0</v>
      </c>
      <c r="M1434" s="479">
        <v>0</v>
      </c>
      <c r="N1434" s="472">
        <v>491.7</v>
      </c>
      <c r="O1434" s="512">
        <v>1586955</v>
      </c>
      <c r="P1434" s="571">
        <v>0</v>
      </c>
      <c r="Q1434" s="479">
        <v>0</v>
      </c>
      <c r="R1434" s="571">
        <v>0</v>
      </c>
      <c r="S1434" s="479">
        <v>0</v>
      </c>
      <c r="T1434" s="476">
        <v>0</v>
      </c>
      <c r="U1434" s="517">
        <v>0</v>
      </c>
      <c r="V1434" s="282"/>
      <c r="W1434" s="282">
        <f>O1434/N1434</f>
        <v>3227.4862721171448</v>
      </c>
      <c r="X1434" s="282"/>
    </row>
    <row r="1435" spans="1:24" s="60" customFormat="1">
      <c r="A1435" s="470"/>
      <c r="B1435" s="511"/>
      <c r="C1435" s="512"/>
      <c r="D1435" s="512"/>
      <c r="E1435" s="512"/>
      <c r="F1435" s="512"/>
      <c r="G1435" s="512"/>
      <c r="H1435" s="512"/>
      <c r="I1435" s="512"/>
      <c r="J1435" s="512"/>
      <c r="K1435" s="479"/>
      <c r="L1435" s="476"/>
      <c r="M1435" s="479"/>
      <c r="N1435" s="472"/>
      <c r="O1435" s="512"/>
      <c r="P1435" s="571"/>
      <c r="Q1435" s="479"/>
      <c r="R1435" s="571"/>
      <c r="S1435" s="479"/>
      <c r="T1435" s="476"/>
      <c r="U1435" s="517"/>
      <c r="V1435" s="282"/>
      <c r="W1435" s="282"/>
      <c r="X1435" s="282"/>
    </row>
    <row r="1436" spans="1:24" s="60" customFormat="1">
      <c r="A1436" s="470"/>
      <c r="B1436" s="511"/>
      <c r="C1436" s="512"/>
      <c r="D1436" s="512"/>
      <c r="E1436" s="512"/>
      <c r="F1436" s="512"/>
      <c r="G1436" s="512"/>
      <c r="H1436" s="512"/>
      <c r="I1436" s="512"/>
      <c r="J1436" s="512"/>
      <c r="K1436" s="479"/>
      <c r="L1436" s="476"/>
      <c r="M1436" s="479"/>
      <c r="N1436" s="472"/>
      <c r="O1436" s="512"/>
      <c r="P1436" s="571"/>
      <c r="Q1436" s="479"/>
      <c r="R1436" s="571"/>
      <c r="S1436" s="479"/>
      <c r="T1436" s="476"/>
      <c r="U1436" s="517"/>
      <c r="V1436" s="282"/>
      <c r="W1436" s="282"/>
      <c r="X1436" s="282"/>
    </row>
    <row r="1437" spans="1:24" s="60" customFormat="1">
      <c r="A1437" s="470"/>
      <c r="B1437" s="511"/>
      <c r="C1437" s="512"/>
      <c r="D1437" s="512"/>
      <c r="E1437" s="512"/>
      <c r="F1437" s="512"/>
      <c r="G1437" s="512"/>
      <c r="H1437" s="512"/>
      <c r="I1437" s="512"/>
      <c r="J1437" s="512"/>
      <c r="K1437" s="479"/>
      <c r="L1437" s="476"/>
      <c r="M1437" s="479"/>
      <c r="N1437" s="472"/>
      <c r="O1437" s="512"/>
      <c r="P1437" s="571"/>
      <c r="Q1437" s="479"/>
      <c r="R1437" s="479"/>
      <c r="S1437" s="479"/>
      <c r="T1437" s="476"/>
      <c r="U1437" s="517"/>
      <c r="V1437" s="282"/>
      <c r="W1437" s="282"/>
      <c r="X1437" s="282"/>
    </row>
    <row r="1438" spans="1:24">
      <c r="A1438" s="198"/>
      <c r="B1438" s="216" t="s">
        <v>54</v>
      </c>
      <c r="C1438" s="211">
        <v>2222747</v>
      </c>
      <c r="D1438" s="211"/>
      <c r="E1438" s="211"/>
      <c r="F1438" s="211"/>
      <c r="G1438" s="211"/>
      <c r="H1438" s="211"/>
      <c r="I1438" s="211"/>
      <c r="J1438" s="211"/>
      <c r="K1438" s="211">
        <v>0</v>
      </c>
      <c r="L1438" s="212">
        <v>0</v>
      </c>
      <c r="M1438" s="211">
        <v>0</v>
      </c>
      <c r="N1438" s="211">
        <v>1115</v>
      </c>
      <c r="O1438" s="211">
        <v>2222747</v>
      </c>
      <c r="P1438" s="213">
        <v>0</v>
      </c>
      <c r="Q1438" s="211">
        <v>0</v>
      </c>
      <c r="R1438" s="213">
        <v>0</v>
      </c>
      <c r="S1438" s="211">
        <v>0</v>
      </c>
      <c r="T1438" s="212">
        <v>0</v>
      </c>
      <c r="U1438" s="290">
        <v>0</v>
      </c>
      <c r="V1438" s="282"/>
      <c r="W1438" s="282"/>
      <c r="X1438" s="282"/>
    </row>
    <row r="1439" spans="1:24" ht="27.6">
      <c r="A1439" s="198"/>
      <c r="B1439" s="214" t="s">
        <v>112</v>
      </c>
      <c r="C1439" s="211">
        <v>2222747</v>
      </c>
      <c r="D1439" s="211"/>
      <c r="E1439" s="211"/>
      <c r="F1439" s="211"/>
      <c r="G1439" s="211"/>
      <c r="H1439" s="211"/>
      <c r="I1439" s="211"/>
      <c r="J1439" s="211"/>
      <c r="K1439" s="211">
        <v>0</v>
      </c>
      <c r="L1439" s="212">
        <v>0</v>
      </c>
      <c r="M1439" s="211">
        <v>0</v>
      </c>
      <c r="N1439" s="211">
        <v>1115</v>
      </c>
      <c r="O1439" s="211">
        <v>2222747</v>
      </c>
      <c r="P1439" s="213">
        <v>0</v>
      </c>
      <c r="Q1439" s="211">
        <v>0</v>
      </c>
      <c r="R1439" s="213">
        <v>0</v>
      </c>
      <c r="S1439" s="211">
        <v>0</v>
      </c>
      <c r="T1439" s="212">
        <v>0</v>
      </c>
      <c r="U1439" s="290">
        <v>0</v>
      </c>
      <c r="V1439" s="282"/>
      <c r="W1439" s="282"/>
      <c r="X1439" s="282"/>
    </row>
    <row r="1440" spans="1:24">
      <c r="A1440" s="198">
        <v>346</v>
      </c>
      <c r="B1440" s="216" t="s">
        <v>422</v>
      </c>
      <c r="C1440" s="211">
        <v>1003542</v>
      </c>
      <c r="D1440" s="211"/>
      <c r="E1440" s="211"/>
      <c r="F1440" s="211"/>
      <c r="G1440" s="211"/>
      <c r="H1440" s="211"/>
      <c r="I1440" s="211"/>
      <c r="J1440" s="211"/>
      <c r="K1440" s="211">
        <v>0</v>
      </c>
      <c r="L1440" s="212">
        <v>0</v>
      </c>
      <c r="M1440" s="211">
        <v>0</v>
      </c>
      <c r="N1440" s="199">
        <v>510</v>
      </c>
      <c r="O1440" s="211">
        <v>1003542</v>
      </c>
      <c r="P1440" s="213">
        <v>0</v>
      </c>
      <c r="Q1440" s="211">
        <v>0</v>
      </c>
      <c r="R1440" s="213">
        <v>0</v>
      </c>
      <c r="S1440" s="211">
        <v>0</v>
      </c>
      <c r="T1440" s="212">
        <v>0</v>
      </c>
      <c r="U1440" s="290">
        <v>0</v>
      </c>
      <c r="V1440" s="282"/>
      <c r="W1440" s="282"/>
      <c r="X1440" s="282"/>
    </row>
    <row r="1441" spans="1:53">
      <c r="A1441" s="198">
        <v>347</v>
      </c>
      <c r="B1441" s="216" t="s">
        <v>421</v>
      </c>
      <c r="C1441" s="211">
        <v>740146</v>
      </c>
      <c r="D1441" s="211"/>
      <c r="E1441" s="211"/>
      <c r="F1441" s="211"/>
      <c r="G1441" s="211"/>
      <c r="H1441" s="211"/>
      <c r="I1441" s="211"/>
      <c r="J1441" s="211"/>
      <c r="K1441" s="211">
        <v>0</v>
      </c>
      <c r="L1441" s="212">
        <v>0</v>
      </c>
      <c r="M1441" s="211">
        <v>0</v>
      </c>
      <c r="N1441" s="199">
        <v>373</v>
      </c>
      <c r="O1441" s="211">
        <v>740146</v>
      </c>
      <c r="P1441" s="213">
        <v>0</v>
      </c>
      <c r="Q1441" s="211">
        <v>0</v>
      </c>
      <c r="R1441" s="213">
        <v>0</v>
      </c>
      <c r="S1441" s="211">
        <v>0</v>
      </c>
      <c r="T1441" s="212">
        <v>0</v>
      </c>
      <c r="U1441" s="290">
        <v>0</v>
      </c>
      <c r="V1441" s="282"/>
      <c r="W1441" s="282"/>
      <c r="X1441" s="282"/>
    </row>
    <row r="1442" spans="1:53">
      <c r="A1442" s="198">
        <v>348</v>
      </c>
      <c r="B1442" s="216" t="s">
        <v>423</v>
      </c>
      <c r="C1442" s="211">
        <v>479059</v>
      </c>
      <c r="D1442" s="211"/>
      <c r="E1442" s="211"/>
      <c r="F1442" s="211"/>
      <c r="G1442" s="211"/>
      <c r="H1442" s="211"/>
      <c r="I1442" s="211"/>
      <c r="J1442" s="211"/>
      <c r="K1442" s="211">
        <v>0</v>
      </c>
      <c r="L1442" s="212">
        <v>0</v>
      </c>
      <c r="M1442" s="211">
        <v>0</v>
      </c>
      <c r="N1442" s="211">
        <v>232</v>
      </c>
      <c r="O1442" s="211">
        <v>479059</v>
      </c>
      <c r="P1442" s="213">
        <v>0</v>
      </c>
      <c r="Q1442" s="211">
        <v>0</v>
      </c>
      <c r="R1442" s="213">
        <v>0</v>
      </c>
      <c r="S1442" s="211">
        <v>0</v>
      </c>
      <c r="T1442" s="212">
        <v>0</v>
      </c>
      <c r="U1442" s="290">
        <v>0</v>
      </c>
      <c r="V1442" s="282"/>
      <c r="W1442" s="282"/>
      <c r="X1442" s="282"/>
    </row>
    <row r="1443" spans="1:53">
      <c r="A1443" s="198"/>
      <c r="B1443" s="216" t="s">
        <v>55</v>
      </c>
      <c r="C1443" s="211">
        <f>C1444</f>
        <v>2451868</v>
      </c>
      <c r="D1443" s="211">
        <f t="shared" ref="D1443:U1444" si="250">D1444</f>
        <v>0</v>
      </c>
      <c r="E1443" s="211">
        <f t="shared" si="250"/>
        <v>0</v>
      </c>
      <c r="F1443" s="211">
        <f t="shared" si="250"/>
        <v>0</v>
      </c>
      <c r="G1443" s="211">
        <f t="shared" si="250"/>
        <v>0</v>
      </c>
      <c r="H1443" s="211">
        <f t="shared" si="250"/>
        <v>0</v>
      </c>
      <c r="I1443" s="211">
        <f t="shared" si="250"/>
        <v>0</v>
      </c>
      <c r="J1443" s="211">
        <f t="shared" si="250"/>
        <v>0</v>
      </c>
      <c r="K1443" s="211">
        <f t="shared" si="250"/>
        <v>0</v>
      </c>
      <c r="L1443" s="211">
        <f t="shared" si="250"/>
        <v>0</v>
      </c>
      <c r="M1443" s="211">
        <f t="shared" si="250"/>
        <v>0</v>
      </c>
      <c r="N1443" s="211">
        <f t="shared" si="250"/>
        <v>771</v>
      </c>
      <c r="O1443" s="211">
        <f t="shared" si="250"/>
        <v>2451868</v>
      </c>
      <c r="P1443" s="211">
        <f t="shared" si="250"/>
        <v>0</v>
      </c>
      <c r="Q1443" s="211">
        <f t="shared" si="250"/>
        <v>0</v>
      </c>
      <c r="R1443" s="211">
        <f t="shared" si="250"/>
        <v>0</v>
      </c>
      <c r="S1443" s="211">
        <f t="shared" si="250"/>
        <v>0</v>
      </c>
      <c r="T1443" s="211">
        <f t="shared" si="250"/>
        <v>0</v>
      </c>
      <c r="U1443" s="211">
        <f t="shared" si="250"/>
        <v>0</v>
      </c>
      <c r="V1443" s="282"/>
      <c r="W1443" s="282"/>
      <c r="X1443" s="282"/>
    </row>
    <row r="1444" spans="1:53" ht="27.6">
      <c r="A1444" s="198"/>
      <c r="B1444" s="214" t="s">
        <v>122</v>
      </c>
      <c r="C1444" s="211">
        <f>C1445</f>
        <v>2451868</v>
      </c>
      <c r="D1444" s="211">
        <f t="shared" si="250"/>
        <v>0</v>
      </c>
      <c r="E1444" s="211">
        <f t="shared" si="250"/>
        <v>0</v>
      </c>
      <c r="F1444" s="211">
        <f t="shared" si="250"/>
        <v>0</v>
      </c>
      <c r="G1444" s="211">
        <f t="shared" si="250"/>
        <v>0</v>
      </c>
      <c r="H1444" s="211">
        <f t="shared" si="250"/>
        <v>0</v>
      </c>
      <c r="I1444" s="211">
        <f t="shared" si="250"/>
        <v>0</v>
      </c>
      <c r="J1444" s="211">
        <f t="shared" si="250"/>
        <v>0</v>
      </c>
      <c r="K1444" s="211">
        <f t="shared" si="250"/>
        <v>0</v>
      </c>
      <c r="L1444" s="211">
        <f t="shared" si="250"/>
        <v>0</v>
      </c>
      <c r="M1444" s="211">
        <f t="shared" si="250"/>
        <v>0</v>
      </c>
      <c r="N1444" s="211">
        <f t="shared" si="250"/>
        <v>771</v>
      </c>
      <c r="O1444" s="211">
        <f t="shared" si="250"/>
        <v>2451868</v>
      </c>
      <c r="P1444" s="211">
        <f t="shared" si="250"/>
        <v>0</v>
      </c>
      <c r="Q1444" s="211">
        <f t="shared" si="250"/>
        <v>0</v>
      </c>
      <c r="R1444" s="211">
        <f t="shared" si="250"/>
        <v>0</v>
      </c>
      <c r="S1444" s="211">
        <f t="shared" si="250"/>
        <v>0</v>
      </c>
      <c r="T1444" s="211">
        <f t="shared" si="250"/>
        <v>0</v>
      </c>
      <c r="U1444" s="211">
        <f t="shared" si="250"/>
        <v>0</v>
      </c>
      <c r="V1444" s="211">
        <f t="shared" ref="V1444" si="251">V1445</f>
        <v>0</v>
      </c>
      <c r="W1444" s="282"/>
      <c r="X1444" s="282"/>
    </row>
    <row r="1445" spans="1:53" s="28" customFormat="1">
      <c r="A1445" s="470">
        <v>349</v>
      </c>
      <c r="B1445" s="480" t="s">
        <v>390</v>
      </c>
      <c r="C1445" s="558">
        <v>2451868</v>
      </c>
      <c r="D1445" s="558">
        <v>0</v>
      </c>
      <c r="E1445" s="558">
        <v>0</v>
      </c>
      <c r="F1445" s="558">
        <v>0</v>
      </c>
      <c r="G1445" s="558">
        <v>0</v>
      </c>
      <c r="H1445" s="558">
        <v>0</v>
      </c>
      <c r="I1445" s="558">
        <v>0</v>
      </c>
      <c r="J1445" s="558">
        <v>0</v>
      </c>
      <c r="K1445" s="512">
        <v>0</v>
      </c>
      <c r="L1445" s="515">
        <v>0</v>
      </c>
      <c r="M1445" s="479">
        <v>0</v>
      </c>
      <c r="N1445" s="472">
        <v>771</v>
      </c>
      <c r="O1445" s="512">
        <v>2451868</v>
      </c>
      <c r="P1445" s="516">
        <v>0</v>
      </c>
      <c r="Q1445" s="479">
        <v>0</v>
      </c>
      <c r="R1445" s="479">
        <v>0</v>
      </c>
      <c r="S1445" s="479">
        <v>0</v>
      </c>
      <c r="T1445" s="515">
        <v>0</v>
      </c>
      <c r="U1445" s="517">
        <v>0</v>
      </c>
      <c r="V1445" s="282"/>
      <c r="W1445" s="282">
        <f>O1445/N1445</f>
        <v>3180.1141374837871</v>
      </c>
      <c r="X1445" s="282"/>
    </row>
    <row r="1446" spans="1:53">
      <c r="A1446" s="470"/>
      <c r="B1446" s="480"/>
      <c r="C1446" s="512"/>
      <c r="D1446" s="512"/>
      <c r="E1446" s="512"/>
      <c r="F1446" s="512"/>
      <c r="G1446" s="512"/>
      <c r="H1446" s="512"/>
      <c r="I1446" s="512"/>
      <c r="J1446" s="512"/>
      <c r="K1446" s="512"/>
      <c r="L1446" s="515"/>
      <c r="M1446" s="479"/>
      <c r="N1446" s="479"/>
      <c r="O1446" s="479"/>
      <c r="P1446" s="516"/>
      <c r="Q1446" s="479"/>
      <c r="R1446" s="516"/>
      <c r="S1446" s="479"/>
      <c r="T1446" s="515"/>
      <c r="U1446" s="517"/>
      <c r="V1446" s="282"/>
      <c r="W1446" s="282"/>
      <c r="X1446" s="282"/>
    </row>
    <row r="1447" spans="1:53">
      <c r="A1447" s="470"/>
      <c r="B1447" s="480"/>
      <c r="C1447" s="512"/>
      <c r="D1447" s="512"/>
      <c r="E1447" s="512"/>
      <c r="F1447" s="512"/>
      <c r="G1447" s="512"/>
      <c r="H1447" s="512"/>
      <c r="I1447" s="512"/>
      <c r="J1447" s="512"/>
      <c r="K1447" s="512"/>
      <c r="L1447" s="515"/>
      <c r="M1447" s="479"/>
      <c r="N1447" s="472"/>
      <c r="O1447" s="512"/>
      <c r="P1447" s="516"/>
      <c r="Q1447" s="479"/>
      <c r="R1447" s="479"/>
      <c r="S1447" s="479"/>
      <c r="T1447" s="515"/>
      <c r="U1447" s="517"/>
      <c r="V1447" s="282"/>
      <c r="W1447" s="282"/>
      <c r="X1447" s="282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  <c r="AM1447" s="28"/>
      <c r="AN1447" s="28"/>
      <c r="AO1447" s="28"/>
      <c r="AP1447" s="28"/>
      <c r="AQ1447" s="28"/>
      <c r="AR1447" s="28"/>
      <c r="AS1447" s="28"/>
      <c r="AT1447" s="28"/>
      <c r="AU1447" s="28"/>
      <c r="AV1447" s="28"/>
      <c r="AW1447" s="28"/>
      <c r="AX1447" s="28"/>
      <c r="AY1447" s="28"/>
      <c r="AZ1447" s="28"/>
      <c r="BA1447" s="28"/>
    </row>
    <row r="1448" spans="1:53">
      <c r="A1448" s="198"/>
      <c r="B1448" s="216" t="s">
        <v>56</v>
      </c>
      <c r="C1448" s="211">
        <v>13352826.959999999</v>
      </c>
      <c r="D1448" s="211"/>
      <c r="E1448" s="211"/>
      <c r="F1448" s="211"/>
      <c r="G1448" s="211"/>
      <c r="H1448" s="211"/>
      <c r="I1448" s="211"/>
      <c r="J1448" s="211"/>
      <c r="K1448" s="211">
        <v>8292103.96</v>
      </c>
      <c r="L1448" s="212">
        <v>0</v>
      </c>
      <c r="M1448" s="211">
        <v>0</v>
      </c>
      <c r="N1448" s="211">
        <v>2564.5</v>
      </c>
      <c r="O1448" s="211">
        <v>5060723</v>
      </c>
      <c r="P1448" s="213">
        <v>0</v>
      </c>
      <c r="Q1448" s="211">
        <v>0</v>
      </c>
      <c r="R1448" s="213">
        <v>0</v>
      </c>
      <c r="S1448" s="211">
        <v>0</v>
      </c>
      <c r="T1448" s="212">
        <v>0</v>
      </c>
      <c r="U1448" s="290">
        <v>0</v>
      </c>
      <c r="V1448" s="282"/>
      <c r="W1448" s="282"/>
      <c r="X1448" s="282"/>
    </row>
    <row r="1449" spans="1:53" ht="27.6">
      <c r="A1449" s="470"/>
      <c r="B1449" s="480" t="s">
        <v>424</v>
      </c>
      <c r="C1449" s="479">
        <f>C1450+C1451+C1452+C1453+C1454</f>
        <v>9225003</v>
      </c>
      <c r="D1449" s="479">
        <f t="shared" ref="D1449:V1449" si="252">D1450+D1451+D1452+D1453+D1454</f>
        <v>2325223</v>
      </c>
      <c r="E1449" s="479">
        <f t="shared" si="252"/>
        <v>702811</v>
      </c>
      <c r="F1449" s="479">
        <f t="shared" si="252"/>
        <v>696395</v>
      </c>
      <c r="G1449" s="479">
        <f t="shared" si="252"/>
        <v>578792</v>
      </c>
      <c r="H1449" s="479">
        <f t="shared" si="252"/>
        <v>212717</v>
      </c>
      <c r="I1449" s="479">
        <f t="shared" si="252"/>
        <v>0</v>
      </c>
      <c r="J1449" s="479">
        <f t="shared" si="252"/>
        <v>134508</v>
      </c>
      <c r="K1449" s="479">
        <f t="shared" si="252"/>
        <v>0</v>
      </c>
      <c r="L1449" s="479">
        <f t="shared" si="252"/>
        <v>0</v>
      </c>
      <c r="M1449" s="479">
        <f t="shared" si="252"/>
        <v>0</v>
      </c>
      <c r="N1449" s="479">
        <f t="shared" si="252"/>
        <v>2418.7800000000002</v>
      </c>
      <c r="O1449" s="479">
        <f t="shared" si="252"/>
        <v>6899780</v>
      </c>
      <c r="P1449" s="479">
        <f t="shared" si="252"/>
        <v>0</v>
      </c>
      <c r="Q1449" s="479">
        <f t="shared" si="252"/>
        <v>0</v>
      </c>
      <c r="R1449" s="479">
        <f t="shared" si="252"/>
        <v>0</v>
      </c>
      <c r="S1449" s="479">
        <f t="shared" si="252"/>
        <v>0</v>
      </c>
      <c r="T1449" s="479">
        <f t="shared" si="252"/>
        <v>0</v>
      </c>
      <c r="U1449" s="479">
        <f t="shared" si="252"/>
        <v>0</v>
      </c>
      <c r="V1449" s="211">
        <f t="shared" si="252"/>
        <v>0</v>
      </c>
      <c r="W1449" s="282"/>
      <c r="X1449" s="282"/>
    </row>
    <row r="1450" spans="1:53" ht="28.2" customHeight="1">
      <c r="A1450" s="470">
        <v>352</v>
      </c>
      <c r="B1450" s="755" t="s">
        <v>715</v>
      </c>
      <c r="C1450" s="479">
        <f>'часть 1'!L1478</f>
        <v>3119960</v>
      </c>
      <c r="D1450" s="479">
        <f>E1450+F1450+G1450+H1450+I1450+J1450+K1450</f>
        <v>1646313</v>
      </c>
      <c r="E1450" s="479">
        <v>519900</v>
      </c>
      <c r="F1450" s="479">
        <v>696395</v>
      </c>
      <c r="G1450" s="479">
        <v>430018</v>
      </c>
      <c r="H1450" s="479">
        <v>0</v>
      </c>
      <c r="I1450" s="479">
        <v>0</v>
      </c>
      <c r="J1450" s="479">
        <v>0</v>
      </c>
      <c r="K1450" s="479">
        <v>0</v>
      </c>
      <c r="L1450" s="515">
        <v>0</v>
      </c>
      <c r="M1450" s="479">
        <v>0</v>
      </c>
      <c r="N1450" s="479">
        <v>591</v>
      </c>
      <c r="O1450" s="479">
        <v>1473647</v>
      </c>
      <c r="P1450" s="516">
        <v>0</v>
      </c>
      <c r="Q1450" s="479">
        <v>0</v>
      </c>
      <c r="R1450" s="516">
        <v>0</v>
      </c>
      <c r="S1450" s="479">
        <v>0</v>
      </c>
      <c r="T1450" s="515">
        <v>0</v>
      </c>
      <c r="U1450" s="517">
        <v>0</v>
      </c>
      <c r="V1450" s="282"/>
      <c r="W1450" s="282">
        <f>O1450/N1450</f>
        <v>2493.4805414551606</v>
      </c>
      <c r="X1450" s="282"/>
      <c r="Y1450" s="23">
        <f>E1450/'часть 1'!I1478</f>
        <v>757.20943780949608</v>
      </c>
      <c r="Z1450" s="1">
        <f>G1450/'часть 1'!I1478</f>
        <v>626.30061170987472</v>
      </c>
      <c r="AA1450" s="1">
        <f>F1450/'часть 1'!I1478</f>
        <v>1014.2659481503058</v>
      </c>
    </row>
    <row r="1451" spans="1:53" ht="24" customHeight="1">
      <c r="A1451" s="470">
        <v>353</v>
      </c>
      <c r="B1451" s="756" t="s">
        <v>716</v>
      </c>
      <c r="C1451" s="479">
        <f>'часть 1'!L1479</f>
        <v>2408975</v>
      </c>
      <c r="D1451" s="479">
        <f t="shared" ref="D1451:D1454" si="253">E1451+F1451+G1451+H1451+I1451+J1451+K1451</f>
        <v>0</v>
      </c>
      <c r="E1451" s="479">
        <v>0</v>
      </c>
      <c r="F1451" s="479">
        <v>0</v>
      </c>
      <c r="G1451" s="479">
        <v>0</v>
      </c>
      <c r="H1451" s="479">
        <v>0</v>
      </c>
      <c r="I1451" s="479">
        <v>0</v>
      </c>
      <c r="J1451" s="479">
        <v>0</v>
      </c>
      <c r="K1451" s="479">
        <v>0</v>
      </c>
      <c r="L1451" s="515">
        <v>0</v>
      </c>
      <c r="M1451" s="479">
        <v>0</v>
      </c>
      <c r="N1451" s="479">
        <v>757.82</v>
      </c>
      <c r="O1451" s="479">
        <v>2408975</v>
      </c>
      <c r="P1451" s="516">
        <v>0</v>
      </c>
      <c r="Q1451" s="479">
        <v>0</v>
      </c>
      <c r="R1451" s="516">
        <v>0</v>
      </c>
      <c r="S1451" s="479">
        <v>0</v>
      </c>
      <c r="T1451" s="515">
        <v>0</v>
      </c>
      <c r="U1451" s="517">
        <v>0</v>
      </c>
      <c r="V1451" s="282"/>
      <c r="W1451" s="282">
        <f>O1451/N1451</f>
        <v>3178.8221477395687</v>
      </c>
      <c r="X1451" s="282"/>
    </row>
    <row r="1452" spans="1:53" ht="22.95" customHeight="1">
      <c r="A1452" s="470">
        <v>354</v>
      </c>
      <c r="B1452" s="755" t="s">
        <v>717</v>
      </c>
      <c r="C1452" s="479">
        <f>'часть 1'!L1480</f>
        <v>678910</v>
      </c>
      <c r="D1452" s="479">
        <f t="shared" si="253"/>
        <v>678910</v>
      </c>
      <c r="E1452" s="479">
        <v>182911</v>
      </c>
      <c r="F1452" s="479">
        <v>0</v>
      </c>
      <c r="G1452" s="479">
        <v>148774</v>
      </c>
      <c r="H1452" s="479">
        <v>212717</v>
      </c>
      <c r="I1452" s="479">
        <v>0</v>
      </c>
      <c r="J1452" s="479">
        <v>134508</v>
      </c>
      <c r="K1452" s="479">
        <v>0</v>
      </c>
      <c r="L1452" s="515">
        <v>0</v>
      </c>
      <c r="M1452" s="479">
        <v>0</v>
      </c>
      <c r="N1452" s="479">
        <v>0</v>
      </c>
      <c r="O1452" s="479">
        <v>0</v>
      </c>
      <c r="P1452" s="516">
        <v>0</v>
      </c>
      <c r="Q1452" s="479">
        <v>0</v>
      </c>
      <c r="R1452" s="516">
        <v>0</v>
      </c>
      <c r="S1452" s="479">
        <v>0</v>
      </c>
      <c r="T1452" s="515">
        <v>0</v>
      </c>
      <c r="U1452" s="517">
        <v>0</v>
      </c>
      <c r="V1452" s="282"/>
      <c r="W1452" s="282"/>
      <c r="X1452" s="282"/>
      <c r="Y1452" s="1">
        <f>E1452/'часть 1'!I1480</f>
        <v>709.23226056611099</v>
      </c>
      <c r="Z1452" s="1">
        <f>G1452/'часть 1'!I1480</f>
        <v>576.86700271423035</v>
      </c>
      <c r="AB1452" s="1">
        <f>H1452/'часть 1'!I1480</f>
        <v>824.80418766963942</v>
      </c>
      <c r="AD1452" s="1">
        <f>J1452/'часть 1'!I1480</f>
        <v>521.55098875533156</v>
      </c>
    </row>
    <row r="1453" spans="1:53" ht="19.95" customHeight="1">
      <c r="A1453" s="470">
        <v>355</v>
      </c>
      <c r="B1453" s="757" t="s">
        <v>718</v>
      </c>
      <c r="C1453" s="479">
        <f>'часть 1'!L1481</f>
        <v>1603279</v>
      </c>
      <c r="D1453" s="479">
        <f t="shared" si="253"/>
        <v>0</v>
      </c>
      <c r="E1453" s="479">
        <v>0</v>
      </c>
      <c r="F1453" s="479">
        <v>0</v>
      </c>
      <c r="G1453" s="479">
        <v>0</v>
      </c>
      <c r="H1453" s="479">
        <v>0</v>
      </c>
      <c r="I1453" s="479">
        <v>0</v>
      </c>
      <c r="J1453" s="479">
        <v>0</v>
      </c>
      <c r="K1453" s="479">
        <v>0</v>
      </c>
      <c r="L1453" s="515">
        <v>0</v>
      </c>
      <c r="M1453" s="479">
        <v>0</v>
      </c>
      <c r="N1453" s="479">
        <v>503.16</v>
      </c>
      <c r="O1453" s="479">
        <v>1603279</v>
      </c>
      <c r="P1453" s="516">
        <v>0</v>
      </c>
      <c r="Q1453" s="479">
        <v>0</v>
      </c>
      <c r="R1453" s="516">
        <v>0</v>
      </c>
      <c r="S1453" s="479">
        <v>0</v>
      </c>
      <c r="T1453" s="515">
        <v>0</v>
      </c>
      <c r="U1453" s="517">
        <v>0</v>
      </c>
      <c r="V1453" s="282"/>
      <c r="W1453" s="282">
        <f>O1453/N1453</f>
        <v>3186.4198266952858</v>
      </c>
      <c r="X1453" s="282"/>
    </row>
    <row r="1454" spans="1:53" ht="17.399999999999999" customHeight="1">
      <c r="A1454" s="470">
        <v>356</v>
      </c>
      <c r="B1454" s="755" t="s">
        <v>719</v>
      </c>
      <c r="C1454" s="479">
        <f>'часть 1'!L1482</f>
        <v>1413879</v>
      </c>
      <c r="D1454" s="479">
        <f t="shared" si="253"/>
        <v>0</v>
      </c>
      <c r="E1454" s="479">
        <v>0</v>
      </c>
      <c r="F1454" s="479">
        <v>0</v>
      </c>
      <c r="G1454" s="479">
        <v>0</v>
      </c>
      <c r="H1454" s="479">
        <v>0</v>
      </c>
      <c r="I1454" s="479">
        <v>0</v>
      </c>
      <c r="J1454" s="479">
        <v>0</v>
      </c>
      <c r="K1454" s="479">
        <v>0</v>
      </c>
      <c r="L1454" s="515">
        <v>0</v>
      </c>
      <c r="M1454" s="479">
        <v>0</v>
      </c>
      <c r="N1454" s="479">
        <v>566.79999999999995</v>
      </c>
      <c r="O1454" s="479">
        <v>1413879</v>
      </c>
      <c r="P1454" s="516">
        <v>0</v>
      </c>
      <c r="Q1454" s="479">
        <v>0</v>
      </c>
      <c r="R1454" s="516">
        <v>0</v>
      </c>
      <c r="S1454" s="479">
        <v>0</v>
      </c>
      <c r="T1454" s="515">
        <v>0</v>
      </c>
      <c r="U1454" s="517">
        <v>0</v>
      </c>
      <c r="V1454" s="282"/>
      <c r="W1454" s="282">
        <f>O1454/N1454</f>
        <v>2494.4936485532817</v>
      </c>
      <c r="X1454" s="282"/>
    </row>
    <row r="1455" spans="1:53" ht="27.6">
      <c r="A1455" s="198"/>
      <c r="B1455" s="214" t="s">
        <v>121</v>
      </c>
      <c r="C1455" s="211">
        <f>C1456</f>
        <v>2068781</v>
      </c>
      <c r="D1455" s="211">
        <f t="shared" ref="D1455:U1455" si="254">D1456</f>
        <v>0</v>
      </c>
      <c r="E1455" s="211">
        <f t="shared" si="254"/>
        <v>0</v>
      </c>
      <c r="F1455" s="211">
        <f t="shared" si="254"/>
        <v>0</v>
      </c>
      <c r="G1455" s="211">
        <f t="shared" si="254"/>
        <v>0</v>
      </c>
      <c r="H1455" s="211">
        <f t="shared" si="254"/>
        <v>0</v>
      </c>
      <c r="I1455" s="211">
        <f t="shared" si="254"/>
        <v>0</v>
      </c>
      <c r="J1455" s="211">
        <f t="shared" si="254"/>
        <v>0</v>
      </c>
      <c r="K1455" s="211">
        <f t="shared" si="254"/>
        <v>0</v>
      </c>
      <c r="L1455" s="211">
        <f t="shared" si="254"/>
        <v>0</v>
      </c>
      <c r="M1455" s="211">
        <f t="shared" si="254"/>
        <v>0</v>
      </c>
      <c r="N1455" s="211">
        <f t="shared" si="254"/>
        <v>0</v>
      </c>
      <c r="O1455" s="211">
        <f t="shared" si="254"/>
        <v>2068781</v>
      </c>
      <c r="P1455" s="211">
        <f t="shared" si="254"/>
        <v>0</v>
      </c>
      <c r="Q1455" s="211">
        <f t="shared" si="254"/>
        <v>0</v>
      </c>
      <c r="R1455" s="211">
        <f t="shared" si="254"/>
        <v>0</v>
      </c>
      <c r="S1455" s="211">
        <f t="shared" si="254"/>
        <v>0</v>
      </c>
      <c r="T1455" s="211">
        <f t="shared" si="254"/>
        <v>0</v>
      </c>
      <c r="U1455" s="211">
        <f t="shared" si="254"/>
        <v>0</v>
      </c>
      <c r="V1455" s="282"/>
      <c r="W1455" s="282"/>
      <c r="X1455" s="282"/>
    </row>
    <row r="1456" spans="1:53" ht="22.95" customHeight="1">
      <c r="A1456" s="198">
        <v>362</v>
      </c>
      <c r="B1456" s="214" t="s">
        <v>993</v>
      </c>
      <c r="C1456" s="211">
        <f>'часть 1'!L1484</f>
        <v>2068781</v>
      </c>
      <c r="D1456" s="211">
        <v>0</v>
      </c>
      <c r="E1456" s="211">
        <v>0</v>
      </c>
      <c r="F1456" s="211">
        <v>0</v>
      </c>
      <c r="G1456" s="211">
        <v>0</v>
      </c>
      <c r="H1456" s="211">
        <v>0</v>
      </c>
      <c r="I1456" s="211">
        <v>0</v>
      </c>
      <c r="J1456" s="211">
        <v>0</v>
      </c>
      <c r="K1456" s="211">
        <v>0</v>
      </c>
      <c r="L1456" s="212">
        <v>0</v>
      </c>
      <c r="M1456" s="211">
        <v>0</v>
      </c>
      <c r="N1456" s="939"/>
      <c r="O1456" s="211">
        <v>2068781</v>
      </c>
      <c r="P1456" s="213">
        <v>0</v>
      </c>
      <c r="Q1456" s="211">
        <v>0</v>
      </c>
      <c r="R1456" s="213">
        <v>0</v>
      </c>
      <c r="S1456" s="211">
        <v>0</v>
      </c>
      <c r="T1456" s="212">
        <v>0</v>
      </c>
      <c r="U1456" s="290">
        <v>0</v>
      </c>
      <c r="V1456" s="282"/>
      <c r="W1456" s="282" t="e">
        <f>O1456/N1456</f>
        <v>#DIV/0!</v>
      </c>
      <c r="X1456" s="282"/>
    </row>
    <row r="1457" spans="1:28" s="18" customFormat="1" ht="27.6">
      <c r="A1457" s="198"/>
      <c r="B1457" s="214" t="s">
        <v>807</v>
      </c>
      <c r="C1457" s="211">
        <f>C1458</f>
        <v>588419</v>
      </c>
      <c r="D1457" s="211">
        <f t="shared" ref="D1457:U1457" si="255">D1458</f>
        <v>588419</v>
      </c>
      <c r="E1457" s="211">
        <f t="shared" si="255"/>
        <v>0</v>
      </c>
      <c r="F1457" s="211">
        <f t="shared" si="255"/>
        <v>0</v>
      </c>
      <c r="G1457" s="211">
        <f t="shared" si="255"/>
        <v>0</v>
      </c>
      <c r="H1457" s="211">
        <f t="shared" si="255"/>
        <v>588419</v>
      </c>
      <c r="I1457" s="211">
        <f t="shared" si="255"/>
        <v>0</v>
      </c>
      <c r="J1457" s="211">
        <f t="shared" si="255"/>
        <v>0</v>
      </c>
      <c r="K1457" s="211">
        <f t="shared" si="255"/>
        <v>0</v>
      </c>
      <c r="L1457" s="211">
        <f t="shared" si="255"/>
        <v>0</v>
      </c>
      <c r="M1457" s="211">
        <f t="shared" si="255"/>
        <v>0</v>
      </c>
      <c r="N1457" s="211">
        <f t="shared" si="255"/>
        <v>0</v>
      </c>
      <c r="O1457" s="211">
        <f t="shared" si="255"/>
        <v>0</v>
      </c>
      <c r="P1457" s="211">
        <f t="shared" si="255"/>
        <v>0</v>
      </c>
      <c r="Q1457" s="211">
        <f t="shared" si="255"/>
        <v>0</v>
      </c>
      <c r="R1457" s="211">
        <f t="shared" si="255"/>
        <v>0</v>
      </c>
      <c r="S1457" s="211">
        <f t="shared" si="255"/>
        <v>0</v>
      </c>
      <c r="T1457" s="211">
        <f t="shared" si="255"/>
        <v>0</v>
      </c>
      <c r="U1457" s="211">
        <f t="shared" si="255"/>
        <v>0</v>
      </c>
      <c r="V1457" s="282"/>
      <c r="W1457" s="282"/>
      <c r="X1457" s="282"/>
    </row>
    <row r="1458" spans="1:28">
      <c r="A1458" s="198">
        <v>363</v>
      </c>
      <c r="B1458" s="216" t="s">
        <v>809</v>
      </c>
      <c r="C1458" s="211">
        <f>'часть 1'!L1486</f>
        <v>588419</v>
      </c>
      <c r="D1458" s="211">
        <f>E1458+F1458+G1458+H1458+I1458+J1458+K1458</f>
        <v>588419</v>
      </c>
      <c r="E1458" s="211">
        <v>0</v>
      </c>
      <c r="F1458" s="211">
        <v>0</v>
      </c>
      <c r="G1458" s="211">
        <v>0</v>
      </c>
      <c r="H1458" s="211">
        <v>588419</v>
      </c>
      <c r="I1458" s="211">
        <v>0</v>
      </c>
      <c r="J1458" s="211">
        <v>0</v>
      </c>
      <c r="K1458" s="211">
        <v>0</v>
      </c>
      <c r="L1458" s="212">
        <v>0</v>
      </c>
      <c r="M1458" s="211">
        <v>0</v>
      </c>
      <c r="N1458" s="211">
        <v>0</v>
      </c>
      <c r="O1458" s="211">
        <v>0</v>
      </c>
      <c r="P1458" s="213">
        <v>0</v>
      </c>
      <c r="Q1458" s="211">
        <v>0</v>
      </c>
      <c r="R1458" s="213">
        <v>0</v>
      </c>
      <c r="S1458" s="211">
        <v>0</v>
      </c>
      <c r="T1458" s="212">
        <v>0</v>
      </c>
      <c r="U1458" s="290">
        <v>0</v>
      </c>
      <c r="V1458" s="282"/>
      <c r="W1458" s="282"/>
      <c r="X1458" s="282"/>
      <c r="AB1458" s="1">
        <f>H1458/'часть 1'!I1486</f>
        <v>899.4481809844084</v>
      </c>
    </row>
    <row r="1459" spans="1:28" ht="25.2" customHeight="1">
      <c r="A1459" s="198"/>
      <c r="B1459" s="216" t="s">
        <v>57</v>
      </c>
      <c r="C1459" s="211">
        <f>C1460</f>
        <v>1788296</v>
      </c>
      <c r="D1459" s="211">
        <f t="shared" ref="D1459:V1459" si="256">D1460</f>
        <v>0</v>
      </c>
      <c r="E1459" s="211">
        <f t="shared" si="256"/>
        <v>0</v>
      </c>
      <c r="F1459" s="211">
        <f t="shared" si="256"/>
        <v>0</v>
      </c>
      <c r="G1459" s="211">
        <f t="shared" si="256"/>
        <v>0</v>
      </c>
      <c r="H1459" s="211">
        <f t="shared" si="256"/>
        <v>0</v>
      </c>
      <c r="I1459" s="211">
        <f t="shared" si="256"/>
        <v>0</v>
      </c>
      <c r="J1459" s="211">
        <f t="shared" si="256"/>
        <v>0</v>
      </c>
      <c r="K1459" s="211">
        <f t="shared" si="256"/>
        <v>0</v>
      </c>
      <c r="L1459" s="211">
        <f t="shared" si="256"/>
        <v>0</v>
      </c>
      <c r="M1459" s="211">
        <f t="shared" si="256"/>
        <v>0</v>
      </c>
      <c r="N1459" s="211">
        <f t="shared" si="256"/>
        <v>560</v>
      </c>
      <c r="O1459" s="211">
        <f t="shared" si="256"/>
        <v>1788296</v>
      </c>
      <c r="P1459" s="211">
        <f t="shared" si="256"/>
        <v>0</v>
      </c>
      <c r="Q1459" s="211">
        <f t="shared" si="256"/>
        <v>0</v>
      </c>
      <c r="R1459" s="211">
        <f t="shared" si="256"/>
        <v>0</v>
      </c>
      <c r="S1459" s="211">
        <f t="shared" si="256"/>
        <v>0</v>
      </c>
      <c r="T1459" s="211">
        <f t="shared" si="256"/>
        <v>0</v>
      </c>
      <c r="U1459" s="211">
        <f t="shared" si="256"/>
        <v>0</v>
      </c>
      <c r="V1459" s="211">
        <f t="shared" si="256"/>
        <v>0</v>
      </c>
      <c r="W1459" s="282"/>
      <c r="X1459" s="282"/>
    </row>
    <row r="1460" spans="1:28" ht="36" customHeight="1">
      <c r="A1460" s="198"/>
      <c r="B1460" s="214" t="s">
        <v>119</v>
      </c>
      <c r="C1460" s="211">
        <f>C1461</f>
        <v>1788296</v>
      </c>
      <c r="D1460" s="211">
        <f t="shared" ref="D1460:U1460" si="257">D1461</f>
        <v>0</v>
      </c>
      <c r="E1460" s="211">
        <f t="shared" si="257"/>
        <v>0</v>
      </c>
      <c r="F1460" s="211">
        <f t="shared" si="257"/>
        <v>0</v>
      </c>
      <c r="G1460" s="211">
        <f t="shared" si="257"/>
        <v>0</v>
      </c>
      <c r="H1460" s="211">
        <f t="shared" si="257"/>
        <v>0</v>
      </c>
      <c r="I1460" s="211">
        <f t="shared" si="257"/>
        <v>0</v>
      </c>
      <c r="J1460" s="211">
        <f t="shared" si="257"/>
        <v>0</v>
      </c>
      <c r="K1460" s="211">
        <f t="shared" si="257"/>
        <v>0</v>
      </c>
      <c r="L1460" s="211">
        <f t="shared" si="257"/>
        <v>0</v>
      </c>
      <c r="M1460" s="211">
        <f t="shared" si="257"/>
        <v>0</v>
      </c>
      <c r="N1460" s="211">
        <f t="shared" si="257"/>
        <v>560</v>
      </c>
      <c r="O1460" s="211">
        <f t="shared" si="257"/>
        <v>1788296</v>
      </c>
      <c r="P1460" s="211">
        <f t="shared" si="257"/>
        <v>0</v>
      </c>
      <c r="Q1460" s="211">
        <f t="shared" si="257"/>
        <v>0</v>
      </c>
      <c r="R1460" s="211">
        <f t="shared" si="257"/>
        <v>0</v>
      </c>
      <c r="S1460" s="211">
        <f t="shared" si="257"/>
        <v>0</v>
      </c>
      <c r="T1460" s="211">
        <f t="shared" si="257"/>
        <v>0</v>
      </c>
      <c r="U1460" s="211">
        <f t="shared" si="257"/>
        <v>0</v>
      </c>
      <c r="V1460" s="282"/>
      <c r="W1460" s="282"/>
      <c r="X1460" s="282"/>
    </row>
    <row r="1461" spans="1:28" ht="27.6" customHeight="1">
      <c r="A1461" s="198">
        <v>364</v>
      </c>
      <c r="B1461" s="909" t="s">
        <v>984</v>
      </c>
      <c r="C1461" s="211">
        <f>'часть 1'!L1489</f>
        <v>1788296</v>
      </c>
      <c r="D1461" s="211">
        <v>0</v>
      </c>
      <c r="E1461" s="211">
        <v>0</v>
      </c>
      <c r="F1461" s="211">
        <v>0</v>
      </c>
      <c r="G1461" s="211">
        <v>0</v>
      </c>
      <c r="H1461" s="211">
        <v>0</v>
      </c>
      <c r="I1461" s="211">
        <v>0</v>
      </c>
      <c r="J1461" s="211">
        <v>0</v>
      </c>
      <c r="K1461" s="211">
        <v>0</v>
      </c>
      <c r="L1461" s="212">
        <v>0</v>
      </c>
      <c r="M1461" s="211">
        <v>0</v>
      </c>
      <c r="N1461" s="211">
        <v>560</v>
      </c>
      <c r="O1461" s="211">
        <v>1788296</v>
      </c>
      <c r="P1461" s="213">
        <v>0</v>
      </c>
      <c r="Q1461" s="211">
        <v>0</v>
      </c>
      <c r="R1461" s="213">
        <v>0</v>
      </c>
      <c r="S1461" s="211">
        <v>0</v>
      </c>
      <c r="T1461" s="212">
        <v>0</v>
      </c>
      <c r="U1461" s="290">
        <v>0</v>
      </c>
      <c r="V1461" s="282"/>
      <c r="W1461" s="282">
        <f>O1461/N1461</f>
        <v>3193.3857142857141</v>
      </c>
      <c r="X1461" s="282"/>
    </row>
    <row r="1462" spans="1:28">
      <c r="A1462" s="198"/>
      <c r="B1462" s="216" t="s">
        <v>58</v>
      </c>
      <c r="C1462" s="211">
        <v>12228909</v>
      </c>
      <c r="D1462" s="211"/>
      <c r="E1462" s="211"/>
      <c r="F1462" s="211"/>
      <c r="G1462" s="211"/>
      <c r="H1462" s="211"/>
      <c r="I1462" s="211"/>
      <c r="J1462" s="211"/>
      <c r="K1462" s="211">
        <v>215709</v>
      </c>
      <c r="L1462" s="212">
        <v>0</v>
      </c>
      <c r="M1462" s="211">
        <v>0</v>
      </c>
      <c r="N1462" s="211">
        <v>6001.34</v>
      </c>
      <c r="O1462" s="211">
        <v>12013200</v>
      </c>
      <c r="P1462" s="213">
        <v>0</v>
      </c>
      <c r="Q1462" s="211">
        <v>0</v>
      </c>
      <c r="R1462" s="213">
        <v>0</v>
      </c>
      <c r="S1462" s="211">
        <v>0</v>
      </c>
      <c r="T1462" s="212">
        <v>0</v>
      </c>
      <c r="U1462" s="290">
        <v>0</v>
      </c>
      <c r="V1462" s="282"/>
      <c r="W1462" s="282"/>
      <c r="X1462" s="282"/>
    </row>
    <row r="1463" spans="1:28" ht="27.6">
      <c r="A1463" s="198"/>
      <c r="B1463" s="214" t="s">
        <v>87</v>
      </c>
      <c r="C1463" s="211">
        <v>12228909</v>
      </c>
      <c r="D1463" s="211"/>
      <c r="E1463" s="211"/>
      <c r="F1463" s="211"/>
      <c r="G1463" s="211"/>
      <c r="H1463" s="211"/>
      <c r="I1463" s="211"/>
      <c r="J1463" s="211"/>
      <c r="K1463" s="211">
        <v>215709</v>
      </c>
      <c r="L1463" s="212">
        <v>0</v>
      </c>
      <c r="M1463" s="211">
        <v>0</v>
      </c>
      <c r="N1463" s="211">
        <v>6001.34</v>
      </c>
      <c r="O1463" s="211">
        <v>12013200</v>
      </c>
      <c r="P1463" s="213">
        <v>0</v>
      </c>
      <c r="Q1463" s="211">
        <v>0</v>
      </c>
      <c r="R1463" s="213">
        <v>0</v>
      </c>
      <c r="S1463" s="211">
        <v>0</v>
      </c>
      <c r="T1463" s="212">
        <v>0</v>
      </c>
      <c r="U1463" s="290">
        <v>0</v>
      </c>
      <c r="V1463" s="282"/>
      <c r="W1463" s="282"/>
      <c r="X1463" s="282"/>
    </row>
    <row r="1464" spans="1:28" s="29" customFormat="1">
      <c r="A1464" s="198">
        <v>366</v>
      </c>
      <c r="B1464" s="238" t="s">
        <v>84</v>
      </c>
      <c r="C1464" s="232">
        <v>1668544</v>
      </c>
      <c r="D1464" s="232"/>
      <c r="E1464" s="232"/>
      <c r="F1464" s="232"/>
      <c r="G1464" s="232"/>
      <c r="H1464" s="232"/>
      <c r="I1464" s="232"/>
      <c r="J1464" s="232"/>
      <c r="K1464" s="196">
        <v>0</v>
      </c>
      <c r="L1464" s="204">
        <v>0</v>
      </c>
      <c r="M1464" s="209">
        <v>0</v>
      </c>
      <c r="N1464" s="199">
        <v>840</v>
      </c>
      <c r="O1464" s="237">
        <v>1668544</v>
      </c>
      <c r="P1464" s="200">
        <v>0</v>
      </c>
      <c r="Q1464" s="199">
        <v>0</v>
      </c>
      <c r="R1464" s="200">
        <v>0</v>
      </c>
      <c r="S1464" s="199">
        <v>0</v>
      </c>
      <c r="T1464" s="208">
        <v>0</v>
      </c>
      <c r="U1464" s="294">
        <v>0</v>
      </c>
      <c r="V1464" s="282"/>
      <c r="W1464" s="282"/>
      <c r="X1464" s="282"/>
    </row>
    <row r="1465" spans="1:28" s="29" customFormat="1">
      <c r="A1465" s="198">
        <v>367</v>
      </c>
      <c r="B1465" s="238" t="s">
        <v>425</v>
      </c>
      <c r="C1465" s="211">
        <v>2239107</v>
      </c>
      <c r="D1465" s="211"/>
      <c r="E1465" s="211"/>
      <c r="F1465" s="211"/>
      <c r="G1465" s="211"/>
      <c r="H1465" s="211"/>
      <c r="I1465" s="211"/>
      <c r="J1465" s="211"/>
      <c r="K1465" s="196">
        <v>0</v>
      </c>
      <c r="L1465" s="204">
        <v>0</v>
      </c>
      <c r="M1465" s="209">
        <v>0</v>
      </c>
      <c r="N1465" s="199">
        <v>1101</v>
      </c>
      <c r="O1465" s="237">
        <v>2239107</v>
      </c>
      <c r="P1465" s="200">
        <v>0</v>
      </c>
      <c r="Q1465" s="199">
        <v>0</v>
      </c>
      <c r="R1465" s="200">
        <v>0</v>
      </c>
      <c r="S1465" s="199">
        <v>0</v>
      </c>
      <c r="T1465" s="208">
        <v>0</v>
      </c>
      <c r="U1465" s="294">
        <v>0</v>
      </c>
      <c r="V1465" s="282"/>
      <c r="W1465" s="282"/>
      <c r="X1465" s="282"/>
    </row>
    <row r="1466" spans="1:28" s="29" customFormat="1">
      <c r="A1466" s="198">
        <v>368</v>
      </c>
      <c r="B1466" s="238" t="s">
        <v>433</v>
      </c>
      <c r="C1466" s="232">
        <v>215709</v>
      </c>
      <c r="D1466" s="232"/>
      <c r="E1466" s="232"/>
      <c r="F1466" s="232"/>
      <c r="G1466" s="232"/>
      <c r="H1466" s="232"/>
      <c r="I1466" s="232"/>
      <c r="J1466" s="232"/>
      <c r="K1466" s="196">
        <v>215709</v>
      </c>
      <c r="L1466" s="204">
        <v>0</v>
      </c>
      <c r="M1466" s="209">
        <v>0</v>
      </c>
      <c r="N1466" s="199">
        <v>0</v>
      </c>
      <c r="O1466" s="237">
        <v>0</v>
      </c>
      <c r="P1466" s="200">
        <v>0</v>
      </c>
      <c r="Q1466" s="199">
        <v>0</v>
      </c>
      <c r="R1466" s="200">
        <v>0</v>
      </c>
      <c r="S1466" s="199">
        <v>0</v>
      </c>
      <c r="T1466" s="208">
        <v>0</v>
      </c>
      <c r="U1466" s="294">
        <v>0</v>
      </c>
      <c r="V1466" s="282"/>
      <c r="W1466" s="282"/>
      <c r="X1466" s="282"/>
    </row>
    <row r="1467" spans="1:28" s="29" customFormat="1">
      <c r="A1467" s="198">
        <v>369</v>
      </c>
      <c r="B1467" s="238" t="s">
        <v>79</v>
      </c>
      <c r="C1467" s="211">
        <v>706234</v>
      </c>
      <c r="D1467" s="211"/>
      <c r="E1467" s="211"/>
      <c r="F1467" s="211"/>
      <c r="G1467" s="211"/>
      <c r="H1467" s="211"/>
      <c r="I1467" s="211"/>
      <c r="J1467" s="211"/>
      <c r="K1467" s="196">
        <v>0</v>
      </c>
      <c r="L1467" s="204">
        <v>0</v>
      </c>
      <c r="M1467" s="209">
        <v>0</v>
      </c>
      <c r="N1467" s="199">
        <v>348</v>
      </c>
      <c r="O1467" s="237">
        <v>706234</v>
      </c>
      <c r="P1467" s="200">
        <v>0</v>
      </c>
      <c r="Q1467" s="199">
        <v>0</v>
      </c>
      <c r="R1467" s="200">
        <v>0</v>
      </c>
      <c r="S1467" s="199">
        <v>0</v>
      </c>
      <c r="T1467" s="208">
        <v>0</v>
      </c>
      <c r="U1467" s="294">
        <v>0</v>
      </c>
      <c r="V1467" s="282"/>
      <c r="W1467" s="282"/>
      <c r="X1467" s="282"/>
    </row>
    <row r="1468" spans="1:28" s="29" customFormat="1">
      <c r="A1468" s="198">
        <v>370</v>
      </c>
      <c r="B1468" s="238" t="s">
        <v>78</v>
      </c>
      <c r="C1468" s="211">
        <v>651603</v>
      </c>
      <c r="D1468" s="211"/>
      <c r="E1468" s="211"/>
      <c r="F1468" s="211"/>
      <c r="G1468" s="211"/>
      <c r="H1468" s="211"/>
      <c r="I1468" s="211"/>
      <c r="J1468" s="211"/>
      <c r="K1468" s="196">
        <v>0</v>
      </c>
      <c r="L1468" s="204">
        <v>0</v>
      </c>
      <c r="M1468" s="209">
        <v>0</v>
      </c>
      <c r="N1468" s="199">
        <v>320</v>
      </c>
      <c r="O1468" s="237">
        <v>651603</v>
      </c>
      <c r="P1468" s="200">
        <v>0</v>
      </c>
      <c r="Q1468" s="199">
        <v>0</v>
      </c>
      <c r="R1468" s="200">
        <v>0</v>
      </c>
      <c r="S1468" s="199">
        <v>0</v>
      </c>
      <c r="T1468" s="208">
        <v>0</v>
      </c>
      <c r="U1468" s="294">
        <v>0</v>
      </c>
      <c r="V1468" s="282"/>
      <c r="W1468" s="282"/>
      <c r="X1468" s="282"/>
    </row>
    <row r="1469" spans="1:28" s="29" customFormat="1">
      <c r="A1469" s="198">
        <v>371</v>
      </c>
      <c r="B1469" s="238" t="s">
        <v>426</v>
      </c>
      <c r="C1469" s="232">
        <v>698701</v>
      </c>
      <c r="D1469" s="232"/>
      <c r="E1469" s="232"/>
      <c r="F1469" s="232"/>
      <c r="G1469" s="232"/>
      <c r="H1469" s="232"/>
      <c r="I1469" s="232"/>
      <c r="J1469" s="232"/>
      <c r="K1469" s="196">
        <v>0</v>
      </c>
      <c r="L1469" s="204">
        <v>0</v>
      </c>
      <c r="M1469" s="209">
        <v>0</v>
      </c>
      <c r="N1469" s="199">
        <v>352</v>
      </c>
      <c r="O1469" s="237">
        <v>698701</v>
      </c>
      <c r="P1469" s="200">
        <v>0</v>
      </c>
      <c r="Q1469" s="199">
        <v>0</v>
      </c>
      <c r="R1469" s="200">
        <v>0</v>
      </c>
      <c r="S1469" s="199">
        <v>0</v>
      </c>
      <c r="T1469" s="208">
        <v>0</v>
      </c>
      <c r="U1469" s="294">
        <v>0</v>
      </c>
      <c r="V1469" s="282"/>
      <c r="W1469" s="282"/>
      <c r="X1469" s="282"/>
    </row>
    <row r="1470" spans="1:28" s="29" customFormat="1">
      <c r="A1470" s="198">
        <v>372</v>
      </c>
      <c r="B1470" s="238" t="s">
        <v>80</v>
      </c>
      <c r="C1470" s="232">
        <v>1512903</v>
      </c>
      <c r="D1470" s="232"/>
      <c r="E1470" s="232"/>
      <c r="F1470" s="232"/>
      <c r="G1470" s="232"/>
      <c r="H1470" s="232"/>
      <c r="I1470" s="232"/>
      <c r="J1470" s="232"/>
      <c r="K1470" s="196">
        <v>0</v>
      </c>
      <c r="L1470" s="204">
        <v>0</v>
      </c>
      <c r="M1470" s="209">
        <v>0</v>
      </c>
      <c r="N1470" s="199">
        <v>762</v>
      </c>
      <c r="O1470" s="237">
        <v>1512903</v>
      </c>
      <c r="P1470" s="200">
        <v>0</v>
      </c>
      <c r="Q1470" s="199">
        <v>0</v>
      </c>
      <c r="R1470" s="200">
        <v>0</v>
      </c>
      <c r="S1470" s="199">
        <v>0</v>
      </c>
      <c r="T1470" s="208">
        <v>0</v>
      </c>
      <c r="U1470" s="294">
        <v>0</v>
      </c>
      <c r="V1470" s="282"/>
      <c r="W1470" s="282"/>
      <c r="X1470" s="282"/>
    </row>
    <row r="1471" spans="1:28" s="29" customFormat="1">
      <c r="A1471" s="198">
        <v>373</v>
      </c>
      <c r="B1471" s="238" t="s">
        <v>81</v>
      </c>
      <c r="C1471" s="232">
        <v>2294873</v>
      </c>
      <c r="D1471" s="232"/>
      <c r="E1471" s="232"/>
      <c r="F1471" s="232"/>
      <c r="G1471" s="232"/>
      <c r="H1471" s="232"/>
      <c r="I1471" s="232"/>
      <c r="J1471" s="232"/>
      <c r="K1471" s="196">
        <v>0</v>
      </c>
      <c r="L1471" s="204">
        <v>0</v>
      </c>
      <c r="M1471" s="209">
        <v>0</v>
      </c>
      <c r="N1471" s="199">
        <v>1162</v>
      </c>
      <c r="O1471" s="237">
        <v>2294873</v>
      </c>
      <c r="P1471" s="200">
        <v>0</v>
      </c>
      <c r="Q1471" s="199">
        <v>0</v>
      </c>
      <c r="R1471" s="230">
        <v>0</v>
      </c>
      <c r="S1471" s="237">
        <v>0</v>
      </c>
      <c r="T1471" s="208">
        <v>0</v>
      </c>
      <c r="U1471" s="294">
        <v>0</v>
      </c>
      <c r="V1471" s="282"/>
      <c r="W1471" s="282"/>
      <c r="X1471" s="282"/>
    </row>
    <row r="1472" spans="1:28" s="29" customFormat="1">
      <c r="A1472" s="198">
        <v>374</v>
      </c>
      <c r="B1472" s="238" t="s">
        <v>82</v>
      </c>
      <c r="C1472" s="232">
        <v>879987</v>
      </c>
      <c r="D1472" s="232"/>
      <c r="E1472" s="232"/>
      <c r="F1472" s="232"/>
      <c r="G1472" s="232"/>
      <c r="H1472" s="232"/>
      <c r="I1472" s="232"/>
      <c r="J1472" s="232"/>
      <c r="K1472" s="196">
        <v>0</v>
      </c>
      <c r="L1472" s="204">
        <v>0</v>
      </c>
      <c r="M1472" s="209">
        <v>0</v>
      </c>
      <c r="N1472" s="199">
        <v>436.34</v>
      </c>
      <c r="O1472" s="237">
        <v>879987</v>
      </c>
      <c r="P1472" s="200">
        <v>0</v>
      </c>
      <c r="Q1472" s="199">
        <v>0</v>
      </c>
      <c r="R1472" s="200">
        <v>0</v>
      </c>
      <c r="S1472" s="237">
        <v>0</v>
      </c>
      <c r="T1472" s="208">
        <v>0</v>
      </c>
      <c r="U1472" s="294">
        <v>0</v>
      </c>
      <c r="V1472" s="282"/>
      <c r="W1472" s="282"/>
      <c r="X1472" s="282"/>
    </row>
    <row r="1473" spans="1:26" s="29" customFormat="1">
      <c r="A1473" s="198">
        <v>375</v>
      </c>
      <c r="B1473" s="238" t="s">
        <v>83</v>
      </c>
      <c r="C1473" s="232">
        <v>1361248</v>
      </c>
      <c r="D1473" s="232"/>
      <c r="E1473" s="232"/>
      <c r="F1473" s="232"/>
      <c r="G1473" s="232"/>
      <c r="H1473" s="232"/>
      <c r="I1473" s="232"/>
      <c r="J1473" s="232"/>
      <c r="K1473" s="196">
        <v>0</v>
      </c>
      <c r="L1473" s="204">
        <v>0</v>
      </c>
      <c r="M1473" s="209">
        <v>0</v>
      </c>
      <c r="N1473" s="199">
        <v>680</v>
      </c>
      <c r="O1473" s="237">
        <v>1361248</v>
      </c>
      <c r="P1473" s="200">
        <v>0</v>
      </c>
      <c r="Q1473" s="199">
        <v>0</v>
      </c>
      <c r="R1473" s="230">
        <v>0</v>
      </c>
      <c r="S1473" s="237">
        <v>0</v>
      </c>
      <c r="T1473" s="208">
        <v>0</v>
      </c>
      <c r="U1473" s="294">
        <v>0</v>
      </c>
      <c r="V1473" s="282"/>
      <c r="W1473" s="282"/>
      <c r="X1473" s="282"/>
    </row>
    <row r="1474" spans="1:26" ht="35.4" customHeight="1">
      <c r="A1474" s="470"/>
      <c r="B1474" s="524" t="s">
        <v>59</v>
      </c>
      <c r="C1474" s="479">
        <f>C1475+C1476</f>
        <v>0</v>
      </c>
      <c r="D1474" s="479">
        <f t="shared" ref="D1474:V1474" si="258">D1475+D1476</f>
        <v>0</v>
      </c>
      <c r="E1474" s="479">
        <f t="shared" si="258"/>
        <v>0</v>
      </c>
      <c r="F1474" s="479">
        <f t="shared" si="258"/>
        <v>0</v>
      </c>
      <c r="G1474" s="479">
        <f t="shared" si="258"/>
        <v>0</v>
      </c>
      <c r="H1474" s="479">
        <f t="shared" si="258"/>
        <v>0</v>
      </c>
      <c r="I1474" s="479">
        <f t="shared" si="258"/>
        <v>0</v>
      </c>
      <c r="J1474" s="479">
        <f t="shared" si="258"/>
        <v>0</v>
      </c>
      <c r="K1474" s="479">
        <f t="shared" si="258"/>
        <v>0</v>
      </c>
      <c r="L1474" s="479">
        <f t="shared" si="258"/>
        <v>0</v>
      </c>
      <c r="M1474" s="479">
        <f t="shared" si="258"/>
        <v>0</v>
      </c>
      <c r="N1474" s="479">
        <f t="shared" si="258"/>
        <v>0</v>
      </c>
      <c r="O1474" s="479">
        <f t="shared" si="258"/>
        <v>0</v>
      </c>
      <c r="P1474" s="479">
        <f t="shared" si="258"/>
        <v>0</v>
      </c>
      <c r="Q1474" s="479">
        <f t="shared" si="258"/>
        <v>0</v>
      </c>
      <c r="R1474" s="479">
        <f t="shared" si="258"/>
        <v>0</v>
      </c>
      <c r="S1474" s="479">
        <f t="shared" si="258"/>
        <v>0</v>
      </c>
      <c r="T1474" s="479">
        <f t="shared" si="258"/>
        <v>0</v>
      </c>
      <c r="U1474" s="479">
        <f t="shared" si="258"/>
        <v>0</v>
      </c>
      <c r="V1474" s="211">
        <f t="shared" si="258"/>
        <v>0</v>
      </c>
      <c r="W1474" s="282"/>
      <c r="X1474" s="282"/>
    </row>
    <row r="1475" spans="1:26" ht="27.6">
      <c r="A1475" s="470"/>
      <c r="B1475" s="523" t="s">
        <v>86</v>
      </c>
      <c r="C1475" s="558">
        <v>0</v>
      </c>
      <c r="D1475" s="558">
        <v>0</v>
      </c>
      <c r="E1475" s="558">
        <v>0</v>
      </c>
      <c r="F1475" s="558">
        <v>0</v>
      </c>
      <c r="G1475" s="558">
        <v>0</v>
      </c>
      <c r="H1475" s="558">
        <v>0</v>
      </c>
      <c r="I1475" s="558">
        <v>0</v>
      </c>
      <c r="J1475" s="558">
        <v>0</v>
      </c>
      <c r="K1475" s="558">
        <v>0</v>
      </c>
      <c r="L1475" s="930">
        <v>0</v>
      </c>
      <c r="M1475" s="558">
        <v>0</v>
      </c>
      <c r="N1475" s="558">
        <v>0</v>
      </c>
      <c r="O1475" s="558">
        <v>0</v>
      </c>
      <c r="P1475" s="931">
        <v>0</v>
      </c>
      <c r="Q1475" s="558">
        <v>0</v>
      </c>
      <c r="R1475" s="558">
        <v>0</v>
      </c>
      <c r="S1475" s="558">
        <v>0</v>
      </c>
      <c r="T1475" s="930">
        <v>0</v>
      </c>
      <c r="U1475" s="932">
        <v>0</v>
      </c>
      <c r="V1475" s="282"/>
      <c r="W1475" s="282"/>
      <c r="X1475" s="282"/>
      <c r="Y1475" s="30"/>
      <c r="Z1475" s="30"/>
    </row>
    <row r="1476" spans="1:26" ht="27.6">
      <c r="A1476" s="470"/>
      <c r="B1476" s="523" t="s">
        <v>85</v>
      </c>
      <c r="C1476" s="558">
        <v>0</v>
      </c>
      <c r="D1476" s="558">
        <v>0</v>
      </c>
      <c r="E1476" s="558">
        <v>0</v>
      </c>
      <c r="F1476" s="558">
        <v>0</v>
      </c>
      <c r="G1476" s="558">
        <v>0</v>
      </c>
      <c r="H1476" s="558">
        <v>0</v>
      </c>
      <c r="I1476" s="558">
        <v>0</v>
      </c>
      <c r="J1476" s="558">
        <v>0</v>
      </c>
      <c r="K1476" s="558">
        <v>0</v>
      </c>
      <c r="L1476" s="930">
        <v>0</v>
      </c>
      <c r="M1476" s="558">
        <v>0</v>
      </c>
      <c r="N1476" s="558">
        <v>0</v>
      </c>
      <c r="O1476" s="558">
        <v>0</v>
      </c>
      <c r="P1476" s="931">
        <v>0</v>
      </c>
      <c r="Q1476" s="558">
        <v>0</v>
      </c>
      <c r="R1476" s="931">
        <v>0</v>
      </c>
      <c r="S1476" s="558">
        <v>0</v>
      </c>
      <c r="T1476" s="933">
        <v>0</v>
      </c>
      <c r="U1476" s="932">
        <v>0</v>
      </c>
      <c r="V1476" s="282"/>
      <c r="W1476" s="282"/>
      <c r="X1476" s="282"/>
      <c r="Y1476" s="92"/>
      <c r="Z1476" s="92"/>
    </row>
    <row r="1477" spans="1:26">
      <c r="A1477" s="198"/>
      <c r="B1477" s="216" t="s">
        <v>60</v>
      </c>
      <c r="C1477" s="211">
        <v>9462538</v>
      </c>
      <c r="D1477" s="211"/>
      <c r="E1477" s="211"/>
      <c r="F1477" s="211"/>
      <c r="G1477" s="211"/>
      <c r="H1477" s="211"/>
      <c r="I1477" s="211"/>
      <c r="J1477" s="211"/>
      <c r="K1477" s="211">
        <v>0</v>
      </c>
      <c r="L1477" s="212">
        <v>0</v>
      </c>
      <c r="M1477" s="211">
        <v>0</v>
      </c>
      <c r="N1477" s="211">
        <v>1596</v>
      </c>
      <c r="O1477" s="211">
        <v>3173810</v>
      </c>
      <c r="P1477" s="213">
        <v>0</v>
      </c>
      <c r="Q1477" s="211">
        <v>0</v>
      </c>
      <c r="R1477" s="211">
        <v>4347</v>
      </c>
      <c r="S1477" s="211">
        <v>6288728</v>
      </c>
      <c r="T1477" s="212">
        <v>0</v>
      </c>
      <c r="U1477" s="290">
        <v>0</v>
      </c>
      <c r="V1477" s="282"/>
      <c r="W1477" s="282"/>
      <c r="X1477" s="282"/>
    </row>
    <row r="1478" spans="1:26" ht="27.6">
      <c r="A1478" s="198"/>
      <c r="B1478" s="214" t="s">
        <v>113</v>
      </c>
      <c r="C1478" s="211">
        <v>9462538</v>
      </c>
      <c r="D1478" s="211"/>
      <c r="E1478" s="211"/>
      <c r="F1478" s="211"/>
      <c r="G1478" s="211"/>
      <c r="H1478" s="211"/>
      <c r="I1478" s="211"/>
      <c r="J1478" s="211"/>
      <c r="K1478" s="211">
        <v>0</v>
      </c>
      <c r="L1478" s="212">
        <v>0</v>
      </c>
      <c r="M1478" s="211">
        <v>0</v>
      </c>
      <c r="N1478" s="211">
        <v>1596</v>
      </c>
      <c r="O1478" s="211">
        <v>3173810</v>
      </c>
      <c r="P1478" s="213">
        <v>0</v>
      </c>
      <c r="Q1478" s="211">
        <v>0</v>
      </c>
      <c r="R1478" s="211">
        <v>4347</v>
      </c>
      <c r="S1478" s="211">
        <v>6288728</v>
      </c>
      <c r="T1478" s="212">
        <v>0</v>
      </c>
      <c r="U1478" s="290">
        <v>0</v>
      </c>
      <c r="V1478" s="282"/>
      <c r="W1478" s="282"/>
      <c r="X1478" s="282"/>
      <c r="Y1478" s="10"/>
      <c r="Z1478" s="10"/>
    </row>
    <row r="1479" spans="1:26" s="32" customFormat="1">
      <c r="A1479" s="198">
        <v>435</v>
      </c>
      <c r="B1479" s="206" t="s">
        <v>76</v>
      </c>
      <c r="C1479" s="232">
        <v>3626543</v>
      </c>
      <c r="D1479" s="232"/>
      <c r="E1479" s="232"/>
      <c r="F1479" s="232"/>
      <c r="G1479" s="232"/>
      <c r="H1479" s="232"/>
      <c r="I1479" s="232"/>
      <c r="J1479" s="232"/>
      <c r="K1479" s="211">
        <v>0</v>
      </c>
      <c r="L1479" s="212">
        <v>0</v>
      </c>
      <c r="M1479" s="211">
        <v>0</v>
      </c>
      <c r="N1479" s="211">
        <v>0</v>
      </c>
      <c r="O1479" s="211">
        <v>0</v>
      </c>
      <c r="P1479" s="213">
        <v>0</v>
      </c>
      <c r="Q1479" s="211">
        <v>0</v>
      </c>
      <c r="R1479" s="232">
        <v>2511</v>
      </c>
      <c r="S1479" s="232">
        <v>3626543</v>
      </c>
      <c r="T1479" s="212">
        <v>0</v>
      </c>
      <c r="U1479" s="290">
        <v>0</v>
      </c>
      <c r="V1479" s="282"/>
      <c r="W1479" s="282"/>
      <c r="X1479" s="282"/>
      <c r="Y1479" s="31"/>
      <c r="Z1479" s="31"/>
    </row>
    <row r="1480" spans="1:26" s="32" customFormat="1">
      <c r="A1480" s="198">
        <v>436</v>
      </c>
      <c r="B1480" s="206" t="s">
        <v>75</v>
      </c>
      <c r="C1480" s="232">
        <v>2160246</v>
      </c>
      <c r="D1480" s="232"/>
      <c r="E1480" s="232"/>
      <c r="F1480" s="232"/>
      <c r="G1480" s="232"/>
      <c r="H1480" s="232"/>
      <c r="I1480" s="232"/>
      <c r="J1480" s="232"/>
      <c r="K1480" s="211">
        <v>0</v>
      </c>
      <c r="L1480" s="212">
        <v>0</v>
      </c>
      <c r="M1480" s="211">
        <v>0</v>
      </c>
      <c r="N1480" s="232">
        <v>1092</v>
      </c>
      <c r="O1480" s="232">
        <v>2160246</v>
      </c>
      <c r="P1480" s="213">
        <v>0</v>
      </c>
      <c r="Q1480" s="211">
        <v>0</v>
      </c>
      <c r="R1480" s="213">
        <v>0</v>
      </c>
      <c r="S1480" s="211">
        <v>0</v>
      </c>
      <c r="T1480" s="212">
        <v>0</v>
      </c>
      <c r="U1480" s="290">
        <v>0</v>
      </c>
      <c r="V1480" s="282"/>
      <c r="W1480" s="282"/>
      <c r="X1480" s="282"/>
      <c r="Y1480" s="31"/>
      <c r="Z1480" s="31"/>
    </row>
    <row r="1481" spans="1:26" s="32" customFormat="1">
      <c r="A1481" s="198">
        <v>437</v>
      </c>
      <c r="B1481" s="206" t="s">
        <v>77</v>
      </c>
      <c r="C1481" s="232">
        <v>1013564</v>
      </c>
      <c r="D1481" s="232"/>
      <c r="E1481" s="232"/>
      <c r="F1481" s="232"/>
      <c r="G1481" s="232"/>
      <c r="H1481" s="232"/>
      <c r="I1481" s="232"/>
      <c r="J1481" s="232"/>
      <c r="K1481" s="211">
        <v>0</v>
      </c>
      <c r="L1481" s="212">
        <v>0</v>
      </c>
      <c r="M1481" s="211">
        <v>0</v>
      </c>
      <c r="N1481" s="232">
        <v>504</v>
      </c>
      <c r="O1481" s="232">
        <v>1013564</v>
      </c>
      <c r="P1481" s="213">
        <v>0</v>
      </c>
      <c r="Q1481" s="211">
        <v>0</v>
      </c>
      <c r="R1481" s="213">
        <v>0</v>
      </c>
      <c r="S1481" s="211">
        <v>0</v>
      </c>
      <c r="T1481" s="212">
        <v>0</v>
      </c>
      <c r="U1481" s="290">
        <v>0</v>
      </c>
      <c r="V1481" s="282"/>
      <c r="W1481" s="282"/>
      <c r="X1481" s="282"/>
      <c r="Y1481" s="31"/>
      <c r="Z1481" s="31"/>
    </row>
    <row r="1482" spans="1:26" s="32" customFormat="1">
      <c r="A1482" s="198">
        <v>438</v>
      </c>
      <c r="B1482" s="206" t="s">
        <v>427</v>
      </c>
      <c r="C1482" s="232">
        <v>2662185</v>
      </c>
      <c r="D1482" s="232"/>
      <c r="E1482" s="232"/>
      <c r="F1482" s="232"/>
      <c r="G1482" s="232"/>
      <c r="H1482" s="232"/>
      <c r="I1482" s="232"/>
      <c r="J1482" s="232"/>
      <c r="K1482" s="211">
        <v>0</v>
      </c>
      <c r="L1482" s="212">
        <v>0</v>
      </c>
      <c r="M1482" s="211">
        <v>0</v>
      </c>
      <c r="N1482" s="211">
        <v>0</v>
      </c>
      <c r="O1482" s="211">
        <v>0</v>
      </c>
      <c r="P1482" s="213">
        <v>0</v>
      </c>
      <c r="Q1482" s="211">
        <v>0</v>
      </c>
      <c r="R1482" s="232">
        <v>1836</v>
      </c>
      <c r="S1482" s="232">
        <v>2662185</v>
      </c>
      <c r="T1482" s="212">
        <v>0</v>
      </c>
      <c r="U1482" s="290">
        <v>0</v>
      </c>
      <c r="V1482" s="282"/>
      <c r="W1482" s="282"/>
      <c r="X1482" s="282"/>
      <c r="Y1482" s="31"/>
      <c r="Z1482" s="31"/>
    </row>
    <row r="1483" spans="1:26" s="32" customFormat="1">
      <c r="A1483" s="198"/>
      <c r="B1483" s="206" t="s">
        <v>208</v>
      </c>
      <c r="C1483" s="232">
        <v>562350</v>
      </c>
      <c r="D1483" s="232"/>
      <c r="E1483" s="232"/>
      <c r="F1483" s="232"/>
      <c r="G1483" s="232"/>
      <c r="H1483" s="232"/>
      <c r="I1483" s="232"/>
      <c r="J1483" s="232"/>
      <c r="K1483" s="232">
        <v>0</v>
      </c>
      <c r="L1483" s="239">
        <v>0</v>
      </c>
      <c r="M1483" s="232">
        <v>0</v>
      </c>
      <c r="N1483" s="232">
        <v>275</v>
      </c>
      <c r="O1483" s="232">
        <v>562350</v>
      </c>
      <c r="P1483" s="230">
        <v>0</v>
      </c>
      <c r="Q1483" s="232">
        <v>0</v>
      </c>
      <c r="R1483" s="230">
        <v>0</v>
      </c>
      <c r="S1483" s="232">
        <v>0</v>
      </c>
      <c r="T1483" s="230">
        <v>0</v>
      </c>
      <c r="U1483" s="295">
        <v>0</v>
      </c>
      <c r="V1483" s="282"/>
      <c r="W1483" s="282"/>
      <c r="X1483" s="282"/>
      <c r="Y1483" s="31"/>
      <c r="Z1483" s="31"/>
    </row>
    <row r="1484" spans="1:26" s="32" customFormat="1" ht="27.6">
      <c r="A1484" s="198"/>
      <c r="B1484" s="214" t="s">
        <v>209</v>
      </c>
      <c r="C1484" s="232">
        <f>C1485</f>
        <v>512860</v>
      </c>
      <c r="D1484" s="232">
        <f t="shared" ref="D1484:U1484" si="259">D1485</f>
        <v>0</v>
      </c>
      <c r="E1484" s="232">
        <f t="shared" si="259"/>
        <v>0</v>
      </c>
      <c r="F1484" s="232">
        <f t="shared" si="259"/>
        <v>0</v>
      </c>
      <c r="G1484" s="232">
        <f t="shared" si="259"/>
        <v>0</v>
      </c>
      <c r="H1484" s="232">
        <f t="shared" si="259"/>
        <v>0</v>
      </c>
      <c r="I1484" s="232">
        <f t="shared" si="259"/>
        <v>0</v>
      </c>
      <c r="J1484" s="232">
        <f t="shared" si="259"/>
        <v>0</v>
      </c>
      <c r="K1484" s="232">
        <f t="shared" si="259"/>
        <v>0</v>
      </c>
      <c r="L1484" s="232">
        <f t="shared" si="259"/>
        <v>0</v>
      </c>
      <c r="M1484" s="232">
        <f t="shared" si="259"/>
        <v>0</v>
      </c>
      <c r="N1484" s="232">
        <f t="shared" si="259"/>
        <v>0</v>
      </c>
      <c r="O1484" s="232">
        <f t="shared" si="259"/>
        <v>0</v>
      </c>
      <c r="P1484" s="232">
        <f t="shared" si="259"/>
        <v>0</v>
      </c>
      <c r="Q1484" s="232">
        <f t="shared" si="259"/>
        <v>0</v>
      </c>
      <c r="R1484" s="232">
        <f t="shared" si="259"/>
        <v>331.56</v>
      </c>
      <c r="S1484" s="232">
        <f t="shared" si="259"/>
        <v>512860</v>
      </c>
      <c r="T1484" s="232">
        <f t="shared" si="259"/>
        <v>0</v>
      </c>
      <c r="U1484" s="232">
        <f t="shared" si="259"/>
        <v>0</v>
      </c>
      <c r="V1484" s="282"/>
      <c r="W1484" s="282"/>
      <c r="X1484" s="282"/>
      <c r="Y1484" s="31"/>
      <c r="Z1484" s="31"/>
    </row>
    <row r="1485" spans="1:26" s="32" customFormat="1">
      <c r="A1485" s="470">
        <v>439</v>
      </c>
      <c r="B1485" s="520" t="s">
        <v>480</v>
      </c>
      <c r="C1485" s="521">
        <v>512860</v>
      </c>
      <c r="D1485" s="521">
        <v>0</v>
      </c>
      <c r="E1485" s="521">
        <v>0</v>
      </c>
      <c r="F1485" s="521">
        <v>0</v>
      </c>
      <c r="G1485" s="521">
        <v>0</v>
      </c>
      <c r="H1485" s="521">
        <v>0</v>
      </c>
      <c r="I1485" s="521">
        <v>0</v>
      </c>
      <c r="J1485" s="521">
        <v>0</v>
      </c>
      <c r="K1485" s="479">
        <v>0</v>
      </c>
      <c r="L1485" s="515">
        <v>0</v>
      </c>
      <c r="M1485" s="479">
        <v>0</v>
      </c>
      <c r="N1485" s="479">
        <v>0</v>
      </c>
      <c r="O1485" s="479">
        <v>0</v>
      </c>
      <c r="P1485" s="516">
        <v>0</v>
      </c>
      <c r="Q1485" s="479">
        <v>0</v>
      </c>
      <c r="R1485" s="522">
        <v>331.56</v>
      </c>
      <c r="S1485" s="521">
        <v>512860</v>
      </c>
      <c r="T1485" s="515">
        <v>0</v>
      </c>
      <c r="U1485" s="517">
        <v>0</v>
      </c>
      <c r="V1485" s="282"/>
      <c r="W1485" s="282"/>
      <c r="X1485" s="282">
        <f>S1485/R1485</f>
        <v>1546.8090240077211</v>
      </c>
      <c r="Y1485" s="31"/>
      <c r="Z1485" s="31"/>
    </row>
    <row r="1486" spans="1:26">
      <c r="A1486" s="198"/>
      <c r="B1486" s="216" t="s">
        <v>61</v>
      </c>
      <c r="C1486" s="211">
        <v>1267050</v>
      </c>
      <c r="D1486" s="211"/>
      <c r="E1486" s="211"/>
      <c r="F1486" s="211"/>
      <c r="G1486" s="211"/>
      <c r="H1486" s="211"/>
      <c r="I1486" s="211"/>
      <c r="J1486" s="211"/>
      <c r="K1486" s="211">
        <v>0</v>
      </c>
      <c r="L1486" s="212">
        <v>0</v>
      </c>
      <c r="M1486" s="211">
        <v>0</v>
      </c>
      <c r="N1486" s="211">
        <v>643</v>
      </c>
      <c r="O1486" s="211">
        <v>1267050</v>
      </c>
      <c r="P1486" s="213">
        <v>0</v>
      </c>
      <c r="Q1486" s="211">
        <v>0</v>
      </c>
      <c r="R1486" s="213">
        <v>0</v>
      </c>
      <c r="S1486" s="211">
        <v>0</v>
      </c>
      <c r="T1486" s="212">
        <v>0</v>
      </c>
      <c r="U1486" s="290">
        <v>0</v>
      </c>
      <c r="V1486" s="282"/>
      <c r="W1486" s="282"/>
      <c r="X1486" s="282"/>
    </row>
    <row r="1487" spans="1:26" ht="27.6">
      <c r="A1487" s="198"/>
      <c r="B1487" s="214" t="s">
        <v>118</v>
      </c>
      <c r="C1487" s="211">
        <f t="shared" ref="C1487:V1487" si="260">C1488+C1489+C1490+C1491</f>
        <v>4336309</v>
      </c>
      <c r="D1487" s="211">
        <f t="shared" si="260"/>
        <v>353672</v>
      </c>
      <c r="E1487" s="211">
        <f t="shared" si="260"/>
        <v>353672</v>
      </c>
      <c r="F1487" s="211">
        <f t="shared" si="260"/>
        <v>0</v>
      </c>
      <c r="G1487" s="211">
        <f t="shared" si="260"/>
        <v>0</v>
      </c>
      <c r="H1487" s="211">
        <f t="shared" si="260"/>
        <v>0</v>
      </c>
      <c r="I1487" s="211">
        <f t="shared" si="260"/>
        <v>0</v>
      </c>
      <c r="J1487" s="211">
        <f t="shared" si="260"/>
        <v>0</v>
      </c>
      <c r="K1487" s="211">
        <f t="shared" si="260"/>
        <v>0</v>
      </c>
      <c r="L1487" s="211">
        <f t="shared" si="260"/>
        <v>0</v>
      </c>
      <c r="M1487" s="211">
        <f t="shared" si="260"/>
        <v>0</v>
      </c>
      <c r="N1487" s="211">
        <f t="shared" si="260"/>
        <v>1355.99</v>
      </c>
      <c r="O1487" s="211">
        <f t="shared" si="260"/>
        <v>3982637</v>
      </c>
      <c r="P1487" s="211">
        <f t="shared" si="260"/>
        <v>0</v>
      </c>
      <c r="Q1487" s="211">
        <f t="shared" si="260"/>
        <v>0</v>
      </c>
      <c r="R1487" s="211">
        <f t="shared" si="260"/>
        <v>0</v>
      </c>
      <c r="S1487" s="211">
        <f t="shared" si="260"/>
        <v>0</v>
      </c>
      <c r="T1487" s="211">
        <f t="shared" si="260"/>
        <v>0</v>
      </c>
      <c r="U1487" s="211">
        <f t="shared" si="260"/>
        <v>0</v>
      </c>
      <c r="V1487" s="211">
        <f t="shared" si="260"/>
        <v>0</v>
      </c>
      <c r="W1487" s="282"/>
      <c r="X1487" s="282"/>
    </row>
    <row r="1488" spans="1:26">
      <c r="A1488" s="470"/>
      <c r="B1488" s="480" t="s">
        <v>489</v>
      </c>
      <c r="C1488" s="479">
        <v>1231974</v>
      </c>
      <c r="D1488" s="479">
        <f>E1488+F1488+G1488+H1488+I1488+J1488+K1488</f>
        <v>0</v>
      </c>
      <c r="E1488" s="479">
        <v>0</v>
      </c>
      <c r="F1488" s="479">
        <v>0</v>
      </c>
      <c r="G1488" s="479">
        <v>0</v>
      </c>
      <c r="H1488" s="479">
        <v>0</v>
      </c>
      <c r="I1488" s="479">
        <v>0</v>
      </c>
      <c r="J1488" s="479">
        <v>0</v>
      </c>
      <c r="K1488" s="479">
        <v>0</v>
      </c>
      <c r="L1488" s="479">
        <v>0</v>
      </c>
      <c r="M1488" s="479">
        <v>0</v>
      </c>
      <c r="N1488" s="479">
        <v>384</v>
      </c>
      <c r="O1488" s="479">
        <v>1231974</v>
      </c>
      <c r="P1488" s="479">
        <v>0</v>
      </c>
      <c r="Q1488" s="479">
        <v>0</v>
      </c>
      <c r="R1488" s="479">
        <v>0</v>
      </c>
      <c r="S1488" s="479">
        <v>0</v>
      </c>
      <c r="T1488" s="479">
        <v>0</v>
      </c>
      <c r="U1488" s="479">
        <v>0</v>
      </c>
      <c r="V1488" s="552"/>
      <c r="W1488" s="282">
        <f>O1488/N1488</f>
        <v>3208.265625</v>
      </c>
      <c r="X1488" s="282"/>
    </row>
    <row r="1489" spans="1:31">
      <c r="A1489" s="470"/>
      <c r="B1489" s="480" t="s">
        <v>225</v>
      </c>
      <c r="C1489" s="479">
        <v>1299802</v>
      </c>
      <c r="D1489" s="479">
        <f t="shared" ref="D1489:D1491" si="261">E1489+F1489+G1489+H1489+I1489+J1489+K1489</f>
        <v>0</v>
      </c>
      <c r="E1489" s="479">
        <v>0</v>
      </c>
      <c r="F1489" s="479">
        <v>0</v>
      </c>
      <c r="G1489" s="479">
        <v>0</v>
      </c>
      <c r="H1489" s="479">
        <v>0</v>
      </c>
      <c r="I1489" s="479">
        <v>0</v>
      </c>
      <c r="J1489" s="479">
        <v>0</v>
      </c>
      <c r="K1489" s="479">
        <v>0</v>
      </c>
      <c r="L1489" s="479">
        <v>0</v>
      </c>
      <c r="M1489" s="479">
        <v>0</v>
      </c>
      <c r="N1489" s="479">
        <v>518.87</v>
      </c>
      <c r="O1489" s="479">
        <v>1299802</v>
      </c>
      <c r="P1489" s="479">
        <v>0</v>
      </c>
      <c r="Q1489" s="479">
        <v>0</v>
      </c>
      <c r="R1489" s="479">
        <v>0</v>
      </c>
      <c r="S1489" s="479">
        <v>0</v>
      </c>
      <c r="T1489" s="479">
        <v>0</v>
      </c>
      <c r="U1489" s="479">
        <v>0</v>
      </c>
      <c r="V1489" s="552"/>
      <c r="W1489" s="282">
        <f t="shared" ref="W1489:W1490" si="262">O1489/N1489</f>
        <v>2505.0629252028448</v>
      </c>
      <c r="X1489" s="282"/>
    </row>
    <row r="1490" spans="1:31">
      <c r="A1490" s="470">
        <v>440</v>
      </c>
      <c r="B1490" s="480" t="s">
        <v>490</v>
      </c>
      <c r="C1490" s="479">
        <v>1450861</v>
      </c>
      <c r="D1490" s="479">
        <f t="shared" si="261"/>
        <v>0</v>
      </c>
      <c r="E1490" s="479">
        <v>0</v>
      </c>
      <c r="F1490" s="479">
        <v>0</v>
      </c>
      <c r="G1490" s="479">
        <v>0</v>
      </c>
      <c r="H1490" s="479">
        <v>0</v>
      </c>
      <c r="I1490" s="479">
        <v>0</v>
      </c>
      <c r="J1490" s="479">
        <v>0</v>
      </c>
      <c r="K1490" s="479">
        <v>0</v>
      </c>
      <c r="L1490" s="515">
        <v>0</v>
      </c>
      <c r="M1490" s="479">
        <v>0</v>
      </c>
      <c r="N1490" s="479">
        <v>453.12</v>
      </c>
      <c r="O1490" s="479">
        <v>1450861</v>
      </c>
      <c r="P1490" s="516">
        <v>0</v>
      </c>
      <c r="Q1490" s="479">
        <v>0</v>
      </c>
      <c r="R1490" s="516">
        <v>0</v>
      </c>
      <c r="S1490" s="479">
        <v>0</v>
      </c>
      <c r="T1490" s="515">
        <v>0</v>
      </c>
      <c r="U1490" s="517">
        <v>0</v>
      </c>
      <c r="V1490" s="282"/>
      <c r="W1490" s="282">
        <f t="shared" si="262"/>
        <v>3201.9354696327682</v>
      </c>
      <c r="X1490" s="282"/>
    </row>
    <row r="1491" spans="1:31">
      <c r="A1491" s="470"/>
      <c r="B1491" s="480" t="s">
        <v>491</v>
      </c>
      <c r="C1491" s="479">
        <v>353672</v>
      </c>
      <c r="D1491" s="479">
        <f t="shared" si="261"/>
        <v>353672</v>
      </c>
      <c r="E1491" s="479">
        <v>353672</v>
      </c>
      <c r="F1491" s="479">
        <v>0</v>
      </c>
      <c r="G1491" s="479">
        <v>0</v>
      </c>
      <c r="H1491" s="479">
        <v>0</v>
      </c>
      <c r="I1491" s="479">
        <v>0</v>
      </c>
      <c r="J1491" s="479">
        <v>0</v>
      </c>
      <c r="K1491" s="479">
        <v>0</v>
      </c>
      <c r="L1491" s="515">
        <v>0</v>
      </c>
      <c r="M1491" s="479">
        <v>0</v>
      </c>
      <c r="N1491" s="479">
        <v>0</v>
      </c>
      <c r="O1491" s="479">
        <v>0</v>
      </c>
      <c r="P1491" s="516">
        <v>0</v>
      </c>
      <c r="Q1491" s="479">
        <v>0</v>
      </c>
      <c r="R1491" s="516">
        <v>0</v>
      </c>
      <c r="S1491" s="479">
        <v>0</v>
      </c>
      <c r="T1491" s="515">
        <v>0</v>
      </c>
      <c r="U1491" s="517">
        <v>0</v>
      </c>
      <c r="V1491" s="282"/>
      <c r="W1491" s="282"/>
      <c r="X1491" s="282"/>
      <c r="Y1491" s="1">
        <f>E1491/'часть 1'!I1515</f>
        <v>722.36928104575156</v>
      </c>
    </row>
    <row r="1492" spans="1:31" ht="21.6" customHeight="1">
      <c r="A1492" s="194"/>
      <c r="B1492" s="214" t="s">
        <v>649</v>
      </c>
      <c r="C1492" s="211">
        <f>C1493</f>
        <v>1490380</v>
      </c>
      <c r="D1492" s="211">
        <f t="shared" ref="D1492:V1492" si="263">D1493</f>
        <v>0</v>
      </c>
      <c r="E1492" s="211">
        <f t="shared" si="263"/>
        <v>0</v>
      </c>
      <c r="F1492" s="211">
        <f t="shared" si="263"/>
        <v>0</v>
      </c>
      <c r="G1492" s="211">
        <f t="shared" si="263"/>
        <v>0</v>
      </c>
      <c r="H1492" s="211">
        <f t="shared" si="263"/>
        <v>0</v>
      </c>
      <c r="I1492" s="211">
        <f t="shared" si="263"/>
        <v>0</v>
      </c>
      <c r="J1492" s="211">
        <f t="shared" si="263"/>
        <v>0</v>
      </c>
      <c r="K1492" s="211">
        <f t="shared" si="263"/>
        <v>0</v>
      </c>
      <c r="L1492" s="211">
        <f t="shared" si="263"/>
        <v>0</v>
      </c>
      <c r="M1492" s="211">
        <f t="shared" si="263"/>
        <v>0</v>
      </c>
      <c r="N1492" s="211">
        <f t="shared" si="263"/>
        <v>597.5</v>
      </c>
      <c r="O1492" s="211">
        <f t="shared" si="263"/>
        <v>1490380</v>
      </c>
      <c r="P1492" s="211">
        <f t="shared" si="263"/>
        <v>0</v>
      </c>
      <c r="Q1492" s="211">
        <f t="shared" si="263"/>
        <v>0</v>
      </c>
      <c r="R1492" s="211">
        <f t="shared" si="263"/>
        <v>0</v>
      </c>
      <c r="S1492" s="211">
        <f t="shared" si="263"/>
        <v>0</v>
      </c>
      <c r="T1492" s="211">
        <f t="shared" si="263"/>
        <v>0</v>
      </c>
      <c r="U1492" s="211">
        <f t="shared" si="263"/>
        <v>0</v>
      </c>
      <c r="V1492" s="211">
        <f t="shared" si="263"/>
        <v>0</v>
      </c>
      <c r="W1492" s="282"/>
      <c r="X1492" s="282"/>
    </row>
    <row r="1493" spans="1:31" ht="27.6">
      <c r="A1493" s="194"/>
      <c r="B1493" s="214" t="s">
        <v>655</v>
      </c>
      <c r="C1493" s="211">
        <f>C1494</f>
        <v>1490380</v>
      </c>
      <c r="D1493" s="211">
        <f t="shared" ref="D1493:V1493" si="264">D1494</f>
        <v>0</v>
      </c>
      <c r="E1493" s="211">
        <f t="shared" si="264"/>
        <v>0</v>
      </c>
      <c r="F1493" s="211">
        <f t="shared" si="264"/>
        <v>0</v>
      </c>
      <c r="G1493" s="211">
        <f t="shared" si="264"/>
        <v>0</v>
      </c>
      <c r="H1493" s="211">
        <f t="shared" si="264"/>
        <v>0</v>
      </c>
      <c r="I1493" s="211">
        <f t="shared" si="264"/>
        <v>0</v>
      </c>
      <c r="J1493" s="211">
        <f t="shared" si="264"/>
        <v>0</v>
      </c>
      <c r="K1493" s="211">
        <f t="shared" si="264"/>
        <v>0</v>
      </c>
      <c r="L1493" s="211">
        <f t="shared" si="264"/>
        <v>0</v>
      </c>
      <c r="M1493" s="211">
        <f t="shared" si="264"/>
        <v>0</v>
      </c>
      <c r="N1493" s="211">
        <f t="shared" si="264"/>
        <v>597.5</v>
      </c>
      <c r="O1493" s="211">
        <f t="shared" si="264"/>
        <v>1490380</v>
      </c>
      <c r="P1493" s="211">
        <f t="shared" si="264"/>
        <v>0</v>
      </c>
      <c r="Q1493" s="211">
        <f t="shared" si="264"/>
        <v>0</v>
      </c>
      <c r="R1493" s="211">
        <f t="shared" si="264"/>
        <v>0</v>
      </c>
      <c r="S1493" s="211">
        <f t="shared" si="264"/>
        <v>0</v>
      </c>
      <c r="T1493" s="211">
        <f t="shared" si="264"/>
        <v>0</v>
      </c>
      <c r="U1493" s="211">
        <f t="shared" si="264"/>
        <v>0</v>
      </c>
      <c r="V1493" s="211">
        <f t="shared" si="264"/>
        <v>0</v>
      </c>
      <c r="W1493" s="282"/>
      <c r="X1493" s="282"/>
    </row>
    <row r="1494" spans="1:31" ht="27.6">
      <c r="A1494" s="194"/>
      <c r="B1494" s="214" t="s">
        <v>656</v>
      </c>
      <c r="C1494" s="211">
        <v>1490380</v>
      </c>
      <c r="D1494" s="211">
        <v>0</v>
      </c>
      <c r="E1494" s="211">
        <v>0</v>
      </c>
      <c r="F1494" s="211">
        <v>0</v>
      </c>
      <c r="G1494" s="211">
        <v>0</v>
      </c>
      <c r="H1494" s="211">
        <v>0</v>
      </c>
      <c r="I1494" s="211">
        <v>0</v>
      </c>
      <c r="J1494" s="211">
        <v>0</v>
      </c>
      <c r="K1494" s="211">
        <v>0</v>
      </c>
      <c r="L1494" s="212">
        <v>0</v>
      </c>
      <c r="M1494" s="211">
        <v>0</v>
      </c>
      <c r="N1494" s="211">
        <v>597.5</v>
      </c>
      <c r="O1494" s="211">
        <v>1490380</v>
      </c>
      <c r="P1494" s="213">
        <v>0</v>
      </c>
      <c r="Q1494" s="211">
        <v>0</v>
      </c>
      <c r="R1494" s="213">
        <v>0</v>
      </c>
      <c r="S1494" s="211">
        <v>0</v>
      </c>
      <c r="T1494" s="212">
        <v>0</v>
      </c>
      <c r="U1494" s="290">
        <v>0</v>
      </c>
      <c r="V1494" s="282"/>
      <c r="W1494" s="282">
        <f>O1494/N1494</f>
        <v>2494.3598326359834</v>
      </c>
      <c r="X1494" s="282"/>
    </row>
    <row r="1495" spans="1:31">
      <c r="A1495" s="198"/>
      <c r="B1495" s="216" t="s">
        <v>62</v>
      </c>
      <c r="C1495" s="211">
        <v>974618</v>
      </c>
      <c r="D1495" s="211"/>
      <c r="E1495" s="211"/>
      <c r="F1495" s="211"/>
      <c r="G1495" s="211"/>
      <c r="H1495" s="211"/>
      <c r="I1495" s="211"/>
      <c r="J1495" s="211"/>
      <c r="K1495" s="211">
        <v>0</v>
      </c>
      <c r="L1495" s="212">
        <v>0</v>
      </c>
      <c r="M1495" s="211">
        <v>0</v>
      </c>
      <c r="N1495" s="211">
        <v>484</v>
      </c>
      <c r="O1495" s="211">
        <v>974618</v>
      </c>
      <c r="P1495" s="213">
        <v>0</v>
      </c>
      <c r="Q1495" s="211">
        <v>0</v>
      </c>
      <c r="R1495" s="213">
        <v>0</v>
      </c>
      <c r="S1495" s="211">
        <v>0</v>
      </c>
      <c r="T1495" s="212">
        <v>0</v>
      </c>
      <c r="U1495" s="290">
        <v>0</v>
      </c>
      <c r="V1495" s="282"/>
      <c r="W1495" s="282"/>
      <c r="X1495" s="282"/>
    </row>
    <row r="1496" spans="1:31" ht="27.6">
      <c r="A1496" s="198"/>
      <c r="B1496" s="238" t="s">
        <v>117</v>
      </c>
      <c r="C1496" s="211">
        <f>C1497</f>
        <v>1175875</v>
      </c>
      <c r="D1496" s="211">
        <f t="shared" ref="D1496:V1496" si="265">D1497</f>
        <v>0</v>
      </c>
      <c r="E1496" s="211">
        <f t="shared" si="265"/>
        <v>0</v>
      </c>
      <c r="F1496" s="211">
        <f t="shared" si="265"/>
        <v>0</v>
      </c>
      <c r="G1496" s="211">
        <f t="shared" si="265"/>
        <v>0</v>
      </c>
      <c r="H1496" s="211">
        <f t="shared" si="265"/>
        <v>0</v>
      </c>
      <c r="I1496" s="211">
        <f t="shared" si="265"/>
        <v>0</v>
      </c>
      <c r="J1496" s="211">
        <f t="shared" si="265"/>
        <v>0</v>
      </c>
      <c r="K1496" s="211">
        <f t="shared" si="265"/>
        <v>0</v>
      </c>
      <c r="L1496" s="211">
        <f t="shared" si="265"/>
        <v>0</v>
      </c>
      <c r="M1496" s="211">
        <f t="shared" si="265"/>
        <v>0</v>
      </c>
      <c r="N1496" s="211">
        <f t="shared" si="265"/>
        <v>366</v>
      </c>
      <c r="O1496" s="211">
        <f t="shared" si="265"/>
        <v>1175875</v>
      </c>
      <c r="P1496" s="211">
        <f t="shared" si="265"/>
        <v>0</v>
      </c>
      <c r="Q1496" s="211">
        <f t="shared" si="265"/>
        <v>0</v>
      </c>
      <c r="R1496" s="211">
        <f t="shared" si="265"/>
        <v>0</v>
      </c>
      <c r="S1496" s="211">
        <f t="shared" si="265"/>
        <v>0</v>
      </c>
      <c r="T1496" s="211">
        <f t="shared" si="265"/>
        <v>0</v>
      </c>
      <c r="U1496" s="211">
        <f t="shared" si="265"/>
        <v>0</v>
      </c>
      <c r="V1496" s="211">
        <f t="shared" si="265"/>
        <v>0</v>
      </c>
      <c r="W1496" s="211"/>
      <c r="X1496" s="211"/>
      <c r="Y1496" s="211"/>
      <c r="Z1496" s="211"/>
      <c r="AA1496" s="211"/>
      <c r="AB1496" s="211"/>
      <c r="AC1496" s="211"/>
      <c r="AD1496" s="211"/>
      <c r="AE1496" s="211"/>
    </row>
    <row r="1497" spans="1:31">
      <c r="A1497" s="470">
        <v>441</v>
      </c>
      <c r="B1497" s="480" t="s">
        <v>488</v>
      </c>
      <c r="C1497" s="479">
        <v>1175875</v>
      </c>
      <c r="D1497" s="479">
        <v>0</v>
      </c>
      <c r="E1497" s="479">
        <v>0</v>
      </c>
      <c r="F1497" s="479">
        <v>0</v>
      </c>
      <c r="G1497" s="479">
        <v>0</v>
      </c>
      <c r="H1497" s="479">
        <v>0</v>
      </c>
      <c r="I1497" s="479">
        <v>0</v>
      </c>
      <c r="J1497" s="479">
        <v>0</v>
      </c>
      <c r="K1497" s="479">
        <v>0</v>
      </c>
      <c r="L1497" s="515">
        <v>0</v>
      </c>
      <c r="M1497" s="479">
        <v>0</v>
      </c>
      <c r="N1497" s="479">
        <v>366</v>
      </c>
      <c r="O1497" s="479">
        <v>1175875</v>
      </c>
      <c r="P1497" s="516">
        <v>0</v>
      </c>
      <c r="Q1497" s="479">
        <v>0</v>
      </c>
      <c r="R1497" s="516">
        <v>0</v>
      </c>
      <c r="S1497" s="479">
        <v>0</v>
      </c>
      <c r="T1497" s="515">
        <v>0</v>
      </c>
      <c r="U1497" s="517">
        <v>0</v>
      </c>
      <c r="V1497" s="282"/>
      <c r="W1497" s="282">
        <f>O1497/N1497</f>
        <v>3212.7732240437158</v>
      </c>
      <c r="X1497" s="282"/>
    </row>
    <row r="1498" spans="1:31" ht="18.600000000000001" customHeight="1">
      <c r="A1498" s="470"/>
      <c r="B1498" s="524" t="s">
        <v>63</v>
      </c>
      <c r="C1498" s="479">
        <f>C1499</f>
        <v>1608623</v>
      </c>
      <c r="D1498" s="479">
        <f t="shared" ref="D1498:U1499" si="266">D1499</f>
        <v>0</v>
      </c>
      <c r="E1498" s="479">
        <f t="shared" si="266"/>
        <v>0</v>
      </c>
      <c r="F1498" s="479">
        <f t="shared" si="266"/>
        <v>0</v>
      </c>
      <c r="G1498" s="479">
        <f t="shared" si="266"/>
        <v>0</v>
      </c>
      <c r="H1498" s="479">
        <f t="shared" si="266"/>
        <v>0</v>
      </c>
      <c r="I1498" s="479">
        <f t="shared" si="266"/>
        <v>0</v>
      </c>
      <c r="J1498" s="479">
        <f t="shared" si="266"/>
        <v>0</v>
      </c>
      <c r="K1498" s="479">
        <f t="shared" si="266"/>
        <v>0</v>
      </c>
      <c r="L1498" s="479">
        <f t="shared" si="266"/>
        <v>0</v>
      </c>
      <c r="M1498" s="479">
        <f t="shared" si="266"/>
        <v>0</v>
      </c>
      <c r="N1498" s="479">
        <f t="shared" si="266"/>
        <v>503.8</v>
      </c>
      <c r="O1498" s="479">
        <f t="shared" si="266"/>
        <v>1608623</v>
      </c>
      <c r="P1498" s="479">
        <f t="shared" si="266"/>
        <v>0</v>
      </c>
      <c r="Q1498" s="479">
        <f t="shared" si="266"/>
        <v>0</v>
      </c>
      <c r="R1498" s="479">
        <f t="shared" si="266"/>
        <v>0</v>
      </c>
      <c r="S1498" s="479">
        <f t="shared" si="266"/>
        <v>0</v>
      </c>
      <c r="T1498" s="479">
        <f t="shared" si="266"/>
        <v>0</v>
      </c>
      <c r="U1498" s="479">
        <f t="shared" si="266"/>
        <v>0</v>
      </c>
      <c r="V1498" s="282"/>
      <c r="W1498" s="282"/>
      <c r="X1498" s="282"/>
    </row>
    <row r="1499" spans="1:31" ht="27.6">
      <c r="A1499" s="470"/>
      <c r="B1499" s="480" t="s">
        <v>116</v>
      </c>
      <c r="C1499" s="479">
        <f>C1500</f>
        <v>1608623</v>
      </c>
      <c r="D1499" s="479">
        <f t="shared" si="266"/>
        <v>0</v>
      </c>
      <c r="E1499" s="479">
        <f t="shared" si="266"/>
        <v>0</v>
      </c>
      <c r="F1499" s="479">
        <f t="shared" si="266"/>
        <v>0</v>
      </c>
      <c r="G1499" s="479">
        <f t="shared" si="266"/>
        <v>0</v>
      </c>
      <c r="H1499" s="479">
        <f t="shared" si="266"/>
        <v>0</v>
      </c>
      <c r="I1499" s="479">
        <f t="shared" si="266"/>
        <v>0</v>
      </c>
      <c r="J1499" s="479">
        <f t="shared" si="266"/>
        <v>0</v>
      </c>
      <c r="K1499" s="479">
        <f t="shared" si="266"/>
        <v>0</v>
      </c>
      <c r="L1499" s="479">
        <f t="shared" si="266"/>
        <v>0</v>
      </c>
      <c r="M1499" s="479">
        <f t="shared" si="266"/>
        <v>0</v>
      </c>
      <c r="N1499" s="479">
        <f t="shared" si="266"/>
        <v>503.8</v>
      </c>
      <c r="O1499" s="479">
        <f t="shared" si="266"/>
        <v>1608623</v>
      </c>
      <c r="P1499" s="479">
        <f t="shared" si="266"/>
        <v>0</v>
      </c>
      <c r="Q1499" s="479">
        <f t="shared" si="266"/>
        <v>0</v>
      </c>
      <c r="R1499" s="479">
        <f t="shared" si="266"/>
        <v>0</v>
      </c>
      <c r="S1499" s="479">
        <f t="shared" si="266"/>
        <v>0</v>
      </c>
      <c r="T1499" s="479">
        <f t="shared" si="266"/>
        <v>0</v>
      </c>
      <c r="U1499" s="479">
        <f t="shared" si="266"/>
        <v>0</v>
      </c>
      <c r="V1499" s="282"/>
      <c r="W1499" s="282"/>
      <c r="X1499" s="282"/>
    </row>
    <row r="1500" spans="1:31">
      <c r="A1500" s="470">
        <v>443</v>
      </c>
      <c r="B1500" s="480" t="s">
        <v>679</v>
      </c>
      <c r="C1500" s="479">
        <f>'часть 1'!L1524</f>
        <v>1608623</v>
      </c>
      <c r="D1500" s="479">
        <v>0</v>
      </c>
      <c r="E1500" s="479">
        <v>0</v>
      </c>
      <c r="F1500" s="479">
        <v>0</v>
      </c>
      <c r="G1500" s="479">
        <v>0</v>
      </c>
      <c r="H1500" s="479">
        <v>0</v>
      </c>
      <c r="I1500" s="479">
        <v>0</v>
      </c>
      <c r="J1500" s="479">
        <v>0</v>
      </c>
      <c r="K1500" s="479">
        <v>0</v>
      </c>
      <c r="L1500" s="515">
        <v>0</v>
      </c>
      <c r="M1500" s="479">
        <v>0</v>
      </c>
      <c r="N1500" s="512">
        <v>503.8</v>
      </c>
      <c r="O1500" s="479">
        <v>1608623</v>
      </c>
      <c r="P1500" s="516">
        <v>0</v>
      </c>
      <c r="Q1500" s="479">
        <v>0</v>
      </c>
      <c r="R1500" s="516">
        <v>0</v>
      </c>
      <c r="S1500" s="479">
        <v>0</v>
      </c>
      <c r="T1500" s="515">
        <v>0</v>
      </c>
      <c r="U1500" s="517">
        <v>0</v>
      </c>
      <c r="V1500" s="282"/>
      <c r="W1500" s="282">
        <f>O1500/N1500</f>
        <v>3192.9793568876539</v>
      </c>
      <c r="X1500" s="282"/>
    </row>
    <row r="1501" spans="1:31" ht="17.399999999999999" customHeight="1">
      <c r="A1501" s="470"/>
      <c r="B1501" s="480" t="s">
        <v>663</v>
      </c>
      <c r="C1501" s="479">
        <f>C1502</f>
        <v>1457324</v>
      </c>
      <c r="D1501" s="479">
        <f t="shared" ref="D1501:U1501" si="267">D1502</f>
        <v>0</v>
      </c>
      <c r="E1501" s="479">
        <f t="shared" si="267"/>
        <v>0</v>
      </c>
      <c r="F1501" s="479">
        <f t="shared" si="267"/>
        <v>0</v>
      </c>
      <c r="G1501" s="479">
        <f t="shared" si="267"/>
        <v>0</v>
      </c>
      <c r="H1501" s="479">
        <f t="shared" si="267"/>
        <v>0</v>
      </c>
      <c r="I1501" s="479">
        <f t="shared" si="267"/>
        <v>0</v>
      </c>
      <c r="J1501" s="479">
        <f t="shared" si="267"/>
        <v>0</v>
      </c>
      <c r="K1501" s="479">
        <f t="shared" si="267"/>
        <v>0</v>
      </c>
      <c r="L1501" s="479">
        <f t="shared" si="267"/>
        <v>0</v>
      </c>
      <c r="M1501" s="479">
        <f t="shared" si="267"/>
        <v>0</v>
      </c>
      <c r="N1501" s="479">
        <f t="shared" si="267"/>
        <v>584.37</v>
      </c>
      <c r="O1501" s="479">
        <f t="shared" si="267"/>
        <v>1457324</v>
      </c>
      <c r="P1501" s="479">
        <f t="shared" si="267"/>
        <v>0</v>
      </c>
      <c r="Q1501" s="479">
        <f t="shared" si="267"/>
        <v>0</v>
      </c>
      <c r="R1501" s="479">
        <f t="shared" si="267"/>
        <v>0</v>
      </c>
      <c r="S1501" s="479">
        <f t="shared" si="267"/>
        <v>0</v>
      </c>
      <c r="T1501" s="479">
        <f t="shared" si="267"/>
        <v>0</v>
      </c>
      <c r="U1501" s="479">
        <f t="shared" si="267"/>
        <v>0</v>
      </c>
      <c r="V1501" s="282"/>
      <c r="W1501" s="282"/>
      <c r="X1501" s="282"/>
    </row>
    <row r="1502" spans="1:31" ht="27.6">
      <c r="A1502" s="470"/>
      <c r="B1502" s="480" t="s">
        <v>666</v>
      </c>
      <c r="C1502" s="479">
        <v>1457324</v>
      </c>
      <c r="D1502" s="479">
        <v>0</v>
      </c>
      <c r="E1502" s="479">
        <v>0</v>
      </c>
      <c r="F1502" s="479">
        <v>0</v>
      </c>
      <c r="G1502" s="479">
        <v>0</v>
      </c>
      <c r="H1502" s="479">
        <v>0</v>
      </c>
      <c r="I1502" s="479">
        <v>0</v>
      </c>
      <c r="J1502" s="479">
        <v>0</v>
      </c>
      <c r="K1502" s="479">
        <v>0</v>
      </c>
      <c r="L1502" s="515">
        <v>0</v>
      </c>
      <c r="M1502" s="479">
        <v>0</v>
      </c>
      <c r="N1502" s="512">
        <v>584.37</v>
      </c>
      <c r="O1502" s="479">
        <v>1457324</v>
      </c>
      <c r="P1502" s="516">
        <v>0</v>
      </c>
      <c r="Q1502" s="479">
        <v>0</v>
      </c>
      <c r="R1502" s="516">
        <v>0</v>
      </c>
      <c r="S1502" s="479">
        <v>0</v>
      </c>
      <c r="T1502" s="515">
        <v>0</v>
      </c>
      <c r="U1502" s="517">
        <v>0</v>
      </c>
      <c r="V1502" s="282"/>
      <c r="W1502" s="282">
        <f>O1502/N1502</f>
        <v>2493.8378082379313</v>
      </c>
      <c r="X1502" s="282"/>
    </row>
    <row r="1503" spans="1:31">
      <c r="A1503" s="198"/>
      <c r="B1503" s="216" t="s">
        <v>64</v>
      </c>
      <c r="C1503" s="211">
        <v>6928539</v>
      </c>
      <c r="D1503" s="211"/>
      <c r="E1503" s="211"/>
      <c r="F1503" s="211"/>
      <c r="G1503" s="211"/>
      <c r="H1503" s="211"/>
      <c r="I1503" s="211"/>
      <c r="J1503" s="211"/>
      <c r="K1503" s="211">
        <v>0</v>
      </c>
      <c r="L1503" s="212">
        <v>0</v>
      </c>
      <c r="M1503" s="211">
        <v>0</v>
      </c>
      <c r="N1503" s="211">
        <v>3103</v>
      </c>
      <c r="O1503" s="211">
        <v>6183896</v>
      </c>
      <c r="P1503" s="213">
        <v>0</v>
      </c>
      <c r="Q1503" s="211">
        <v>0</v>
      </c>
      <c r="R1503" s="211">
        <v>512.4</v>
      </c>
      <c r="S1503" s="211">
        <v>744643</v>
      </c>
      <c r="T1503" s="212">
        <v>0</v>
      </c>
      <c r="U1503" s="290">
        <v>0</v>
      </c>
      <c r="V1503" s="282"/>
      <c r="W1503" s="282"/>
      <c r="X1503" s="282"/>
    </row>
    <row r="1504" spans="1:31" ht="27.6">
      <c r="A1504" s="470"/>
      <c r="B1504" s="480" t="s">
        <v>115</v>
      </c>
      <c r="C1504" s="479">
        <f>C1505+C1506</f>
        <v>5448472</v>
      </c>
      <c r="D1504" s="479">
        <f t="shared" ref="D1504:U1504" si="268">D1505+D1506</f>
        <v>0</v>
      </c>
      <c r="E1504" s="479">
        <f t="shared" si="268"/>
        <v>0</v>
      </c>
      <c r="F1504" s="479">
        <f t="shared" si="268"/>
        <v>0</v>
      </c>
      <c r="G1504" s="479">
        <f t="shared" si="268"/>
        <v>0</v>
      </c>
      <c r="H1504" s="479">
        <f t="shared" si="268"/>
        <v>0</v>
      </c>
      <c r="I1504" s="479">
        <f t="shared" si="268"/>
        <v>0</v>
      </c>
      <c r="J1504" s="479">
        <f t="shared" si="268"/>
        <v>0</v>
      </c>
      <c r="K1504" s="479">
        <f t="shared" si="268"/>
        <v>0</v>
      </c>
      <c r="L1504" s="479">
        <f t="shared" si="268"/>
        <v>0</v>
      </c>
      <c r="M1504" s="479">
        <f t="shared" si="268"/>
        <v>0</v>
      </c>
      <c r="N1504" s="479">
        <f t="shared" si="268"/>
        <v>2020</v>
      </c>
      <c r="O1504" s="479">
        <f t="shared" si="268"/>
        <v>5448472</v>
      </c>
      <c r="P1504" s="479">
        <f t="shared" si="268"/>
        <v>0</v>
      </c>
      <c r="Q1504" s="479">
        <f t="shared" si="268"/>
        <v>0</v>
      </c>
      <c r="R1504" s="479">
        <f t="shared" si="268"/>
        <v>0</v>
      </c>
      <c r="S1504" s="479">
        <f t="shared" si="268"/>
        <v>0</v>
      </c>
      <c r="T1504" s="479">
        <f t="shared" si="268"/>
        <v>0</v>
      </c>
      <c r="U1504" s="479">
        <f t="shared" si="268"/>
        <v>0</v>
      </c>
      <c r="V1504" s="282"/>
      <c r="W1504" s="282"/>
      <c r="X1504" s="282"/>
      <c r="Y1504" s="25"/>
      <c r="Z1504" s="25"/>
    </row>
    <row r="1505" spans="1:30">
      <c r="A1505" s="470">
        <v>444</v>
      </c>
      <c r="B1505" s="480" t="s">
        <v>618</v>
      </c>
      <c r="C1505" s="479">
        <v>1902273</v>
      </c>
      <c r="D1505" s="479">
        <v>0</v>
      </c>
      <c r="E1505" s="479">
        <v>0</v>
      </c>
      <c r="F1505" s="479">
        <v>0</v>
      </c>
      <c r="G1505" s="479">
        <v>0</v>
      </c>
      <c r="H1505" s="479">
        <v>0</v>
      </c>
      <c r="I1505" s="479">
        <v>0</v>
      </c>
      <c r="J1505" s="479">
        <v>0</v>
      </c>
      <c r="K1505" s="479">
        <v>0</v>
      </c>
      <c r="L1505" s="515">
        <v>0</v>
      </c>
      <c r="M1505" s="479">
        <v>0</v>
      </c>
      <c r="N1505" s="479">
        <v>596</v>
      </c>
      <c r="O1505" s="479">
        <v>1902273</v>
      </c>
      <c r="P1505" s="516">
        <v>0</v>
      </c>
      <c r="Q1505" s="479">
        <v>0</v>
      </c>
      <c r="R1505" s="516">
        <v>0</v>
      </c>
      <c r="S1505" s="479">
        <v>0</v>
      </c>
      <c r="T1505" s="515">
        <v>0</v>
      </c>
      <c r="U1505" s="517">
        <v>0</v>
      </c>
      <c r="V1505" s="282"/>
      <c r="W1505" s="282">
        <f>O1505/N1505</f>
        <v>3191.7332214765102</v>
      </c>
      <c r="X1505" s="282"/>
    </row>
    <row r="1506" spans="1:30">
      <c r="A1506" s="470">
        <v>445</v>
      </c>
      <c r="B1506" s="480" t="s">
        <v>617</v>
      </c>
      <c r="C1506" s="479">
        <v>3546199</v>
      </c>
      <c r="D1506" s="479">
        <v>0</v>
      </c>
      <c r="E1506" s="479">
        <v>0</v>
      </c>
      <c r="F1506" s="479">
        <v>0</v>
      </c>
      <c r="G1506" s="479">
        <v>0</v>
      </c>
      <c r="H1506" s="479">
        <v>0</v>
      </c>
      <c r="I1506" s="479">
        <v>0</v>
      </c>
      <c r="J1506" s="479">
        <v>0</v>
      </c>
      <c r="K1506" s="479">
        <v>0</v>
      </c>
      <c r="L1506" s="515">
        <v>0</v>
      </c>
      <c r="M1506" s="479">
        <v>0</v>
      </c>
      <c r="N1506" s="479">
        <v>1424</v>
      </c>
      <c r="O1506" s="479">
        <v>3546199</v>
      </c>
      <c r="P1506" s="516">
        <v>0</v>
      </c>
      <c r="Q1506" s="479">
        <v>0</v>
      </c>
      <c r="R1506" s="516">
        <v>0</v>
      </c>
      <c r="S1506" s="479">
        <v>0</v>
      </c>
      <c r="T1506" s="515">
        <v>0</v>
      </c>
      <c r="U1506" s="517">
        <v>0</v>
      </c>
      <c r="V1506" s="282"/>
      <c r="W1506" s="282">
        <f>O1506/N1506</f>
        <v>2490.308286516854</v>
      </c>
      <c r="X1506" s="282"/>
    </row>
    <row r="1507" spans="1:30">
      <c r="A1507" s="470"/>
      <c r="B1507" s="480"/>
      <c r="C1507" s="479"/>
      <c r="D1507" s="479"/>
      <c r="E1507" s="479"/>
      <c r="F1507" s="479"/>
      <c r="G1507" s="479"/>
      <c r="H1507" s="479"/>
      <c r="I1507" s="479"/>
      <c r="J1507" s="479"/>
      <c r="K1507" s="479"/>
      <c r="L1507" s="515"/>
      <c r="M1507" s="479"/>
      <c r="N1507" s="479"/>
      <c r="O1507" s="479"/>
      <c r="P1507" s="516"/>
      <c r="Q1507" s="479"/>
      <c r="R1507" s="479"/>
      <c r="S1507" s="479"/>
      <c r="T1507" s="515"/>
      <c r="U1507" s="517"/>
      <c r="V1507" s="282"/>
      <c r="W1507" s="282"/>
      <c r="X1507" s="282"/>
      <c r="Y1507" s="25"/>
      <c r="Z1507" s="25"/>
    </row>
    <row r="1508" spans="1:30">
      <c r="A1508" s="470"/>
      <c r="B1508" s="480"/>
      <c r="C1508" s="479"/>
      <c r="D1508" s="479"/>
      <c r="E1508" s="479"/>
      <c r="F1508" s="479"/>
      <c r="G1508" s="479"/>
      <c r="H1508" s="479"/>
      <c r="I1508" s="479"/>
      <c r="J1508" s="479"/>
      <c r="K1508" s="479"/>
      <c r="L1508" s="515"/>
      <c r="M1508" s="479"/>
      <c r="N1508" s="479"/>
      <c r="O1508" s="479"/>
      <c r="P1508" s="516"/>
      <c r="Q1508" s="479"/>
      <c r="R1508" s="516"/>
      <c r="S1508" s="479"/>
      <c r="T1508" s="515"/>
      <c r="U1508" s="517"/>
      <c r="V1508" s="282"/>
      <c r="W1508" s="282"/>
      <c r="X1508" s="282"/>
    </row>
    <row r="1509" spans="1:30">
      <c r="A1509" s="198"/>
      <c r="B1509" s="216" t="s">
        <v>65</v>
      </c>
      <c r="C1509" s="211">
        <f>C1510+C1512</f>
        <v>3398521</v>
      </c>
      <c r="D1509" s="211">
        <f t="shared" ref="D1509:U1509" si="269">D1510+D1512</f>
        <v>0</v>
      </c>
      <c r="E1509" s="211">
        <f t="shared" si="269"/>
        <v>0</v>
      </c>
      <c r="F1509" s="211">
        <f t="shared" si="269"/>
        <v>0</v>
      </c>
      <c r="G1509" s="211">
        <f t="shared" si="269"/>
        <v>0</v>
      </c>
      <c r="H1509" s="211">
        <f t="shared" si="269"/>
        <v>0</v>
      </c>
      <c r="I1509" s="211">
        <f t="shared" si="269"/>
        <v>0</v>
      </c>
      <c r="J1509" s="211">
        <f t="shared" si="269"/>
        <v>0</v>
      </c>
      <c r="K1509" s="211">
        <f t="shared" si="269"/>
        <v>0</v>
      </c>
      <c r="L1509" s="211">
        <f t="shared" si="269"/>
        <v>0</v>
      </c>
      <c r="M1509" s="211">
        <f t="shared" si="269"/>
        <v>0</v>
      </c>
      <c r="N1509" s="211">
        <f t="shared" si="269"/>
        <v>1360</v>
      </c>
      <c r="O1509" s="211">
        <f t="shared" si="269"/>
        <v>3398521</v>
      </c>
      <c r="P1509" s="211">
        <f t="shared" si="269"/>
        <v>0</v>
      </c>
      <c r="Q1509" s="211">
        <f t="shared" si="269"/>
        <v>0</v>
      </c>
      <c r="R1509" s="211">
        <f t="shared" si="269"/>
        <v>0</v>
      </c>
      <c r="S1509" s="211">
        <f t="shared" si="269"/>
        <v>0</v>
      </c>
      <c r="T1509" s="211">
        <f t="shared" si="269"/>
        <v>0</v>
      </c>
      <c r="U1509" s="211">
        <f t="shared" si="269"/>
        <v>0</v>
      </c>
      <c r="V1509" s="282"/>
      <c r="W1509" s="282"/>
      <c r="X1509" s="282"/>
    </row>
    <row r="1510" spans="1:30" ht="27.6">
      <c r="A1510" s="198"/>
      <c r="B1510" s="214" t="s">
        <v>637</v>
      </c>
      <c r="C1510" s="211">
        <f>C1511</f>
        <v>1889892</v>
      </c>
      <c r="D1510" s="211">
        <f t="shared" ref="D1510:V1510" si="270">D1511</f>
        <v>0</v>
      </c>
      <c r="E1510" s="211">
        <f t="shared" si="270"/>
        <v>0</v>
      </c>
      <c r="F1510" s="211">
        <f t="shared" si="270"/>
        <v>0</v>
      </c>
      <c r="G1510" s="211">
        <f t="shared" si="270"/>
        <v>0</v>
      </c>
      <c r="H1510" s="211">
        <f t="shared" si="270"/>
        <v>0</v>
      </c>
      <c r="I1510" s="211">
        <f t="shared" si="270"/>
        <v>0</v>
      </c>
      <c r="J1510" s="211">
        <f t="shared" si="270"/>
        <v>0</v>
      </c>
      <c r="K1510" s="211">
        <f t="shared" si="270"/>
        <v>0</v>
      </c>
      <c r="L1510" s="211">
        <f t="shared" si="270"/>
        <v>0</v>
      </c>
      <c r="M1510" s="211">
        <f t="shared" si="270"/>
        <v>0</v>
      </c>
      <c r="N1510" s="211">
        <f t="shared" si="270"/>
        <v>755</v>
      </c>
      <c r="O1510" s="211">
        <f t="shared" si="270"/>
        <v>1889892</v>
      </c>
      <c r="P1510" s="211">
        <f t="shared" si="270"/>
        <v>0</v>
      </c>
      <c r="Q1510" s="211">
        <f t="shared" si="270"/>
        <v>0</v>
      </c>
      <c r="R1510" s="211">
        <f t="shared" si="270"/>
        <v>0</v>
      </c>
      <c r="S1510" s="211">
        <f t="shared" si="270"/>
        <v>0</v>
      </c>
      <c r="T1510" s="211">
        <f t="shared" si="270"/>
        <v>0</v>
      </c>
      <c r="U1510" s="211">
        <f t="shared" si="270"/>
        <v>0</v>
      </c>
      <c r="V1510" s="211">
        <f t="shared" si="270"/>
        <v>0</v>
      </c>
      <c r="W1510" s="282"/>
      <c r="X1510" s="282"/>
    </row>
    <row r="1511" spans="1:30">
      <c r="A1511" s="198">
        <v>448</v>
      </c>
      <c r="B1511" s="214" t="s">
        <v>638</v>
      </c>
      <c r="C1511" s="211">
        <v>1889892</v>
      </c>
      <c r="D1511" s="211">
        <v>0</v>
      </c>
      <c r="E1511" s="211">
        <v>0</v>
      </c>
      <c r="F1511" s="211">
        <v>0</v>
      </c>
      <c r="G1511" s="211">
        <v>0</v>
      </c>
      <c r="H1511" s="211">
        <v>0</v>
      </c>
      <c r="I1511" s="211">
        <v>0</v>
      </c>
      <c r="J1511" s="211">
        <v>0</v>
      </c>
      <c r="K1511" s="211">
        <v>0</v>
      </c>
      <c r="L1511" s="212">
        <v>0</v>
      </c>
      <c r="M1511" s="211">
        <v>0</v>
      </c>
      <c r="N1511" s="211">
        <v>755</v>
      </c>
      <c r="O1511" s="211">
        <v>1889892</v>
      </c>
      <c r="P1511" s="213">
        <v>0</v>
      </c>
      <c r="Q1511" s="211">
        <v>0</v>
      </c>
      <c r="R1511" s="213">
        <v>0</v>
      </c>
      <c r="S1511" s="211">
        <v>0</v>
      </c>
      <c r="T1511" s="212">
        <v>0</v>
      </c>
      <c r="U1511" s="290">
        <v>0</v>
      </c>
      <c r="V1511" s="282"/>
      <c r="W1511" s="282">
        <f>O1511/N1511</f>
        <v>2503.1682119205298</v>
      </c>
      <c r="X1511" s="282"/>
    </row>
    <row r="1512" spans="1:30" ht="27.6">
      <c r="A1512" s="198"/>
      <c r="B1512" s="214" t="s">
        <v>639</v>
      </c>
      <c r="C1512" s="211">
        <f>C1513</f>
        <v>1508629</v>
      </c>
      <c r="D1512" s="211">
        <f t="shared" ref="D1512:V1512" si="271">D1513</f>
        <v>0</v>
      </c>
      <c r="E1512" s="211">
        <f t="shared" si="271"/>
        <v>0</v>
      </c>
      <c r="F1512" s="211">
        <f t="shared" si="271"/>
        <v>0</v>
      </c>
      <c r="G1512" s="211">
        <f t="shared" si="271"/>
        <v>0</v>
      </c>
      <c r="H1512" s="211">
        <f t="shared" si="271"/>
        <v>0</v>
      </c>
      <c r="I1512" s="211">
        <f t="shared" si="271"/>
        <v>0</v>
      </c>
      <c r="J1512" s="211">
        <f t="shared" si="271"/>
        <v>0</v>
      </c>
      <c r="K1512" s="211">
        <f t="shared" si="271"/>
        <v>0</v>
      </c>
      <c r="L1512" s="211">
        <f t="shared" si="271"/>
        <v>0</v>
      </c>
      <c r="M1512" s="211">
        <f t="shared" si="271"/>
        <v>0</v>
      </c>
      <c r="N1512" s="211">
        <f t="shared" si="271"/>
        <v>605</v>
      </c>
      <c r="O1512" s="211">
        <f t="shared" si="271"/>
        <v>1508629</v>
      </c>
      <c r="P1512" s="211">
        <f t="shared" si="271"/>
        <v>0</v>
      </c>
      <c r="Q1512" s="211">
        <f t="shared" si="271"/>
        <v>0</v>
      </c>
      <c r="R1512" s="211">
        <f t="shared" si="271"/>
        <v>0</v>
      </c>
      <c r="S1512" s="211">
        <f t="shared" si="271"/>
        <v>0</v>
      </c>
      <c r="T1512" s="211">
        <f t="shared" si="271"/>
        <v>0</v>
      </c>
      <c r="U1512" s="211">
        <f t="shared" si="271"/>
        <v>0</v>
      </c>
      <c r="V1512" s="211">
        <f t="shared" si="271"/>
        <v>0</v>
      </c>
      <c r="W1512" s="282"/>
      <c r="X1512" s="282"/>
    </row>
    <row r="1513" spans="1:30">
      <c r="A1513" s="198">
        <v>449</v>
      </c>
      <c r="B1513" s="214" t="s">
        <v>640</v>
      </c>
      <c r="C1513" s="211">
        <v>1508629</v>
      </c>
      <c r="D1513" s="211">
        <v>0</v>
      </c>
      <c r="E1513" s="211">
        <v>0</v>
      </c>
      <c r="F1513" s="211">
        <v>0</v>
      </c>
      <c r="G1513" s="211">
        <v>0</v>
      </c>
      <c r="H1513" s="211">
        <v>0</v>
      </c>
      <c r="I1513" s="211">
        <v>0</v>
      </c>
      <c r="J1513" s="211">
        <v>0</v>
      </c>
      <c r="K1513" s="211">
        <v>0</v>
      </c>
      <c r="L1513" s="212">
        <v>0</v>
      </c>
      <c r="M1513" s="211">
        <v>0</v>
      </c>
      <c r="N1513" s="211">
        <v>605</v>
      </c>
      <c r="O1513" s="211">
        <v>1508629</v>
      </c>
      <c r="P1513" s="213">
        <v>0</v>
      </c>
      <c r="Q1513" s="211">
        <v>0</v>
      </c>
      <c r="R1513" s="213">
        <v>0</v>
      </c>
      <c r="S1513" s="211">
        <v>0</v>
      </c>
      <c r="T1513" s="212">
        <v>0</v>
      </c>
      <c r="U1513" s="290">
        <v>0</v>
      </c>
      <c r="V1513" s="282"/>
      <c r="W1513" s="282">
        <f>O1513/N1513</f>
        <v>2493.601652892562</v>
      </c>
      <c r="X1513" s="282"/>
    </row>
    <row r="1514" spans="1:30">
      <c r="A1514" s="198"/>
      <c r="B1514" s="216" t="s">
        <v>66</v>
      </c>
      <c r="C1514" s="211">
        <f>C1517</f>
        <v>3745458</v>
      </c>
      <c r="D1514" s="211">
        <f t="shared" ref="D1514:U1514" si="272">D1517</f>
        <v>0</v>
      </c>
      <c r="E1514" s="211">
        <f t="shared" si="272"/>
        <v>0</v>
      </c>
      <c r="F1514" s="211">
        <f t="shared" si="272"/>
        <v>0</v>
      </c>
      <c r="G1514" s="211">
        <f t="shared" si="272"/>
        <v>0</v>
      </c>
      <c r="H1514" s="211">
        <f t="shared" si="272"/>
        <v>0</v>
      </c>
      <c r="I1514" s="211">
        <f t="shared" si="272"/>
        <v>0</v>
      </c>
      <c r="J1514" s="211">
        <f t="shared" si="272"/>
        <v>0</v>
      </c>
      <c r="K1514" s="211">
        <f t="shared" si="272"/>
        <v>0</v>
      </c>
      <c r="L1514" s="211">
        <f t="shared" si="272"/>
        <v>0</v>
      </c>
      <c r="M1514" s="211">
        <f t="shared" si="272"/>
        <v>0</v>
      </c>
      <c r="N1514" s="211">
        <f t="shared" si="272"/>
        <v>1175</v>
      </c>
      <c r="O1514" s="211">
        <f t="shared" si="272"/>
        <v>3745458</v>
      </c>
      <c r="P1514" s="211">
        <f t="shared" si="272"/>
        <v>0</v>
      </c>
      <c r="Q1514" s="211">
        <f t="shared" si="272"/>
        <v>0</v>
      </c>
      <c r="R1514" s="211">
        <f t="shared" si="272"/>
        <v>0</v>
      </c>
      <c r="S1514" s="211">
        <f t="shared" si="272"/>
        <v>0</v>
      </c>
      <c r="T1514" s="211">
        <f t="shared" si="272"/>
        <v>0</v>
      </c>
      <c r="U1514" s="211">
        <f t="shared" si="272"/>
        <v>0</v>
      </c>
      <c r="V1514" s="282"/>
      <c r="W1514" s="282"/>
      <c r="X1514" s="282"/>
    </row>
    <row r="1515" spans="1:30" ht="27.6">
      <c r="A1515" s="470"/>
      <c r="B1515" s="480" t="s">
        <v>641</v>
      </c>
      <c r="C1515" s="479">
        <f>C1516</f>
        <v>357985</v>
      </c>
      <c r="D1515" s="479">
        <f t="shared" ref="D1515:U1515" si="273">D1516</f>
        <v>357985</v>
      </c>
      <c r="E1515" s="479">
        <f t="shared" si="273"/>
        <v>0</v>
      </c>
      <c r="F1515" s="479">
        <f t="shared" si="273"/>
        <v>0</v>
      </c>
      <c r="G1515" s="479">
        <f t="shared" si="273"/>
        <v>0</v>
      </c>
      <c r="H1515" s="479">
        <f t="shared" si="273"/>
        <v>0</v>
      </c>
      <c r="I1515" s="479">
        <f t="shared" si="273"/>
        <v>0</v>
      </c>
      <c r="J1515" s="479">
        <f t="shared" si="273"/>
        <v>357985</v>
      </c>
      <c r="K1515" s="479">
        <f t="shared" si="273"/>
        <v>0</v>
      </c>
      <c r="L1515" s="479">
        <f t="shared" si="273"/>
        <v>0</v>
      </c>
      <c r="M1515" s="479">
        <f t="shared" si="273"/>
        <v>0</v>
      </c>
      <c r="N1515" s="479">
        <f t="shared" si="273"/>
        <v>0</v>
      </c>
      <c r="O1515" s="479">
        <f t="shared" si="273"/>
        <v>0</v>
      </c>
      <c r="P1515" s="479">
        <f t="shared" si="273"/>
        <v>0</v>
      </c>
      <c r="Q1515" s="479">
        <f t="shared" si="273"/>
        <v>0</v>
      </c>
      <c r="R1515" s="479">
        <f t="shared" si="273"/>
        <v>0</v>
      </c>
      <c r="S1515" s="479">
        <f t="shared" si="273"/>
        <v>0</v>
      </c>
      <c r="T1515" s="479">
        <f t="shared" si="273"/>
        <v>0</v>
      </c>
      <c r="U1515" s="479">
        <f t="shared" si="273"/>
        <v>0</v>
      </c>
      <c r="V1515" s="282"/>
      <c r="W1515" s="282"/>
      <c r="X1515" s="282"/>
    </row>
    <row r="1516" spans="1:30">
      <c r="A1516" s="470"/>
      <c r="B1516" s="524" t="s">
        <v>644</v>
      </c>
      <c r="C1516" s="479">
        <f>'часть 1'!L1540</f>
        <v>357985</v>
      </c>
      <c r="D1516" s="479">
        <f>E1516+F1516+G1516+H1516+I1516+J1516+K1516</f>
        <v>357985</v>
      </c>
      <c r="E1516" s="479">
        <v>0</v>
      </c>
      <c r="F1516" s="479">
        <v>0</v>
      </c>
      <c r="G1516" s="479">
        <v>0</v>
      </c>
      <c r="H1516" s="479">
        <v>0</v>
      </c>
      <c r="I1516" s="479">
        <v>0</v>
      </c>
      <c r="J1516" s="479">
        <v>357985</v>
      </c>
      <c r="K1516" s="479">
        <v>0</v>
      </c>
      <c r="L1516" s="479">
        <v>0</v>
      </c>
      <c r="M1516" s="479">
        <v>0</v>
      </c>
      <c r="N1516" s="479">
        <v>0</v>
      </c>
      <c r="O1516" s="479">
        <v>0</v>
      </c>
      <c r="P1516" s="479">
        <v>0</v>
      </c>
      <c r="Q1516" s="479">
        <v>0</v>
      </c>
      <c r="R1516" s="479">
        <v>0</v>
      </c>
      <c r="S1516" s="479">
        <v>0</v>
      </c>
      <c r="T1516" s="479">
        <v>0</v>
      </c>
      <c r="U1516" s="479">
        <v>0</v>
      </c>
      <c r="V1516" s="282"/>
      <c r="W1516" s="282"/>
      <c r="X1516" s="282"/>
      <c r="AD1516" s="1">
        <f>J1516/'часть 1'!I1540</f>
        <v>558.39182654812043</v>
      </c>
    </row>
    <row r="1517" spans="1:30" ht="27.6">
      <c r="A1517" s="198"/>
      <c r="B1517" s="214" t="s">
        <v>114</v>
      </c>
      <c r="C1517" s="211">
        <f>C1518+C1519</f>
        <v>3745458</v>
      </c>
      <c r="D1517" s="211">
        <f t="shared" ref="D1517:V1517" si="274">D1518+D1519</f>
        <v>0</v>
      </c>
      <c r="E1517" s="211">
        <f t="shared" si="274"/>
        <v>0</v>
      </c>
      <c r="F1517" s="211">
        <f t="shared" si="274"/>
        <v>0</v>
      </c>
      <c r="G1517" s="211">
        <f t="shared" si="274"/>
        <v>0</v>
      </c>
      <c r="H1517" s="211">
        <f t="shared" si="274"/>
        <v>0</v>
      </c>
      <c r="I1517" s="211">
        <f t="shared" si="274"/>
        <v>0</v>
      </c>
      <c r="J1517" s="211">
        <f t="shared" si="274"/>
        <v>0</v>
      </c>
      <c r="K1517" s="211">
        <f t="shared" si="274"/>
        <v>0</v>
      </c>
      <c r="L1517" s="211">
        <f t="shared" si="274"/>
        <v>0</v>
      </c>
      <c r="M1517" s="211">
        <f t="shared" si="274"/>
        <v>0</v>
      </c>
      <c r="N1517" s="211">
        <f t="shared" si="274"/>
        <v>1175</v>
      </c>
      <c r="O1517" s="211">
        <f t="shared" si="274"/>
        <v>3745458</v>
      </c>
      <c r="P1517" s="211">
        <f t="shared" si="274"/>
        <v>0</v>
      </c>
      <c r="Q1517" s="211">
        <f t="shared" si="274"/>
        <v>0</v>
      </c>
      <c r="R1517" s="211">
        <f t="shared" si="274"/>
        <v>0</v>
      </c>
      <c r="S1517" s="211">
        <f t="shared" si="274"/>
        <v>0</v>
      </c>
      <c r="T1517" s="211">
        <f t="shared" si="274"/>
        <v>0</v>
      </c>
      <c r="U1517" s="211">
        <f t="shared" si="274"/>
        <v>0</v>
      </c>
      <c r="V1517" s="211">
        <f t="shared" si="274"/>
        <v>0</v>
      </c>
      <c r="W1517" s="282"/>
      <c r="X1517" s="282"/>
    </row>
    <row r="1518" spans="1:30" ht="15.6">
      <c r="A1518" s="470">
        <v>450</v>
      </c>
      <c r="B1518" s="365" t="s">
        <v>595</v>
      </c>
      <c r="C1518" s="479">
        <v>2305927</v>
      </c>
      <c r="D1518" s="479">
        <v>0</v>
      </c>
      <c r="E1518" s="479">
        <v>0</v>
      </c>
      <c r="F1518" s="479">
        <v>0</v>
      </c>
      <c r="G1518" s="479">
        <v>0</v>
      </c>
      <c r="H1518" s="479">
        <v>0</v>
      </c>
      <c r="I1518" s="479">
        <v>0</v>
      </c>
      <c r="J1518" s="479">
        <v>0</v>
      </c>
      <c r="K1518" s="479">
        <v>0</v>
      </c>
      <c r="L1518" s="515">
        <v>0</v>
      </c>
      <c r="M1518" s="479">
        <v>0</v>
      </c>
      <c r="N1518" s="479">
        <v>725</v>
      </c>
      <c r="O1518" s="479">
        <v>2305927</v>
      </c>
      <c r="P1518" s="516">
        <v>0</v>
      </c>
      <c r="Q1518" s="479">
        <v>0</v>
      </c>
      <c r="R1518" s="516">
        <v>0</v>
      </c>
      <c r="S1518" s="479">
        <v>0</v>
      </c>
      <c r="T1518" s="515">
        <v>0</v>
      </c>
      <c r="U1518" s="517">
        <v>0</v>
      </c>
      <c r="V1518" s="282"/>
      <c r="W1518" s="282">
        <f>O1518/N1518</f>
        <v>3180.5889655172414</v>
      </c>
      <c r="X1518" s="282"/>
    </row>
    <row r="1519" spans="1:30" ht="15.6">
      <c r="A1519" s="470">
        <v>451</v>
      </c>
      <c r="B1519" s="365" t="s">
        <v>596</v>
      </c>
      <c r="C1519" s="479">
        <v>1439531</v>
      </c>
      <c r="D1519" s="479">
        <v>0</v>
      </c>
      <c r="E1519" s="479">
        <v>0</v>
      </c>
      <c r="F1519" s="479">
        <v>0</v>
      </c>
      <c r="G1519" s="479">
        <v>0</v>
      </c>
      <c r="H1519" s="479">
        <v>0</v>
      </c>
      <c r="I1519" s="479">
        <v>0</v>
      </c>
      <c r="J1519" s="479">
        <v>0</v>
      </c>
      <c r="K1519" s="479">
        <v>0</v>
      </c>
      <c r="L1519" s="515">
        <v>0</v>
      </c>
      <c r="M1519" s="479">
        <v>0</v>
      </c>
      <c r="N1519" s="479">
        <v>450</v>
      </c>
      <c r="O1519" s="479">
        <v>1439531</v>
      </c>
      <c r="P1519" s="516">
        <v>0</v>
      </c>
      <c r="Q1519" s="479">
        <v>0</v>
      </c>
      <c r="R1519" s="516">
        <v>0</v>
      </c>
      <c r="S1519" s="479">
        <v>0</v>
      </c>
      <c r="T1519" s="515">
        <v>0</v>
      </c>
      <c r="U1519" s="517">
        <v>0</v>
      </c>
      <c r="V1519" s="282"/>
      <c r="W1519" s="282">
        <f>O1519/N1519</f>
        <v>3198.9577777777777</v>
      </c>
      <c r="X1519" s="282"/>
    </row>
    <row r="1520" spans="1:30" ht="15.6">
      <c r="A1520" s="470"/>
      <c r="B1520" s="365"/>
      <c r="C1520" s="479"/>
      <c r="D1520" s="479"/>
      <c r="E1520" s="479"/>
      <c r="F1520" s="479"/>
      <c r="G1520" s="479"/>
      <c r="H1520" s="479"/>
      <c r="I1520" s="479"/>
      <c r="J1520" s="479"/>
      <c r="K1520" s="479"/>
      <c r="L1520" s="515"/>
      <c r="M1520" s="479"/>
      <c r="N1520" s="479"/>
      <c r="O1520" s="479"/>
      <c r="P1520" s="516"/>
      <c r="Q1520" s="479"/>
      <c r="R1520" s="516"/>
      <c r="S1520" s="479"/>
      <c r="T1520" s="515"/>
      <c r="U1520" s="517"/>
      <c r="V1520" s="282"/>
      <c r="W1520" s="282"/>
      <c r="X1520" s="282"/>
    </row>
    <row r="1521" spans="1:35">
      <c r="A1521" s="198"/>
      <c r="B1521" s="214" t="s">
        <v>207</v>
      </c>
      <c r="C1521" s="211">
        <f>C1522+C1523+C1524+C1525+C1526+C1527+C1528</f>
        <v>21360482</v>
      </c>
      <c r="D1521" s="211">
        <f t="shared" ref="D1521:V1521" si="275">D1522+D1523+D1524+D1525+D1526+D1527+D1528</f>
        <v>0</v>
      </c>
      <c r="E1521" s="211">
        <f t="shared" si="275"/>
        <v>0</v>
      </c>
      <c r="F1521" s="211">
        <f t="shared" si="275"/>
        <v>0</v>
      </c>
      <c r="G1521" s="211">
        <f t="shared" si="275"/>
        <v>0</v>
      </c>
      <c r="H1521" s="211">
        <f t="shared" si="275"/>
        <v>0</v>
      </c>
      <c r="I1521" s="211">
        <f t="shared" si="275"/>
        <v>0</v>
      </c>
      <c r="J1521" s="211">
        <f t="shared" si="275"/>
        <v>0</v>
      </c>
      <c r="K1521" s="211">
        <f t="shared" si="275"/>
        <v>0</v>
      </c>
      <c r="L1521" s="211">
        <f t="shared" si="275"/>
        <v>0</v>
      </c>
      <c r="M1521" s="211">
        <f t="shared" si="275"/>
        <v>0</v>
      </c>
      <c r="N1521" s="211">
        <f t="shared" si="275"/>
        <v>8495.4</v>
      </c>
      <c r="O1521" s="211">
        <f t="shared" si="275"/>
        <v>21360482</v>
      </c>
      <c r="P1521" s="211">
        <f t="shared" si="275"/>
        <v>0</v>
      </c>
      <c r="Q1521" s="211">
        <f t="shared" si="275"/>
        <v>0</v>
      </c>
      <c r="R1521" s="211">
        <f t="shared" si="275"/>
        <v>0</v>
      </c>
      <c r="S1521" s="211">
        <f t="shared" si="275"/>
        <v>0</v>
      </c>
      <c r="T1521" s="211">
        <f t="shared" si="275"/>
        <v>0</v>
      </c>
      <c r="U1521" s="211">
        <f t="shared" si="275"/>
        <v>0</v>
      </c>
      <c r="V1521" s="211">
        <f t="shared" si="275"/>
        <v>0</v>
      </c>
      <c r="W1521" s="211"/>
      <c r="X1521" s="211"/>
      <c r="Y1521" s="211"/>
      <c r="Z1521" s="211"/>
      <c r="AA1521" s="211"/>
      <c r="AB1521" s="211"/>
      <c r="AC1521" s="211"/>
      <c r="AD1521" s="211"/>
      <c r="AE1521" s="211"/>
      <c r="AF1521" s="211"/>
      <c r="AG1521" s="211"/>
      <c r="AH1521" s="211"/>
      <c r="AI1521" s="211"/>
    </row>
    <row r="1522" spans="1:35">
      <c r="A1522" s="470">
        <v>453</v>
      </c>
      <c r="B1522" s="519" t="s">
        <v>506</v>
      </c>
      <c r="C1522" s="479">
        <v>1823609</v>
      </c>
      <c r="D1522" s="479">
        <v>0</v>
      </c>
      <c r="E1522" s="479">
        <v>0</v>
      </c>
      <c r="F1522" s="479">
        <v>0</v>
      </c>
      <c r="G1522" s="479">
        <v>0</v>
      </c>
      <c r="H1522" s="479">
        <v>0</v>
      </c>
      <c r="I1522" s="479">
        <v>0</v>
      </c>
      <c r="J1522" s="479">
        <v>0</v>
      </c>
      <c r="K1522" s="479">
        <v>0</v>
      </c>
      <c r="L1522" s="515">
        <v>0</v>
      </c>
      <c r="M1522" s="479">
        <v>0</v>
      </c>
      <c r="N1522" s="518">
        <v>719</v>
      </c>
      <c r="O1522" s="479">
        <v>1823609</v>
      </c>
      <c r="P1522" s="515">
        <v>0</v>
      </c>
      <c r="Q1522" s="479">
        <v>0</v>
      </c>
      <c r="R1522" s="516">
        <v>0</v>
      </c>
      <c r="S1522" s="479">
        <v>0</v>
      </c>
      <c r="T1522" s="515">
        <v>0</v>
      </c>
      <c r="U1522" s="517">
        <v>0</v>
      </c>
      <c r="V1522" s="282"/>
      <c r="W1522" s="282">
        <f>O1522/N1522</f>
        <v>2536.3129346314327</v>
      </c>
      <c r="X1522" s="282"/>
    </row>
    <row r="1523" spans="1:35">
      <c r="A1523" s="470">
        <v>454</v>
      </c>
      <c r="B1523" s="519" t="s">
        <v>507</v>
      </c>
      <c r="C1523" s="479">
        <v>5329850</v>
      </c>
      <c r="D1523" s="479">
        <v>0</v>
      </c>
      <c r="E1523" s="479">
        <v>0</v>
      </c>
      <c r="F1523" s="479">
        <v>0</v>
      </c>
      <c r="G1523" s="479">
        <v>0</v>
      </c>
      <c r="H1523" s="479">
        <v>0</v>
      </c>
      <c r="I1523" s="479">
        <v>0</v>
      </c>
      <c r="J1523" s="479">
        <v>0</v>
      </c>
      <c r="K1523" s="479">
        <v>0</v>
      </c>
      <c r="L1523" s="515">
        <v>0</v>
      </c>
      <c r="M1523" s="479">
        <v>0</v>
      </c>
      <c r="N1523" s="518">
        <v>2128</v>
      </c>
      <c r="O1523" s="479">
        <v>5329850</v>
      </c>
      <c r="P1523" s="515">
        <v>0</v>
      </c>
      <c r="Q1523" s="479">
        <v>0</v>
      </c>
      <c r="R1523" s="516">
        <v>0</v>
      </c>
      <c r="S1523" s="479">
        <v>0</v>
      </c>
      <c r="T1523" s="515">
        <v>0</v>
      </c>
      <c r="U1523" s="517">
        <v>0</v>
      </c>
      <c r="V1523" s="282"/>
      <c r="W1523" s="282">
        <f t="shared" ref="W1523:W1528" si="276">O1523/N1523</f>
        <v>2504.6287593984962</v>
      </c>
      <c r="X1523" s="282"/>
    </row>
    <row r="1524" spans="1:35">
      <c r="A1524" s="470">
        <v>455</v>
      </c>
      <c r="B1524" s="519" t="s">
        <v>508</v>
      </c>
      <c r="C1524" s="479">
        <v>1176993</v>
      </c>
      <c r="D1524" s="479">
        <v>0</v>
      </c>
      <c r="E1524" s="479">
        <v>0</v>
      </c>
      <c r="F1524" s="479">
        <v>0</v>
      </c>
      <c r="G1524" s="479">
        <v>0</v>
      </c>
      <c r="H1524" s="479">
        <v>0</v>
      </c>
      <c r="I1524" s="479">
        <v>0</v>
      </c>
      <c r="J1524" s="479">
        <v>0</v>
      </c>
      <c r="K1524" s="479">
        <v>0</v>
      </c>
      <c r="L1524" s="515">
        <v>0</v>
      </c>
      <c r="M1524" s="479">
        <v>0</v>
      </c>
      <c r="N1524" s="479">
        <v>459.4</v>
      </c>
      <c r="O1524" s="479">
        <v>1176993</v>
      </c>
      <c r="P1524" s="515">
        <v>0</v>
      </c>
      <c r="Q1524" s="479">
        <v>0</v>
      </c>
      <c r="R1524" s="516">
        <v>0</v>
      </c>
      <c r="S1524" s="479">
        <v>0</v>
      </c>
      <c r="T1524" s="515">
        <v>0</v>
      </c>
      <c r="U1524" s="517">
        <v>0</v>
      </c>
      <c r="V1524" s="282"/>
      <c r="W1524" s="282">
        <f t="shared" si="276"/>
        <v>2562.0222028733133</v>
      </c>
      <c r="X1524" s="282"/>
    </row>
    <row r="1525" spans="1:35">
      <c r="A1525" s="470">
        <v>456</v>
      </c>
      <c r="B1525" s="519" t="s">
        <v>509</v>
      </c>
      <c r="C1525" s="479">
        <v>2684544</v>
      </c>
      <c r="D1525" s="479">
        <v>0</v>
      </c>
      <c r="E1525" s="479">
        <v>0</v>
      </c>
      <c r="F1525" s="479">
        <v>0</v>
      </c>
      <c r="G1525" s="479">
        <v>0</v>
      </c>
      <c r="H1525" s="479">
        <v>0</v>
      </c>
      <c r="I1525" s="479">
        <v>0</v>
      </c>
      <c r="J1525" s="479">
        <v>0</v>
      </c>
      <c r="K1525" s="479">
        <v>0</v>
      </c>
      <c r="L1525" s="515">
        <v>0</v>
      </c>
      <c r="M1525" s="479">
        <v>0</v>
      </c>
      <c r="N1525" s="518">
        <v>1065</v>
      </c>
      <c r="O1525" s="479">
        <v>2684544</v>
      </c>
      <c r="P1525" s="515">
        <v>0</v>
      </c>
      <c r="Q1525" s="479">
        <v>0</v>
      </c>
      <c r="R1525" s="516">
        <v>0</v>
      </c>
      <c r="S1525" s="479">
        <v>0</v>
      </c>
      <c r="T1525" s="515">
        <v>0</v>
      </c>
      <c r="U1525" s="517">
        <v>0</v>
      </c>
      <c r="V1525" s="282"/>
      <c r="W1525" s="282">
        <f t="shared" si="276"/>
        <v>2520.698591549296</v>
      </c>
      <c r="X1525" s="282"/>
    </row>
    <row r="1526" spans="1:35">
      <c r="A1526" s="470">
        <v>457</v>
      </c>
      <c r="B1526" s="519" t="s">
        <v>510</v>
      </c>
      <c r="C1526" s="479">
        <v>6294002</v>
      </c>
      <c r="D1526" s="479">
        <v>0</v>
      </c>
      <c r="E1526" s="479">
        <v>0</v>
      </c>
      <c r="F1526" s="479">
        <v>0</v>
      </c>
      <c r="G1526" s="479">
        <v>0</v>
      </c>
      <c r="H1526" s="479">
        <v>0</v>
      </c>
      <c r="I1526" s="479">
        <v>0</v>
      </c>
      <c r="J1526" s="479">
        <v>0</v>
      </c>
      <c r="K1526" s="479">
        <v>0</v>
      </c>
      <c r="L1526" s="515">
        <v>0</v>
      </c>
      <c r="M1526" s="479">
        <v>0</v>
      </c>
      <c r="N1526" s="518">
        <v>2525</v>
      </c>
      <c r="O1526" s="479">
        <v>6294002</v>
      </c>
      <c r="P1526" s="515">
        <v>0</v>
      </c>
      <c r="Q1526" s="479">
        <v>0</v>
      </c>
      <c r="R1526" s="516">
        <v>0</v>
      </c>
      <c r="S1526" s="479">
        <v>0</v>
      </c>
      <c r="T1526" s="515">
        <v>0</v>
      </c>
      <c r="U1526" s="517">
        <v>0</v>
      </c>
      <c r="V1526" s="282"/>
      <c r="W1526" s="282">
        <f t="shared" si="276"/>
        <v>2492.6740594059406</v>
      </c>
      <c r="X1526" s="282"/>
    </row>
    <row r="1527" spans="1:35">
      <c r="A1527" s="470">
        <v>458</v>
      </c>
      <c r="B1527" s="519" t="s">
        <v>428</v>
      </c>
      <c r="C1527" s="479">
        <v>2199863</v>
      </c>
      <c r="D1527" s="479">
        <v>0</v>
      </c>
      <c r="E1527" s="479">
        <v>0</v>
      </c>
      <c r="F1527" s="479">
        <v>0</v>
      </c>
      <c r="G1527" s="479">
        <v>0</v>
      </c>
      <c r="H1527" s="479">
        <v>0</v>
      </c>
      <c r="I1527" s="479">
        <v>0</v>
      </c>
      <c r="J1527" s="479">
        <v>0</v>
      </c>
      <c r="K1527" s="479">
        <v>0</v>
      </c>
      <c r="L1527" s="515">
        <v>0</v>
      </c>
      <c r="M1527" s="479">
        <v>0</v>
      </c>
      <c r="N1527" s="518">
        <v>870</v>
      </c>
      <c r="O1527" s="479">
        <v>2199863</v>
      </c>
      <c r="P1527" s="515">
        <v>0</v>
      </c>
      <c r="Q1527" s="479">
        <v>0</v>
      </c>
      <c r="R1527" s="516">
        <v>0</v>
      </c>
      <c r="S1527" s="479">
        <v>0</v>
      </c>
      <c r="T1527" s="515">
        <v>0</v>
      </c>
      <c r="U1527" s="517">
        <v>0</v>
      </c>
      <c r="V1527" s="282"/>
      <c r="W1527" s="282">
        <f t="shared" si="276"/>
        <v>2528.5781609195401</v>
      </c>
      <c r="X1527" s="282"/>
    </row>
    <row r="1528" spans="1:35">
      <c r="A1528" s="470">
        <v>459</v>
      </c>
      <c r="B1528" s="519" t="s">
        <v>511</v>
      </c>
      <c r="C1528" s="479">
        <v>1851621</v>
      </c>
      <c r="D1528" s="479">
        <v>0</v>
      </c>
      <c r="E1528" s="479">
        <v>0</v>
      </c>
      <c r="F1528" s="479">
        <v>0</v>
      </c>
      <c r="G1528" s="479">
        <v>0</v>
      </c>
      <c r="H1528" s="479">
        <v>0</v>
      </c>
      <c r="I1528" s="479">
        <v>0</v>
      </c>
      <c r="J1528" s="479">
        <v>0</v>
      </c>
      <c r="K1528" s="479">
        <v>0</v>
      </c>
      <c r="L1528" s="515">
        <v>0</v>
      </c>
      <c r="M1528" s="479">
        <v>0</v>
      </c>
      <c r="N1528" s="518">
        <v>729</v>
      </c>
      <c r="O1528" s="479">
        <v>1851621</v>
      </c>
      <c r="P1528" s="515">
        <v>0</v>
      </c>
      <c r="Q1528" s="479">
        <v>0</v>
      </c>
      <c r="R1528" s="516">
        <v>0</v>
      </c>
      <c r="S1528" s="479">
        <v>0</v>
      </c>
      <c r="T1528" s="515">
        <v>0</v>
      </c>
      <c r="U1528" s="517">
        <v>0</v>
      </c>
      <c r="V1528" s="282"/>
      <c r="W1528" s="282">
        <f t="shared" si="276"/>
        <v>2539.9465020576131</v>
      </c>
      <c r="X1528" s="282"/>
    </row>
    <row r="1529" spans="1:35">
      <c r="A1529" s="470"/>
      <c r="B1529" s="519"/>
      <c r="C1529" s="479"/>
      <c r="D1529" s="479"/>
      <c r="E1529" s="479"/>
      <c r="F1529" s="479"/>
      <c r="G1529" s="479"/>
      <c r="H1529" s="479"/>
      <c r="I1529" s="479"/>
      <c r="J1529" s="479"/>
      <c r="K1529" s="479"/>
      <c r="L1529" s="515"/>
      <c r="M1529" s="479"/>
      <c r="N1529" s="518"/>
      <c r="O1529" s="479"/>
      <c r="P1529" s="515"/>
      <c r="Q1529" s="479"/>
      <c r="R1529" s="516"/>
      <c r="S1529" s="479"/>
      <c r="T1529" s="515"/>
      <c r="U1529" s="517"/>
      <c r="V1529" s="282"/>
      <c r="W1529" s="282"/>
      <c r="X1529" s="282"/>
    </row>
    <row r="1530" spans="1:35">
      <c r="A1530" s="470"/>
      <c r="B1530" s="519"/>
      <c r="C1530" s="479"/>
      <c r="D1530" s="479"/>
      <c r="E1530" s="479"/>
      <c r="F1530" s="479"/>
      <c r="G1530" s="479"/>
      <c r="H1530" s="479"/>
      <c r="I1530" s="479"/>
      <c r="J1530" s="479"/>
      <c r="K1530" s="479"/>
      <c r="L1530" s="515"/>
      <c r="M1530" s="479"/>
      <c r="N1530" s="518"/>
      <c r="O1530" s="479"/>
      <c r="P1530" s="515"/>
      <c r="Q1530" s="479"/>
      <c r="R1530" s="516"/>
      <c r="S1530" s="479"/>
      <c r="T1530" s="515"/>
      <c r="U1530" s="517"/>
      <c r="V1530" s="282"/>
      <c r="W1530" s="282"/>
      <c r="X1530" s="282"/>
    </row>
    <row r="1531" spans="1:35">
      <c r="A1531" s="470"/>
      <c r="B1531" s="519"/>
      <c r="C1531" s="479"/>
      <c r="D1531" s="479"/>
      <c r="E1531" s="479"/>
      <c r="F1531" s="479"/>
      <c r="G1531" s="479"/>
      <c r="H1531" s="479"/>
      <c r="I1531" s="479"/>
      <c r="J1531" s="479"/>
      <c r="K1531" s="479"/>
      <c r="L1531" s="515"/>
      <c r="M1531" s="479"/>
      <c r="N1531" s="518"/>
      <c r="O1531" s="479"/>
      <c r="P1531" s="515"/>
      <c r="Q1531" s="479"/>
      <c r="R1531" s="516"/>
      <c r="S1531" s="479"/>
      <c r="T1531" s="515"/>
      <c r="U1531" s="517"/>
      <c r="V1531" s="282"/>
      <c r="W1531" s="282"/>
      <c r="X1531" s="282"/>
    </row>
    <row r="1532" spans="1:35">
      <c r="A1532" s="470"/>
      <c r="B1532" s="519"/>
      <c r="C1532" s="479"/>
      <c r="D1532" s="479"/>
      <c r="E1532" s="479"/>
      <c r="F1532" s="479"/>
      <c r="G1532" s="479"/>
      <c r="H1532" s="479"/>
      <c r="I1532" s="479"/>
      <c r="J1532" s="479"/>
      <c r="K1532" s="479"/>
      <c r="L1532" s="515"/>
      <c r="M1532" s="479"/>
      <c r="N1532" s="518"/>
      <c r="O1532" s="479"/>
      <c r="P1532" s="515"/>
      <c r="Q1532" s="479"/>
      <c r="R1532" s="516"/>
      <c r="S1532" s="479"/>
      <c r="T1532" s="515"/>
      <c r="U1532" s="517"/>
      <c r="V1532" s="282"/>
      <c r="W1532" s="282"/>
      <c r="X1532" s="282"/>
    </row>
    <row r="1533" spans="1:35">
      <c r="A1533" s="198"/>
      <c r="B1533" s="216" t="s">
        <v>67</v>
      </c>
      <c r="C1533" s="211">
        <v>2507155.0699999998</v>
      </c>
      <c r="D1533" s="211"/>
      <c r="E1533" s="211"/>
      <c r="F1533" s="211"/>
      <c r="G1533" s="211"/>
      <c r="H1533" s="211"/>
      <c r="I1533" s="211"/>
      <c r="J1533" s="211"/>
      <c r="K1533" s="211">
        <v>0</v>
      </c>
      <c r="L1533" s="212">
        <v>0</v>
      </c>
      <c r="M1533" s="211">
        <v>0</v>
      </c>
      <c r="N1533" s="211">
        <v>1630.2</v>
      </c>
      <c r="O1533" s="211">
        <v>2507155.0699999998</v>
      </c>
      <c r="P1533" s="212">
        <v>0</v>
      </c>
      <c r="Q1533" s="211">
        <v>0</v>
      </c>
      <c r="R1533" s="213">
        <v>0</v>
      </c>
      <c r="S1533" s="211">
        <v>0</v>
      </c>
      <c r="T1533" s="212">
        <v>0</v>
      </c>
      <c r="U1533" s="290">
        <v>0</v>
      </c>
      <c r="V1533" s="282"/>
      <c r="W1533" s="282"/>
      <c r="X1533" s="282"/>
    </row>
    <row r="1534" spans="1:35" ht="27.6">
      <c r="A1534" s="198"/>
      <c r="B1534" s="214" t="s">
        <v>90</v>
      </c>
      <c r="C1534" s="211">
        <v>728197.07</v>
      </c>
      <c r="D1534" s="211"/>
      <c r="E1534" s="211"/>
      <c r="F1534" s="211"/>
      <c r="G1534" s="211"/>
      <c r="H1534" s="211"/>
      <c r="I1534" s="211"/>
      <c r="J1534" s="211"/>
      <c r="K1534" s="211">
        <v>0</v>
      </c>
      <c r="L1534" s="212">
        <v>0</v>
      </c>
      <c r="M1534" s="211">
        <v>0</v>
      </c>
      <c r="N1534" s="211">
        <v>731.2</v>
      </c>
      <c r="O1534" s="211">
        <v>728197.07</v>
      </c>
      <c r="P1534" s="212">
        <v>0</v>
      </c>
      <c r="Q1534" s="211">
        <v>0</v>
      </c>
      <c r="R1534" s="213">
        <v>0</v>
      </c>
      <c r="S1534" s="211">
        <v>0</v>
      </c>
      <c r="T1534" s="212">
        <v>0</v>
      </c>
      <c r="U1534" s="290">
        <v>0</v>
      </c>
      <c r="V1534" s="282"/>
      <c r="W1534" s="282"/>
      <c r="X1534" s="282"/>
    </row>
    <row r="1535" spans="1:35" s="23" customFormat="1">
      <c r="A1535" s="198">
        <v>464</v>
      </c>
      <c r="B1535" s="241" t="s">
        <v>429</v>
      </c>
      <c r="C1535" s="211">
        <v>728197.07</v>
      </c>
      <c r="D1535" s="211"/>
      <c r="E1535" s="211"/>
      <c r="F1535" s="211"/>
      <c r="G1535" s="211"/>
      <c r="H1535" s="211"/>
      <c r="I1535" s="211"/>
      <c r="J1535" s="211"/>
      <c r="K1535" s="211">
        <v>0</v>
      </c>
      <c r="L1535" s="212">
        <v>0</v>
      </c>
      <c r="M1535" s="211">
        <v>0</v>
      </c>
      <c r="N1535" s="211">
        <v>731.2</v>
      </c>
      <c r="O1535" s="211">
        <v>728197.07</v>
      </c>
      <c r="P1535" s="212">
        <v>0</v>
      </c>
      <c r="Q1535" s="211">
        <v>0</v>
      </c>
      <c r="R1535" s="213">
        <v>0</v>
      </c>
      <c r="S1535" s="211">
        <v>0</v>
      </c>
      <c r="T1535" s="212">
        <v>0</v>
      </c>
      <c r="U1535" s="290">
        <v>0</v>
      </c>
      <c r="V1535" s="282"/>
      <c r="W1535" s="282"/>
      <c r="X1535" s="282"/>
    </row>
    <row r="1536" spans="1:35" ht="27.6">
      <c r="A1536" s="470"/>
      <c r="B1536" s="480" t="s">
        <v>127</v>
      </c>
      <c r="C1536" s="479">
        <f>C1537</f>
        <v>2254298</v>
      </c>
      <c r="D1536" s="479">
        <f t="shared" ref="D1536:V1536" si="277">D1537</f>
        <v>0</v>
      </c>
      <c r="E1536" s="479">
        <f t="shared" si="277"/>
        <v>0</v>
      </c>
      <c r="F1536" s="479">
        <f t="shared" si="277"/>
        <v>0</v>
      </c>
      <c r="G1536" s="479">
        <f t="shared" si="277"/>
        <v>0</v>
      </c>
      <c r="H1536" s="479">
        <f t="shared" si="277"/>
        <v>0</v>
      </c>
      <c r="I1536" s="479">
        <f t="shared" si="277"/>
        <v>0</v>
      </c>
      <c r="J1536" s="479">
        <f t="shared" si="277"/>
        <v>0</v>
      </c>
      <c r="K1536" s="479">
        <f t="shared" si="277"/>
        <v>0</v>
      </c>
      <c r="L1536" s="479">
        <f t="shared" si="277"/>
        <v>0</v>
      </c>
      <c r="M1536" s="479">
        <f t="shared" si="277"/>
        <v>0</v>
      </c>
      <c r="N1536" s="479">
        <f t="shared" si="277"/>
        <v>1190</v>
      </c>
      <c r="O1536" s="479">
        <f t="shared" si="277"/>
        <v>2254298</v>
      </c>
      <c r="P1536" s="479">
        <f t="shared" si="277"/>
        <v>0</v>
      </c>
      <c r="Q1536" s="479">
        <f t="shared" si="277"/>
        <v>0</v>
      </c>
      <c r="R1536" s="479">
        <f t="shared" si="277"/>
        <v>0</v>
      </c>
      <c r="S1536" s="479">
        <f t="shared" si="277"/>
        <v>0</v>
      </c>
      <c r="T1536" s="479">
        <f t="shared" si="277"/>
        <v>0</v>
      </c>
      <c r="U1536" s="479">
        <f t="shared" si="277"/>
        <v>0</v>
      </c>
      <c r="V1536" s="211">
        <f t="shared" si="277"/>
        <v>0</v>
      </c>
      <c r="W1536" s="282"/>
      <c r="X1536" s="282"/>
    </row>
    <row r="1537" spans="1:24" ht="25.2" customHeight="1">
      <c r="A1537" s="470">
        <v>465</v>
      </c>
      <c r="B1537" s="480" t="s">
        <v>430</v>
      </c>
      <c r="C1537" s="479">
        <f>'часть 1'!L1561</f>
        <v>2254298</v>
      </c>
      <c r="D1537" s="479">
        <v>0</v>
      </c>
      <c r="E1537" s="479">
        <v>0</v>
      </c>
      <c r="F1537" s="479">
        <v>0</v>
      </c>
      <c r="G1537" s="479">
        <v>0</v>
      </c>
      <c r="H1537" s="479">
        <v>0</v>
      </c>
      <c r="I1537" s="479">
        <v>0</v>
      </c>
      <c r="J1537" s="479">
        <v>0</v>
      </c>
      <c r="K1537" s="479">
        <v>0</v>
      </c>
      <c r="L1537" s="515">
        <v>0</v>
      </c>
      <c r="M1537" s="479">
        <v>0</v>
      </c>
      <c r="N1537" s="479">
        <v>1190</v>
      </c>
      <c r="O1537" s="479">
        <v>2254298</v>
      </c>
      <c r="P1537" s="515">
        <v>0</v>
      </c>
      <c r="Q1537" s="479">
        <v>0</v>
      </c>
      <c r="R1537" s="516">
        <v>0</v>
      </c>
      <c r="S1537" s="479">
        <v>0</v>
      </c>
      <c r="T1537" s="515">
        <v>0</v>
      </c>
      <c r="U1537" s="517">
        <v>0</v>
      </c>
      <c r="V1537" s="282"/>
      <c r="W1537" s="282">
        <f>O1537/N1537</f>
        <v>1894.3680672268908</v>
      </c>
      <c r="X1537" s="282"/>
    </row>
  </sheetData>
  <autoFilter ref="A6:BA749"/>
  <sortState ref="B8:AD175">
    <sortCondition ref="B8:B175"/>
  </sortState>
  <customSheetViews>
    <customSheetView guid="{971AA6D5-B469-4A54-816C-1252CCB6D265}" scale="68" showPageBreaks="1" showAutoFilter="1" hiddenColumns="1" state="hidden" view="pageBreakPreview">
      <pane xSplit="2" ySplit="6" topLeftCell="C514" activePane="bottomRight" state="frozen"/>
      <selection pane="bottomRight" sqref="A1:XFD1048576"/>
      <colBreaks count="2" manualBreakCount="2">
        <brk id="13" max="1541" man="1"/>
        <brk id="33" max="1048575" man="1"/>
      </colBreaks>
      <pageMargins left="3.937007874015748E-2" right="3.937007874015748E-2" top="0.98425196850393704" bottom="0.39370078740157483" header="0.70866141732283472" footer="0.19685039370078741"/>
      <printOptions horizontalCentered="1"/>
      <pageSetup paperSize="9" scale="64" firstPageNumber="20" orientation="landscape" useFirstPageNumber="1" horizontalDpi="4294967294" verticalDpi="4294967294" r:id="rId1"/>
      <headerFooter>
        <oddHeader>&amp;C&amp;P</oddHeader>
      </headerFooter>
      <autoFilter ref="A6:BA749"/>
    </customSheetView>
    <customSheetView guid="{DFE5B545-478C-4B86-847C-1FEE882C6F69}" scale="68" showPageBreaks="1" showAutoFilter="1" hiddenColumns="1" state="hidden" view="pageBreakPreview">
      <pane xSplit="2" ySplit="5.7142857142857144" topLeftCell="C514" activePane="bottomRight" state="frozen"/>
      <selection pane="bottomRight" sqref="A1:XFD1048576"/>
      <colBreaks count="2" manualBreakCount="2">
        <brk id="13" max="1541" man="1"/>
        <brk id="33" max="1048575" man="1"/>
      </colBreaks>
      <pageMargins left="3.937007874015748E-2" right="3.937007874015748E-2" top="0.98425196850393704" bottom="0.39370078740157483" header="0.70866141732283472" footer="0.19685039370078741"/>
      <printOptions horizontalCentered="1"/>
      <pageSetup paperSize="9" scale="64" firstPageNumber="20" orientation="landscape" useFirstPageNumber="1" horizontalDpi="4294967294" verticalDpi="4294967294" r:id="rId2"/>
      <headerFooter>
        <oddHeader>&amp;C&amp;P</oddHeader>
      </headerFooter>
      <autoFilter ref="A6:BA749"/>
    </customSheetView>
    <customSheetView guid="{4C44C113-DA02-468D-99C5-83FA6693F42F}" scale="68" showPageBreaks="1" showAutoFilter="1" hiddenColumns="1" state="hidden" view="pageBreakPreview">
      <pane xSplit="2" ySplit="6" topLeftCell="C514" activePane="bottomRight" state="frozen"/>
      <selection pane="bottomRight" sqref="A1:XFD1048576"/>
      <colBreaks count="2" manualBreakCount="2">
        <brk id="13" max="1541" man="1"/>
        <brk id="33" max="1048575" man="1"/>
      </colBreaks>
      <pageMargins left="3.937007874015748E-2" right="3.937007874015748E-2" top="0.98425196850393704" bottom="0.39370078740157483" header="0.70866141732283472" footer="0.19685039370078741"/>
      <printOptions horizontalCentered="1"/>
      <pageSetup paperSize="9" scale="64" firstPageNumber="20" orientation="landscape" useFirstPageNumber="1" horizontalDpi="4294967294" verticalDpi="4294967294" r:id="rId3"/>
      <headerFooter>
        <oddHeader>&amp;C&amp;P</oddHeader>
      </headerFooter>
      <autoFilter ref="A6:BA749"/>
    </customSheetView>
    <customSheetView guid="{570403C4-1D93-4175-B4D8-BD47D46CE99C}" scale="68" showPageBreaks="1" showAutoFilter="1" hiddenColumns="1" state="hidden" view="pageBreakPreview">
      <pane xSplit="2" ySplit="6" topLeftCell="C514" activePane="bottomRight" state="frozen"/>
      <selection pane="bottomRight" sqref="A1:XFD1048576"/>
      <colBreaks count="2" manualBreakCount="2">
        <brk id="13" max="1541" man="1"/>
        <brk id="33" max="1048575" man="1"/>
      </colBreaks>
      <pageMargins left="3.937007874015748E-2" right="3.937007874015748E-2" top="0.98425196850393704" bottom="0.39370078740157483" header="0.70866141732283472" footer="0.19685039370078741"/>
      <printOptions horizontalCentered="1"/>
      <pageSetup paperSize="9" scale="64" firstPageNumber="20" orientation="landscape" useFirstPageNumber="1" horizontalDpi="4294967294" verticalDpi="4294967294" r:id="rId4"/>
      <headerFooter>
        <oddHeader>&amp;C&amp;P</oddHeader>
      </headerFooter>
      <autoFilter ref="A6:BA749"/>
    </customSheetView>
    <customSheetView guid="{B1841E62-04AF-4786-8B2B-B1F42C88E6D1}" scale="68" showPageBreaks="1" showAutoFilter="1" hiddenColumns="1" state="hidden" view="pageBreakPreview">
      <pane xSplit="2" ySplit="6" topLeftCell="C514" activePane="bottomRight" state="frozen"/>
      <selection pane="bottomRight" sqref="A1:XFD1048576"/>
      <colBreaks count="2" manualBreakCount="2">
        <brk id="13" max="1541" man="1"/>
        <brk id="33" max="1048575" man="1"/>
      </colBreaks>
      <pageMargins left="3.937007874015748E-2" right="3.937007874015748E-2" top="0.98425196850393704" bottom="0.39370078740157483" header="0.70866141732283472" footer="0.19685039370078741"/>
      <printOptions horizontalCentered="1"/>
      <pageSetup paperSize="9" scale="64" firstPageNumber="20" orientation="landscape" useFirstPageNumber="1" horizontalDpi="4294967294" verticalDpi="4294967294" r:id="rId5"/>
      <headerFooter>
        <oddHeader>&amp;C&amp;P</oddHeader>
      </headerFooter>
      <autoFilter ref="A6:BA560"/>
    </customSheetView>
    <customSheetView guid="{A28C0ADC-4E0C-4A0A-ACB1-DA409183476D}" scale="68" showPageBreaks="1" showAutoFilter="1" hiddenColumns="1" state="hidden" view="pageBreakPreview">
      <pane xSplit="2" ySplit="6" topLeftCell="C514" activePane="bottomRight" state="frozen"/>
      <selection pane="bottomRight" sqref="A1:XFD1048576"/>
      <colBreaks count="2" manualBreakCount="2">
        <brk id="13" max="1541" man="1"/>
        <brk id="33" max="1048575" man="1"/>
      </colBreaks>
      <pageMargins left="3.937007874015748E-2" right="3.937007874015748E-2" top="0.98425196850393704" bottom="0.39370078740157483" header="0.70866141732283472" footer="0.19685039370078741"/>
      <printOptions horizontalCentered="1"/>
      <pageSetup paperSize="9" scale="64" firstPageNumber="20" orientation="landscape" useFirstPageNumber="1" horizontalDpi="4294967294" verticalDpi="4294967294" r:id="rId6"/>
      <headerFooter>
        <oddHeader>&amp;C&amp;P</oddHeader>
      </headerFooter>
      <autoFilter ref="A6:BA749"/>
    </customSheetView>
    <customSheetView guid="{144E5A37-1CF2-41F0-BEF8-CB5D4D392E2A}" scale="68" showPageBreaks="1" showAutoFilter="1" hiddenColumns="1" state="hidden" view="pageBreakPreview">
      <pane xSplit="1.7945205479452055" ySplit="5" topLeftCell="C514" activePane="bottomRight" state="frozen"/>
      <selection pane="bottomRight" sqref="A1:XFD1048576"/>
      <colBreaks count="2" manualBreakCount="2">
        <brk id="13" max="1541" man="1"/>
        <brk id="33" max="1048575" man="1"/>
      </colBreaks>
      <pageMargins left="3.937007874015748E-2" right="3.937007874015748E-2" top="0.98425196850393704" bottom="0.39370078740157483" header="0.70866141732283472" footer="0.19685039370078741"/>
      <printOptions horizontalCentered="1"/>
      <pageSetup paperSize="9" scale="64" firstPageNumber="20" orientation="landscape" useFirstPageNumber="1" horizontalDpi="4294967294" verticalDpi="4294967294" r:id="rId7"/>
      <headerFooter>
        <oddHeader>&amp;C&amp;P</oddHeader>
      </headerFooter>
      <autoFilter ref="A6:BA749"/>
    </customSheetView>
    <customSheetView guid="{7A75CCE7-0E84-47E6-A162-5AC0354F2967}" scale="68" showPageBreaks="1" showAutoFilter="1" hiddenColumns="1" state="hidden" view="pageBreakPreview">
      <pane xSplit="2" ySplit="6" topLeftCell="C514" activePane="bottomRight" state="frozen"/>
      <selection pane="bottomRight" sqref="A1:XFD1048576"/>
      <colBreaks count="2" manualBreakCount="2">
        <brk id="13" max="1541" man="1"/>
        <brk id="33" max="1048575" man="1"/>
      </colBreaks>
      <pageMargins left="3.937007874015748E-2" right="3.937007874015748E-2" top="0.98425196850393704" bottom="0.39370078740157483" header="0.70866141732283472" footer="0.19685039370078741"/>
      <printOptions horizontalCentered="1"/>
      <pageSetup paperSize="9" scale="64" firstPageNumber="20" orientation="landscape" useFirstPageNumber="1" horizontalDpi="4294967294" verticalDpi="4294967294" r:id="rId8"/>
      <headerFooter>
        <oddHeader>&amp;C&amp;P</oddHeader>
      </headerFooter>
      <autoFilter ref="A6:BA749"/>
    </customSheetView>
    <customSheetView guid="{A6187BD3-0BA4-497C-8924-4FA3D77530F0}" scale="68" showPageBreaks="1" showAutoFilter="1" hiddenColumns="1" state="hidden" view="pageBreakPreview">
      <pane xSplit="2" ySplit="6" topLeftCell="C514" activePane="bottomRight" state="frozen"/>
      <selection pane="bottomRight" sqref="A1:XFD1048576"/>
      <colBreaks count="2" manualBreakCount="2">
        <brk id="13" max="1541" man="1"/>
        <brk id="33" max="1048575" man="1"/>
      </colBreaks>
      <pageMargins left="3.937007874015748E-2" right="3.937007874015748E-2" top="0.98425196850393704" bottom="0.39370078740157483" header="0.70866141732283472" footer="0.19685039370078741"/>
      <printOptions horizontalCentered="1"/>
      <pageSetup paperSize="9" scale="64" firstPageNumber="20" orientation="landscape" useFirstPageNumber="1" horizontalDpi="4294967294" verticalDpi="4294967294" r:id="rId9"/>
      <headerFooter>
        <oddHeader>&amp;C&amp;P</oddHeader>
      </headerFooter>
      <autoFilter ref="A6:BA749"/>
    </customSheetView>
    <customSheetView guid="{DC88C499-913F-4D15-846E-E5B9D5E047D7}" scale="68" showPageBreaks="1" showAutoFilter="1" hiddenColumns="1" state="hidden" view="pageBreakPreview">
      <pane xSplit="2" ySplit="6" topLeftCell="C514" activePane="bottomRight" state="frozen"/>
      <selection pane="bottomRight" sqref="A1:XFD1048576"/>
      <colBreaks count="2" manualBreakCount="2">
        <brk id="13" max="1541" man="1"/>
        <brk id="33" max="1048575" man="1"/>
      </colBreaks>
      <pageMargins left="3.937007874015748E-2" right="3.937007874015748E-2" top="0.98425196850393704" bottom="0.39370078740157483" header="0.70866141732283472" footer="0.19685039370078741"/>
      <printOptions horizontalCentered="1"/>
      <pageSetup paperSize="9" scale="64" firstPageNumber="20" orientation="landscape" useFirstPageNumber="1" horizontalDpi="4294967294" verticalDpi="4294967294" r:id="rId10"/>
      <headerFooter>
        <oddHeader>&amp;C&amp;P</oddHeader>
      </headerFooter>
      <autoFilter ref="A6:BA749"/>
    </customSheetView>
  </customSheetViews>
  <mergeCells count="11">
    <mergeCell ref="T4:U4"/>
    <mergeCell ref="A1:U1"/>
    <mergeCell ref="A2:A5"/>
    <mergeCell ref="B2:B5"/>
    <mergeCell ref="C2:C4"/>
    <mergeCell ref="L4:M4"/>
    <mergeCell ref="N4:O4"/>
    <mergeCell ref="P4:Q4"/>
    <mergeCell ref="R4:S4"/>
    <mergeCell ref="D3:K3"/>
    <mergeCell ref="D2:U2"/>
  </mergeCells>
  <printOptions horizontalCentered="1"/>
  <pageMargins left="3.937007874015748E-2" right="3.937007874015748E-2" top="0.98425196850393704" bottom="0.39370078740157483" header="0.70866141732283472" footer="0.19685039370078741"/>
  <pageSetup paperSize="9" scale="64" firstPageNumber="20" orientation="landscape" useFirstPageNumber="1" horizontalDpi="4294967294" verticalDpi="4294967294" r:id="rId11"/>
  <headerFooter>
    <oddHeader>&amp;C&amp;P</oddHeader>
  </headerFooter>
  <colBreaks count="2" manualBreakCount="2">
    <brk id="13" max="1541" man="1"/>
    <brk id="3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93"/>
  <sheetViews>
    <sheetView view="pageBreakPreview" zoomScale="72" zoomScaleSheetLayoutView="72" workbookViewId="0">
      <pane xSplit="2" ySplit="4" topLeftCell="C7" activePane="bottomRight" state="frozen"/>
      <selection pane="topRight" activeCell="C1" sqref="C1"/>
      <selection pane="bottomLeft" activeCell="A5" sqref="A5"/>
      <selection pane="bottomRight" sqref="A1:XFD1048576"/>
    </sheetView>
  </sheetViews>
  <sheetFormatPr defaultColWidth="8.88671875" defaultRowHeight="14.4"/>
  <cols>
    <col min="1" max="1" width="5.6640625" style="20" customWidth="1"/>
    <col min="2" max="2" width="28.5546875" style="1" customWidth="1"/>
    <col min="3" max="3" width="12" style="54" customWidth="1"/>
    <col min="4" max="4" width="13.6640625" style="56" customWidth="1"/>
    <col min="5" max="9" width="9.6640625" style="22" customWidth="1"/>
    <col min="10" max="10" width="9.6640625" style="1" customWidth="1"/>
    <col min="11" max="11" width="10.44140625" style="1" customWidth="1"/>
    <col min="12" max="12" width="11.6640625" style="25" customWidth="1"/>
    <col min="13" max="13" width="13.5546875" style="1" customWidth="1"/>
    <col min="14" max="14" width="14.33203125" style="1" customWidth="1"/>
    <col min="15" max="15" width="12.44140625" style="1" customWidth="1"/>
    <col min="16" max="26" width="8.88671875" style="1"/>
    <col min="27" max="27" width="8.88671875" style="1" customWidth="1"/>
    <col min="28" max="16384" width="8.88671875" style="1"/>
  </cols>
  <sheetData>
    <row r="1" spans="1:16" ht="45" customHeight="1">
      <c r="A1" s="1503" t="s">
        <v>124</v>
      </c>
      <c r="B1" s="1503"/>
      <c r="C1" s="1503"/>
      <c r="D1" s="1503"/>
      <c r="E1" s="1503"/>
      <c r="F1" s="1503"/>
      <c r="G1" s="1503"/>
      <c r="H1" s="1503"/>
      <c r="I1" s="1503"/>
      <c r="J1" s="1503"/>
      <c r="K1" s="1503"/>
      <c r="L1" s="1503"/>
      <c r="M1" s="1503"/>
      <c r="N1" s="1503"/>
    </row>
    <row r="2" spans="1:16" ht="62.25" customHeight="1">
      <c r="A2" s="1499" t="s">
        <v>0</v>
      </c>
      <c r="B2" s="1499" t="s">
        <v>25</v>
      </c>
      <c r="C2" s="1504" t="s">
        <v>460</v>
      </c>
      <c r="D2" s="1505" t="s">
        <v>6</v>
      </c>
      <c r="E2" s="1506" t="s">
        <v>26</v>
      </c>
      <c r="F2" s="1506"/>
      <c r="G2" s="1506"/>
      <c r="H2" s="1506"/>
      <c r="I2" s="1506"/>
      <c r="J2" s="1499" t="s">
        <v>7</v>
      </c>
      <c r="K2" s="1499"/>
      <c r="L2" s="1499"/>
      <c r="M2" s="1499"/>
      <c r="N2" s="1499"/>
      <c r="O2" s="56"/>
    </row>
    <row r="3" spans="1:16" ht="48" customHeight="1">
      <c r="A3" s="1499"/>
      <c r="B3" s="1499"/>
      <c r="C3" s="1504"/>
      <c r="D3" s="1505"/>
      <c r="E3" s="188" t="s">
        <v>27</v>
      </c>
      <c r="F3" s="188" t="s">
        <v>28</v>
      </c>
      <c r="G3" s="188" t="s">
        <v>29</v>
      </c>
      <c r="H3" s="188" t="s">
        <v>30</v>
      </c>
      <c r="I3" s="188" t="s">
        <v>440</v>
      </c>
      <c r="J3" s="186" t="s">
        <v>27</v>
      </c>
      <c r="K3" s="186" t="s">
        <v>28</v>
      </c>
      <c r="L3" s="187" t="s">
        <v>29</v>
      </c>
      <c r="M3" s="186" t="s">
        <v>30</v>
      </c>
      <c r="N3" s="186" t="s">
        <v>440</v>
      </c>
    </row>
    <row r="4" spans="1:16">
      <c r="A4" s="1499"/>
      <c r="B4" s="1499"/>
      <c r="C4" s="242" t="s">
        <v>21</v>
      </c>
      <c r="D4" s="243" t="s">
        <v>16</v>
      </c>
      <c r="E4" s="190" t="s">
        <v>23</v>
      </c>
      <c r="F4" s="190" t="s">
        <v>23</v>
      </c>
      <c r="G4" s="190" t="s">
        <v>23</v>
      </c>
      <c r="H4" s="190" t="s">
        <v>23</v>
      </c>
      <c r="I4" s="190" t="s">
        <v>23</v>
      </c>
      <c r="J4" s="189" t="s">
        <v>17</v>
      </c>
      <c r="K4" s="189" t="s">
        <v>17</v>
      </c>
      <c r="L4" s="244" t="s">
        <v>17</v>
      </c>
      <c r="M4" s="189" t="s">
        <v>17</v>
      </c>
      <c r="N4" s="189" t="s">
        <v>17</v>
      </c>
    </row>
    <row r="5" spans="1:16" ht="12.75" customHeight="1">
      <c r="A5" s="245">
        <v>1</v>
      </c>
      <c r="B5" s="245">
        <v>2</v>
      </c>
      <c r="C5" s="246">
        <v>3</v>
      </c>
      <c r="D5" s="247">
        <v>4</v>
      </c>
      <c r="E5" s="246">
        <v>5</v>
      </c>
      <c r="F5" s="246">
        <v>6</v>
      </c>
      <c r="G5" s="246">
        <v>7</v>
      </c>
      <c r="H5" s="246">
        <v>8</v>
      </c>
      <c r="I5" s="246">
        <v>9</v>
      </c>
      <c r="J5" s="245">
        <v>10</v>
      </c>
      <c r="K5" s="245">
        <v>11</v>
      </c>
      <c r="L5" s="246">
        <v>12</v>
      </c>
      <c r="M5" s="245">
        <v>13</v>
      </c>
      <c r="N5" s="245">
        <v>14</v>
      </c>
    </row>
    <row r="6" spans="1:16" ht="28.5" customHeight="1">
      <c r="A6" s="189"/>
      <c r="B6" s="248" t="s">
        <v>42</v>
      </c>
      <c r="C6" s="249">
        <f>C7+C8+C9+C10+C11+C12+C14+C16+C18++C20+C23+C25+C33+C35+C37+C40+C46+C48+C51+C55+C64+C66+C68+C72+C74+C76+C79+C82+C84+C89+C92+C94+C96+C99+C101+C102</f>
        <v>468830.9499999999</v>
      </c>
      <c r="D6" s="250">
        <f>D7+D8+D9+D10+D11+D12+D14+D16+D18++D20+D23+D25+D33+D35+D37+D40+D46+D48+D51+D55+D64+D66+D68+D72+D74+D76+D79+D82+D84+D89+D92+D94+D96+D99+D101+D102</f>
        <v>15600</v>
      </c>
      <c r="E6" s="250">
        <f>E7+E8+E9+E10+E11+E12+E14+E16+E18+E20+E23+E25+E33+E35+E37+E40+E46+E48+E51+E55+E64+E66+E68+E72+E74+E76+E79+E82+E84+E89+E92+E94+E99+E101+E102</f>
        <v>0</v>
      </c>
      <c r="F6" s="250">
        <f>F7+F8+F9+F10+F11+F12+F14+F16+F18+F20+F23+F25+F33+F35+F37+F40+F46+F48+F51+F55+F64+F66+F68+F72+F74+F76+F79+F82+F84+F89+F92+F94+F99+F101+F102</f>
        <v>2</v>
      </c>
      <c r="G6" s="250">
        <f>G7+G8+G9+G10+G11+G12+G14+G16+G18+G20+G23+G25+G33+G35+G37+G40+G46+G48+G51+G55+G64+G66+G68+G72+G74+G76+G79+G82+G84+G89+G92+G94+G96+G99+G101+G102</f>
        <v>7</v>
      </c>
      <c r="H6" s="252" t="e">
        <f>H7+H8+H9+H10+H11+H12+H14+H16+H18+H20+H23+H25+H33+H35+H37+H40+H46+H48+H51+H55+H64+H66+H68+H72+H74+H76+H79+H82+H84+H89+H92+H94+H96+H99+H101+H102</f>
        <v>#REF!</v>
      </c>
      <c r="I6" s="252" t="e">
        <f>I7+I8+I9+I10+I11+I12+I14+I16+I18+I20+I23+I25+I33+I35+I37+I40+I46+I48+I51+I55+I64+I66+I68+I72+I74+I76+I79+I82+I84+I89+I92+I94+I96+I99+I101+I102</f>
        <v>#REF!</v>
      </c>
      <c r="J6" s="251">
        <f>J7+J8+J9+J10+J11+J12+J14+J16+J18+J20+J23+J25+J33+J35+J37+J40+J46+J48+J51+J55+J64+J66+J68+J72+J74+J76+J79+J82+J84+J89+J92+J94+J99+J101+J102</f>
        <v>0</v>
      </c>
      <c r="K6" s="251">
        <f>K7+K8+K9+K10+K11+K12+K14+K16+K18+K20+K23+K25+K33+K35+K37+K40+K46+K48+K51+K55+K64+K66+K68+K72+K74+K76+K79+K82+K84+K89+K92+K94+K99+K101+K102</f>
        <v>3666180</v>
      </c>
      <c r="L6" s="251">
        <f>L7+L8+L9+L10+L11+L12+L14+L16+L18+L20+L23+L25+L33+L35+L37+L40+L46+L48+L51+L55+L64+L66+L68+L72+L74+L76+L79+L82+L84+L89+L92+L94+L99+L101+L102</f>
        <v>7158350.0700000003</v>
      </c>
      <c r="M6" s="251">
        <f>M7+M8+M9+M10+M11+M12+M14+M16+M18+M20+M23+M25+M33+M35+M37+M40+M46+M48+M51+M55+M64+M66+M68+M72+M74+M76+M79+M82+M84+M89+M92+M94+M96+M99+M101+M102</f>
        <v>667981123.17999995</v>
      </c>
      <c r="N6" s="251">
        <f>N7+N8+N9+N10+N11+N12+N14+N16+N18+N20+N23+N25+N33+N35+N37+N40+N46+N48+N51+N55+N64+N66+N68+N72+N74+N76+N79+N82+N84+N89+N92+N94+N96+N99+N101+N102</f>
        <v>689255460.85000002</v>
      </c>
      <c r="O6" s="83"/>
    </row>
    <row r="7" spans="1:16" ht="15.75" customHeight="1">
      <c r="A7" s="449">
        <v>1</v>
      </c>
      <c r="B7" s="450" t="s">
        <v>89</v>
      </c>
      <c r="C7" s="451">
        <f>'часть 1'!H19</f>
        <v>0</v>
      </c>
      <c r="D7" s="452">
        <f>'часть 1'!K19</f>
        <v>0</v>
      </c>
      <c r="E7" s="453">
        <v>0</v>
      </c>
      <c r="F7" s="453">
        <v>0</v>
      </c>
      <c r="G7" s="453">
        <v>0</v>
      </c>
      <c r="H7" s="453">
        <v>168</v>
      </c>
      <c r="I7" s="453">
        <f>H7+G7</f>
        <v>168</v>
      </c>
      <c r="J7" s="454">
        <v>0</v>
      </c>
      <c r="K7" s="454">
        <v>0</v>
      </c>
      <c r="L7" s="454">
        <v>0</v>
      </c>
      <c r="M7" s="454">
        <f>'часть 1'!L19</f>
        <v>336230870.63</v>
      </c>
      <c r="N7" s="454">
        <f t="shared" ref="N7:N12" si="0">M7</f>
        <v>336230870.63</v>
      </c>
      <c r="O7" s="25"/>
      <c r="P7" s="25"/>
    </row>
    <row r="8" spans="1:16" ht="26.25" customHeight="1">
      <c r="A8" s="189">
        <v>2</v>
      </c>
      <c r="B8" s="248" t="s">
        <v>91</v>
      </c>
      <c r="C8" s="249">
        <f>'часть 1'!H188</f>
        <v>25162</v>
      </c>
      <c r="D8" s="250">
        <f>'часть 1'!K188</f>
        <v>816</v>
      </c>
      <c r="E8" s="252">
        <v>0</v>
      </c>
      <c r="F8" s="252">
        <v>0</v>
      </c>
      <c r="G8" s="252">
        <v>0</v>
      </c>
      <c r="H8" s="252">
        <v>16</v>
      </c>
      <c r="I8" s="252">
        <f t="shared" ref="I8:I77" si="1">H8+G8</f>
        <v>16</v>
      </c>
      <c r="J8" s="251">
        <v>0</v>
      </c>
      <c r="K8" s="251">
        <v>0</v>
      </c>
      <c r="L8" s="251">
        <v>0</v>
      </c>
      <c r="M8" s="251">
        <f>'часть 1'!L188</f>
        <v>31255395.629999999</v>
      </c>
      <c r="N8" s="251">
        <f t="shared" si="0"/>
        <v>31255395.629999999</v>
      </c>
      <c r="O8" s="25"/>
      <c r="P8" s="25"/>
    </row>
    <row r="9" spans="1:16" ht="15.75" customHeight="1">
      <c r="A9" s="449">
        <v>3</v>
      </c>
      <c r="B9" s="450" t="s">
        <v>92</v>
      </c>
      <c r="C9" s="451">
        <f>'часть 1'!H205</f>
        <v>432.8</v>
      </c>
      <c r="D9" s="452">
        <f>'часть 1'!K205</f>
        <v>27</v>
      </c>
      <c r="E9" s="453">
        <v>0</v>
      </c>
      <c r="F9" s="453">
        <v>0</v>
      </c>
      <c r="G9" s="453">
        <v>0</v>
      </c>
      <c r="H9" s="453">
        <v>1</v>
      </c>
      <c r="I9" s="453">
        <f t="shared" si="1"/>
        <v>1</v>
      </c>
      <c r="J9" s="454">
        <v>0</v>
      </c>
      <c r="K9" s="454">
        <v>0</v>
      </c>
      <c r="L9" s="454">
        <v>0</v>
      </c>
      <c r="M9" s="454">
        <f>'часть 1'!L205</f>
        <v>366350</v>
      </c>
      <c r="N9" s="454">
        <f t="shared" si="0"/>
        <v>366350</v>
      </c>
      <c r="P9" s="25"/>
    </row>
    <row r="10" spans="1:16" ht="15.75" customHeight="1">
      <c r="A10" s="449">
        <v>4</v>
      </c>
      <c r="B10" s="450" t="s">
        <v>93</v>
      </c>
      <c r="C10" s="451">
        <f>'часть 1'!H207</f>
        <v>19486.900000000001</v>
      </c>
      <c r="D10" s="452">
        <f>'часть 1'!K207</f>
        <v>669</v>
      </c>
      <c r="E10" s="453">
        <v>0</v>
      </c>
      <c r="F10" s="453">
        <v>0</v>
      </c>
      <c r="G10" s="453">
        <v>0</v>
      </c>
      <c r="H10" s="453">
        <v>12</v>
      </c>
      <c r="I10" s="453">
        <f t="shared" si="1"/>
        <v>12</v>
      </c>
      <c r="J10" s="454">
        <v>0</v>
      </c>
      <c r="K10" s="454">
        <v>0</v>
      </c>
      <c r="L10" s="454">
        <v>0</v>
      </c>
      <c r="M10" s="701">
        <f>'часть 1'!L207</f>
        <v>31146002</v>
      </c>
      <c r="N10" s="454">
        <f>M10</f>
        <v>31146002</v>
      </c>
      <c r="P10" s="25"/>
    </row>
    <row r="11" spans="1:16" ht="16.5" customHeight="1">
      <c r="A11" s="449">
        <v>5</v>
      </c>
      <c r="B11" s="456" t="s">
        <v>94</v>
      </c>
      <c r="C11" s="451">
        <f>'часть 1'!H231</f>
        <v>27680.9</v>
      </c>
      <c r="D11" s="452">
        <f>'часть 1'!K231</f>
        <v>984</v>
      </c>
      <c r="E11" s="453">
        <v>0</v>
      </c>
      <c r="F11" s="453">
        <v>0</v>
      </c>
      <c r="G11" s="453">
        <v>0</v>
      </c>
      <c r="H11" s="453">
        <v>9</v>
      </c>
      <c r="I11" s="453">
        <f t="shared" si="1"/>
        <v>9</v>
      </c>
      <c r="J11" s="454">
        <v>0</v>
      </c>
      <c r="K11" s="454">
        <v>0</v>
      </c>
      <c r="L11" s="454">
        <v>0</v>
      </c>
      <c r="M11" s="454">
        <f>'часть 1'!L231</f>
        <v>26467626</v>
      </c>
      <c r="N11" s="454">
        <f t="shared" si="0"/>
        <v>26467626</v>
      </c>
      <c r="O11" s="25"/>
      <c r="P11" s="25"/>
    </row>
    <row r="12" spans="1:16" s="3" customFormat="1">
      <c r="A12" s="449">
        <v>6</v>
      </c>
      <c r="B12" s="826" t="s">
        <v>123</v>
      </c>
      <c r="C12" s="827">
        <f>'часть 1'!H244</f>
        <v>34678.06</v>
      </c>
      <c r="D12" s="829">
        <f>'часть 1'!K244</f>
        <v>1002</v>
      </c>
      <c r="E12" s="880">
        <v>0</v>
      </c>
      <c r="F12" s="880">
        <v>0</v>
      </c>
      <c r="G12" s="880">
        <v>0</v>
      </c>
      <c r="H12" s="830">
        <v>5</v>
      </c>
      <c r="I12" s="453">
        <f t="shared" si="1"/>
        <v>5</v>
      </c>
      <c r="J12" s="828">
        <v>0</v>
      </c>
      <c r="K12" s="828">
        <v>0</v>
      </c>
      <c r="L12" s="828">
        <v>0</v>
      </c>
      <c r="M12" s="828">
        <f>'часть 1'!L244</f>
        <v>11767484</v>
      </c>
      <c r="N12" s="828">
        <f t="shared" si="0"/>
        <v>11767484</v>
      </c>
      <c r="P12" s="25"/>
    </row>
    <row r="13" spans="1:16" s="3" customFormat="1">
      <c r="A13" s="449"/>
      <c r="B13" s="826" t="s">
        <v>864</v>
      </c>
      <c r="C13" s="827">
        <f>'часть 1'!H257</f>
        <v>4284.7</v>
      </c>
      <c r="D13" s="829">
        <f>'часть 1'!K257</f>
        <v>97</v>
      </c>
      <c r="E13" s="880">
        <v>0</v>
      </c>
      <c r="F13" s="880">
        <v>1</v>
      </c>
      <c r="G13" s="880">
        <v>1</v>
      </c>
      <c r="H13" s="830">
        <v>0</v>
      </c>
      <c r="I13" s="453">
        <f>H13+G13+F13+E13</f>
        <v>2</v>
      </c>
      <c r="J13" s="828">
        <v>0</v>
      </c>
      <c r="K13" s="828">
        <v>898332</v>
      </c>
      <c r="L13" s="828">
        <v>1914360</v>
      </c>
      <c r="M13" s="828">
        <v>0</v>
      </c>
      <c r="N13" s="828">
        <f>M13+L13+K13+J13</f>
        <v>2812692</v>
      </c>
      <c r="P13" s="25"/>
    </row>
    <row r="14" spans="1:16" s="3" customFormat="1">
      <c r="A14" s="825"/>
      <c r="B14" s="826" t="s">
        <v>72</v>
      </c>
      <c r="C14" s="827">
        <f>C15</f>
        <v>3033.7</v>
      </c>
      <c r="D14" s="827">
        <f t="shared" ref="D14:N14" si="2">D15</f>
        <v>100</v>
      </c>
      <c r="E14" s="827">
        <f t="shared" si="2"/>
        <v>0</v>
      </c>
      <c r="F14" s="827">
        <f t="shared" si="2"/>
        <v>0</v>
      </c>
      <c r="G14" s="827">
        <f t="shared" si="2"/>
        <v>0</v>
      </c>
      <c r="H14" s="827">
        <f t="shared" si="2"/>
        <v>7</v>
      </c>
      <c r="I14" s="827">
        <f t="shared" si="2"/>
        <v>7</v>
      </c>
      <c r="J14" s="828">
        <f t="shared" si="2"/>
        <v>0</v>
      </c>
      <c r="K14" s="828">
        <f t="shared" si="2"/>
        <v>0</v>
      </c>
      <c r="L14" s="828">
        <f t="shared" si="2"/>
        <v>0</v>
      </c>
      <c r="M14" s="828">
        <f t="shared" si="2"/>
        <v>5868972</v>
      </c>
      <c r="N14" s="828">
        <f t="shared" si="2"/>
        <v>5868972</v>
      </c>
      <c r="P14" s="25"/>
    </row>
    <row r="15" spans="1:16" s="3" customFormat="1" ht="26.4">
      <c r="A15" s="825">
        <v>7</v>
      </c>
      <c r="B15" s="826" t="s">
        <v>95</v>
      </c>
      <c r="C15" s="827">
        <f>'часть 1'!H261</f>
        <v>3033.7</v>
      </c>
      <c r="D15" s="829">
        <f>'часть 1'!K261</f>
        <v>100</v>
      </c>
      <c r="E15" s="453">
        <v>0</v>
      </c>
      <c r="F15" s="453">
        <v>0</v>
      </c>
      <c r="G15" s="453">
        <v>0</v>
      </c>
      <c r="H15" s="830">
        <v>7</v>
      </c>
      <c r="I15" s="453">
        <f t="shared" si="1"/>
        <v>7</v>
      </c>
      <c r="J15" s="828">
        <v>0</v>
      </c>
      <c r="K15" s="828">
        <v>0</v>
      </c>
      <c r="L15" s="828">
        <v>0</v>
      </c>
      <c r="M15" s="828">
        <f>'часть 1'!L260</f>
        <v>5868972</v>
      </c>
      <c r="N15" s="828">
        <f>M15</f>
        <v>5868972</v>
      </c>
      <c r="P15" s="25"/>
    </row>
    <row r="16" spans="1:16">
      <c r="A16" s="254"/>
      <c r="B16" s="248" t="s">
        <v>41</v>
      </c>
      <c r="C16" s="249">
        <f>C17</f>
        <v>21724.199999999997</v>
      </c>
      <c r="D16" s="250">
        <f t="shared" ref="D16:N16" si="3">D17</f>
        <v>832</v>
      </c>
      <c r="E16" s="252">
        <f t="shared" si="3"/>
        <v>0</v>
      </c>
      <c r="F16" s="252">
        <f t="shared" si="3"/>
        <v>0</v>
      </c>
      <c r="G16" s="252">
        <f t="shared" si="3"/>
        <v>0</v>
      </c>
      <c r="H16" s="252">
        <f>H17</f>
        <v>10</v>
      </c>
      <c r="I16" s="252">
        <f t="shared" si="1"/>
        <v>10</v>
      </c>
      <c r="J16" s="251">
        <f t="shared" si="3"/>
        <v>0</v>
      </c>
      <c r="K16" s="251">
        <f t="shared" si="3"/>
        <v>0</v>
      </c>
      <c r="L16" s="251">
        <f t="shared" si="3"/>
        <v>0</v>
      </c>
      <c r="M16" s="251">
        <f>'часть 1'!L269</f>
        <v>22562280</v>
      </c>
      <c r="N16" s="251">
        <f t="shared" si="3"/>
        <v>22562280</v>
      </c>
      <c r="P16" s="25"/>
    </row>
    <row r="17" spans="1:16" ht="26.4">
      <c r="A17" s="455">
        <v>8</v>
      </c>
      <c r="B17" s="450" t="s">
        <v>96</v>
      </c>
      <c r="C17" s="451">
        <f>'часть 1'!H269</f>
        <v>21724.199999999997</v>
      </c>
      <c r="D17" s="452">
        <f>'часть 1'!K270</f>
        <v>832</v>
      </c>
      <c r="E17" s="453">
        <v>0</v>
      </c>
      <c r="F17" s="453">
        <v>0</v>
      </c>
      <c r="G17" s="453">
        <v>0</v>
      </c>
      <c r="H17" s="453">
        <v>10</v>
      </c>
      <c r="I17" s="453">
        <f t="shared" si="1"/>
        <v>10</v>
      </c>
      <c r="J17" s="454">
        <v>0</v>
      </c>
      <c r="K17" s="454">
        <v>0</v>
      </c>
      <c r="L17" s="454">
        <v>0</v>
      </c>
      <c r="M17" s="454">
        <f>'часть 1'!L269</f>
        <v>22562280</v>
      </c>
      <c r="N17" s="454">
        <f>M17</f>
        <v>22562280</v>
      </c>
      <c r="P17" s="25"/>
    </row>
    <row r="18" spans="1:16">
      <c r="A18" s="254"/>
      <c r="B18" s="248" t="s">
        <v>68</v>
      </c>
      <c r="C18" s="249">
        <f>C19</f>
        <v>362.9</v>
      </c>
      <c r="D18" s="249">
        <f t="shared" ref="D18:N18" si="4">D19</f>
        <v>15</v>
      </c>
      <c r="E18" s="249">
        <f t="shared" si="4"/>
        <v>0</v>
      </c>
      <c r="F18" s="249">
        <f t="shared" si="4"/>
        <v>0</v>
      </c>
      <c r="G18" s="249">
        <f t="shared" si="4"/>
        <v>0</v>
      </c>
      <c r="H18" s="249">
        <f t="shared" si="4"/>
        <v>1</v>
      </c>
      <c r="I18" s="249">
        <f t="shared" si="4"/>
        <v>1</v>
      </c>
      <c r="J18" s="249">
        <f t="shared" si="4"/>
        <v>0</v>
      </c>
      <c r="K18" s="249">
        <f t="shared" si="4"/>
        <v>0</v>
      </c>
      <c r="L18" s="249">
        <f t="shared" si="4"/>
        <v>0</v>
      </c>
      <c r="M18" s="249">
        <f t="shared" si="4"/>
        <v>241114</v>
      </c>
      <c r="N18" s="249">
        <f t="shared" si="4"/>
        <v>241114</v>
      </c>
      <c r="P18" s="25"/>
    </row>
    <row r="19" spans="1:16" ht="26.4">
      <c r="A19" s="455">
        <v>9</v>
      </c>
      <c r="B19" s="450" t="s">
        <v>97</v>
      </c>
      <c r="C19" s="451">
        <f>'часть 1'!H282</f>
        <v>362.9</v>
      </c>
      <c r="D19" s="452">
        <f>'часть 1'!K282</f>
        <v>15</v>
      </c>
      <c r="E19" s="453">
        <v>0</v>
      </c>
      <c r="F19" s="453">
        <v>0</v>
      </c>
      <c r="G19" s="453">
        <v>0</v>
      </c>
      <c r="H19" s="453">
        <v>1</v>
      </c>
      <c r="I19" s="453">
        <f t="shared" si="1"/>
        <v>1</v>
      </c>
      <c r="J19" s="454">
        <v>0</v>
      </c>
      <c r="K19" s="454">
        <v>0</v>
      </c>
      <c r="L19" s="454">
        <v>0</v>
      </c>
      <c r="M19" s="454">
        <f>'часть 1'!L282</f>
        <v>241114</v>
      </c>
      <c r="N19" s="454">
        <f>M19</f>
        <v>241114</v>
      </c>
      <c r="P19" s="25"/>
    </row>
    <row r="20" spans="1:16" s="19" customFormat="1">
      <c r="A20" s="255"/>
      <c r="B20" s="255" t="s">
        <v>43</v>
      </c>
      <c r="C20" s="249">
        <f>C21+C22</f>
        <v>23164.559999999998</v>
      </c>
      <c r="D20" s="256">
        <f>D21+D22</f>
        <v>853</v>
      </c>
      <c r="E20" s="252">
        <f>E21+E22</f>
        <v>0</v>
      </c>
      <c r="F20" s="252">
        <f t="shared" ref="F20:H20" si="5">F21+F22</f>
        <v>0</v>
      </c>
      <c r="G20" s="252">
        <f t="shared" si="5"/>
        <v>0</v>
      </c>
      <c r="H20" s="252" t="e">
        <f t="shared" si="5"/>
        <v>#REF!</v>
      </c>
      <c r="I20" s="252" t="e">
        <f t="shared" si="1"/>
        <v>#REF!</v>
      </c>
      <c r="J20" s="251">
        <f>J21+J22</f>
        <v>0</v>
      </c>
      <c r="K20" s="251">
        <f t="shared" ref="K20:N20" si="6">K21+K22</f>
        <v>0</v>
      </c>
      <c r="L20" s="251">
        <f t="shared" si="6"/>
        <v>0</v>
      </c>
      <c r="M20" s="251">
        <f t="shared" si="6"/>
        <v>23032470</v>
      </c>
      <c r="N20" s="251">
        <f t="shared" si="6"/>
        <v>23032470</v>
      </c>
      <c r="O20" s="84"/>
      <c r="P20" s="25"/>
    </row>
    <row r="21" spans="1:16" s="19" customFormat="1" ht="26.4">
      <c r="A21" s="254">
        <v>10</v>
      </c>
      <c r="B21" s="253" t="s">
        <v>125</v>
      </c>
      <c r="C21" s="249">
        <f>'часть 1'!H285</f>
        <v>20106.559999999998</v>
      </c>
      <c r="D21" s="250">
        <f>'часть 1'!K285</f>
        <v>735</v>
      </c>
      <c r="E21" s="252">
        <v>0</v>
      </c>
      <c r="F21" s="252">
        <v>0</v>
      </c>
      <c r="G21" s="252">
        <v>0</v>
      </c>
      <c r="H21" s="252" t="e">
        <f>'часть 2'!#REF!</f>
        <v>#REF!</v>
      </c>
      <c r="I21" s="252" t="e">
        <f t="shared" si="1"/>
        <v>#REF!</v>
      </c>
      <c r="J21" s="251">
        <v>0</v>
      </c>
      <c r="K21" s="251">
        <v>0</v>
      </c>
      <c r="L21" s="251">
        <v>0</v>
      </c>
      <c r="M21" s="251">
        <f>'часть 1'!L285</f>
        <v>20696312</v>
      </c>
      <c r="N21" s="251">
        <f>M21</f>
        <v>20696312</v>
      </c>
      <c r="P21" s="25"/>
    </row>
    <row r="22" spans="1:16" s="19" customFormat="1" ht="26.4">
      <c r="A22" s="254">
        <v>11</v>
      </c>
      <c r="B22" s="253" t="s">
        <v>210</v>
      </c>
      <c r="C22" s="249">
        <f>'часть 1'!H300</f>
        <v>3058</v>
      </c>
      <c r="D22" s="250">
        <f>'часть 1'!K300</f>
        <v>118</v>
      </c>
      <c r="E22" s="252">
        <v>0</v>
      </c>
      <c r="F22" s="252">
        <v>0</v>
      </c>
      <c r="G22" s="252">
        <v>0</v>
      </c>
      <c r="H22" s="252">
        <v>2</v>
      </c>
      <c r="I22" s="252">
        <f t="shared" si="1"/>
        <v>2</v>
      </c>
      <c r="J22" s="251">
        <v>0</v>
      </c>
      <c r="K22" s="251">
        <v>0</v>
      </c>
      <c r="L22" s="251">
        <v>0</v>
      </c>
      <c r="M22" s="251">
        <f>'часть 1'!L300</f>
        <v>2336158</v>
      </c>
      <c r="N22" s="251">
        <f>M22</f>
        <v>2336158</v>
      </c>
      <c r="P22" s="25"/>
    </row>
    <row r="23" spans="1:16">
      <c r="A23" s="254"/>
      <c r="B23" s="255" t="s">
        <v>44</v>
      </c>
      <c r="C23" s="249">
        <f>C24</f>
        <v>1753.9</v>
      </c>
      <c r="D23" s="250">
        <f t="shared" ref="D23:N23" si="7">D24</f>
        <v>60</v>
      </c>
      <c r="E23" s="252">
        <f t="shared" si="7"/>
        <v>0</v>
      </c>
      <c r="F23" s="252">
        <f t="shared" si="7"/>
        <v>0</v>
      </c>
      <c r="G23" s="252">
        <f t="shared" si="7"/>
        <v>0</v>
      </c>
      <c r="H23" s="252">
        <f t="shared" si="7"/>
        <v>2</v>
      </c>
      <c r="I23" s="252">
        <f t="shared" si="1"/>
        <v>2</v>
      </c>
      <c r="J23" s="251">
        <f t="shared" si="7"/>
        <v>0</v>
      </c>
      <c r="K23" s="251">
        <f t="shared" si="7"/>
        <v>0</v>
      </c>
      <c r="L23" s="251">
        <f t="shared" si="7"/>
        <v>0</v>
      </c>
      <c r="M23" s="251">
        <f>'часть 1'!L303</f>
        <v>2561132</v>
      </c>
      <c r="N23" s="251">
        <f t="shared" si="7"/>
        <v>2561132</v>
      </c>
      <c r="P23" s="25"/>
    </row>
    <row r="24" spans="1:16" s="18" customFormat="1" ht="26.4">
      <c r="A24" s="455">
        <f>A22+1</f>
        <v>12</v>
      </c>
      <c r="B24" s="456" t="s">
        <v>435</v>
      </c>
      <c r="C24" s="451">
        <f>'часть 1'!H304</f>
        <v>1753.9</v>
      </c>
      <c r="D24" s="452">
        <f>'часть 1'!K304</f>
        <v>60</v>
      </c>
      <c r="E24" s="453">
        <v>0</v>
      </c>
      <c r="F24" s="453">
        <v>0</v>
      </c>
      <c r="G24" s="453">
        <v>0</v>
      </c>
      <c r="H24" s="453">
        <v>2</v>
      </c>
      <c r="I24" s="453">
        <f t="shared" si="1"/>
        <v>2</v>
      </c>
      <c r="J24" s="454">
        <v>0</v>
      </c>
      <c r="K24" s="454">
        <v>0</v>
      </c>
      <c r="L24" s="454">
        <v>0</v>
      </c>
      <c r="M24" s="454">
        <f>'часть 1'!L303</f>
        <v>2561132</v>
      </c>
      <c r="N24" s="454">
        <f>M24</f>
        <v>2561132</v>
      </c>
      <c r="P24" s="25"/>
    </row>
    <row r="25" spans="1:16" ht="21" customHeight="1">
      <c r="A25" s="254"/>
      <c r="B25" s="255" t="s">
        <v>45</v>
      </c>
      <c r="C25" s="249">
        <f>C26+C27+C28+C29+C30+C31+C32</f>
        <v>12862.18</v>
      </c>
      <c r="D25" s="249">
        <f t="shared" ref="D25:N25" si="8">D26+D27+D28+D29+D30+D31+D32</f>
        <v>459</v>
      </c>
      <c r="E25" s="249">
        <f t="shared" si="8"/>
        <v>0</v>
      </c>
      <c r="F25" s="249">
        <f t="shared" si="8"/>
        <v>0</v>
      </c>
      <c r="G25" s="249">
        <f t="shared" si="8"/>
        <v>0</v>
      </c>
      <c r="H25" s="249">
        <f t="shared" si="8"/>
        <v>5</v>
      </c>
      <c r="I25" s="249">
        <f t="shared" si="8"/>
        <v>5</v>
      </c>
      <c r="J25" s="251">
        <f t="shared" si="8"/>
        <v>0</v>
      </c>
      <c r="K25" s="251">
        <f t="shared" si="8"/>
        <v>0</v>
      </c>
      <c r="L25" s="251">
        <f t="shared" si="8"/>
        <v>0</v>
      </c>
      <c r="M25" s="251">
        <f t="shared" si="8"/>
        <v>9578601</v>
      </c>
      <c r="N25" s="251">
        <f t="shared" si="8"/>
        <v>9578601</v>
      </c>
      <c r="O25" s="25"/>
      <c r="P25" s="25"/>
    </row>
    <row r="26" spans="1:16" ht="26.4">
      <c r="A26" s="455">
        <f>A24+1</f>
        <v>13</v>
      </c>
      <c r="B26" s="593" t="s">
        <v>98</v>
      </c>
      <c r="C26" s="451">
        <f>'часть 1'!H308</f>
        <v>3536</v>
      </c>
      <c r="D26" s="452">
        <f>'часть 1'!K308</f>
        <v>153</v>
      </c>
      <c r="E26" s="453">
        <v>0</v>
      </c>
      <c r="F26" s="453">
        <v>0</v>
      </c>
      <c r="G26" s="453">
        <v>0</v>
      </c>
      <c r="H26" s="453">
        <v>1</v>
      </c>
      <c r="I26" s="453">
        <f t="shared" si="1"/>
        <v>1</v>
      </c>
      <c r="J26" s="454">
        <v>0</v>
      </c>
      <c r="K26" s="454">
        <v>0</v>
      </c>
      <c r="L26" s="454">
        <v>0</v>
      </c>
      <c r="M26" s="454">
        <f>'часть 1'!L308</f>
        <v>2256851</v>
      </c>
      <c r="N26" s="454">
        <f>M26</f>
        <v>2256851</v>
      </c>
      <c r="P26" s="25"/>
    </row>
    <row r="27" spans="1:16" ht="26.4">
      <c r="A27" s="455"/>
      <c r="B27" s="593" t="s">
        <v>688</v>
      </c>
      <c r="C27" s="451">
        <f>'часть 1'!H311</f>
        <v>1426.08</v>
      </c>
      <c r="D27" s="452">
        <f>'часть 1'!K311</f>
        <v>47</v>
      </c>
      <c r="E27" s="453">
        <v>0</v>
      </c>
      <c r="F27" s="453">
        <v>0</v>
      </c>
      <c r="G27" s="453">
        <v>0</v>
      </c>
      <c r="H27" s="453">
        <v>1</v>
      </c>
      <c r="I27" s="453">
        <v>1</v>
      </c>
      <c r="J27" s="454">
        <v>0</v>
      </c>
      <c r="K27" s="454">
        <v>0</v>
      </c>
      <c r="L27" s="454">
        <v>0</v>
      </c>
      <c r="M27" s="454">
        <v>1826091</v>
      </c>
      <c r="N27" s="454">
        <f>M27+L27+K27+J27</f>
        <v>1826091</v>
      </c>
      <c r="P27" s="25"/>
    </row>
    <row r="28" spans="1:16" ht="26.4">
      <c r="A28" s="455">
        <f>A26+1</f>
        <v>14</v>
      </c>
      <c r="B28" s="456" t="s">
        <v>99</v>
      </c>
      <c r="C28" s="439">
        <f>'часть 1'!H312</f>
        <v>961.2</v>
      </c>
      <c r="D28" s="442">
        <f>'часть 1'!K312</f>
        <v>37</v>
      </c>
      <c r="E28" s="453">
        <v>0</v>
      </c>
      <c r="F28" s="453">
        <v>0</v>
      </c>
      <c r="G28" s="453">
        <v>0</v>
      </c>
      <c r="H28" s="440">
        <v>1</v>
      </c>
      <c r="I28" s="453">
        <f t="shared" si="1"/>
        <v>1</v>
      </c>
      <c r="J28" s="454">
        <v>0</v>
      </c>
      <c r="K28" s="454">
        <v>0</v>
      </c>
      <c r="L28" s="454">
        <v>0</v>
      </c>
      <c r="M28" s="454">
        <f>'часть 1'!L312</f>
        <v>1602324</v>
      </c>
      <c r="N28" s="454">
        <f>M28</f>
        <v>1602324</v>
      </c>
      <c r="P28" s="25"/>
    </row>
    <row r="29" spans="1:16" ht="26.4">
      <c r="A29" s="598">
        <f>A28+1</f>
        <v>15</v>
      </c>
      <c r="B29" s="599" t="s">
        <v>100</v>
      </c>
      <c r="C29" s="600">
        <f>'часть 1'!H314</f>
        <v>3346.3</v>
      </c>
      <c r="D29" s="601">
        <f>'часть 1'!K314</f>
        <v>128</v>
      </c>
      <c r="E29" s="602">
        <v>0</v>
      </c>
      <c r="F29" s="602">
        <v>0</v>
      </c>
      <c r="G29" s="602">
        <v>0</v>
      </c>
      <c r="H29" s="602">
        <v>1</v>
      </c>
      <c r="I29" s="602">
        <f t="shared" si="1"/>
        <v>1</v>
      </c>
      <c r="J29" s="603">
        <v>0</v>
      </c>
      <c r="K29" s="603">
        <v>0</v>
      </c>
      <c r="L29" s="603">
        <v>0</v>
      </c>
      <c r="M29" s="603">
        <f>'часть 1'!L314</f>
        <v>1986648</v>
      </c>
      <c r="N29" s="603">
        <f>M29</f>
        <v>1986648</v>
      </c>
      <c r="P29" s="25"/>
    </row>
    <row r="30" spans="1:16" ht="26.4">
      <c r="A30" s="455">
        <f>A29+1</f>
        <v>16</v>
      </c>
      <c r="B30" s="456" t="s">
        <v>101</v>
      </c>
      <c r="C30" s="451">
        <f>'часть 1'!H316</f>
        <v>0</v>
      </c>
      <c r="D30" s="452">
        <f>'часть 1'!K316</f>
        <v>0</v>
      </c>
      <c r="E30" s="453">
        <v>0</v>
      </c>
      <c r="F30" s="453">
        <v>0</v>
      </c>
      <c r="G30" s="453">
        <v>0</v>
      </c>
      <c r="H30" s="453">
        <v>0</v>
      </c>
      <c r="I30" s="453">
        <f t="shared" si="1"/>
        <v>0</v>
      </c>
      <c r="J30" s="454">
        <v>0</v>
      </c>
      <c r="K30" s="454">
        <v>0</v>
      </c>
      <c r="L30" s="454">
        <v>0</v>
      </c>
      <c r="M30" s="454">
        <f>'часть 1'!L316</f>
        <v>0</v>
      </c>
      <c r="N30" s="454">
        <f>M30</f>
        <v>0</v>
      </c>
      <c r="P30" s="25"/>
    </row>
    <row r="31" spans="1:16" ht="28.5" customHeight="1">
      <c r="A31" s="459">
        <f>A30+1</f>
        <v>17</v>
      </c>
      <c r="B31" s="456" t="s">
        <v>863</v>
      </c>
      <c r="C31" s="451">
        <f>'часть 1'!H317</f>
        <v>0</v>
      </c>
      <c r="D31" s="452">
        <f>'часть 1'!K317</f>
        <v>0</v>
      </c>
      <c r="E31" s="453">
        <v>0</v>
      </c>
      <c r="F31" s="453">
        <v>0</v>
      </c>
      <c r="G31" s="453">
        <v>0</v>
      </c>
      <c r="H31" s="453">
        <v>0</v>
      </c>
      <c r="I31" s="453">
        <f t="shared" si="1"/>
        <v>0</v>
      </c>
      <c r="J31" s="454">
        <v>0</v>
      </c>
      <c r="K31" s="454">
        <v>0</v>
      </c>
      <c r="L31" s="454">
        <v>0</v>
      </c>
      <c r="M31" s="454">
        <f>'часть 1'!L317</f>
        <v>0</v>
      </c>
      <c r="N31" s="454">
        <f>M31</f>
        <v>0</v>
      </c>
      <c r="P31" s="25"/>
    </row>
    <row r="32" spans="1:16" ht="28.5" customHeight="1">
      <c r="A32" s="459"/>
      <c r="B32" s="456" t="s">
        <v>861</v>
      </c>
      <c r="C32" s="451">
        <f>'часть 1'!H319</f>
        <v>3592.6</v>
      </c>
      <c r="D32" s="452">
        <f>'часть 1'!K319</f>
        <v>94</v>
      </c>
      <c r="E32" s="453">
        <v>0</v>
      </c>
      <c r="F32" s="453">
        <v>0</v>
      </c>
      <c r="G32" s="453">
        <v>0</v>
      </c>
      <c r="H32" s="453">
        <v>1</v>
      </c>
      <c r="I32" s="453">
        <v>1</v>
      </c>
      <c r="J32" s="454">
        <v>0</v>
      </c>
      <c r="K32" s="454">
        <v>0</v>
      </c>
      <c r="L32" s="454">
        <v>0</v>
      </c>
      <c r="M32" s="454">
        <f>'часть 1'!L319</f>
        <v>1906687</v>
      </c>
      <c r="N32" s="454">
        <f>M32+L32+K32+J32</f>
        <v>1906687</v>
      </c>
      <c r="P32" s="25"/>
    </row>
    <row r="33" spans="1:16">
      <c r="A33" s="254"/>
      <c r="B33" s="255" t="s">
        <v>46</v>
      </c>
      <c r="C33" s="249">
        <f>'часть 1'!H320</f>
        <v>525.4</v>
      </c>
      <c r="D33" s="250">
        <f>'часть 1'!K320</f>
        <v>21</v>
      </c>
      <c r="E33" s="252">
        <f t="shared" ref="E33:N33" si="9">E34</f>
        <v>0</v>
      </c>
      <c r="F33" s="252">
        <f t="shared" si="9"/>
        <v>0</v>
      </c>
      <c r="G33" s="252">
        <f t="shared" si="9"/>
        <v>0</v>
      </c>
      <c r="H33" s="252">
        <f t="shared" si="9"/>
        <v>1</v>
      </c>
      <c r="I33" s="252">
        <f t="shared" si="1"/>
        <v>1</v>
      </c>
      <c r="J33" s="251">
        <f t="shared" si="9"/>
        <v>0</v>
      </c>
      <c r="K33" s="251">
        <f t="shared" si="9"/>
        <v>0</v>
      </c>
      <c r="L33" s="251">
        <f t="shared" si="9"/>
        <v>0</v>
      </c>
      <c r="M33" s="251">
        <f t="shared" si="9"/>
        <v>1415265</v>
      </c>
      <c r="N33" s="251">
        <f t="shared" si="9"/>
        <v>1415265</v>
      </c>
      <c r="O33" s="25"/>
      <c r="P33" s="25"/>
    </row>
    <row r="34" spans="1:16" ht="26.4">
      <c r="A34" s="455">
        <f>A31+1</f>
        <v>18</v>
      </c>
      <c r="B34" s="456" t="s">
        <v>587</v>
      </c>
      <c r="C34" s="451">
        <f>'часть 1'!H321</f>
        <v>525.4</v>
      </c>
      <c r="D34" s="452">
        <f>'часть 1'!K320</f>
        <v>21</v>
      </c>
      <c r="E34" s="453">
        <v>0</v>
      </c>
      <c r="F34" s="453">
        <v>0</v>
      </c>
      <c r="G34" s="453">
        <v>0</v>
      </c>
      <c r="H34" s="453">
        <v>1</v>
      </c>
      <c r="I34" s="453">
        <f t="shared" si="1"/>
        <v>1</v>
      </c>
      <c r="J34" s="454">
        <v>0</v>
      </c>
      <c r="K34" s="454">
        <v>0</v>
      </c>
      <c r="L34" s="454">
        <v>0</v>
      </c>
      <c r="M34" s="454">
        <f>'часть 1'!L321</f>
        <v>1415265</v>
      </c>
      <c r="N34" s="454">
        <f>M34</f>
        <v>1415265</v>
      </c>
      <c r="P34" s="25"/>
    </row>
    <row r="35" spans="1:16">
      <c r="A35" s="254"/>
      <c r="B35" s="255" t="s">
        <v>47</v>
      </c>
      <c r="C35" s="249">
        <f>'часть 1'!H324</f>
        <v>3715.2</v>
      </c>
      <c r="D35" s="250">
        <f>'часть 1'!K324</f>
        <v>106</v>
      </c>
      <c r="E35" s="252">
        <f t="shared" ref="E35:N35" si="10">E36</f>
        <v>0</v>
      </c>
      <c r="F35" s="252">
        <f t="shared" si="10"/>
        <v>0</v>
      </c>
      <c r="G35" s="252">
        <f t="shared" si="10"/>
        <v>0</v>
      </c>
      <c r="H35" s="252">
        <f>H36</f>
        <v>5</v>
      </c>
      <c r="I35" s="252">
        <f t="shared" si="1"/>
        <v>5</v>
      </c>
      <c r="J35" s="251">
        <f t="shared" si="10"/>
        <v>0</v>
      </c>
      <c r="K35" s="251">
        <f t="shared" si="10"/>
        <v>0</v>
      </c>
      <c r="L35" s="251">
        <f t="shared" si="10"/>
        <v>0</v>
      </c>
      <c r="M35" s="251">
        <f t="shared" si="10"/>
        <v>6592116</v>
      </c>
      <c r="N35" s="251">
        <f t="shared" si="10"/>
        <v>6592116</v>
      </c>
      <c r="O35" s="25"/>
      <c r="P35" s="25"/>
    </row>
    <row r="36" spans="1:16" ht="26.4">
      <c r="A36" s="459">
        <f>A34+1</f>
        <v>19</v>
      </c>
      <c r="B36" s="456" t="s">
        <v>103</v>
      </c>
      <c r="C36" s="451">
        <f>'часть 1'!H325</f>
        <v>3715.2</v>
      </c>
      <c r="D36" s="452">
        <f>'часть 1'!K325</f>
        <v>106</v>
      </c>
      <c r="E36" s="453">
        <v>0</v>
      </c>
      <c r="F36" s="453">
        <v>0</v>
      </c>
      <c r="G36" s="453">
        <v>0</v>
      </c>
      <c r="H36" s="453">
        <v>5</v>
      </c>
      <c r="I36" s="453">
        <f t="shared" si="1"/>
        <v>5</v>
      </c>
      <c r="J36" s="454">
        <v>0</v>
      </c>
      <c r="K36" s="454">
        <v>0</v>
      </c>
      <c r="L36" s="454">
        <v>0</v>
      </c>
      <c r="M36" s="454">
        <f>'часть 1'!L325</f>
        <v>6592116</v>
      </c>
      <c r="N36" s="454">
        <f>M36</f>
        <v>6592116</v>
      </c>
      <c r="P36" s="25"/>
    </row>
    <row r="37" spans="1:16" s="9" customFormat="1">
      <c r="A37" s="254"/>
      <c r="B37" s="255" t="s">
        <v>48</v>
      </c>
      <c r="C37" s="249">
        <f>'часть 1'!H331</f>
        <v>1348.8000000000002</v>
      </c>
      <c r="D37" s="250">
        <f>'часть 1'!K331</f>
        <v>52</v>
      </c>
      <c r="E37" s="252">
        <f t="shared" ref="E37:N37" si="11">E38+E39</f>
        <v>0</v>
      </c>
      <c r="F37" s="252">
        <f t="shared" si="11"/>
        <v>0</v>
      </c>
      <c r="G37" s="252">
        <f t="shared" si="11"/>
        <v>0</v>
      </c>
      <c r="H37" s="252" t="e">
        <f>H38+H39</f>
        <v>#REF!</v>
      </c>
      <c r="I37" s="252" t="e">
        <f t="shared" si="1"/>
        <v>#REF!</v>
      </c>
      <c r="J37" s="251">
        <f t="shared" si="11"/>
        <v>0</v>
      </c>
      <c r="K37" s="251">
        <f t="shared" si="11"/>
        <v>0</v>
      </c>
      <c r="L37" s="251">
        <f t="shared" si="11"/>
        <v>0</v>
      </c>
      <c r="M37" s="251">
        <f t="shared" si="11"/>
        <v>3699748</v>
      </c>
      <c r="N37" s="251">
        <f t="shared" si="11"/>
        <v>3699748</v>
      </c>
      <c r="O37" s="39"/>
      <c r="P37" s="25"/>
    </row>
    <row r="38" spans="1:16" ht="26.4">
      <c r="A38" s="459">
        <f>A36+1</f>
        <v>20</v>
      </c>
      <c r="B38" s="456" t="s">
        <v>107</v>
      </c>
      <c r="C38" s="451">
        <f>'часть 1'!H332</f>
        <v>1083.3000000000002</v>
      </c>
      <c r="D38" s="452">
        <f>'часть 1'!K332</f>
        <v>50</v>
      </c>
      <c r="E38" s="453">
        <v>0</v>
      </c>
      <c r="F38" s="453">
        <v>0</v>
      </c>
      <c r="G38" s="453">
        <v>0</v>
      </c>
      <c r="H38" s="453">
        <v>2</v>
      </c>
      <c r="I38" s="453">
        <f t="shared" si="1"/>
        <v>2</v>
      </c>
      <c r="J38" s="454">
        <v>0</v>
      </c>
      <c r="K38" s="454">
        <v>0</v>
      </c>
      <c r="L38" s="454">
        <v>0</v>
      </c>
      <c r="M38" s="454">
        <f>'часть 1'!L332</f>
        <v>3145909</v>
      </c>
      <c r="N38" s="454">
        <f t="shared" ref="N38:N41" si="12">M38</f>
        <v>3145909</v>
      </c>
      <c r="P38" s="25"/>
    </row>
    <row r="39" spans="1:16" ht="27" customHeight="1">
      <c r="A39" s="236">
        <f>A38+1</f>
        <v>21</v>
      </c>
      <c r="B39" s="253" t="s">
        <v>104</v>
      </c>
      <c r="C39" s="249">
        <f>'часть 1'!H336</f>
        <v>265.5</v>
      </c>
      <c r="D39" s="250">
        <f>'часть 1'!K336</f>
        <v>2</v>
      </c>
      <c r="E39" s="252">
        <v>0</v>
      </c>
      <c r="F39" s="252">
        <v>0</v>
      </c>
      <c r="G39" s="252">
        <v>0</v>
      </c>
      <c r="H39" s="252" t="e">
        <f>'часть 2'!#REF!</f>
        <v>#REF!</v>
      </c>
      <c r="I39" s="252" t="e">
        <f t="shared" si="1"/>
        <v>#REF!</v>
      </c>
      <c r="J39" s="251">
        <v>0</v>
      </c>
      <c r="K39" s="251">
        <v>0</v>
      </c>
      <c r="L39" s="251">
        <v>0</v>
      </c>
      <c r="M39" s="251">
        <f>'часть 1'!L336</f>
        <v>553839</v>
      </c>
      <c r="N39" s="251">
        <f t="shared" si="12"/>
        <v>553839</v>
      </c>
      <c r="P39" s="25"/>
    </row>
    <row r="40" spans="1:16">
      <c r="A40" s="236"/>
      <c r="B40" s="255" t="s">
        <v>49</v>
      </c>
      <c r="C40" s="249">
        <f>'часть 1'!H338</f>
        <v>8221.4</v>
      </c>
      <c r="D40" s="250">
        <f>'часть 1'!K338</f>
        <v>388</v>
      </c>
      <c r="E40" s="252">
        <f t="shared" ref="E40:K40" si="13">E41</f>
        <v>0</v>
      </c>
      <c r="F40" s="252">
        <f t="shared" si="13"/>
        <v>0</v>
      </c>
      <c r="G40" s="252">
        <f>G41+G43+G44+G45</f>
        <v>1</v>
      </c>
      <c r="H40" s="252">
        <f>H41+H43+H44+H45</f>
        <v>2</v>
      </c>
      <c r="I40" s="252">
        <f t="shared" si="1"/>
        <v>3</v>
      </c>
      <c r="J40" s="251">
        <f t="shared" si="13"/>
        <v>0</v>
      </c>
      <c r="K40" s="251">
        <f t="shared" si="13"/>
        <v>0</v>
      </c>
      <c r="L40" s="251">
        <f>L43</f>
        <v>1905804</v>
      </c>
      <c r="M40" s="251">
        <f>SUM(M41:M45)</f>
        <v>6108282</v>
      </c>
      <c r="N40" s="251">
        <f>SUM(N41:N45)</f>
        <v>18463893.600000001</v>
      </c>
      <c r="O40" s="25"/>
      <c r="P40" s="25"/>
    </row>
    <row r="41" spans="1:16" ht="26.4">
      <c r="A41" s="459">
        <f>A39+1</f>
        <v>22</v>
      </c>
      <c r="B41" s="456" t="s">
        <v>588</v>
      </c>
      <c r="C41" s="451">
        <f>'часть 1'!H339</f>
        <v>1542.7</v>
      </c>
      <c r="D41" s="452">
        <f>'часть 1'!K339</f>
        <v>78</v>
      </c>
      <c r="E41" s="453">
        <v>0</v>
      </c>
      <c r="F41" s="453">
        <v>0</v>
      </c>
      <c r="G41" s="453">
        <v>0</v>
      </c>
      <c r="H41" s="453">
        <v>1</v>
      </c>
      <c r="I41" s="453">
        <f t="shared" si="1"/>
        <v>1</v>
      </c>
      <c r="J41" s="454">
        <v>0</v>
      </c>
      <c r="K41" s="454">
        <v>0</v>
      </c>
      <c r="L41" s="454">
        <v>0</v>
      </c>
      <c r="M41" s="454">
        <f>'часть 1'!L339</f>
        <v>5287622</v>
      </c>
      <c r="N41" s="454">
        <f t="shared" si="12"/>
        <v>5287622</v>
      </c>
      <c r="P41" s="25"/>
    </row>
    <row r="42" spans="1:16" ht="26.4">
      <c r="A42" s="236"/>
      <c r="B42" s="253" t="s">
        <v>985</v>
      </c>
      <c r="C42" s="249">
        <f>'часть 1'!H341</f>
        <v>1774</v>
      </c>
      <c r="D42" s="250">
        <f>'часть 1'!K341</f>
        <v>99</v>
      </c>
      <c r="E42" s="252">
        <v>0</v>
      </c>
      <c r="F42" s="252">
        <v>0</v>
      </c>
      <c r="G42" s="252">
        <v>2</v>
      </c>
      <c r="H42" s="252">
        <v>0</v>
      </c>
      <c r="I42" s="252">
        <v>2</v>
      </c>
      <c r="J42" s="251">
        <v>0</v>
      </c>
      <c r="K42" s="251">
        <v>0</v>
      </c>
      <c r="L42" s="251">
        <f>'часть 1'!L341</f>
        <v>7561422.5999999996</v>
      </c>
      <c r="M42" s="251">
        <v>0</v>
      </c>
      <c r="N42" s="251">
        <f>M42+L42+K42+J42</f>
        <v>7561422.5999999996</v>
      </c>
      <c r="P42" s="25"/>
    </row>
    <row r="43" spans="1:16" ht="26.4">
      <c r="A43" s="236">
        <f>A41+1</f>
        <v>23</v>
      </c>
      <c r="B43" s="253" t="s">
        <v>188</v>
      </c>
      <c r="C43" s="249">
        <f>'часть 1'!H344</f>
        <v>1595.1</v>
      </c>
      <c r="D43" s="250">
        <f>'часть 1'!K344</f>
        <v>87</v>
      </c>
      <c r="E43" s="252">
        <v>0</v>
      </c>
      <c r="F43" s="252">
        <v>0</v>
      </c>
      <c r="G43" s="252">
        <v>0</v>
      </c>
      <c r="H43" s="252">
        <v>0</v>
      </c>
      <c r="I43" s="252">
        <f t="shared" si="1"/>
        <v>0</v>
      </c>
      <c r="J43" s="251">
        <v>0</v>
      </c>
      <c r="K43" s="251">
        <v>0</v>
      </c>
      <c r="L43" s="251">
        <f>'часть 1'!L344</f>
        <v>1905804</v>
      </c>
      <c r="M43" s="251">
        <v>0</v>
      </c>
      <c r="N43" s="251">
        <f>L43</f>
        <v>1905804</v>
      </c>
      <c r="P43" s="25"/>
    </row>
    <row r="44" spans="1:16" ht="26.4">
      <c r="A44" s="236">
        <f>A43+1</f>
        <v>24</v>
      </c>
      <c r="B44" s="253" t="s">
        <v>189</v>
      </c>
      <c r="C44" s="249">
        <f>'часть 1'!H347</f>
        <v>506.9</v>
      </c>
      <c r="D44" s="250">
        <f>'часть 1'!K347</f>
        <v>7</v>
      </c>
      <c r="E44" s="252">
        <v>0</v>
      </c>
      <c r="F44" s="252">
        <v>0</v>
      </c>
      <c r="G44" s="252">
        <v>0</v>
      </c>
      <c r="H44" s="252">
        <v>1</v>
      </c>
      <c r="I44" s="252">
        <f t="shared" si="1"/>
        <v>1</v>
      </c>
      <c r="J44" s="251">
        <v>0</v>
      </c>
      <c r="K44" s="251">
        <v>0</v>
      </c>
      <c r="L44" s="251">
        <v>0</v>
      </c>
      <c r="M44" s="251">
        <f>'часть 1'!L347</f>
        <v>820660</v>
      </c>
      <c r="N44" s="251">
        <f>M44</f>
        <v>820660</v>
      </c>
      <c r="P44" s="25"/>
    </row>
    <row r="45" spans="1:16" ht="26.4">
      <c r="A45" s="236">
        <f>A44+1</f>
        <v>25</v>
      </c>
      <c r="B45" s="253" t="s">
        <v>589</v>
      </c>
      <c r="C45" s="249">
        <f>'часть 1'!H349</f>
        <v>4576.7</v>
      </c>
      <c r="D45" s="250">
        <f>'часть 1'!K349</f>
        <v>216</v>
      </c>
      <c r="E45" s="252">
        <v>0</v>
      </c>
      <c r="F45" s="252">
        <v>0</v>
      </c>
      <c r="G45" s="252">
        <v>1</v>
      </c>
      <c r="H45" s="252">
        <v>0</v>
      </c>
      <c r="I45" s="252">
        <f t="shared" si="1"/>
        <v>1</v>
      </c>
      <c r="J45" s="251">
        <v>0</v>
      </c>
      <c r="K45" s="251">
        <v>0</v>
      </c>
      <c r="L45" s="251">
        <v>2888385</v>
      </c>
      <c r="M45" s="251">
        <v>0</v>
      </c>
      <c r="N45" s="251">
        <v>2888385</v>
      </c>
      <c r="P45" s="25"/>
    </row>
    <row r="46" spans="1:16">
      <c r="A46" s="236"/>
      <c r="B46" s="255" t="s">
        <v>50</v>
      </c>
      <c r="C46" s="249">
        <f>C47</f>
        <v>6412.52</v>
      </c>
      <c r="D46" s="250">
        <f t="shared" ref="D46:N46" si="14">D47</f>
        <v>202</v>
      </c>
      <c r="E46" s="252">
        <f t="shared" si="14"/>
        <v>0</v>
      </c>
      <c r="F46" s="252">
        <f t="shared" si="14"/>
        <v>0</v>
      </c>
      <c r="G46" s="252">
        <f t="shared" si="14"/>
        <v>0</v>
      </c>
      <c r="H46" s="252">
        <f t="shared" si="14"/>
        <v>9</v>
      </c>
      <c r="I46" s="252">
        <f t="shared" si="1"/>
        <v>9</v>
      </c>
      <c r="J46" s="251">
        <f t="shared" si="14"/>
        <v>0</v>
      </c>
      <c r="K46" s="251">
        <f t="shared" si="14"/>
        <v>0</v>
      </c>
      <c r="L46" s="251">
        <f t="shared" si="14"/>
        <v>0</v>
      </c>
      <c r="M46" s="251">
        <f t="shared" si="14"/>
        <v>14213854</v>
      </c>
      <c r="N46" s="251">
        <f t="shared" si="14"/>
        <v>14213854</v>
      </c>
      <c r="O46" s="25"/>
      <c r="P46" s="25"/>
    </row>
    <row r="47" spans="1:16" ht="26.4">
      <c r="A47" s="236">
        <f>A45+1</f>
        <v>26</v>
      </c>
      <c r="B47" s="253" t="s">
        <v>106</v>
      </c>
      <c r="C47" s="249">
        <f>'часть 1'!H353</f>
        <v>6412.52</v>
      </c>
      <c r="D47" s="250">
        <f>'часть 1'!K353</f>
        <v>202</v>
      </c>
      <c r="E47" s="252">
        <v>0</v>
      </c>
      <c r="F47" s="252">
        <v>0</v>
      </c>
      <c r="G47" s="252">
        <v>0</v>
      </c>
      <c r="H47" s="252">
        <v>9</v>
      </c>
      <c r="I47" s="252">
        <f t="shared" si="1"/>
        <v>9</v>
      </c>
      <c r="J47" s="251">
        <v>0</v>
      </c>
      <c r="K47" s="251">
        <v>0</v>
      </c>
      <c r="L47" s="251">
        <v>0</v>
      </c>
      <c r="M47" s="251">
        <f>'часть 1'!L352</f>
        <v>14213854</v>
      </c>
      <c r="N47" s="251">
        <f>M47</f>
        <v>14213854</v>
      </c>
      <c r="P47" s="25"/>
    </row>
    <row r="48" spans="1:16">
      <c r="A48" s="236"/>
      <c r="B48" s="255" t="s">
        <v>51</v>
      </c>
      <c r="C48" s="249">
        <f>C49</f>
        <v>7394.6</v>
      </c>
      <c r="D48" s="250">
        <f t="shared" ref="D48:N48" si="15">D49</f>
        <v>302</v>
      </c>
      <c r="E48" s="252">
        <f t="shared" si="15"/>
        <v>0</v>
      </c>
      <c r="F48" s="252">
        <f t="shared" si="15"/>
        <v>0</v>
      </c>
      <c r="G48" s="252">
        <f t="shared" si="15"/>
        <v>0</v>
      </c>
      <c r="H48" s="252">
        <f t="shared" si="15"/>
        <v>8</v>
      </c>
      <c r="I48" s="252">
        <f t="shared" si="1"/>
        <v>8</v>
      </c>
      <c r="J48" s="251">
        <f t="shared" si="15"/>
        <v>0</v>
      </c>
      <c r="K48" s="251">
        <f t="shared" si="15"/>
        <v>0</v>
      </c>
      <c r="L48" s="251">
        <f t="shared" si="15"/>
        <v>0</v>
      </c>
      <c r="M48" s="251">
        <f t="shared" si="15"/>
        <v>11379869</v>
      </c>
      <c r="N48" s="251">
        <f t="shared" si="15"/>
        <v>11379869</v>
      </c>
      <c r="O48" s="25"/>
      <c r="P48" s="25"/>
    </row>
    <row r="49" spans="1:16" ht="26.4">
      <c r="A49" s="236">
        <f>A47+1</f>
        <v>27</v>
      </c>
      <c r="B49" s="253" t="s">
        <v>108</v>
      </c>
      <c r="C49" s="249">
        <f>'часть 1'!H363</f>
        <v>7394.6</v>
      </c>
      <c r="D49" s="250">
        <f>'часть 1'!K363</f>
        <v>302</v>
      </c>
      <c r="E49" s="252">
        <v>0</v>
      </c>
      <c r="F49" s="252">
        <v>0</v>
      </c>
      <c r="G49" s="252">
        <v>0</v>
      </c>
      <c r="H49" s="252">
        <v>8</v>
      </c>
      <c r="I49" s="252">
        <f t="shared" si="1"/>
        <v>8</v>
      </c>
      <c r="J49" s="251">
        <v>0</v>
      </c>
      <c r="K49" s="251">
        <v>0</v>
      </c>
      <c r="L49" s="251">
        <v>0</v>
      </c>
      <c r="M49" s="251">
        <f>'часть 1'!L364</f>
        <v>11379869</v>
      </c>
      <c r="N49" s="251">
        <f>M49</f>
        <v>11379869</v>
      </c>
      <c r="P49" s="25"/>
    </row>
    <row r="50" spans="1:16" ht="26.4">
      <c r="A50" s="459"/>
      <c r="B50" s="456" t="s">
        <v>882</v>
      </c>
      <c r="C50" s="451">
        <f>'часть 1'!H373</f>
        <v>1087.7</v>
      </c>
      <c r="D50" s="452">
        <f>'часть 1'!K373</f>
        <v>55</v>
      </c>
      <c r="E50" s="453">
        <v>0</v>
      </c>
      <c r="F50" s="453">
        <v>0</v>
      </c>
      <c r="G50" s="453">
        <v>2</v>
      </c>
      <c r="H50" s="453">
        <v>0</v>
      </c>
      <c r="I50" s="453">
        <v>2</v>
      </c>
      <c r="J50" s="454">
        <v>0</v>
      </c>
      <c r="K50" s="454">
        <v>0</v>
      </c>
      <c r="L50" s="454">
        <v>2903743</v>
      </c>
      <c r="M50" s="454">
        <v>0</v>
      </c>
      <c r="N50" s="454">
        <f>M50+L50+K50+J50</f>
        <v>2903743</v>
      </c>
      <c r="P50" s="25"/>
    </row>
    <row r="51" spans="1:16">
      <c r="A51" s="236"/>
      <c r="B51" s="255" t="s">
        <v>52</v>
      </c>
      <c r="C51" s="249">
        <f>C53+C52+C54</f>
        <v>2360.4</v>
      </c>
      <c r="D51" s="250">
        <f>D53+D52+D54</f>
        <v>81</v>
      </c>
      <c r="E51" s="252">
        <f>E53+E52</f>
        <v>0</v>
      </c>
      <c r="F51" s="252">
        <f t="shared" ref="F51:G51" si="16">F53+F52</f>
        <v>0</v>
      </c>
      <c r="G51" s="252">
        <f t="shared" si="16"/>
        <v>1</v>
      </c>
      <c r="H51" s="252">
        <f>H53+H52+H54</f>
        <v>2</v>
      </c>
      <c r="I51" s="252">
        <f t="shared" si="1"/>
        <v>3</v>
      </c>
      <c r="J51" s="251">
        <f t="shared" ref="J51:L51" si="17">J53</f>
        <v>0</v>
      </c>
      <c r="K51" s="251">
        <f t="shared" si="17"/>
        <v>0</v>
      </c>
      <c r="L51" s="251">
        <f t="shared" si="17"/>
        <v>0</v>
      </c>
      <c r="M51" s="251">
        <f>M53+M52+M54</f>
        <v>1292346</v>
      </c>
      <c r="N51" s="251">
        <f>M51</f>
        <v>1292346</v>
      </c>
      <c r="O51" s="25"/>
      <c r="P51" s="25"/>
    </row>
    <row r="52" spans="1:16" ht="26.4">
      <c r="A52" s="459">
        <f>A49+1</f>
        <v>28</v>
      </c>
      <c r="B52" s="456" t="s">
        <v>130</v>
      </c>
      <c r="C52" s="451">
        <f>'часть 1'!H377</f>
        <v>704.6</v>
      </c>
      <c r="D52" s="452">
        <f>'часть 1'!K377</f>
        <v>16</v>
      </c>
      <c r="E52" s="453">
        <v>0</v>
      </c>
      <c r="F52" s="453">
        <v>0</v>
      </c>
      <c r="G52" s="453">
        <v>1</v>
      </c>
      <c r="H52" s="453">
        <v>0</v>
      </c>
      <c r="I52" s="453">
        <f t="shared" si="1"/>
        <v>1</v>
      </c>
      <c r="J52" s="454">
        <v>0</v>
      </c>
      <c r="K52" s="454">
        <v>0</v>
      </c>
      <c r="L52" s="454">
        <v>1828731</v>
      </c>
      <c r="M52" s="454">
        <v>0</v>
      </c>
      <c r="N52" s="454">
        <v>1828731</v>
      </c>
      <c r="O52" s="25"/>
      <c r="P52" s="25"/>
    </row>
    <row r="53" spans="1:16" ht="26.4">
      <c r="A53" s="236">
        <f>A52+1</f>
        <v>29</v>
      </c>
      <c r="B53" s="253" t="s">
        <v>109</v>
      </c>
      <c r="C53" s="249">
        <f>'часть 1'!H380</f>
        <v>799.3</v>
      </c>
      <c r="D53" s="250">
        <f>'часть 1'!K380</f>
        <v>32</v>
      </c>
      <c r="E53" s="252">
        <v>0</v>
      </c>
      <c r="F53" s="252">
        <v>0</v>
      </c>
      <c r="G53" s="252">
        <v>0</v>
      </c>
      <c r="H53" s="252">
        <v>1</v>
      </c>
      <c r="I53" s="252">
        <f t="shared" si="1"/>
        <v>1</v>
      </c>
      <c r="J53" s="251">
        <v>0</v>
      </c>
      <c r="K53" s="251">
        <v>0</v>
      </c>
      <c r="L53" s="251">
        <v>0</v>
      </c>
      <c r="M53" s="251">
        <v>201010</v>
      </c>
      <c r="N53" s="251">
        <f>M53</f>
        <v>201010</v>
      </c>
      <c r="P53" s="25"/>
    </row>
    <row r="54" spans="1:16" ht="26.4">
      <c r="A54" s="236">
        <f>A53+1</f>
        <v>30</v>
      </c>
      <c r="B54" s="253" t="s">
        <v>198</v>
      </c>
      <c r="C54" s="249">
        <f>'часть 1'!H382</f>
        <v>856.5</v>
      </c>
      <c r="D54" s="250">
        <f>'часть 1'!K382</f>
        <v>33</v>
      </c>
      <c r="E54" s="252">
        <v>0</v>
      </c>
      <c r="F54" s="252">
        <v>0</v>
      </c>
      <c r="G54" s="252">
        <v>0</v>
      </c>
      <c r="H54" s="252">
        <v>1</v>
      </c>
      <c r="I54" s="252">
        <f t="shared" si="1"/>
        <v>1</v>
      </c>
      <c r="J54" s="251">
        <v>0</v>
      </c>
      <c r="K54" s="251">
        <v>0</v>
      </c>
      <c r="L54" s="251">
        <v>0</v>
      </c>
      <c r="M54" s="251">
        <f>'часть 1'!L382</f>
        <v>1091336</v>
      </c>
      <c r="N54" s="251">
        <f>M54</f>
        <v>1091336</v>
      </c>
      <c r="P54" s="25"/>
    </row>
    <row r="55" spans="1:16">
      <c r="A55" s="236"/>
      <c r="B55" s="255" t="s">
        <v>53</v>
      </c>
      <c r="C55" s="249">
        <f>'часть 1'!H384+'часть 1'!H524</f>
        <v>125982.9</v>
      </c>
      <c r="D55" s="250">
        <f>'часть 1'!K384+'часть 1'!K524</f>
        <v>3722</v>
      </c>
      <c r="E55" s="252">
        <f t="shared" ref="E55:L55" si="18">E58+E61+E62+E56</f>
        <v>0</v>
      </c>
      <c r="F55" s="252">
        <f t="shared" si="18"/>
        <v>0</v>
      </c>
      <c r="G55" s="252">
        <f t="shared" si="18"/>
        <v>0</v>
      </c>
      <c r="H55" s="252">
        <f>H58+H61+H59+H62+H56+H57+H63</f>
        <v>22</v>
      </c>
      <c r="I55" s="252">
        <f t="shared" si="1"/>
        <v>22</v>
      </c>
      <c r="J55" s="251">
        <f t="shared" si="18"/>
        <v>0</v>
      </c>
      <c r="K55" s="251">
        <f t="shared" si="18"/>
        <v>0</v>
      </c>
      <c r="L55" s="251">
        <f t="shared" si="18"/>
        <v>0</v>
      </c>
      <c r="M55" s="251">
        <f>M58+M61+M59+M62+M56+M57+M63</f>
        <v>54292021.920000002</v>
      </c>
      <c r="N55" s="251">
        <f t="shared" ref="N55:N63" si="19">M55</f>
        <v>54292021.920000002</v>
      </c>
      <c r="O55" s="25"/>
      <c r="P55" s="25"/>
    </row>
    <row r="56" spans="1:16" ht="26.25" customHeight="1">
      <c r="A56" s="459">
        <f>A54+1</f>
        <v>31</v>
      </c>
      <c r="B56" s="456" t="s">
        <v>88</v>
      </c>
      <c r="C56" s="451">
        <f>'часть 1'!H385</f>
        <v>77350</v>
      </c>
      <c r="D56" s="452">
        <f>'часть 1'!K385</f>
        <v>2037</v>
      </c>
      <c r="E56" s="453">
        <v>0</v>
      </c>
      <c r="F56" s="453">
        <v>0</v>
      </c>
      <c r="G56" s="453">
        <v>0</v>
      </c>
      <c r="H56" s="453">
        <v>10</v>
      </c>
      <c r="I56" s="453">
        <f t="shared" si="1"/>
        <v>10</v>
      </c>
      <c r="J56" s="454">
        <v>0</v>
      </c>
      <c r="K56" s="454">
        <v>0</v>
      </c>
      <c r="L56" s="454">
        <v>0</v>
      </c>
      <c r="M56" s="454">
        <f>'часть 2'!C375</f>
        <v>31676745</v>
      </c>
      <c r="N56" s="454">
        <f t="shared" si="19"/>
        <v>31676745</v>
      </c>
      <c r="P56" s="25"/>
    </row>
    <row r="57" spans="1:16" ht="26.25" customHeight="1">
      <c r="A57" s="459">
        <f t="shared" ref="A57:A63" si="20">A56+1</f>
        <v>32</v>
      </c>
      <c r="B57" s="456" t="s">
        <v>132</v>
      </c>
      <c r="C57" s="451">
        <f>'часть 1'!H397</f>
        <v>2337.4</v>
      </c>
      <c r="D57" s="452">
        <f>'часть 1'!K397</f>
        <v>91</v>
      </c>
      <c r="E57" s="453">
        <v>0</v>
      </c>
      <c r="F57" s="453">
        <v>0</v>
      </c>
      <c r="G57" s="453">
        <v>0</v>
      </c>
      <c r="H57" s="453">
        <v>3</v>
      </c>
      <c r="I57" s="453">
        <f t="shared" si="1"/>
        <v>3</v>
      </c>
      <c r="J57" s="454">
        <v>0</v>
      </c>
      <c r="K57" s="454">
        <v>0</v>
      </c>
      <c r="L57" s="454">
        <v>0</v>
      </c>
      <c r="M57" s="454">
        <f>'часть 1'!L397</f>
        <v>5439639</v>
      </c>
      <c r="N57" s="454">
        <f>M57</f>
        <v>5439639</v>
      </c>
      <c r="P57" s="25"/>
    </row>
    <row r="58" spans="1:16" ht="26.25" customHeight="1">
      <c r="A58" s="459">
        <f t="shared" si="20"/>
        <v>33</v>
      </c>
      <c r="B58" s="456" t="s">
        <v>110</v>
      </c>
      <c r="C58" s="451">
        <f>'часть 1'!H403</f>
        <v>1494</v>
      </c>
      <c r="D58" s="452">
        <f>'часть 1'!K403</f>
        <v>59</v>
      </c>
      <c r="E58" s="453">
        <v>0</v>
      </c>
      <c r="F58" s="453">
        <v>0</v>
      </c>
      <c r="G58" s="453">
        <v>0</v>
      </c>
      <c r="H58" s="453">
        <v>1</v>
      </c>
      <c r="I58" s="453">
        <f t="shared" si="1"/>
        <v>1</v>
      </c>
      <c r="J58" s="454">
        <v>0</v>
      </c>
      <c r="K58" s="454">
        <v>0</v>
      </c>
      <c r="L58" s="454">
        <v>0</v>
      </c>
      <c r="M58" s="454">
        <f>'часть 1'!L403</f>
        <v>2476043</v>
      </c>
      <c r="N58" s="454">
        <f t="shared" si="19"/>
        <v>2476043</v>
      </c>
      <c r="P58" s="25"/>
    </row>
    <row r="59" spans="1:16" ht="26.25" customHeight="1">
      <c r="A59" s="459">
        <f t="shared" si="20"/>
        <v>34</v>
      </c>
      <c r="B59" s="456" t="s">
        <v>128</v>
      </c>
      <c r="C59" s="451">
        <f>'часть 1'!H405</f>
        <v>13933</v>
      </c>
      <c r="D59" s="452">
        <f>'часть 1'!K405</f>
        <v>553</v>
      </c>
      <c r="E59" s="453">
        <v>0</v>
      </c>
      <c r="F59" s="453">
        <v>0</v>
      </c>
      <c r="G59" s="453">
        <v>0</v>
      </c>
      <c r="H59" s="453">
        <v>4</v>
      </c>
      <c r="I59" s="453">
        <f t="shared" si="1"/>
        <v>4</v>
      </c>
      <c r="J59" s="454">
        <v>0</v>
      </c>
      <c r="K59" s="454">
        <v>0</v>
      </c>
      <c r="L59" s="454">
        <v>0</v>
      </c>
      <c r="M59" s="454">
        <f>'часть 1'!L405</f>
        <v>11027716</v>
      </c>
      <c r="N59" s="454">
        <f t="shared" si="19"/>
        <v>11027716</v>
      </c>
      <c r="P59" s="25"/>
    </row>
    <row r="60" spans="1:16" ht="26.25" customHeight="1">
      <c r="A60" s="459"/>
      <c r="B60" s="456" t="s">
        <v>668</v>
      </c>
      <c r="C60" s="451">
        <f>'часть 1'!H412</f>
        <v>5520.2</v>
      </c>
      <c r="D60" s="452">
        <f>'часть 1'!K412</f>
        <v>173</v>
      </c>
      <c r="E60" s="453">
        <v>0</v>
      </c>
      <c r="F60" s="453">
        <v>0</v>
      </c>
      <c r="G60" s="453">
        <v>0</v>
      </c>
      <c r="H60" s="453">
        <v>2</v>
      </c>
      <c r="I60" s="453">
        <v>2</v>
      </c>
      <c r="J60" s="454">
        <v>0</v>
      </c>
      <c r="K60" s="454">
        <v>0</v>
      </c>
      <c r="L60" s="454">
        <v>0</v>
      </c>
      <c r="M60" s="454">
        <v>4521219</v>
      </c>
      <c r="N60" s="454">
        <v>4521219</v>
      </c>
      <c r="P60" s="25"/>
    </row>
    <row r="61" spans="1:16" ht="26.4">
      <c r="A61" s="236">
        <f>A59+1</f>
        <v>35</v>
      </c>
      <c r="B61" s="253" t="s">
        <v>994</v>
      </c>
      <c r="C61" s="249">
        <f>'часть 1'!H415</f>
        <v>625.9</v>
      </c>
      <c r="D61" s="250">
        <f>'часть 1'!K415</f>
        <v>32</v>
      </c>
      <c r="E61" s="252">
        <v>0</v>
      </c>
      <c r="F61" s="252">
        <v>0</v>
      </c>
      <c r="G61" s="252">
        <v>0</v>
      </c>
      <c r="H61" s="252">
        <v>1</v>
      </c>
      <c r="I61" s="252">
        <f t="shared" si="1"/>
        <v>1</v>
      </c>
      <c r="J61" s="251">
        <v>0</v>
      </c>
      <c r="K61" s="251">
        <v>0</v>
      </c>
      <c r="L61" s="251">
        <v>0</v>
      </c>
      <c r="M61" s="251">
        <f>'часть 1'!L415</f>
        <v>1540610</v>
      </c>
      <c r="N61" s="251">
        <f t="shared" si="19"/>
        <v>1540610</v>
      </c>
      <c r="P61" s="25"/>
    </row>
    <row r="62" spans="1:16" ht="27.75" customHeight="1">
      <c r="A62" s="236">
        <f t="shared" si="20"/>
        <v>36</v>
      </c>
      <c r="B62" s="253" t="s">
        <v>111</v>
      </c>
      <c r="C62" s="249">
        <f>'часть 1'!H417</f>
        <v>533.5</v>
      </c>
      <c r="D62" s="250">
        <f>'часть 1'!K417</f>
        <v>54</v>
      </c>
      <c r="E62" s="252">
        <v>0</v>
      </c>
      <c r="F62" s="252">
        <v>0</v>
      </c>
      <c r="G62" s="252">
        <v>0</v>
      </c>
      <c r="H62" s="252">
        <v>1</v>
      </c>
      <c r="I62" s="252">
        <f t="shared" si="1"/>
        <v>1</v>
      </c>
      <c r="J62" s="251">
        <v>0</v>
      </c>
      <c r="K62" s="251">
        <v>0</v>
      </c>
      <c r="L62" s="251">
        <v>0</v>
      </c>
      <c r="M62" s="251">
        <f>'часть 1'!L417</f>
        <v>657835.92000000004</v>
      </c>
      <c r="N62" s="251">
        <f t="shared" si="19"/>
        <v>657835.92000000004</v>
      </c>
      <c r="P62" s="25"/>
    </row>
    <row r="63" spans="1:16" ht="27.75" customHeight="1">
      <c r="A63" s="459">
        <f t="shared" si="20"/>
        <v>37</v>
      </c>
      <c r="B63" s="456" t="s">
        <v>129</v>
      </c>
      <c r="C63" s="451">
        <f>'часть 1'!H419</f>
        <v>1150.0999999999999</v>
      </c>
      <c r="D63" s="452">
        <f>'часть 1'!K419</f>
        <v>58</v>
      </c>
      <c r="E63" s="453">
        <v>0</v>
      </c>
      <c r="F63" s="453">
        <v>0</v>
      </c>
      <c r="G63" s="453">
        <v>0</v>
      </c>
      <c r="H63" s="453">
        <v>2</v>
      </c>
      <c r="I63" s="453">
        <f t="shared" si="1"/>
        <v>2</v>
      </c>
      <c r="J63" s="454">
        <v>0</v>
      </c>
      <c r="K63" s="454">
        <v>0</v>
      </c>
      <c r="L63" s="454">
        <v>0</v>
      </c>
      <c r="M63" s="454">
        <f>'часть 1'!L419</f>
        <v>1473433</v>
      </c>
      <c r="N63" s="454">
        <f t="shared" si="19"/>
        <v>1473433</v>
      </c>
      <c r="P63" s="25"/>
    </row>
    <row r="64" spans="1:16">
      <c r="A64" s="236"/>
      <c r="B64" s="255" t="s">
        <v>54</v>
      </c>
      <c r="C64" s="249">
        <f>C65</f>
        <v>1983</v>
      </c>
      <c r="D64" s="250">
        <f t="shared" ref="D64:N64" si="21">D65</f>
        <v>80</v>
      </c>
      <c r="E64" s="252">
        <f t="shared" si="21"/>
        <v>0</v>
      </c>
      <c r="F64" s="252">
        <f t="shared" si="21"/>
        <v>0</v>
      </c>
      <c r="G64" s="252">
        <f t="shared" si="21"/>
        <v>0</v>
      </c>
      <c r="H64" s="252" t="e">
        <f t="shared" si="21"/>
        <v>#REF!</v>
      </c>
      <c r="I64" s="252" t="e">
        <f t="shared" si="1"/>
        <v>#REF!</v>
      </c>
      <c r="J64" s="251">
        <f t="shared" si="21"/>
        <v>0</v>
      </c>
      <c r="K64" s="251">
        <f t="shared" si="21"/>
        <v>0</v>
      </c>
      <c r="L64" s="251">
        <f t="shared" si="21"/>
        <v>0</v>
      </c>
      <c r="M64" s="251">
        <f t="shared" si="21"/>
        <v>2222747</v>
      </c>
      <c r="N64" s="251">
        <f t="shared" si="21"/>
        <v>2222747</v>
      </c>
      <c r="O64" s="25"/>
      <c r="P64" s="25"/>
    </row>
    <row r="65" spans="1:16" ht="26.4">
      <c r="A65" s="236">
        <f>A63+1</f>
        <v>38</v>
      </c>
      <c r="B65" s="253" t="s">
        <v>112</v>
      </c>
      <c r="C65" s="249">
        <f>'часть 1'!H425</f>
        <v>1983</v>
      </c>
      <c r="D65" s="250">
        <f>'часть 1'!K425</f>
        <v>80</v>
      </c>
      <c r="E65" s="252">
        <v>0</v>
      </c>
      <c r="F65" s="252">
        <v>0</v>
      </c>
      <c r="G65" s="252">
        <v>0</v>
      </c>
      <c r="H65" s="252" t="e">
        <f>'часть 2'!#REF!</f>
        <v>#REF!</v>
      </c>
      <c r="I65" s="252" t="e">
        <f t="shared" si="1"/>
        <v>#REF!</v>
      </c>
      <c r="J65" s="251">
        <v>0</v>
      </c>
      <c r="K65" s="251">
        <v>0</v>
      </c>
      <c r="L65" s="251">
        <v>0</v>
      </c>
      <c r="M65" s="251">
        <f>'часть 1'!L425</f>
        <v>2222747</v>
      </c>
      <c r="N65" s="251">
        <f>M65</f>
        <v>2222747</v>
      </c>
      <c r="P65" s="25"/>
    </row>
    <row r="66" spans="1:16">
      <c r="A66" s="236"/>
      <c r="B66" s="255" t="s">
        <v>55</v>
      </c>
      <c r="C66" s="249">
        <f>C67</f>
        <v>912.1</v>
      </c>
      <c r="D66" s="249">
        <f t="shared" ref="D66:N66" si="22">D67</f>
        <v>39</v>
      </c>
      <c r="E66" s="249">
        <f t="shared" si="22"/>
        <v>0</v>
      </c>
      <c r="F66" s="249">
        <f t="shared" si="22"/>
        <v>0</v>
      </c>
      <c r="G66" s="249">
        <f t="shared" si="22"/>
        <v>2</v>
      </c>
      <c r="H66" s="250">
        <f t="shared" si="22"/>
        <v>0</v>
      </c>
      <c r="I66" s="250">
        <f t="shared" si="22"/>
        <v>2</v>
      </c>
      <c r="J66" s="251">
        <f t="shared" si="22"/>
        <v>0</v>
      </c>
      <c r="K66" s="251">
        <f t="shared" si="22"/>
        <v>0</v>
      </c>
      <c r="L66" s="251">
        <f t="shared" si="22"/>
        <v>2809430</v>
      </c>
      <c r="M66" s="251">
        <f t="shared" si="22"/>
        <v>0</v>
      </c>
      <c r="N66" s="251">
        <f t="shared" si="22"/>
        <v>2809430</v>
      </c>
      <c r="O66" s="25"/>
      <c r="P66" s="25"/>
    </row>
    <row r="67" spans="1:16" ht="26.4">
      <c r="A67" s="459">
        <v>38</v>
      </c>
      <c r="B67" s="456" t="s">
        <v>590</v>
      </c>
      <c r="C67" s="451">
        <f>'часть 1'!H430</f>
        <v>912.1</v>
      </c>
      <c r="D67" s="452">
        <f>'часть 1'!K430</f>
        <v>39</v>
      </c>
      <c r="E67" s="453">
        <v>0</v>
      </c>
      <c r="F67" s="453">
        <v>0</v>
      </c>
      <c r="G67" s="453">
        <v>2</v>
      </c>
      <c r="H67" s="453">
        <v>0</v>
      </c>
      <c r="I67" s="453">
        <f t="shared" si="1"/>
        <v>2</v>
      </c>
      <c r="J67" s="454">
        <v>0</v>
      </c>
      <c r="K67" s="454">
        <v>0</v>
      </c>
      <c r="L67" s="454">
        <v>2809430</v>
      </c>
      <c r="M67" s="454">
        <v>0</v>
      </c>
      <c r="N67" s="454">
        <f>M67+L67+K67+J67</f>
        <v>2809430</v>
      </c>
      <c r="P67" s="25"/>
    </row>
    <row r="68" spans="1:16">
      <c r="A68" s="236"/>
      <c r="B68" s="255" t="s">
        <v>56</v>
      </c>
      <c r="C68" s="249">
        <f>'часть 1'!H434</f>
        <v>10396</v>
      </c>
      <c r="D68" s="250">
        <f>'часть 1'!K434</f>
        <v>320</v>
      </c>
      <c r="E68" s="252">
        <f t="shared" ref="E68:N68" si="23">E69+E70+E71</f>
        <v>0</v>
      </c>
      <c r="F68" s="252">
        <f t="shared" si="23"/>
        <v>0</v>
      </c>
      <c r="G68" s="252">
        <f t="shared" si="23"/>
        <v>1</v>
      </c>
      <c r="H68" s="252">
        <f t="shared" si="23"/>
        <v>6</v>
      </c>
      <c r="I68" s="252">
        <f t="shared" si="1"/>
        <v>7</v>
      </c>
      <c r="J68" s="251">
        <f t="shared" si="23"/>
        <v>0</v>
      </c>
      <c r="K68" s="251">
        <f t="shared" si="23"/>
        <v>0</v>
      </c>
      <c r="L68" s="251">
        <f t="shared" si="23"/>
        <v>1510788</v>
      </c>
      <c r="M68" s="251">
        <f>M69+M70+M71</f>
        <v>9278483</v>
      </c>
      <c r="N68" s="251">
        <f t="shared" si="23"/>
        <v>10789271</v>
      </c>
      <c r="O68" s="25"/>
      <c r="P68" s="25"/>
    </row>
    <row r="69" spans="1:16" ht="26.4">
      <c r="A69" s="459">
        <v>39</v>
      </c>
      <c r="B69" s="456" t="s">
        <v>424</v>
      </c>
      <c r="C69" s="451">
        <f>'часть 1'!H435</f>
        <v>4140.7</v>
      </c>
      <c r="D69" s="452">
        <f>'часть 1'!K435</f>
        <v>125</v>
      </c>
      <c r="E69" s="453">
        <v>0</v>
      </c>
      <c r="F69" s="453">
        <v>0</v>
      </c>
      <c r="G69" s="453">
        <v>0</v>
      </c>
      <c r="H69" s="453">
        <v>5</v>
      </c>
      <c r="I69" s="453">
        <f t="shared" si="1"/>
        <v>5</v>
      </c>
      <c r="J69" s="454">
        <v>0</v>
      </c>
      <c r="K69" s="454">
        <v>0</v>
      </c>
      <c r="L69" s="454">
        <v>0</v>
      </c>
      <c r="M69" s="454">
        <f>'часть 1'!L435</f>
        <v>6762929</v>
      </c>
      <c r="N69" s="454">
        <f>M69</f>
        <v>6762929</v>
      </c>
      <c r="P69" s="25"/>
    </row>
    <row r="70" spans="1:16" ht="26.4">
      <c r="A70" s="236">
        <v>40</v>
      </c>
      <c r="B70" s="253" t="s">
        <v>121</v>
      </c>
      <c r="C70" s="249">
        <f>'часть 1'!H441</f>
        <v>4874.1000000000004</v>
      </c>
      <c r="D70" s="250">
        <f>'часть 1'!K441</f>
        <v>127</v>
      </c>
      <c r="E70" s="252">
        <v>0</v>
      </c>
      <c r="F70" s="252">
        <v>0</v>
      </c>
      <c r="G70" s="252">
        <v>0</v>
      </c>
      <c r="H70" s="252">
        <v>1</v>
      </c>
      <c r="I70" s="252">
        <f t="shared" si="1"/>
        <v>1</v>
      </c>
      <c r="J70" s="251">
        <v>0</v>
      </c>
      <c r="K70" s="251">
        <v>0</v>
      </c>
      <c r="L70" s="251">
        <v>0</v>
      </c>
      <c r="M70" s="251">
        <f>'часть 1'!L441</f>
        <v>2515554</v>
      </c>
      <c r="N70" s="251">
        <f>M70</f>
        <v>2515554</v>
      </c>
      <c r="O70" s="25"/>
      <c r="P70" s="25"/>
    </row>
    <row r="71" spans="1:16" ht="26.4">
      <c r="A71" s="236">
        <v>41</v>
      </c>
      <c r="B71" s="253" t="s">
        <v>807</v>
      </c>
      <c r="C71" s="249">
        <f>'часть 1'!H443</f>
        <v>1381.2</v>
      </c>
      <c r="D71" s="250">
        <f>'часть 1'!K443</f>
        <v>68</v>
      </c>
      <c r="E71" s="252">
        <v>0</v>
      </c>
      <c r="F71" s="252">
        <v>0</v>
      </c>
      <c r="G71" s="252">
        <v>1</v>
      </c>
      <c r="H71" s="252">
        <v>0</v>
      </c>
      <c r="I71" s="252">
        <f t="shared" si="1"/>
        <v>1</v>
      </c>
      <c r="J71" s="251">
        <v>0</v>
      </c>
      <c r="K71" s="251">
        <v>0</v>
      </c>
      <c r="L71" s="251">
        <v>1510788</v>
      </c>
      <c r="M71" s="251">
        <v>0</v>
      </c>
      <c r="N71" s="251">
        <f>L71</f>
        <v>1510788</v>
      </c>
      <c r="O71" s="25"/>
      <c r="P71" s="25"/>
    </row>
    <row r="72" spans="1:16">
      <c r="A72" s="236"/>
      <c r="B72" s="255" t="s">
        <v>57</v>
      </c>
      <c r="C72" s="249">
        <f>C73</f>
        <v>8010.4</v>
      </c>
      <c r="D72" s="250">
        <f t="shared" ref="D72:L72" si="24">D73</f>
        <v>199</v>
      </c>
      <c r="E72" s="252">
        <f t="shared" si="24"/>
        <v>0</v>
      </c>
      <c r="F72" s="252">
        <f t="shared" si="24"/>
        <v>0</v>
      </c>
      <c r="G72" s="252">
        <f t="shared" si="24"/>
        <v>0</v>
      </c>
      <c r="H72" s="252">
        <f t="shared" si="24"/>
        <v>2</v>
      </c>
      <c r="I72" s="252">
        <f t="shared" si="1"/>
        <v>2</v>
      </c>
      <c r="J72" s="251">
        <f t="shared" si="24"/>
        <v>0</v>
      </c>
      <c r="K72" s="251">
        <f t="shared" si="24"/>
        <v>0</v>
      </c>
      <c r="L72" s="251">
        <f t="shared" si="24"/>
        <v>0</v>
      </c>
      <c r="M72" s="251">
        <f>M73</f>
        <v>2579247</v>
      </c>
      <c r="N72" s="251">
        <f>N73</f>
        <v>2579247</v>
      </c>
      <c r="P72" s="25"/>
    </row>
    <row r="73" spans="1:16" ht="26.4">
      <c r="A73" s="236">
        <v>42</v>
      </c>
      <c r="B73" s="253" t="s">
        <v>119</v>
      </c>
      <c r="C73" s="249">
        <f>'часть 1'!H446</f>
        <v>8010.4</v>
      </c>
      <c r="D73" s="250">
        <f>'часть 1'!K446</f>
        <v>199</v>
      </c>
      <c r="E73" s="252">
        <v>0</v>
      </c>
      <c r="F73" s="252">
        <v>0</v>
      </c>
      <c r="G73" s="252">
        <v>0</v>
      </c>
      <c r="H73" s="252">
        <v>2</v>
      </c>
      <c r="I73" s="252">
        <f t="shared" si="1"/>
        <v>2</v>
      </c>
      <c r="J73" s="251">
        <v>0</v>
      </c>
      <c r="K73" s="251">
        <v>0</v>
      </c>
      <c r="L73" s="251">
        <v>0</v>
      </c>
      <c r="M73" s="251">
        <f>'часть 1'!L445</f>
        <v>2579247</v>
      </c>
      <c r="N73" s="251">
        <f>M73</f>
        <v>2579247</v>
      </c>
      <c r="P73" s="25"/>
    </row>
    <row r="74" spans="1:16">
      <c r="A74" s="236"/>
      <c r="B74" s="255" t="s">
        <v>58</v>
      </c>
      <c r="C74" s="249">
        <f>C75</f>
        <v>17371.800000000003</v>
      </c>
      <c r="D74" s="250">
        <f>'часть 1'!K449+'часть 1'!K533</f>
        <v>538</v>
      </c>
      <c r="E74" s="252">
        <f t="shared" ref="E74:N74" si="25">E75</f>
        <v>0</v>
      </c>
      <c r="F74" s="252">
        <f t="shared" si="25"/>
        <v>0</v>
      </c>
      <c r="G74" s="252">
        <f t="shared" si="25"/>
        <v>0</v>
      </c>
      <c r="H74" s="252" t="e">
        <f t="shared" si="25"/>
        <v>#REF!</v>
      </c>
      <c r="I74" s="252" t="e">
        <f t="shared" si="1"/>
        <v>#REF!</v>
      </c>
      <c r="J74" s="251">
        <f t="shared" si="25"/>
        <v>0</v>
      </c>
      <c r="K74" s="251">
        <f t="shared" si="25"/>
        <v>0</v>
      </c>
      <c r="L74" s="251">
        <f t="shared" si="25"/>
        <v>0</v>
      </c>
      <c r="M74" s="251">
        <f t="shared" si="25"/>
        <v>12228909</v>
      </c>
      <c r="N74" s="251">
        <f t="shared" si="25"/>
        <v>12228909</v>
      </c>
      <c r="P74" s="25"/>
    </row>
    <row r="75" spans="1:16" ht="27.75" customHeight="1">
      <c r="A75" s="236">
        <v>43</v>
      </c>
      <c r="B75" s="253" t="s">
        <v>87</v>
      </c>
      <c r="C75" s="249">
        <f>'часть 1'!H449+'часть 1'!H534</f>
        <v>17371.800000000003</v>
      </c>
      <c r="D75" s="250">
        <f>'часть 1'!K534+'часть 1'!K450</f>
        <v>538</v>
      </c>
      <c r="E75" s="252">
        <v>0</v>
      </c>
      <c r="F75" s="252">
        <v>0</v>
      </c>
      <c r="G75" s="252">
        <v>0</v>
      </c>
      <c r="H75" s="252" t="e">
        <f>'часть 2'!#REF!</f>
        <v>#REF!</v>
      </c>
      <c r="I75" s="252" t="e">
        <f t="shared" si="1"/>
        <v>#REF!</v>
      </c>
      <c r="J75" s="251">
        <v>0</v>
      </c>
      <c r="K75" s="251">
        <v>0</v>
      </c>
      <c r="L75" s="251">
        <v>0</v>
      </c>
      <c r="M75" s="251">
        <f>'часть 2'!C444</f>
        <v>12228909</v>
      </c>
      <c r="N75" s="251">
        <f>M75</f>
        <v>12228909</v>
      </c>
      <c r="P75" s="25"/>
    </row>
    <row r="76" spans="1:16" ht="24.6" customHeight="1">
      <c r="A76" s="459"/>
      <c r="B76" s="545" t="s">
        <v>59</v>
      </c>
      <c r="C76" s="451">
        <f>C77+C78</f>
        <v>26864.3</v>
      </c>
      <c r="D76" s="451">
        <f t="shared" ref="D76:N76" si="26">D77+D78</f>
        <v>879</v>
      </c>
      <c r="E76" s="451">
        <f t="shared" si="26"/>
        <v>0</v>
      </c>
      <c r="F76" s="451">
        <f t="shared" si="26"/>
        <v>0</v>
      </c>
      <c r="G76" s="451">
        <f t="shared" si="26"/>
        <v>0</v>
      </c>
      <c r="H76" s="451">
        <f t="shared" si="26"/>
        <v>42</v>
      </c>
      <c r="I76" s="451">
        <f t="shared" si="26"/>
        <v>42</v>
      </c>
      <c r="J76" s="454">
        <f t="shared" si="26"/>
        <v>0</v>
      </c>
      <c r="K76" s="454">
        <f t="shared" si="26"/>
        <v>0</v>
      </c>
      <c r="L76" s="454">
        <f t="shared" si="26"/>
        <v>0</v>
      </c>
      <c r="M76" s="454">
        <f t="shared" si="26"/>
        <v>4724118</v>
      </c>
      <c r="N76" s="454">
        <f t="shared" si="26"/>
        <v>4724118</v>
      </c>
      <c r="P76" s="25"/>
    </row>
    <row r="77" spans="1:16" ht="26.4">
      <c r="A77" s="459">
        <v>44</v>
      </c>
      <c r="B77" s="456" t="s">
        <v>86</v>
      </c>
      <c r="C77" s="451">
        <f>'часть 1'!H537</f>
        <v>4504.3</v>
      </c>
      <c r="D77" s="452">
        <f>'часть 1'!K537</f>
        <v>203</v>
      </c>
      <c r="E77" s="453">
        <v>0</v>
      </c>
      <c r="F77" s="453">
        <v>0</v>
      </c>
      <c r="G77" s="453">
        <v>0</v>
      </c>
      <c r="H77" s="453">
        <v>7</v>
      </c>
      <c r="I77" s="453">
        <f t="shared" si="1"/>
        <v>7</v>
      </c>
      <c r="J77" s="454">
        <v>0</v>
      </c>
      <c r="K77" s="454">
        <v>0</v>
      </c>
      <c r="L77" s="454">
        <v>0</v>
      </c>
      <c r="M77" s="454">
        <f>'часть 1'!L537</f>
        <v>1839043</v>
      </c>
      <c r="N77" s="454">
        <f>M77</f>
        <v>1839043</v>
      </c>
      <c r="P77" s="25"/>
    </row>
    <row r="78" spans="1:16" ht="26.4">
      <c r="A78" s="459">
        <v>45</v>
      </c>
      <c r="B78" s="456" t="s">
        <v>85</v>
      </c>
      <c r="C78" s="451">
        <f>'часть 1'!H545</f>
        <v>22360</v>
      </c>
      <c r="D78" s="452">
        <f>'часть 1'!K545</f>
        <v>676</v>
      </c>
      <c r="E78" s="453">
        <v>0</v>
      </c>
      <c r="F78" s="453">
        <v>0</v>
      </c>
      <c r="G78" s="453">
        <v>0</v>
      </c>
      <c r="H78" s="453">
        <v>35</v>
      </c>
      <c r="I78" s="453">
        <f t="shared" ref="I78:I104" si="27">H78+G78</f>
        <v>35</v>
      </c>
      <c r="J78" s="454">
        <v>0</v>
      </c>
      <c r="K78" s="454">
        <v>0</v>
      </c>
      <c r="L78" s="454">
        <v>0</v>
      </c>
      <c r="M78" s="454">
        <f>'часть 1'!L545</f>
        <v>2885075</v>
      </c>
      <c r="N78" s="454">
        <f>M78</f>
        <v>2885075</v>
      </c>
      <c r="P78" s="25"/>
    </row>
    <row r="79" spans="1:16">
      <c r="A79" s="236"/>
      <c r="B79" s="255" t="s">
        <v>60</v>
      </c>
      <c r="C79" s="249">
        <f>'часть 1'!H460</f>
        <v>8449.7999999999993</v>
      </c>
      <c r="D79" s="250">
        <f>'часть 1'!K460</f>
        <v>357</v>
      </c>
      <c r="E79" s="252">
        <f t="shared" ref="E79:N79" si="28">E81</f>
        <v>0</v>
      </c>
      <c r="F79" s="252">
        <f t="shared" si="28"/>
        <v>2</v>
      </c>
      <c r="G79" s="252">
        <f t="shared" si="28"/>
        <v>0</v>
      </c>
      <c r="H79" s="252">
        <f t="shared" si="28"/>
        <v>0</v>
      </c>
      <c r="I79" s="252">
        <f>H79+G79+F79+E79</f>
        <v>2</v>
      </c>
      <c r="J79" s="251">
        <f t="shared" si="28"/>
        <v>0</v>
      </c>
      <c r="K79" s="251">
        <f t="shared" si="28"/>
        <v>3666180</v>
      </c>
      <c r="L79" s="251">
        <f t="shared" si="28"/>
        <v>0</v>
      </c>
      <c r="M79" s="251">
        <f t="shared" si="28"/>
        <v>0</v>
      </c>
      <c r="N79" s="251">
        <f t="shared" si="28"/>
        <v>3666180</v>
      </c>
      <c r="P79" s="25"/>
    </row>
    <row r="80" spans="1:16">
      <c r="A80" s="459"/>
      <c r="B80" s="545" t="s">
        <v>208</v>
      </c>
      <c r="C80" s="451">
        <f>'часть 1'!H466</f>
        <v>318.7</v>
      </c>
      <c r="D80" s="452">
        <f>'часть 1'!K466</f>
        <v>14</v>
      </c>
      <c r="E80" s="453">
        <v>0</v>
      </c>
      <c r="F80" s="453">
        <v>0</v>
      </c>
      <c r="G80" s="453">
        <v>0</v>
      </c>
      <c r="H80" s="453">
        <v>1</v>
      </c>
      <c r="I80" s="453">
        <f t="shared" ref="I80:I84" si="29">H80+G80+F80+E80</f>
        <v>1</v>
      </c>
      <c r="J80" s="454">
        <v>0</v>
      </c>
      <c r="K80" s="454">
        <v>0</v>
      </c>
      <c r="L80" s="454">
        <v>0</v>
      </c>
      <c r="M80" s="454">
        <v>1167102</v>
      </c>
      <c r="N80" s="454">
        <f>M80+L80+K80+J80</f>
        <v>1167102</v>
      </c>
      <c r="P80" s="25"/>
    </row>
    <row r="81" spans="1:16">
      <c r="A81" s="459">
        <v>46</v>
      </c>
      <c r="B81" s="456" t="s">
        <v>61</v>
      </c>
      <c r="C81" s="451">
        <f>'часть 1'!H469</f>
        <v>4625.8</v>
      </c>
      <c r="D81" s="452">
        <f>'часть 1'!K469</f>
        <v>154</v>
      </c>
      <c r="E81" s="453">
        <v>0</v>
      </c>
      <c r="F81" s="453">
        <v>2</v>
      </c>
      <c r="G81" s="453">
        <v>0</v>
      </c>
      <c r="H81" s="453">
        <v>0</v>
      </c>
      <c r="I81" s="453">
        <f t="shared" si="29"/>
        <v>2</v>
      </c>
      <c r="J81" s="454">
        <v>0</v>
      </c>
      <c r="K81" s="454">
        <v>3666180</v>
      </c>
      <c r="L81" s="454">
        <v>0</v>
      </c>
      <c r="M81" s="454">
        <v>0</v>
      </c>
      <c r="N81" s="454">
        <f>M81+L81+K81+J81</f>
        <v>3666180</v>
      </c>
      <c r="P81" s="25"/>
    </row>
    <row r="82" spans="1:16">
      <c r="A82" s="236"/>
      <c r="B82" s="255" t="s">
        <v>649</v>
      </c>
      <c r="C82" s="249">
        <v>478</v>
      </c>
      <c r="D82" s="250">
        <v>15</v>
      </c>
      <c r="E82" s="252">
        <v>0</v>
      </c>
      <c r="F82" s="252">
        <v>0</v>
      </c>
      <c r="G82" s="252">
        <v>1</v>
      </c>
      <c r="H82" s="252">
        <v>0</v>
      </c>
      <c r="I82" s="252">
        <v>1</v>
      </c>
      <c r="J82" s="251">
        <v>0</v>
      </c>
      <c r="K82" s="251">
        <v>0</v>
      </c>
      <c r="L82" s="251">
        <v>204131</v>
      </c>
      <c r="M82" s="251">
        <v>0</v>
      </c>
      <c r="N82" s="251">
        <v>204131</v>
      </c>
      <c r="P82" s="25"/>
    </row>
    <row r="83" spans="1:16">
      <c r="A83" s="459">
        <v>47</v>
      </c>
      <c r="B83" s="456" t="s">
        <v>62</v>
      </c>
      <c r="C83" s="451">
        <f>'часть 1'!H476</f>
        <v>508.92</v>
      </c>
      <c r="D83" s="452">
        <f>'часть 1'!K476</f>
        <v>16</v>
      </c>
      <c r="E83" s="453">
        <v>0</v>
      </c>
      <c r="F83" s="453">
        <v>0</v>
      </c>
      <c r="G83" s="453">
        <v>1</v>
      </c>
      <c r="H83" s="453">
        <v>0</v>
      </c>
      <c r="I83" s="453">
        <f t="shared" si="29"/>
        <v>1</v>
      </c>
      <c r="J83" s="454">
        <v>0</v>
      </c>
      <c r="K83" s="454">
        <v>0</v>
      </c>
      <c r="L83" s="454">
        <v>1214790</v>
      </c>
      <c r="M83" s="454">
        <v>0</v>
      </c>
      <c r="N83" s="454">
        <f>J83+K83+L83+M83</f>
        <v>1214790</v>
      </c>
      <c r="P83" s="25"/>
    </row>
    <row r="84" spans="1:16">
      <c r="A84" s="236"/>
      <c r="B84" s="255" t="s">
        <v>211</v>
      </c>
      <c r="C84" s="249">
        <f>'часть 1'!H491</f>
        <v>1095.3</v>
      </c>
      <c r="D84" s="250">
        <f>'часть 1'!K491</f>
        <v>27</v>
      </c>
      <c r="E84" s="252">
        <f>E88</f>
        <v>0</v>
      </c>
      <c r="F84" s="252">
        <f>F88</f>
        <v>0</v>
      </c>
      <c r="G84" s="252">
        <f>G88</f>
        <v>0</v>
      </c>
      <c r="H84" s="250">
        <v>2</v>
      </c>
      <c r="I84" s="252">
        <f t="shared" si="29"/>
        <v>2</v>
      </c>
      <c r="J84" s="251">
        <f>J88</f>
        <v>0</v>
      </c>
      <c r="K84" s="251">
        <f>K88</f>
        <v>0</v>
      </c>
      <c r="L84" s="251">
        <f>L88</f>
        <v>0</v>
      </c>
      <c r="M84" s="251">
        <f>'часть 1'!L491</f>
        <v>2988909</v>
      </c>
      <c r="N84" s="251">
        <f>M84+L84+K84+J84</f>
        <v>2988909</v>
      </c>
      <c r="P84" s="25"/>
    </row>
    <row r="85" spans="1:16">
      <c r="A85" s="459"/>
      <c r="B85" s="545" t="s">
        <v>63</v>
      </c>
      <c r="C85" s="451">
        <f>'часть 1'!H479</f>
        <v>4999.2</v>
      </c>
      <c r="D85" s="452">
        <f>'часть 1'!K479</f>
        <v>190</v>
      </c>
      <c r="E85" s="453">
        <v>0</v>
      </c>
      <c r="F85" s="453">
        <v>0</v>
      </c>
      <c r="G85" s="453">
        <v>0</v>
      </c>
      <c r="H85" s="452">
        <v>2</v>
      </c>
      <c r="I85" s="453">
        <v>2</v>
      </c>
      <c r="J85" s="454">
        <v>0</v>
      </c>
      <c r="K85" s="454">
        <v>0</v>
      </c>
      <c r="L85" s="454">
        <v>0</v>
      </c>
      <c r="M85" s="454">
        <v>3037109</v>
      </c>
      <c r="N85" s="454">
        <f>M85+L85+K85+J85</f>
        <v>3037109</v>
      </c>
      <c r="P85" s="25"/>
    </row>
    <row r="86" spans="1:16">
      <c r="A86" s="459"/>
      <c r="B86" s="545" t="s">
        <v>663</v>
      </c>
      <c r="C86" s="451">
        <f>C87</f>
        <v>555</v>
      </c>
      <c r="D86" s="451">
        <f t="shared" ref="D86:N86" si="30">D87</f>
        <v>16</v>
      </c>
      <c r="E86" s="451">
        <f t="shared" si="30"/>
        <v>0</v>
      </c>
      <c r="F86" s="451">
        <f t="shared" si="30"/>
        <v>0</v>
      </c>
      <c r="G86" s="451">
        <f t="shared" si="30"/>
        <v>1</v>
      </c>
      <c r="H86" s="451">
        <f t="shared" si="30"/>
        <v>0</v>
      </c>
      <c r="I86" s="451">
        <f t="shared" si="30"/>
        <v>1</v>
      </c>
      <c r="J86" s="451">
        <f t="shared" si="30"/>
        <v>0</v>
      </c>
      <c r="K86" s="451">
        <f t="shared" si="30"/>
        <v>0</v>
      </c>
      <c r="L86" s="451">
        <f t="shared" si="30"/>
        <v>1402598</v>
      </c>
      <c r="M86" s="451">
        <f t="shared" si="30"/>
        <v>0</v>
      </c>
      <c r="N86" s="451">
        <f t="shared" si="30"/>
        <v>1402598</v>
      </c>
      <c r="P86" s="25"/>
    </row>
    <row r="87" spans="1:16" ht="26.4">
      <c r="A87" s="459"/>
      <c r="B87" s="456" t="s">
        <v>667</v>
      </c>
      <c r="C87" s="451">
        <f>'часть 1'!H484</f>
        <v>555</v>
      </c>
      <c r="D87" s="452">
        <f>'часть 1'!K484</f>
        <v>16</v>
      </c>
      <c r="E87" s="453">
        <v>0</v>
      </c>
      <c r="F87" s="453">
        <v>0</v>
      </c>
      <c r="G87" s="453">
        <v>1</v>
      </c>
      <c r="H87" s="452">
        <v>0</v>
      </c>
      <c r="I87" s="453">
        <v>1</v>
      </c>
      <c r="J87" s="454">
        <v>0</v>
      </c>
      <c r="K87" s="454">
        <v>0</v>
      </c>
      <c r="L87" s="454">
        <v>1402598</v>
      </c>
      <c r="M87" s="454">
        <v>0</v>
      </c>
      <c r="N87" s="454">
        <v>1402598</v>
      </c>
      <c r="P87" s="25"/>
    </row>
    <row r="88" spans="1:16" ht="20.399999999999999" customHeight="1">
      <c r="A88" s="236"/>
      <c r="B88" s="253" t="s">
        <v>64</v>
      </c>
      <c r="C88" s="249">
        <f>C89</f>
        <v>1306.5</v>
      </c>
      <c r="D88" s="249">
        <f t="shared" ref="D88:N88" si="31">D89</f>
        <v>49</v>
      </c>
      <c r="E88" s="249">
        <f t="shared" si="31"/>
        <v>0</v>
      </c>
      <c r="F88" s="249">
        <f t="shared" si="31"/>
        <v>0</v>
      </c>
      <c r="G88" s="249">
        <f t="shared" si="31"/>
        <v>0</v>
      </c>
      <c r="H88" s="249">
        <f t="shared" si="31"/>
        <v>4</v>
      </c>
      <c r="I88" s="249">
        <f t="shared" si="31"/>
        <v>4</v>
      </c>
      <c r="J88" s="251">
        <f t="shared" si="31"/>
        <v>0</v>
      </c>
      <c r="K88" s="251">
        <f t="shared" si="31"/>
        <v>0</v>
      </c>
      <c r="L88" s="251">
        <f t="shared" si="31"/>
        <v>0</v>
      </c>
      <c r="M88" s="251">
        <f t="shared" si="31"/>
        <v>5743338</v>
      </c>
      <c r="N88" s="251">
        <f t="shared" si="31"/>
        <v>5743338</v>
      </c>
      <c r="P88" s="25"/>
    </row>
    <row r="89" spans="1:16" ht="27" customHeight="1">
      <c r="A89" s="459">
        <v>49</v>
      </c>
      <c r="B89" s="456" t="s">
        <v>115</v>
      </c>
      <c r="C89" s="451">
        <f>'часть 1'!H486</f>
        <v>1306.5</v>
      </c>
      <c r="D89" s="452">
        <f>'часть 1'!K486</f>
        <v>49</v>
      </c>
      <c r="E89" s="453">
        <v>0</v>
      </c>
      <c r="F89" s="453">
        <v>0</v>
      </c>
      <c r="G89" s="453">
        <v>0</v>
      </c>
      <c r="H89" s="453">
        <v>4</v>
      </c>
      <c r="I89" s="453">
        <f t="shared" ref="I89:I92" si="32">H89+G89</f>
        <v>4</v>
      </c>
      <c r="J89" s="454">
        <v>0</v>
      </c>
      <c r="K89" s="454">
        <v>0</v>
      </c>
      <c r="L89" s="454">
        <v>0</v>
      </c>
      <c r="M89" s="454">
        <f>'часть 2'!C527</f>
        <v>5743338</v>
      </c>
      <c r="N89" s="454">
        <f>M89</f>
        <v>5743338</v>
      </c>
      <c r="P89" s="25"/>
    </row>
    <row r="90" spans="1:16">
      <c r="A90" s="236"/>
      <c r="B90" s="255" t="s">
        <v>66</v>
      </c>
      <c r="C90" s="249">
        <f>C92+C91</f>
        <v>2315.6</v>
      </c>
      <c r="D90" s="249">
        <f t="shared" ref="D90:N90" si="33">D92+D91</f>
        <v>65</v>
      </c>
      <c r="E90" s="249">
        <f t="shared" si="33"/>
        <v>0</v>
      </c>
      <c r="F90" s="249">
        <f t="shared" si="33"/>
        <v>0</v>
      </c>
      <c r="G90" s="249">
        <f t="shared" si="33"/>
        <v>0</v>
      </c>
      <c r="H90" s="249">
        <f t="shared" si="33"/>
        <v>4</v>
      </c>
      <c r="I90" s="249">
        <f t="shared" si="33"/>
        <v>4</v>
      </c>
      <c r="J90" s="251">
        <f t="shared" si="33"/>
        <v>0</v>
      </c>
      <c r="K90" s="251">
        <f t="shared" si="33"/>
        <v>0</v>
      </c>
      <c r="L90" s="251">
        <f t="shared" si="33"/>
        <v>0</v>
      </c>
      <c r="M90" s="251">
        <f t="shared" si="33"/>
        <v>4692143</v>
      </c>
      <c r="N90" s="251">
        <f t="shared" si="33"/>
        <v>4692143</v>
      </c>
      <c r="P90" s="25"/>
    </row>
    <row r="91" spans="1:16" ht="26.4">
      <c r="A91" s="459"/>
      <c r="B91" s="456" t="s">
        <v>641</v>
      </c>
      <c r="C91" s="451">
        <f>'часть 1'!H497</f>
        <v>675.9</v>
      </c>
      <c r="D91" s="451">
        <f>'часть 1'!K497</f>
        <v>21</v>
      </c>
      <c r="E91" s="451">
        <v>0</v>
      </c>
      <c r="F91" s="451">
        <v>0</v>
      </c>
      <c r="G91" s="451">
        <v>0</v>
      </c>
      <c r="H91" s="451">
        <v>1</v>
      </c>
      <c r="I91" s="451">
        <f>H91+G91+F91+E91</f>
        <v>1</v>
      </c>
      <c r="J91" s="454">
        <v>0</v>
      </c>
      <c r="K91" s="454">
        <v>0</v>
      </c>
      <c r="L91" s="454">
        <v>0</v>
      </c>
      <c r="M91" s="454">
        <v>346938</v>
      </c>
      <c r="N91" s="454">
        <v>346938</v>
      </c>
      <c r="P91" s="25"/>
    </row>
    <row r="92" spans="1:16" ht="26.4">
      <c r="A92" s="459"/>
      <c r="B92" s="456" t="s">
        <v>114</v>
      </c>
      <c r="C92" s="451">
        <v>1639.7</v>
      </c>
      <c r="D92" s="452">
        <v>44</v>
      </c>
      <c r="E92" s="453">
        <v>0</v>
      </c>
      <c r="F92" s="453">
        <v>0</v>
      </c>
      <c r="G92" s="453">
        <v>0</v>
      </c>
      <c r="H92" s="453">
        <v>3</v>
      </c>
      <c r="I92" s="453">
        <f t="shared" si="32"/>
        <v>3</v>
      </c>
      <c r="J92" s="454">
        <v>0</v>
      </c>
      <c r="K92" s="454">
        <v>0</v>
      </c>
      <c r="L92" s="454">
        <v>0</v>
      </c>
      <c r="M92" s="454">
        <v>4345205</v>
      </c>
      <c r="N92" s="454">
        <f t="shared" ref="N92" si="34">M92</f>
        <v>4345205</v>
      </c>
      <c r="P92" s="25"/>
    </row>
    <row r="93" spans="1:16">
      <c r="A93" s="459"/>
      <c r="B93" s="456"/>
      <c r="C93" s="451"/>
      <c r="D93" s="452"/>
      <c r="E93" s="452"/>
      <c r="F93" s="452"/>
      <c r="G93" s="452"/>
      <c r="H93" s="452"/>
      <c r="I93" s="453"/>
      <c r="J93" s="454"/>
      <c r="K93" s="454"/>
      <c r="L93" s="454"/>
      <c r="M93" s="454"/>
      <c r="N93" s="454"/>
      <c r="P93" s="25"/>
    </row>
    <row r="94" spans="1:16">
      <c r="A94" s="394"/>
      <c r="B94" s="258"/>
      <c r="C94" s="249"/>
      <c r="D94" s="250"/>
      <c r="E94" s="252"/>
      <c r="F94" s="252"/>
      <c r="G94" s="252"/>
      <c r="H94" s="252"/>
      <c r="I94" s="252"/>
      <c r="J94" s="251"/>
      <c r="K94" s="251"/>
      <c r="L94" s="251"/>
      <c r="M94" s="251"/>
      <c r="N94" s="251"/>
      <c r="P94" s="25"/>
    </row>
    <row r="95" spans="1:16" ht="27" customHeight="1">
      <c r="A95" s="236"/>
      <c r="B95" s="257"/>
      <c r="C95" s="249"/>
      <c r="D95" s="250"/>
      <c r="E95" s="252"/>
      <c r="F95" s="252"/>
      <c r="G95" s="252"/>
      <c r="H95" s="252"/>
      <c r="I95" s="252"/>
      <c r="J95" s="251"/>
      <c r="K95" s="251"/>
      <c r="L95" s="251"/>
      <c r="M95" s="251"/>
      <c r="N95" s="251"/>
      <c r="P95" s="25"/>
    </row>
    <row r="96" spans="1:16">
      <c r="A96" s="236"/>
      <c r="B96" s="253"/>
      <c r="C96" s="249"/>
      <c r="D96" s="250"/>
      <c r="E96" s="252"/>
      <c r="F96" s="252"/>
      <c r="G96" s="252"/>
      <c r="H96" s="252"/>
      <c r="I96" s="252"/>
      <c r="J96" s="251"/>
      <c r="K96" s="251"/>
      <c r="L96" s="251"/>
      <c r="M96" s="251"/>
      <c r="N96" s="251"/>
      <c r="P96" s="25"/>
    </row>
    <row r="97" spans="1:16" ht="29.25" customHeight="1">
      <c r="A97" s="236">
        <f>A95+1</f>
        <v>1</v>
      </c>
      <c r="B97" s="253" t="s">
        <v>212</v>
      </c>
      <c r="C97" s="249">
        <f>'часть 1'!H492</f>
        <v>494.8</v>
      </c>
      <c r="D97" s="250">
        <f>'часть 1'!K492</f>
        <v>12</v>
      </c>
      <c r="E97" s="252">
        <v>0</v>
      </c>
      <c r="F97" s="252">
        <v>0</v>
      </c>
      <c r="G97" s="252">
        <v>0</v>
      </c>
      <c r="H97" s="252">
        <v>1</v>
      </c>
      <c r="I97" s="252">
        <f t="shared" si="27"/>
        <v>1</v>
      </c>
      <c r="J97" s="251">
        <v>0</v>
      </c>
      <c r="K97" s="251">
        <v>0</v>
      </c>
      <c r="L97" s="251">
        <v>0</v>
      </c>
      <c r="M97" s="251">
        <f>'часть 2'!C533</f>
        <v>1537679</v>
      </c>
      <c r="N97" s="251">
        <f>M97</f>
        <v>1537679</v>
      </c>
      <c r="P97" s="25"/>
    </row>
    <row r="98" spans="1:16" ht="27" customHeight="1">
      <c r="A98" s="236">
        <v>54</v>
      </c>
      <c r="B98" s="253" t="s">
        <v>213</v>
      </c>
      <c r="C98" s="249">
        <f>'часть 1'!H494</f>
        <v>600.5</v>
      </c>
      <c r="D98" s="250">
        <f>'часть 1'!K494</f>
        <v>15</v>
      </c>
      <c r="E98" s="252">
        <v>0</v>
      </c>
      <c r="F98" s="252">
        <v>0</v>
      </c>
      <c r="G98" s="252">
        <v>0</v>
      </c>
      <c r="H98" s="252">
        <v>1</v>
      </c>
      <c r="I98" s="252">
        <f t="shared" si="27"/>
        <v>1</v>
      </c>
      <c r="J98" s="251">
        <v>0</v>
      </c>
      <c r="K98" s="251">
        <v>0</v>
      </c>
      <c r="L98" s="251">
        <v>0</v>
      </c>
      <c r="M98" s="251">
        <f>'часть 2'!C535</f>
        <v>1451230</v>
      </c>
      <c r="N98" s="251">
        <f>M98</f>
        <v>1451230</v>
      </c>
      <c r="P98" s="25"/>
    </row>
    <row r="99" spans="1:16">
      <c r="A99" s="236"/>
      <c r="B99" s="255"/>
      <c r="C99" s="249"/>
      <c r="D99" s="250"/>
      <c r="E99" s="252"/>
      <c r="F99" s="252"/>
      <c r="G99" s="252"/>
      <c r="H99" s="252"/>
      <c r="I99" s="252"/>
      <c r="J99" s="251"/>
      <c r="K99" s="251"/>
      <c r="L99" s="251"/>
      <c r="M99" s="251"/>
      <c r="N99" s="251"/>
      <c r="P99" s="25"/>
    </row>
    <row r="100" spans="1:16">
      <c r="A100" s="459"/>
      <c r="B100" s="456"/>
      <c r="C100" s="451"/>
      <c r="D100" s="452"/>
      <c r="E100" s="453"/>
      <c r="F100" s="453"/>
      <c r="G100" s="453"/>
      <c r="H100" s="453"/>
      <c r="I100" s="453"/>
      <c r="J100" s="454"/>
      <c r="K100" s="454"/>
      <c r="L100" s="454"/>
      <c r="M100" s="454"/>
      <c r="N100" s="454"/>
      <c r="P100" s="25"/>
    </row>
    <row r="101" spans="1:16">
      <c r="A101" s="459">
        <v>56</v>
      </c>
      <c r="B101" s="456" t="s">
        <v>207</v>
      </c>
      <c r="C101" s="451">
        <f>'часть 1'!H503</f>
        <v>59226.13</v>
      </c>
      <c r="D101" s="452">
        <f>'часть 1'!K503</f>
        <v>2200</v>
      </c>
      <c r="E101" s="452">
        <v>0</v>
      </c>
      <c r="F101" s="452">
        <v>0</v>
      </c>
      <c r="G101" s="452">
        <v>0</v>
      </c>
      <c r="H101" s="452">
        <v>7</v>
      </c>
      <c r="I101" s="453">
        <f t="shared" si="27"/>
        <v>7</v>
      </c>
      <c r="J101" s="454">
        <v>0</v>
      </c>
      <c r="K101" s="454">
        <v>0</v>
      </c>
      <c r="L101" s="454">
        <v>0</v>
      </c>
      <c r="M101" s="454">
        <f>'часть 1'!L503</f>
        <v>21667282</v>
      </c>
      <c r="N101" s="454">
        <f>M101</f>
        <v>21667282</v>
      </c>
      <c r="P101" s="25"/>
    </row>
    <row r="102" spans="1:16">
      <c r="A102" s="254"/>
      <c r="B102" s="258" t="s">
        <v>67</v>
      </c>
      <c r="C102" s="249">
        <f>'часть 1'!H515</f>
        <v>4794.6000000000004</v>
      </c>
      <c r="D102" s="250">
        <f>'часть 1'!K515</f>
        <v>162</v>
      </c>
      <c r="E102" s="252">
        <v>0</v>
      </c>
      <c r="F102" s="252">
        <v>0</v>
      </c>
      <c r="G102" s="252">
        <f>G103</f>
        <v>1</v>
      </c>
      <c r="H102" s="252">
        <f>H103+H104</f>
        <v>1</v>
      </c>
      <c r="I102" s="252">
        <f t="shared" si="27"/>
        <v>2</v>
      </c>
      <c r="J102" s="251">
        <v>0</v>
      </c>
      <c r="K102" s="251">
        <v>0</v>
      </c>
      <c r="L102" s="251">
        <f>L103</f>
        <v>728197.07</v>
      </c>
      <c r="M102" s="251">
        <f>M103+M104</f>
        <v>2131086</v>
      </c>
      <c r="N102" s="251">
        <f>N103+N104</f>
        <v>2859283.07</v>
      </c>
      <c r="P102" s="25"/>
    </row>
    <row r="103" spans="1:16" ht="27" customHeight="1">
      <c r="A103" s="236">
        <v>57</v>
      </c>
      <c r="B103" s="257" t="s">
        <v>90</v>
      </c>
      <c r="C103" s="249">
        <f>'часть 1'!H516</f>
        <v>1507.8</v>
      </c>
      <c r="D103" s="250">
        <f>'часть 1'!K516</f>
        <v>62</v>
      </c>
      <c r="E103" s="252">
        <v>0</v>
      </c>
      <c r="F103" s="252">
        <v>0</v>
      </c>
      <c r="G103" s="252">
        <v>1</v>
      </c>
      <c r="H103" s="252">
        <v>0</v>
      </c>
      <c r="I103" s="252">
        <f t="shared" si="27"/>
        <v>1</v>
      </c>
      <c r="J103" s="251">
        <v>0</v>
      </c>
      <c r="K103" s="251">
        <v>0</v>
      </c>
      <c r="L103" s="251">
        <f>'часть 1'!L516</f>
        <v>728197.07</v>
      </c>
      <c r="M103" s="251">
        <v>0</v>
      </c>
      <c r="N103" s="251">
        <f>L103</f>
        <v>728197.07</v>
      </c>
      <c r="P103" s="25"/>
    </row>
    <row r="104" spans="1:16" ht="26.4">
      <c r="A104" s="459">
        <v>58</v>
      </c>
      <c r="B104" s="456" t="s">
        <v>127</v>
      </c>
      <c r="C104" s="451">
        <f>'часть 1'!H518</f>
        <v>3286.8</v>
      </c>
      <c r="D104" s="452">
        <f>'часть 1'!K518</f>
        <v>100</v>
      </c>
      <c r="E104" s="453">
        <v>0</v>
      </c>
      <c r="F104" s="453">
        <v>0</v>
      </c>
      <c r="G104" s="453">
        <v>0</v>
      </c>
      <c r="H104" s="453">
        <v>1</v>
      </c>
      <c r="I104" s="453">
        <f t="shared" si="27"/>
        <v>1</v>
      </c>
      <c r="J104" s="454">
        <v>0</v>
      </c>
      <c r="K104" s="454">
        <v>0</v>
      </c>
      <c r="L104" s="454">
        <v>0</v>
      </c>
      <c r="M104" s="454">
        <f>'часть 1'!L518</f>
        <v>2131086</v>
      </c>
      <c r="N104" s="454">
        <f>M104</f>
        <v>2131086</v>
      </c>
      <c r="P104" s="25"/>
    </row>
    <row r="105" spans="1:16" ht="15.75" customHeight="1">
      <c r="A105" s="527">
        <v>1</v>
      </c>
      <c r="B105" s="528" t="s">
        <v>89</v>
      </c>
      <c r="C105" s="529">
        <f>'часть 1'!H106</f>
        <v>0</v>
      </c>
      <c r="D105" s="530">
        <f>'часть 1'!K106</f>
        <v>0</v>
      </c>
      <c r="E105" s="531">
        <v>0</v>
      </c>
      <c r="F105" s="531">
        <v>0</v>
      </c>
      <c r="G105" s="531">
        <v>0</v>
      </c>
      <c r="H105" s="531">
        <v>168</v>
      </c>
      <c r="I105" s="531">
        <f>H105+G105</f>
        <v>168</v>
      </c>
      <c r="J105" s="532">
        <v>0</v>
      </c>
      <c r="K105" s="532">
        <v>0</v>
      </c>
      <c r="L105" s="532">
        <v>0</v>
      </c>
      <c r="M105" s="532">
        <f>'часть 1'!L106</f>
        <v>1116228</v>
      </c>
      <c r="N105" s="532">
        <f t="shared" ref="N105:N107" si="35">M105</f>
        <v>1116228</v>
      </c>
      <c r="O105" s="25"/>
      <c r="P105" s="25"/>
    </row>
    <row r="106" spans="1:16" ht="26.25" customHeight="1">
      <c r="A106" s="189">
        <v>2</v>
      </c>
      <c r="B106" s="248" t="s">
        <v>91</v>
      </c>
      <c r="C106" s="249">
        <f>'часть 1'!H753</f>
        <v>11522.799999999997</v>
      </c>
      <c r="D106" s="250">
        <f>'часть 1'!K753</f>
        <v>365</v>
      </c>
      <c r="E106" s="252">
        <v>0</v>
      </c>
      <c r="F106" s="252">
        <v>0</v>
      </c>
      <c r="G106" s="252">
        <v>0</v>
      </c>
      <c r="H106" s="252">
        <v>13</v>
      </c>
      <c r="I106" s="252">
        <f t="shared" ref="I106:I171" si="36">H106+G106</f>
        <v>13</v>
      </c>
      <c r="J106" s="251">
        <v>0</v>
      </c>
      <c r="K106" s="251">
        <v>0</v>
      </c>
      <c r="L106" s="251">
        <v>0</v>
      </c>
      <c r="M106" s="251">
        <f>'часть 1'!L753</f>
        <v>21022265</v>
      </c>
      <c r="N106" s="251">
        <f t="shared" si="35"/>
        <v>21022265</v>
      </c>
      <c r="O106" s="25"/>
      <c r="P106" s="25"/>
    </row>
    <row r="107" spans="1:16" ht="15.75" customHeight="1">
      <c r="A107" s="527">
        <v>3</v>
      </c>
      <c r="B107" s="528" t="s">
        <v>92</v>
      </c>
      <c r="C107" s="529">
        <v>929.5</v>
      </c>
      <c r="D107" s="530">
        <v>43</v>
      </c>
      <c r="E107" s="531">
        <v>0</v>
      </c>
      <c r="F107" s="531">
        <v>0</v>
      </c>
      <c r="G107" s="531">
        <v>0</v>
      </c>
      <c r="H107" s="531">
        <v>2</v>
      </c>
      <c r="I107" s="531">
        <f t="shared" si="36"/>
        <v>2</v>
      </c>
      <c r="J107" s="532">
        <v>0</v>
      </c>
      <c r="K107" s="532">
        <v>0</v>
      </c>
      <c r="L107" s="532">
        <v>0</v>
      </c>
      <c r="M107" s="532">
        <v>1681461</v>
      </c>
      <c r="N107" s="532">
        <f t="shared" si="35"/>
        <v>1681461</v>
      </c>
      <c r="P107" s="25"/>
    </row>
    <row r="108" spans="1:16" ht="15.75" customHeight="1">
      <c r="A108" s="527">
        <v>4</v>
      </c>
      <c r="B108" s="528" t="s">
        <v>93</v>
      </c>
      <c r="C108" s="529">
        <f>'часть 1'!H770</f>
        <v>4540.7999999999993</v>
      </c>
      <c r="D108" s="530">
        <f>'часть 1'!K770</f>
        <v>151</v>
      </c>
      <c r="E108" s="531">
        <v>0</v>
      </c>
      <c r="F108" s="531">
        <v>0</v>
      </c>
      <c r="G108" s="531">
        <v>0</v>
      </c>
      <c r="H108" s="531">
        <v>2</v>
      </c>
      <c r="I108" s="531">
        <f t="shared" si="36"/>
        <v>2</v>
      </c>
      <c r="J108" s="532">
        <v>0</v>
      </c>
      <c r="K108" s="532">
        <v>0</v>
      </c>
      <c r="L108" s="532">
        <v>0</v>
      </c>
      <c r="M108" s="702">
        <f>'часть 1'!L770</f>
        <v>4013524</v>
      </c>
      <c r="N108" s="532">
        <f>M108</f>
        <v>4013524</v>
      </c>
      <c r="P108" s="25"/>
    </row>
    <row r="109" spans="1:16" ht="16.5" customHeight="1">
      <c r="A109" s="527">
        <v>5</v>
      </c>
      <c r="B109" s="534" t="s">
        <v>94</v>
      </c>
      <c r="C109" s="529">
        <f>'часть 1'!H796</f>
        <v>13237.699999999999</v>
      </c>
      <c r="D109" s="530">
        <f>'часть 1'!K796</f>
        <v>482</v>
      </c>
      <c r="E109" s="531">
        <v>0</v>
      </c>
      <c r="F109" s="531">
        <v>0</v>
      </c>
      <c r="G109" s="531">
        <v>0</v>
      </c>
      <c r="H109" s="531">
        <v>9</v>
      </c>
      <c r="I109" s="531">
        <f t="shared" si="36"/>
        <v>9</v>
      </c>
      <c r="J109" s="532">
        <v>0</v>
      </c>
      <c r="K109" s="532">
        <v>0</v>
      </c>
      <c r="L109" s="532">
        <v>0</v>
      </c>
      <c r="M109" s="532">
        <f>'часть 1'!L796</f>
        <v>17682419</v>
      </c>
      <c r="N109" s="532">
        <f t="shared" ref="N109:N110" si="37">M109</f>
        <v>17682419</v>
      </c>
      <c r="O109" s="25"/>
      <c r="P109" s="25"/>
    </row>
    <row r="110" spans="1:16" s="3" customFormat="1">
      <c r="A110" s="527">
        <v>6</v>
      </c>
      <c r="B110" s="832" t="s">
        <v>123</v>
      </c>
      <c r="C110" s="833">
        <f>'часть 1'!H809</f>
        <v>26975.9</v>
      </c>
      <c r="D110" s="834">
        <f>'часть 1'!K809</f>
        <v>1039</v>
      </c>
      <c r="E110" s="881">
        <v>0</v>
      </c>
      <c r="F110" s="881">
        <v>0</v>
      </c>
      <c r="G110" s="881">
        <v>0</v>
      </c>
      <c r="H110" s="836">
        <v>5</v>
      </c>
      <c r="I110" s="531">
        <f t="shared" si="36"/>
        <v>5</v>
      </c>
      <c r="J110" s="835">
        <v>0</v>
      </c>
      <c r="K110" s="835">
        <v>0</v>
      </c>
      <c r="L110" s="835">
        <v>0</v>
      </c>
      <c r="M110" s="835">
        <f>'часть 1'!L809</f>
        <v>12904489</v>
      </c>
      <c r="N110" s="835">
        <f t="shared" si="37"/>
        <v>12904489</v>
      </c>
      <c r="P110" s="25"/>
    </row>
    <row r="111" spans="1:16" s="3" customFormat="1">
      <c r="A111" s="527"/>
      <c r="B111" s="832" t="s">
        <v>864</v>
      </c>
      <c r="C111" s="833">
        <f>'часть 1'!H822</f>
        <v>5260.1</v>
      </c>
      <c r="D111" s="834">
        <f>'часть 1'!K822</f>
        <v>160</v>
      </c>
      <c r="E111" s="881">
        <v>0</v>
      </c>
      <c r="F111" s="881">
        <v>1</v>
      </c>
      <c r="G111" s="881">
        <v>1</v>
      </c>
      <c r="H111" s="836">
        <v>0</v>
      </c>
      <c r="I111" s="531">
        <f>H111+G111+F111+E111</f>
        <v>2</v>
      </c>
      <c r="J111" s="835">
        <v>0</v>
      </c>
      <c r="K111" s="835">
        <v>1146524</v>
      </c>
      <c r="L111" s="835">
        <v>2505179</v>
      </c>
      <c r="M111" s="835">
        <v>0</v>
      </c>
      <c r="N111" s="835">
        <f>M111+L111+K111+J111</f>
        <v>3651703</v>
      </c>
      <c r="P111" s="25"/>
    </row>
    <row r="112" spans="1:16" s="3" customFormat="1">
      <c r="A112" s="831"/>
      <c r="B112" s="832" t="s">
        <v>72</v>
      </c>
      <c r="C112" s="833">
        <f>C113</f>
        <v>3267.2000000000003</v>
      </c>
      <c r="D112" s="834">
        <f t="shared" ref="D112:N112" si="38">D113</f>
        <v>71</v>
      </c>
      <c r="E112" s="834">
        <f t="shared" si="38"/>
        <v>0</v>
      </c>
      <c r="F112" s="834">
        <f t="shared" si="38"/>
        <v>0</v>
      </c>
      <c r="G112" s="834">
        <f t="shared" si="38"/>
        <v>0</v>
      </c>
      <c r="H112" s="834">
        <f t="shared" si="38"/>
        <v>2</v>
      </c>
      <c r="I112" s="834">
        <f t="shared" si="38"/>
        <v>2</v>
      </c>
      <c r="J112" s="835">
        <f t="shared" si="38"/>
        <v>0</v>
      </c>
      <c r="K112" s="835">
        <f t="shared" si="38"/>
        <v>0</v>
      </c>
      <c r="L112" s="835">
        <f t="shared" si="38"/>
        <v>0</v>
      </c>
      <c r="M112" s="835">
        <f t="shared" si="38"/>
        <v>4218095</v>
      </c>
      <c r="N112" s="835">
        <f t="shared" si="38"/>
        <v>4218095</v>
      </c>
      <c r="P112" s="25"/>
    </row>
    <row r="113" spans="1:16" s="3" customFormat="1" ht="26.4">
      <c r="A113" s="831">
        <v>7</v>
      </c>
      <c r="B113" s="832" t="s">
        <v>95</v>
      </c>
      <c r="C113" s="833">
        <f>'часть 1'!H826</f>
        <v>3267.2000000000003</v>
      </c>
      <c r="D113" s="834">
        <f>'часть 1'!K826</f>
        <v>71</v>
      </c>
      <c r="E113" s="531">
        <v>0</v>
      </c>
      <c r="F113" s="531">
        <v>0</v>
      </c>
      <c r="G113" s="531">
        <v>0</v>
      </c>
      <c r="H113" s="836">
        <v>2</v>
      </c>
      <c r="I113" s="531">
        <f t="shared" si="36"/>
        <v>2</v>
      </c>
      <c r="J113" s="835">
        <v>0</v>
      </c>
      <c r="K113" s="835">
        <v>0</v>
      </c>
      <c r="L113" s="835">
        <v>0</v>
      </c>
      <c r="M113" s="835">
        <f>'часть 1'!L826</f>
        <v>4218095</v>
      </c>
      <c r="N113" s="835">
        <f>M113</f>
        <v>4218095</v>
      </c>
      <c r="P113" s="25"/>
    </row>
    <row r="114" spans="1:16">
      <c r="A114" s="394"/>
      <c r="B114" s="248" t="s">
        <v>41</v>
      </c>
      <c r="C114" s="249">
        <f>C115</f>
        <v>4403.5</v>
      </c>
      <c r="D114" s="249">
        <f t="shared" ref="D114:N114" si="39">D115</f>
        <v>191</v>
      </c>
      <c r="E114" s="249">
        <f t="shared" si="39"/>
        <v>0</v>
      </c>
      <c r="F114" s="249">
        <f t="shared" si="39"/>
        <v>0</v>
      </c>
      <c r="G114" s="249">
        <f t="shared" si="39"/>
        <v>0</v>
      </c>
      <c r="H114" s="249">
        <f t="shared" si="39"/>
        <v>5</v>
      </c>
      <c r="I114" s="249">
        <f t="shared" si="39"/>
        <v>5</v>
      </c>
      <c r="J114" s="249">
        <f t="shared" si="39"/>
        <v>0</v>
      </c>
      <c r="K114" s="249">
        <f t="shared" si="39"/>
        <v>0</v>
      </c>
      <c r="L114" s="249">
        <f t="shared" si="39"/>
        <v>0</v>
      </c>
      <c r="M114" s="249">
        <f t="shared" si="39"/>
        <v>9289441</v>
      </c>
      <c r="N114" s="249">
        <f t="shared" si="39"/>
        <v>9289441</v>
      </c>
      <c r="P114" s="25"/>
    </row>
    <row r="115" spans="1:16" ht="26.4">
      <c r="A115" s="535">
        <v>8</v>
      </c>
      <c r="B115" s="528" t="s">
        <v>96</v>
      </c>
      <c r="C115" s="529">
        <f>'часть 1'!H835</f>
        <v>4403.5</v>
      </c>
      <c r="D115" s="530">
        <f>'часть 1'!K835</f>
        <v>191</v>
      </c>
      <c r="E115" s="531">
        <v>0</v>
      </c>
      <c r="F115" s="531">
        <v>0</v>
      </c>
      <c r="G115" s="531">
        <v>0</v>
      </c>
      <c r="H115" s="531">
        <v>5</v>
      </c>
      <c r="I115" s="531">
        <f t="shared" si="36"/>
        <v>5</v>
      </c>
      <c r="J115" s="532">
        <v>0</v>
      </c>
      <c r="K115" s="532">
        <v>0</v>
      </c>
      <c r="L115" s="532">
        <v>0</v>
      </c>
      <c r="M115" s="532">
        <f>'часть 1'!L835</f>
        <v>9289441</v>
      </c>
      <c r="N115" s="532">
        <f>M115</f>
        <v>9289441</v>
      </c>
      <c r="P115" s="25"/>
    </row>
    <row r="116" spans="1:16">
      <c r="A116" s="394"/>
      <c r="B116" s="248" t="s">
        <v>68</v>
      </c>
      <c r="C116" s="249">
        <f>C117</f>
        <v>285.2</v>
      </c>
      <c r="D116" s="250">
        <f t="shared" ref="D116:N116" si="40">D117</f>
        <v>13</v>
      </c>
      <c r="E116" s="252">
        <f t="shared" si="40"/>
        <v>0</v>
      </c>
      <c r="F116" s="252">
        <f t="shared" si="40"/>
        <v>0</v>
      </c>
      <c r="G116" s="252">
        <f t="shared" si="40"/>
        <v>0</v>
      </c>
      <c r="H116" s="252" t="e">
        <f>'часть 2'!#REF!</f>
        <v>#REF!</v>
      </c>
      <c r="I116" s="252" t="e">
        <f t="shared" si="36"/>
        <v>#REF!</v>
      </c>
      <c r="J116" s="251">
        <f t="shared" si="40"/>
        <v>0</v>
      </c>
      <c r="K116" s="251">
        <f t="shared" si="40"/>
        <v>0</v>
      </c>
      <c r="L116" s="251">
        <f t="shared" si="40"/>
        <v>0</v>
      </c>
      <c r="M116" s="251">
        <f>'часть 1'!L368</f>
        <v>1551693</v>
      </c>
      <c r="N116" s="251">
        <f t="shared" si="40"/>
        <v>443001</v>
      </c>
      <c r="P116" s="25"/>
    </row>
    <row r="117" spans="1:16" ht="26.4">
      <c r="A117" s="535">
        <v>9</v>
      </c>
      <c r="B117" s="528" t="s">
        <v>97</v>
      </c>
      <c r="C117" s="529">
        <f>'часть 1'!H843</f>
        <v>285.2</v>
      </c>
      <c r="D117" s="530">
        <f>'часть 1'!K843</f>
        <v>13</v>
      </c>
      <c r="E117" s="531">
        <v>0</v>
      </c>
      <c r="F117" s="531">
        <v>0</v>
      </c>
      <c r="G117" s="531">
        <v>0</v>
      </c>
      <c r="H117" s="531">
        <v>1</v>
      </c>
      <c r="I117" s="531">
        <f t="shared" si="36"/>
        <v>1</v>
      </c>
      <c r="J117" s="532">
        <v>0</v>
      </c>
      <c r="K117" s="532">
        <v>0</v>
      </c>
      <c r="L117" s="532">
        <v>0</v>
      </c>
      <c r="M117" s="532">
        <f>'часть 1'!L842</f>
        <v>443001</v>
      </c>
      <c r="N117" s="532">
        <f>M117</f>
        <v>443001</v>
      </c>
      <c r="P117" s="25"/>
    </row>
    <row r="118" spans="1:16" s="19" customFormat="1">
      <c r="A118" s="255"/>
      <c r="B118" s="255" t="s">
        <v>43</v>
      </c>
      <c r="C118" s="249">
        <f>C119+C120</f>
        <v>105310.90000000001</v>
      </c>
      <c r="D118" s="256">
        <f>D119+D120</f>
        <v>3133</v>
      </c>
      <c r="E118" s="252">
        <f>E119+E120</f>
        <v>0</v>
      </c>
      <c r="F118" s="252">
        <f t="shared" ref="F118:H118" si="41">F119+F120</f>
        <v>0</v>
      </c>
      <c r="G118" s="252">
        <f t="shared" si="41"/>
        <v>0</v>
      </c>
      <c r="H118" s="252" t="e">
        <f t="shared" si="41"/>
        <v>#REF!</v>
      </c>
      <c r="I118" s="252" t="e">
        <f t="shared" si="36"/>
        <v>#REF!</v>
      </c>
      <c r="J118" s="251">
        <f>J119+J120</f>
        <v>0</v>
      </c>
      <c r="K118" s="251">
        <f t="shared" ref="K118:N118" si="42">K119+K120</f>
        <v>0</v>
      </c>
      <c r="L118" s="251">
        <f t="shared" si="42"/>
        <v>0</v>
      </c>
      <c r="M118" s="251">
        <f t="shared" si="42"/>
        <v>58030999.920000002</v>
      </c>
      <c r="N118" s="251">
        <f t="shared" si="42"/>
        <v>58030999.920000002</v>
      </c>
      <c r="O118" s="84"/>
      <c r="P118" s="25"/>
    </row>
    <row r="119" spans="1:16" s="19" customFormat="1" ht="26.4">
      <c r="A119" s="394">
        <v>10</v>
      </c>
      <c r="B119" s="253" t="s">
        <v>125</v>
      </c>
      <c r="C119" s="249">
        <f>'часть 1'!H372</f>
        <v>3129.1</v>
      </c>
      <c r="D119" s="250">
        <f>'часть 1'!K372</f>
        <v>113</v>
      </c>
      <c r="E119" s="252">
        <v>0</v>
      </c>
      <c r="F119" s="252">
        <v>0</v>
      </c>
      <c r="G119" s="252">
        <v>0</v>
      </c>
      <c r="H119" s="252" t="e">
        <f>'часть 2'!#REF!</f>
        <v>#REF!</v>
      </c>
      <c r="I119" s="252" t="e">
        <f t="shared" si="36"/>
        <v>#REF!</v>
      </c>
      <c r="J119" s="251">
        <v>0</v>
      </c>
      <c r="K119" s="251">
        <v>0</v>
      </c>
      <c r="L119" s="251">
        <v>0</v>
      </c>
      <c r="M119" s="251">
        <f>'часть 1'!L372</f>
        <v>2178044</v>
      </c>
      <c r="N119" s="251">
        <f>M119</f>
        <v>2178044</v>
      </c>
      <c r="P119" s="25"/>
    </row>
    <row r="120" spans="1:16" s="19" customFormat="1" ht="26.4">
      <c r="A120" s="394">
        <v>11</v>
      </c>
      <c r="B120" s="253" t="s">
        <v>210</v>
      </c>
      <c r="C120" s="249">
        <f>'часть 1'!H384</f>
        <v>102181.8</v>
      </c>
      <c r="D120" s="250">
        <f>'часть 1'!K384</f>
        <v>3020</v>
      </c>
      <c r="E120" s="252">
        <v>0</v>
      </c>
      <c r="F120" s="252">
        <v>0</v>
      </c>
      <c r="G120" s="252">
        <v>0</v>
      </c>
      <c r="H120" s="252">
        <v>2</v>
      </c>
      <c r="I120" s="252">
        <f t="shared" si="36"/>
        <v>2</v>
      </c>
      <c r="J120" s="251">
        <v>0</v>
      </c>
      <c r="K120" s="251">
        <v>0</v>
      </c>
      <c r="L120" s="251">
        <v>0</v>
      </c>
      <c r="M120" s="251">
        <f>'часть 1'!L384</f>
        <v>55852955.920000002</v>
      </c>
      <c r="N120" s="251">
        <f>M120</f>
        <v>55852955.920000002</v>
      </c>
      <c r="P120" s="25"/>
    </row>
    <row r="121" spans="1:16">
      <c r="A121" s="394"/>
      <c r="B121" s="255" t="s">
        <v>44</v>
      </c>
      <c r="C121" s="249">
        <f>C122</f>
        <v>520.9</v>
      </c>
      <c r="D121" s="250">
        <f t="shared" ref="D121:N121" si="43">D122</f>
        <v>25</v>
      </c>
      <c r="E121" s="252">
        <f t="shared" si="43"/>
        <v>0</v>
      </c>
      <c r="F121" s="252">
        <f t="shared" si="43"/>
        <v>0</v>
      </c>
      <c r="G121" s="252">
        <f t="shared" si="43"/>
        <v>0</v>
      </c>
      <c r="H121" s="252">
        <f t="shared" si="43"/>
        <v>1</v>
      </c>
      <c r="I121" s="252">
        <f t="shared" si="36"/>
        <v>1</v>
      </c>
      <c r="J121" s="251">
        <f t="shared" si="43"/>
        <v>0</v>
      </c>
      <c r="K121" s="251">
        <f t="shared" si="43"/>
        <v>0</v>
      </c>
      <c r="L121" s="251">
        <f t="shared" si="43"/>
        <v>0</v>
      </c>
      <c r="M121" s="251">
        <f>'часть 1'!L387</f>
        <v>3894862</v>
      </c>
      <c r="N121" s="251">
        <f t="shared" si="43"/>
        <v>922687</v>
      </c>
      <c r="P121" s="25"/>
    </row>
    <row r="122" spans="1:16" s="18" customFormat="1" ht="26.4">
      <c r="A122" s="535">
        <f>A120+1</f>
        <v>12</v>
      </c>
      <c r="B122" s="534" t="s">
        <v>435</v>
      </c>
      <c r="C122" s="529">
        <f>'часть 1'!H864</f>
        <v>520.9</v>
      </c>
      <c r="D122" s="530">
        <f>'часть 1'!K864</f>
        <v>25</v>
      </c>
      <c r="E122" s="531">
        <v>0</v>
      </c>
      <c r="F122" s="531">
        <v>0</v>
      </c>
      <c r="G122" s="531">
        <v>0</v>
      </c>
      <c r="H122" s="531">
        <v>1</v>
      </c>
      <c r="I122" s="531">
        <f t="shared" si="36"/>
        <v>1</v>
      </c>
      <c r="J122" s="532">
        <v>0</v>
      </c>
      <c r="K122" s="532">
        <v>0</v>
      </c>
      <c r="L122" s="532">
        <v>0</v>
      </c>
      <c r="M122" s="532">
        <f>'часть 1'!L865</f>
        <v>922687</v>
      </c>
      <c r="N122" s="532">
        <f>M122</f>
        <v>922687</v>
      </c>
      <c r="P122" s="25"/>
    </row>
    <row r="123" spans="1:16">
      <c r="A123" s="394"/>
      <c r="B123" s="255" t="s">
        <v>45</v>
      </c>
      <c r="C123" s="249">
        <f>C124+C125+C126+C127+C128+C129</f>
        <v>7577.5</v>
      </c>
      <c r="D123" s="249">
        <f t="shared" ref="D123:N123" si="44">D124+D125+D126+D127+D128+D129</f>
        <v>291</v>
      </c>
      <c r="E123" s="249">
        <f t="shared" si="44"/>
        <v>0</v>
      </c>
      <c r="F123" s="249">
        <f t="shared" si="44"/>
        <v>0</v>
      </c>
      <c r="G123" s="249">
        <f t="shared" si="44"/>
        <v>1</v>
      </c>
      <c r="H123" s="249">
        <f t="shared" si="44"/>
        <v>6</v>
      </c>
      <c r="I123" s="249">
        <f t="shared" si="44"/>
        <v>7</v>
      </c>
      <c r="J123" s="249">
        <f t="shared" si="44"/>
        <v>0</v>
      </c>
      <c r="K123" s="249">
        <f t="shared" si="44"/>
        <v>0</v>
      </c>
      <c r="L123" s="249">
        <f t="shared" si="44"/>
        <v>1646792</v>
      </c>
      <c r="M123" s="249">
        <f t="shared" si="44"/>
        <v>6930539</v>
      </c>
      <c r="N123" s="249">
        <f t="shared" si="44"/>
        <v>8577331</v>
      </c>
      <c r="O123" s="25"/>
      <c r="P123" s="25"/>
    </row>
    <row r="124" spans="1:16" ht="26.4">
      <c r="A124" s="535">
        <f>A122+1</f>
        <v>13</v>
      </c>
      <c r="B124" s="594" t="s">
        <v>98</v>
      </c>
      <c r="C124" s="529">
        <f>'часть 1'!H868</f>
        <v>1910.1999999999998</v>
      </c>
      <c r="D124" s="530">
        <f>'часть 1'!K868</f>
        <v>85</v>
      </c>
      <c r="E124" s="531">
        <v>0</v>
      </c>
      <c r="F124" s="531">
        <v>0</v>
      </c>
      <c r="G124" s="531">
        <v>0</v>
      </c>
      <c r="H124" s="531">
        <v>3</v>
      </c>
      <c r="I124" s="531">
        <f t="shared" si="36"/>
        <v>3</v>
      </c>
      <c r="J124" s="532">
        <v>0</v>
      </c>
      <c r="K124" s="532">
        <v>0</v>
      </c>
      <c r="L124" s="532">
        <v>0</v>
      </c>
      <c r="M124" s="532">
        <f>'часть 1'!L868</f>
        <v>3345596</v>
      </c>
      <c r="N124" s="532">
        <f>M124</f>
        <v>3345596</v>
      </c>
      <c r="P124" s="25"/>
    </row>
    <row r="125" spans="1:16" ht="26.4">
      <c r="A125" s="535"/>
      <c r="B125" s="594" t="s">
        <v>688</v>
      </c>
      <c r="C125" s="529">
        <f>'часть 1'!H873</f>
        <v>484.1</v>
      </c>
      <c r="D125" s="530">
        <f>'часть 1'!K873</f>
        <v>31</v>
      </c>
      <c r="E125" s="531">
        <v>0</v>
      </c>
      <c r="F125" s="531">
        <v>0</v>
      </c>
      <c r="G125" s="531">
        <v>0</v>
      </c>
      <c r="H125" s="531">
        <v>1</v>
      </c>
      <c r="I125" s="531">
        <v>1</v>
      </c>
      <c r="J125" s="532">
        <v>0</v>
      </c>
      <c r="K125" s="532">
        <v>0</v>
      </c>
      <c r="L125" s="532">
        <v>0</v>
      </c>
      <c r="M125" s="532">
        <v>908962</v>
      </c>
      <c r="N125" s="532">
        <f>M125+L125+K125+J125</f>
        <v>908962</v>
      </c>
      <c r="P125" s="25"/>
    </row>
    <row r="126" spans="1:16" ht="26.4">
      <c r="A126" s="535"/>
      <c r="B126" s="534" t="s">
        <v>99</v>
      </c>
      <c r="C126" s="498">
        <f>'часть 1'!H874</f>
        <v>386.6</v>
      </c>
      <c r="D126" s="503">
        <f>'часть 1'!K874</f>
        <v>19</v>
      </c>
      <c r="E126" s="531">
        <v>0</v>
      </c>
      <c r="F126" s="531">
        <v>0</v>
      </c>
      <c r="G126" s="531">
        <v>0</v>
      </c>
      <c r="H126" s="502">
        <v>1</v>
      </c>
      <c r="I126" s="531">
        <f t="shared" si="36"/>
        <v>1</v>
      </c>
      <c r="J126" s="532">
        <v>0</v>
      </c>
      <c r="K126" s="532">
        <v>0</v>
      </c>
      <c r="L126" s="532">
        <v>0</v>
      </c>
      <c r="M126" s="532">
        <f>'часть 1'!L874</f>
        <v>655569</v>
      </c>
      <c r="N126" s="532">
        <f>M126</f>
        <v>655569</v>
      </c>
      <c r="P126" s="25"/>
    </row>
    <row r="127" spans="1:16" ht="26.4">
      <c r="A127" s="535">
        <f>A126+1</f>
        <v>1</v>
      </c>
      <c r="B127" s="534" t="s">
        <v>100</v>
      </c>
      <c r="C127" s="529">
        <f>'часть 1'!H877</f>
        <v>3324.5</v>
      </c>
      <c r="D127" s="530">
        <f>'часть 1'!K877</f>
        <v>127</v>
      </c>
      <c r="E127" s="531">
        <v>0</v>
      </c>
      <c r="F127" s="531">
        <v>0</v>
      </c>
      <c r="G127" s="531">
        <v>0</v>
      </c>
      <c r="H127" s="531">
        <v>1</v>
      </c>
      <c r="I127" s="531">
        <f t="shared" si="36"/>
        <v>1</v>
      </c>
      <c r="J127" s="532">
        <v>0</v>
      </c>
      <c r="K127" s="532">
        <v>0</v>
      </c>
      <c r="L127" s="532">
        <v>0</v>
      </c>
      <c r="M127" s="532">
        <f>'часть 1'!L877</f>
        <v>2020412</v>
      </c>
      <c r="N127" s="532">
        <f>M127</f>
        <v>2020412</v>
      </c>
      <c r="P127" s="25"/>
    </row>
    <row r="128" spans="1:16" ht="26.4">
      <c r="A128" s="535">
        <f>A127+1</f>
        <v>2</v>
      </c>
      <c r="B128" s="534" t="s">
        <v>101</v>
      </c>
      <c r="C128" s="529">
        <f>'часть 1'!H878</f>
        <v>1472.1</v>
      </c>
      <c r="D128" s="530">
        <f>'часть 1'!K878</f>
        <v>29</v>
      </c>
      <c r="E128" s="531">
        <v>0</v>
      </c>
      <c r="F128" s="531">
        <v>0</v>
      </c>
      <c r="G128" s="531">
        <v>1</v>
      </c>
      <c r="H128" s="531">
        <v>0</v>
      </c>
      <c r="I128" s="531">
        <f t="shared" si="36"/>
        <v>1</v>
      </c>
      <c r="J128" s="532">
        <v>0</v>
      </c>
      <c r="K128" s="532">
        <v>0</v>
      </c>
      <c r="L128" s="532">
        <f>'часть 1'!L878</f>
        <v>1646792</v>
      </c>
      <c r="M128" s="532">
        <v>0</v>
      </c>
      <c r="N128" s="532">
        <f>M128+L128+K128+J128</f>
        <v>1646792</v>
      </c>
      <c r="P128" s="25"/>
    </row>
    <row r="129" spans="1:16" ht="28.5" customHeight="1">
      <c r="A129" s="536">
        <f>A128+1</f>
        <v>3</v>
      </c>
      <c r="B129" s="534" t="s">
        <v>586</v>
      </c>
      <c r="C129" s="529">
        <v>0</v>
      </c>
      <c r="D129" s="530">
        <v>0</v>
      </c>
      <c r="E129" s="531">
        <v>0</v>
      </c>
      <c r="F129" s="531">
        <v>0</v>
      </c>
      <c r="G129" s="531">
        <v>0</v>
      </c>
      <c r="H129" s="531">
        <v>0</v>
      </c>
      <c r="I129" s="531">
        <f t="shared" si="36"/>
        <v>0</v>
      </c>
      <c r="J129" s="532">
        <v>0</v>
      </c>
      <c r="K129" s="532">
        <v>0</v>
      </c>
      <c r="L129" s="532">
        <v>0</v>
      </c>
      <c r="M129" s="532">
        <v>0</v>
      </c>
      <c r="N129" s="532">
        <f>M129</f>
        <v>0</v>
      </c>
      <c r="P129" s="25"/>
    </row>
    <row r="130" spans="1:16">
      <c r="A130" s="394"/>
      <c r="B130" s="255" t="s">
        <v>46</v>
      </c>
      <c r="C130" s="249">
        <f>C131</f>
        <v>459.1</v>
      </c>
      <c r="D130" s="249">
        <f t="shared" ref="D130:N130" si="45">D131</f>
        <v>18</v>
      </c>
      <c r="E130" s="249">
        <f t="shared" si="45"/>
        <v>0</v>
      </c>
      <c r="F130" s="249">
        <f t="shared" si="45"/>
        <v>0</v>
      </c>
      <c r="G130" s="249">
        <f t="shared" si="45"/>
        <v>0</v>
      </c>
      <c r="H130" s="249">
        <f t="shared" si="45"/>
        <v>1</v>
      </c>
      <c r="I130" s="249">
        <f t="shared" si="45"/>
        <v>1</v>
      </c>
      <c r="J130" s="251">
        <f t="shared" si="45"/>
        <v>0</v>
      </c>
      <c r="K130" s="251">
        <f t="shared" si="45"/>
        <v>0</v>
      </c>
      <c r="L130" s="251">
        <f t="shared" si="45"/>
        <v>0</v>
      </c>
      <c r="M130" s="251">
        <f t="shared" si="45"/>
        <v>674133</v>
      </c>
      <c r="N130" s="251">
        <f t="shared" si="45"/>
        <v>674133</v>
      </c>
      <c r="O130" s="25"/>
      <c r="P130" s="25"/>
    </row>
    <row r="131" spans="1:16" ht="26.4">
      <c r="A131" s="535">
        <f>A129+1</f>
        <v>4</v>
      </c>
      <c r="B131" s="534" t="s">
        <v>587</v>
      </c>
      <c r="C131" s="529">
        <v>459.1</v>
      </c>
      <c r="D131" s="530">
        <v>18</v>
      </c>
      <c r="E131" s="531">
        <v>0</v>
      </c>
      <c r="F131" s="531">
        <v>0</v>
      </c>
      <c r="G131" s="531">
        <v>0</v>
      </c>
      <c r="H131" s="531">
        <v>1</v>
      </c>
      <c r="I131" s="531">
        <f t="shared" si="36"/>
        <v>1</v>
      </c>
      <c r="J131" s="532">
        <v>0</v>
      </c>
      <c r="K131" s="532">
        <v>0</v>
      </c>
      <c r="L131" s="532">
        <v>0</v>
      </c>
      <c r="M131" s="532">
        <v>674133</v>
      </c>
      <c r="N131" s="532">
        <f>M131</f>
        <v>674133</v>
      </c>
      <c r="P131" s="25"/>
    </row>
    <row r="132" spans="1:16">
      <c r="A132" s="394"/>
      <c r="B132" s="255" t="s">
        <v>47</v>
      </c>
      <c r="C132" s="249">
        <f>C133</f>
        <v>597</v>
      </c>
      <c r="D132" s="249">
        <f t="shared" ref="D132:N132" si="46">D133</f>
        <v>22</v>
      </c>
      <c r="E132" s="249">
        <f t="shared" si="46"/>
        <v>0</v>
      </c>
      <c r="F132" s="249">
        <f t="shared" si="46"/>
        <v>0</v>
      </c>
      <c r="G132" s="249">
        <f t="shared" si="46"/>
        <v>0</v>
      </c>
      <c r="H132" s="249">
        <f t="shared" si="46"/>
        <v>1</v>
      </c>
      <c r="I132" s="249">
        <f t="shared" si="46"/>
        <v>1</v>
      </c>
      <c r="J132" s="251">
        <f t="shared" si="46"/>
        <v>0</v>
      </c>
      <c r="K132" s="251">
        <f t="shared" si="46"/>
        <v>0</v>
      </c>
      <c r="L132" s="251">
        <f t="shared" si="46"/>
        <v>0</v>
      </c>
      <c r="M132" s="251">
        <f t="shared" si="46"/>
        <v>1786109</v>
      </c>
      <c r="N132" s="251">
        <f t="shared" si="46"/>
        <v>1786109</v>
      </c>
      <c r="O132" s="25"/>
      <c r="P132" s="25"/>
    </row>
    <row r="133" spans="1:16" ht="26.4">
      <c r="A133" s="536">
        <f>A131+1</f>
        <v>5</v>
      </c>
      <c r="B133" s="534" t="s">
        <v>103</v>
      </c>
      <c r="C133" s="529">
        <f>'часть 1'!H887</f>
        <v>597</v>
      </c>
      <c r="D133" s="530">
        <f>'часть 1'!K887</f>
        <v>22</v>
      </c>
      <c r="E133" s="531">
        <v>0</v>
      </c>
      <c r="F133" s="531">
        <v>0</v>
      </c>
      <c r="G133" s="531">
        <v>0</v>
      </c>
      <c r="H133" s="531">
        <v>1</v>
      </c>
      <c r="I133" s="531">
        <f t="shared" si="36"/>
        <v>1</v>
      </c>
      <c r="J133" s="532">
        <v>0</v>
      </c>
      <c r="K133" s="532">
        <v>0</v>
      </c>
      <c r="L133" s="532">
        <v>0</v>
      </c>
      <c r="M133" s="532">
        <f>'часть 1'!L887</f>
        <v>1786109</v>
      </c>
      <c r="N133" s="532">
        <f>M133</f>
        <v>1786109</v>
      </c>
      <c r="P133" s="25"/>
    </row>
    <row r="134" spans="1:16" s="9" customFormat="1">
      <c r="A134" s="394"/>
      <c r="B134" s="255" t="s">
        <v>48</v>
      </c>
      <c r="C134" s="249">
        <f>'часть 1'!H424</f>
        <v>1983</v>
      </c>
      <c r="D134" s="250">
        <f>'часть 1'!K424</f>
        <v>80</v>
      </c>
      <c r="E134" s="252">
        <f t="shared" ref="E134:G134" si="47">E135+E136</f>
        <v>0</v>
      </c>
      <c r="F134" s="252">
        <f t="shared" si="47"/>
        <v>0</v>
      </c>
      <c r="G134" s="252">
        <f t="shared" si="47"/>
        <v>0</v>
      </c>
      <c r="H134" s="252" t="e">
        <f>H135+H136</f>
        <v>#REF!</v>
      </c>
      <c r="I134" s="252" t="e">
        <f t="shared" si="36"/>
        <v>#REF!</v>
      </c>
      <c r="J134" s="251">
        <f t="shared" ref="J134:N134" si="48">J135+J136</f>
        <v>0</v>
      </c>
      <c r="K134" s="251">
        <f t="shared" si="48"/>
        <v>0</v>
      </c>
      <c r="L134" s="251">
        <f t="shared" si="48"/>
        <v>0</v>
      </c>
      <c r="M134" s="251">
        <f t="shared" si="48"/>
        <v>5112634</v>
      </c>
      <c r="N134" s="251">
        <f t="shared" si="48"/>
        <v>5112634</v>
      </c>
      <c r="O134" s="39"/>
      <c r="P134" s="25"/>
    </row>
    <row r="135" spans="1:16" ht="26.4">
      <c r="A135" s="536">
        <f>A133+1</f>
        <v>6</v>
      </c>
      <c r="B135" s="534" t="s">
        <v>107</v>
      </c>
      <c r="C135" s="529">
        <f>'часть 1'!H890</f>
        <v>1330.3000000000002</v>
      </c>
      <c r="D135" s="530">
        <f>'часть 1'!K890</f>
        <v>72</v>
      </c>
      <c r="E135" s="531">
        <v>0</v>
      </c>
      <c r="F135" s="531">
        <v>0</v>
      </c>
      <c r="G135" s="531">
        <v>0</v>
      </c>
      <c r="H135" s="531">
        <v>2</v>
      </c>
      <c r="I135" s="531">
        <f t="shared" si="36"/>
        <v>2</v>
      </c>
      <c r="J135" s="532">
        <v>0</v>
      </c>
      <c r="K135" s="532">
        <v>0</v>
      </c>
      <c r="L135" s="532">
        <v>0</v>
      </c>
      <c r="M135" s="532">
        <f>'часть 1'!L890</f>
        <v>2303204</v>
      </c>
      <c r="N135" s="532">
        <f t="shared" ref="N135:N136" si="49">M135</f>
        <v>2303204</v>
      </c>
      <c r="P135" s="25"/>
    </row>
    <row r="136" spans="1:16" ht="27" customHeight="1">
      <c r="A136" s="236">
        <f>A135+1</f>
        <v>7</v>
      </c>
      <c r="B136" s="253" t="s">
        <v>104</v>
      </c>
      <c r="C136" s="249">
        <f>'часть 1'!H429</f>
        <v>912.1</v>
      </c>
      <c r="D136" s="250">
        <f>'часть 1'!K429</f>
        <v>39</v>
      </c>
      <c r="E136" s="252">
        <v>0</v>
      </c>
      <c r="F136" s="252">
        <v>0</v>
      </c>
      <c r="G136" s="252">
        <v>0</v>
      </c>
      <c r="H136" s="252" t="e">
        <f>'часть 2'!#REF!</f>
        <v>#REF!</v>
      </c>
      <c r="I136" s="252" t="e">
        <f t="shared" si="36"/>
        <v>#REF!</v>
      </c>
      <c r="J136" s="251">
        <v>0</v>
      </c>
      <c r="K136" s="251">
        <v>0</v>
      </c>
      <c r="L136" s="251">
        <v>0</v>
      </c>
      <c r="M136" s="251">
        <f>'часть 1'!L429</f>
        <v>2809430</v>
      </c>
      <c r="N136" s="251">
        <f t="shared" si="49"/>
        <v>2809430</v>
      </c>
      <c r="P136" s="25"/>
    </row>
    <row r="137" spans="1:16">
      <c r="A137" s="236"/>
      <c r="B137" s="255" t="s">
        <v>49</v>
      </c>
      <c r="C137" s="249">
        <f>'часть 1'!H431</f>
        <v>542.5</v>
      </c>
      <c r="D137" s="250">
        <f>'часть 1'!K431</f>
        <v>16</v>
      </c>
      <c r="E137" s="252">
        <f t="shared" ref="E137:K137" si="50">E138</f>
        <v>0</v>
      </c>
      <c r="F137" s="252">
        <f t="shared" si="50"/>
        <v>0</v>
      </c>
      <c r="G137" s="252">
        <f>G138+G139+G140+G141</f>
        <v>1</v>
      </c>
      <c r="H137" s="252">
        <f>H138+H139+H140+H141</f>
        <v>2</v>
      </c>
      <c r="I137" s="252">
        <f t="shared" si="36"/>
        <v>3</v>
      </c>
      <c r="J137" s="251">
        <f t="shared" si="50"/>
        <v>0</v>
      </c>
      <c r="K137" s="251">
        <f t="shared" si="50"/>
        <v>0</v>
      </c>
      <c r="L137" s="251">
        <f>L139</f>
        <v>6762929</v>
      </c>
      <c r="M137" s="251">
        <f>SUM(M138:M141)</f>
        <v>3562516</v>
      </c>
      <c r="N137" s="251">
        <f>SUM(N138:N141)</f>
        <v>12131344.800000001</v>
      </c>
      <c r="O137" s="25"/>
      <c r="P137" s="25"/>
    </row>
    <row r="138" spans="1:16" ht="26.4">
      <c r="A138" s="536">
        <f>A136+1</f>
        <v>8</v>
      </c>
      <c r="B138" s="534" t="s">
        <v>588</v>
      </c>
      <c r="C138" s="529">
        <f>'часть 1'!H898</f>
        <v>722</v>
      </c>
      <c r="D138" s="530">
        <f>'часть 1'!K898</f>
        <v>39</v>
      </c>
      <c r="E138" s="531">
        <v>0</v>
      </c>
      <c r="F138" s="531">
        <v>0</v>
      </c>
      <c r="G138" s="531">
        <v>0</v>
      </c>
      <c r="H138" s="531">
        <v>1</v>
      </c>
      <c r="I138" s="531">
        <f t="shared" si="36"/>
        <v>1</v>
      </c>
      <c r="J138" s="532">
        <v>0</v>
      </c>
      <c r="K138" s="532">
        <v>0</v>
      </c>
      <c r="L138" s="532">
        <v>0</v>
      </c>
      <c r="M138" s="532">
        <v>1753559</v>
      </c>
      <c r="N138" s="532">
        <f t="shared" ref="N138" si="51">M138</f>
        <v>1753559</v>
      </c>
      <c r="P138" s="25"/>
    </row>
    <row r="139" spans="1:16" ht="26.4">
      <c r="A139" s="236">
        <f>A138+1</f>
        <v>9</v>
      </c>
      <c r="B139" s="253" t="s">
        <v>188</v>
      </c>
      <c r="C139" s="249">
        <f>'часть 1'!H435</f>
        <v>4140.7</v>
      </c>
      <c r="D139" s="250">
        <f>'часть 1'!K435</f>
        <v>125</v>
      </c>
      <c r="E139" s="252">
        <v>0</v>
      </c>
      <c r="F139" s="252">
        <v>0</v>
      </c>
      <c r="G139" s="252">
        <v>0</v>
      </c>
      <c r="H139" s="252">
        <v>0</v>
      </c>
      <c r="I139" s="252">
        <f t="shared" si="36"/>
        <v>0</v>
      </c>
      <c r="J139" s="251">
        <v>0</v>
      </c>
      <c r="K139" s="251">
        <v>0</v>
      </c>
      <c r="L139" s="251">
        <f>'часть 1'!L435</f>
        <v>6762929</v>
      </c>
      <c r="M139" s="251">
        <v>0</v>
      </c>
      <c r="N139" s="251">
        <f>L139</f>
        <v>6762929</v>
      </c>
      <c r="P139" s="25"/>
    </row>
    <row r="140" spans="1:16" ht="26.4">
      <c r="A140" s="236">
        <f>A139+1</f>
        <v>10</v>
      </c>
      <c r="B140" s="253" t="s">
        <v>189</v>
      </c>
      <c r="C140" s="249">
        <f>'часть 1'!H438</f>
        <v>522.5</v>
      </c>
      <c r="D140" s="250">
        <f>'часть 1'!K438</f>
        <v>21</v>
      </c>
      <c r="E140" s="252">
        <v>0</v>
      </c>
      <c r="F140" s="252">
        <v>0</v>
      </c>
      <c r="G140" s="252">
        <v>0</v>
      </c>
      <c r="H140" s="252">
        <v>1</v>
      </c>
      <c r="I140" s="252">
        <f t="shared" si="36"/>
        <v>1</v>
      </c>
      <c r="J140" s="251">
        <v>0</v>
      </c>
      <c r="K140" s="251">
        <v>0</v>
      </c>
      <c r="L140" s="251">
        <v>0</v>
      </c>
      <c r="M140" s="251">
        <f>'часть 1'!L438</f>
        <v>1808957</v>
      </c>
      <c r="N140" s="251">
        <f>M140</f>
        <v>1808957</v>
      </c>
      <c r="P140" s="25"/>
    </row>
    <row r="141" spans="1:16" ht="26.4">
      <c r="A141" s="236">
        <f>A140+1</f>
        <v>11</v>
      </c>
      <c r="B141" s="253" t="s">
        <v>589</v>
      </c>
      <c r="C141" s="249">
        <f>'часть 1'!H906</f>
        <v>748.5</v>
      </c>
      <c r="D141" s="250">
        <f>'часть 1'!K906</f>
        <v>38</v>
      </c>
      <c r="E141" s="252">
        <v>0</v>
      </c>
      <c r="F141" s="252">
        <v>0</v>
      </c>
      <c r="G141" s="252">
        <v>1</v>
      </c>
      <c r="H141" s="252">
        <v>0</v>
      </c>
      <c r="I141" s="252">
        <f t="shared" si="36"/>
        <v>1</v>
      </c>
      <c r="J141" s="251">
        <v>0</v>
      </c>
      <c r="K141" s="251">
        <v>0</v>
      </c>
      <c r="L141" s="251">
        <v>1805899.8</v>
      </c>
      <c r="M141" s="251">
        <v>0</v>
      </c>
      <c r="N141" s="251">
        <v>1805899.8</v>
      </c>
      <c r="P141" s="25"/>
    </row>
    <row r="142" spans="1:16">
      <c r="A142" s="236"/>
      <c r="B142" s="255" t="s">
        <v>50</v>
      </c>
      <c r="C142" s="249">
        <f>C143</f>
        <v>10972.3</v>
      </c>
      <c r="D142" s="250">
        <f t="shared" ref="D142:N142" si="52">D143</f>
        <v>402</v>
      </c>
      <c r="E142" s="252">
        <f t="shared" si="52"/>
        <v>0</v>
      </c>
      <c r="F142" s="252">
        <f t="shared" si="52"/>
        <v>0</v>
      </c>
      <c r="G142" s="252">
        <f t="shared" si="52"/>
        <v>0</v>
      </c>
      <c r="H142" s="252">
        <f t="shared" si="52"/>
        <v>6</v>
      </c>
      <c r="I142" s="252">
        <f t="shared" si="36"/>
        <v>6</v>
      </c>
      <c r="J142" s="251">
        <f t="shared" si="52"/>
        <v>0</v>
      </c>
      <c r="K142" s="251">
        <f t="shared" si="52"/>
        <v>0</v>
      </c>
      <c r="L142" s="251">
        <f t="shared" si="52"/>
        <v>0</v>
      </c>
      <c r="M142" s="251">
        <f t="shared" si="52"/>
        <v>13535827</v>
      </c>
      <c r="N142" s="251">
        <f t="shared" si="52"/>
        <v>13535827</v>
      </c>
      <c r="O142" s="25"/>
      <c r="P142" s="25"/>
    </row>
    <row r="143" spans="1:16" ht="26.4">
      <c r="A143" s="236">
        <f>A141+1</f>
        <v>12</v>
      </c>
      <c r="B143" s="253" t="s">
        <v>106</v>
      </c>
      <c r="C143" s="249">
        <f>'часть 1'!H909</f>
        <v>10972.3</v>
      </c>
      <c r="D143" s="250">
        <f>'часть 1'!K909</f>
        <v>402</v>
      </c>
      <c r="E143" s="252">
        <v>0</v>
      </c>
      <c r="F143" s="252">
        <v>0</v>
      </c>
      <c r="G143" s="252">
        <v>0</v>
      </c>
      <c r="H143" s="252">
        <v>6</v>
      </c>
      <c r="I143" s="252">
        <f t="shared" si="36"/>
        <v>6</v>
      </c>
      <c r="J143" s="251">
        <v>0</v>
      </c>
      <c r="K143" s="251">
        <v>0</v>
      </c>
      <c r="L143" s="251">
        <v>0</v>
      </c>
      <c r="M143" s="251">
        <f>'часть 1'!L909</f>
        <v>13535827</v>
      </c>
      <c r="N143" s="251">
        <f>M143</f>
        <v>13535827</v>
      </c>
      <c r="P143" s="25"/>
    </row>
    <row r="144" spans="1:16">
      <c r="A144" s="236"/>
      <c r="B144" s="255" t="s">
        <v>51</v>
      </c>
      <c r="C144" s="249">
        <f>C145</f>
        <v>8644.4000000000015</v>
      </c>
      <c r="D144" s="250">
        <f t="shared" ref="D144:N144" si="53">D145</f>
        <v>283</v>
      </c>
      <c r="E144" s="252">
        <f t="shared" si="53"/>
        <v>0</v>
      </c>
      <c r="F144" s="252">
        <f t="shared" si="53"/>
        <v>0</v>
      </c>
      <c r="G144" s="252">
        <f t="shared" si="53"/>
        <v>0</v>
      </c>
      <c r="H144" s="252">
        <f t="shared" si="53"/>
        <v>8</v>
      </c>
      <c r="I144" s="252">
        <f t="shared" si="36"/>
        <v>8</v>
      </c>
      <c r="J144" s="251">
        <f t="shared" si="53"/>
        <v>0</v>
      </c>
      <c r="K144" s="251">
        <f t="shared" si="53"/>
        <v>0</v>
      </c>
      <c r="L144" s="251">
        <f t="shared" si="53"/>
        <v>0</v>
      </c>
      <c r="M144" s="251">
        <f t="shared" si="53"/>
        <v>11085155</v>
      </c>
      <c r="N144" s="251">
        <f t="shared" si="53"/>
        <v>11085155</v>
      </c>
      <c r="O144" s="25"/>
      <c r="P144" s="25"/>
    </row>
    <row r="145" spans="1:16" ht="26.4">
      <c r="A145" s="236">
        <f>A143+1</f>
        <v>13</v>
      </c>
      <c r="B145" s="253" t="s">
        <v>108</v>
      </c>
      <c r="C145" s="249">
        <f>'часть 1'!H917</f>
        <v>8644.4000000000015</v>
      </c>
      <c r="D145" s="250">
        <f>'часть 1'!K917</f>
        <v>283</v>
      </c>
      <c r="E145" s="252">
        <v>0</v>
      </c>
      <c r="F145" s="252">
        <v>0</v>
      </c>
      <c r="G145" s="252">
        <v>0</v>
      </c>
      <c r="H145" s="252">
        <v>8</v>
      </c>
      <c r="I145" s="252">
        <f t="shared" si="36"/>
        <v>8</v>
      </c>
      <c r="J145" s="251">
        <v>0</v>
      </c>
      <c r="K145" s="251">
        <v>0</v>
      </c>
      <c r="L145" s="251">
        <v>0</v>
      </c>
      <c r="M145" s="251">
        <f>'часть 1'!L917</f>
        <v>11085155</v>
      </c>
      <c r="N145" s="251">
        <f>M145</f>
        <v>11085155</v>
      </c>
      <c r="P145" s="25"/>
    </row>
    <row r="146" spans="1:16" ht="26.4">
      <c r="A146" s="536"/>
      <c r="B146" s="534" t="s">
        <v>882</v>
      </c>
      <c r="C146" s="529">
        <f>'часть 1'!H926</f>
        <v>1005.2</v>
      </c>
      <c r="D146" s="530">
        <f>'часть 1'!K926</f>
        <v>37</v>
      </c>
      <c r="E146" s="531">
        <v>0</v>
      </c>
      <c r="F146" s="531">
        <v>0</v>
      </c>
      <c r="G146" s="531">
        <v>1</v>
      </c>
      <c r="H146" s="531">
        <v>1</v>
      </c>
      <c r="I146" s="531">
        <v>2</v>
      </c>
      <c r="J146" s="532">
        <v>0</v>
      </c>
      <c r="K146" s="532">
        <v>0</v>
      </c>
      <c r="L146" s="532">
        <v>781716</v>
      </c>
      <c r="M146" s="532">
        <v>247569</v>
      </c>
      <c r="N146" s="532">
        <f>M146+L146+K146+J146</f>
        <v>1029285</v>
      </c>
      <c r="P146" s="25"/>
    </row>
    <row r="147" spans="1:16">
      <c r="A147" s="236"/>
      <c r="B147" s="255" t="s">
        <v>52</v>
      </c>
      <c r="C147" s="249">
        <f>C149+C148+C150</f>
        <v>6236.2000000000007</v>
      </c>
      <c r="D147" s="250">
        <f>D149+D148+D150</f>
        <v>209</v>
      </c>
      <c r="E147" s="252">
        <f>E149+E148</f>
        <v>0</v>
      </c>
      <c r="F147" s="252">
        <f t="shared" ref="F147:G147" si="54">F149+F148</f>
        <v>0</v>
      </c>
      <c r="G147" s="252">
        <f t="shared" si="54"/>
        <v>1</v>
      </c>
      <c r="H147" s="252">
        <f>H149+H148+H150</f>
        <v>2</v>
      </c>
      <c r="I147" s="252">
        <f t="shared" si="36"/>
        <v>3</v>
      </c>
      <c r="J147" s="251">
        <f t="shared" ref="J147:L147" si="55">J149</f>
        <v>0</v>
      </c>
      <c r="K147" s="251">
        <f t="shared" si="55"/>
        <v>0</v>
      </c>
      <c r="L147" s="251">
        <f t="shared" si="55"/>
        <v>0</v>
      </c>
      <c r="M147" s="251">
        <f>M149+M148+M150</f>
        <v>1313974</v>
      </c>
      <c r="N147" s="251">
        <f>M147</f>
        <v>1313974</v>
      </c>
      <c r="O147" s="25"/>
      <c r="P147" s="25"/>
    </row>
    <row r="148" spans="1:16" ht="26.4">
      <c r="A148" s="536">
        <f>A145+1</f>
        <v>14</v>
      </c>
      <c r="B148" s="534" t="s">
        <v>130</v>
      </c>
      <c r="C148" s="529">
        <v>704.6</v>
      </c>
      <c r="D148" s="530">
        <v>24</v>
      </c>
      <c r="E148" s="531">
        <v>0</v>
      </c>
      <c r="F148" s="531">
        <v>0</v>
      </c>
      <c r="G148" s="531">
        <v>1</v>
      </c>
      <c r="H148" s="531">
        <v>0</v>
      </c>
      <c r="I148" s="531">
        <v>1</v>
      </c>
      <c r="J148" s="532">
        <v>0</v>
      </c>
      <c r="K148" s="532">
        <v>0</v>
      </c>
      <c r="L148" s="532">
        <v>1851309</v>
      </c>
      <c r="M148" s="532">
        <v>0</v>
      </c>
      <c r="N148" s="532">
        <v>1851309</v>
      </c>
      <c r="O148" s="25"/>
      <c r="P148" s="25"/>
    </row>
    <row r="149" spans="1:16" ht="26.4">
      <c r="A149" s="236">
        <f>A148+1</f>
        <v>15</v>
      </c>
      <c r="B149" s="253" t="s">
        <v>109</v>
      </c>
      <c r="C149" s="249">
        <f>'часть 1'!H470</f>
        <v>4625.8</v>
      </c>
      <c r="D149" s="250">
        <f>'часть 1'!K470</f>
        <v>154</v>
      </c>
      <c r="E149" s="252">
        <v>0</v>
      </c>
      <c r="F149" s="252">
        <v>0</v>
      </c>
      <c r="G149" s="252">
        <v>0</v>
      </c>
      <c r="H149" s="252">
        <v>1</v>
      </c>
      <c r="I149" s="252">
        <f t="shared" si="36"/>
        <v>1</v>
      </c>
      <c r="J149" s="251">
        <v>0</v>
      </c>
      <c r="K149" s="251">
        <v>0</v>
      </c>
      <c r="L149" s="251">
        <v>0</v>
      </c>
      <c r="M149" s="251">
        <v>201010</v>
      </c>
      <c r="N149" s="251">
        <f>M149</f>
        <v>201010</v>
      </c>
      <c r="P149" s="25"/>
    </row>
    <row r="150" spans="1:16" ht="26.4">
      <c r="A150" s="236">
        <f>A149+1</f>
        <v>16</v>
      </c>
      <c r="B150" s="253" t="s">
        <v>198</v>
      </c>
      <c r="C150" s="249">
        <f>'часть 1'!H472</f>
        <v>905.8</v>
      </c>
      <c r="D150" s="250">
        <f>'часть 1'!K472</f>
        <v>31</v>
      </c>
      <c r="E150" s="252">
        <v>0</v>
      </c>
      <c r="F150" s="252">
        <v>0</v>
      </c>
      <c r="G150" s="252">
        <v>0</v>
      </c>
      <c r="H150" s="252">
        <v>1</v>
      </c>
      <c r="I150" s="252">
        <f t="shared" si="36"/>
        <v>1</v>
      </c>
      <c r="J150" s="251">
        <v>0</v>
      </c>
      <c r="K150" s="251">
        <v>0</v>
      </c>
      <c r="L150" s="251">
        <v>0</v>
      </c>
      <c r="M150" s="251">
        <f>'часть 1'!L472</f>
        <v>1112964</v>
      </c>
      <c r="N150" s="251">
        <f>M150</f>
        <v>1112964</v>
      </c>
      <c r="P150" s="25"/>
    </row>
    <row r="151" spans="1:16">
      <c r="A151" s="236"/>
      <c r="B151" s="255" t="s">
        <v>53</v>
      </c>
      <c r="C151" s="249">
        <f>'часть 1'!H477+'часть 1'!H594</f>
        <v>508.92</v>
      </c>
      <c r="D151" s="250">
        <f>'часть 1'!K477+'часть 1'!K594</f>
        <v>16</v>
      </c>
      <c r="E151" s="252">
        <f>E154+E157+E158+E152</f>
        <v>0</v>
      </c>
      <c r="F151" s="252">
        <f>F154+F157+F158+F152</f>
        <v>0</v>
      </c>
      <c r="G151" s="252">
        <f>G154+G157+G158+G152</f>
        <v>0</v>
      </c>
      <c r="H151" s="252">
        <f>H154+H157+H155+H158+H152+H153+H159</f>
        <v>16</v>
      </c>
      <c r="I151" s="252">
        <f t="shared" si="36"/>
        <v>16</v>
      </c>
      <c r="J151" s="251">
        <f>J154+J157+J158+J152</f>
        <v>0</v>
      </c>
      <c r="K151" s="251">
        <f>K154+K157+K158+K152</f>
        <v>0</v>
      </c>
      <c r="L151" s="251">
        <f>L154+L157+L158+L152</f>
        <v>0</v>
      </c>
      <c r="M151" s="251">
        <f>M154+M157+M155+M158+M152+M153+M159</f>
        <v>48749036</v>
      </c>
      <c r="N151" s="251">
        <f t="shared" ref="N151:N152" si="56">M151</f>
        <v>48749036</v>
      </c>
      <c r="O151" s="25"/>
      <c r="P151" s="25"/>
    </row>
    <row r="152" spans="1:16" ht="26.25" customHeight="1">
      <c r="A152" s="536">
        <f>A150+1</f>
        <v>17</v>
      </c>
      <c r="B152" s="534" t="s">
        <v>88</v>
      </c>
      <c r="C152" s="529">
        <f>'часть 1'!H938</f>
        <v>44029.100000000006</v>
      </c>
      <c r="D152" s="530">
        <f>'часть 1'!K938</f>
        <v>1255</v>
      </c>
      <c r="E152" s="531">
        <v>0</v>
      </c>
      <c r="F152" s="531">
        <v>0</v>
      </c>
      <c r="G152" s="531">
        <v>0</v>
      </c>
      <c r="H152" s="531">
        <v>6</v>
      </c>
      <c r="I152" s="531">
        <f t="shared" si="36"/>
        <v>6</v>
      </c>
      <c r="J152" s="532">
        <v>0</v>
      </c>
      <c r="K152" s="532">
        <v>0</v>
      </c>
      <c r="L152" s="532">
        <v>0</v>
      </c>
      <c r="M152" s="532">
        <f>'часть 1'!L938</f>
        <v>29383642</v>
      </c>
      <c r="N152" s="532">
        <f t="shared" si="56"/>
        <v>29383642</v>
      </c>
      <c r="P152" s="25"/>
    </row>
    <row r="153" spans="1:16" ht="26.25" customHeight="1">
      <c r="A153" s="536">
        <f t="shared" ref="A153:A159" si="57">A152+1</f>
        <v>18</v>
      </c>
      <c r="B153" s="534" t="s">
        <v>132</v>
      </c>
      <c r="C153" s="529">
        <f>'часть 1'!H945</f>
        <v>781</v>
      </c>
      <c r="D153" s="530">
        <f>'часть 1'!K945</f>
        <v>22</v>
      </c>
      <c r="E153" s="531">
        <v>0</v>
      </c>
      <c r="F153" s="531">
        <v>0</v>
      </c>
      <c r="G153" s="531">
        <v>0</v>
      </c>
      <c r="H153" s="531">
        <v>1</v>
      </c>
      <c r="I153" s="531">
        <f t="shared" si="36"/>
        <v>1</v>
      </c>
      <c r="J153" s="532">
        <v>0</v>
      </c>
      <c r="K153" s="532">
        <v>0</v>
      </c>
      <c r="L153" s="532">
        <v>0</v>
      </c>
      <c r="M153" s="532">
        <f>'часть 1'!L945</f>
        <v>1107622</v>
      </c>
      <c r="N153" s="532">
        <f>M153</f>
        <v>1107622</v>
      </c>
      <c r="P153" s="25"/>
    </row>
    <row r="154" spans="1:16" ht="26.25" customHeight="1">
      <c r="A154" s="536">
        <f t="shared" si="57"/>
        <v>19</v>
      </c>
      <c r="B154" s="534" t="s">
        <v>110</v>
      </c>
      <c r="C154" s="529">
        <f>'часть 1'!H948</f>
        <v>894.6</v>
      </c>
      <c r="D154" s="530">
        <f>'часть 1'!K948</f>
        <v>57</v>
      </c>
      <c r="E154" s="531">
        <v>0</v>
      </c>
      <c r="F154" s="531">
        <v>0</v>
      </c>
      <c r="G154" s="531">
        <v>0</v>
      </c>
      <c r="H154" s="531">
        <v>1</v>
      </c>
      <c r="I154" s="531">
        <f t="shared" si="36"/>
        <v>1</v>
      </c>
      <c r="J154" s="532">
        <v>0</v>
      </c>
      <c r="K154" s="532">
        <v>0</v>
      </c>
      <c r="L154" s="532">
        <v>0</v>
      </c>
      <c r="M154" s="532">
        <v>2348226</v>
      </c>
      <c r="N154" s="532">
        <f t="shared" ref="N154:N159" si="58">M154</f>
        <v>2348226</v>
      </c>
      <c r="P154" s="25"/>
    </row>
    <row r="155" spans="1:16" ht="26.25" customHeight="1">
      <c r="A155" s="536">
        <f t="shared" si="57"/>
        <v>20</v>
      </c>
      <c r="B155" s="534" t="s">
        <v>128</v>
      </c>
      <c r="C155" s="529">
        <f>'часть 1'!H949</f>
        <v>11540.800000000001</v>
      </c>
      <c r="D155" s="530">
        <f>'часть 1'!K949</f>
        <v>394</v>
      </c>
      <c r="E155" s="531">
        <v>0</v>
      </c>
      <c r="F155" s="531">
        <v>0</v>
      </c>
      <c r="G155" s="531">
        <v>0</v>
      </c>
      <c r="H155" s="531">
        <v>4</v>
      </c>
      <c r="I155" s="531">
        <f t="shared" si="36"/>
        <v>4</v>
      </c>
      <c r="J155" s="532">
        <v>0</v>
      </c>
      <c r="K155" s="532">
        <v>0</v>
      </c>
      <c r="L155" s="532">
        <v>0</v>
      </c>
      <c r="M155" s="532">
        <f>'часть 1'!L949</f>
        <v>9209860</v>
      </c>
      <c r="N155" s="532">
        <f t="shared" si="58"/>
        <v>9209860</v>
      </c>
      <c r="P155" s="25"/>
    </row>
    <row r="156" spans="1:16" ht="26.25" customHeight="1">
      <c r="A156" s="536"/>
      <c r="B156" s="534" t="s">
        <v>668</v>
      </c>
      <c r="C156" s="529">
        <v>687.8</v>
      </c>
      <c r="D156" s="530">
        <v>23</v>
      </c>
      <c r="E156" s="531">
        <v>0</v>
      </c>
      <c r="F156" s="531">
        <v>0</v>
      </c>
      <c r="G156" s="531">
        <v>0</v>
      </c>
      <c r="H156" s="531">
        <v>1</v>
      </c>
      <c r="I156" s="531">
        <f t="shared" si="36"/>
        <v>1</v>
      </c>
      <c r="J156" s="532">
        <v>0</v>
      </c>
      <c r="K156" s="532">
        <v>0</v>
      </c>
      <c r="L156" s="532">
        <v>0</v>
      </c>
      <c r="M156" s="532">
        <v>1720569</v>
      </c>
      <c r="N156" s="532">
        <v>1720569</v>
      </c>
      <c r="P156" s="25"/>
    </row>
    <row r="157" spans="1:16" ht="26.4">
      <c r="A157" s="236">
        <f>A155+1</f>
        <v>21</v>
      </c>
      <c r="B157" s="253" t="s">
        <v>994</v>
      </c>
      <c r="C157" s="249">
        <f>'часть 1'!H958</f>
        <v>932.40000000000009</v>
      </c>
      <c r="D157" s="250">
        <f>'часть 1'!K958</f>
        <v>55</v>
      </c>
      <c r="E157" s="252">
        <v>0</v>
      </c>
      <c r="F157" s="252">
        <v>0</v>
      </c>
      <c r="G157" s="252">
        <v>0</v>
      </c>
      <c r="H157" s="252">
        <v>2</v>
      </c>
      <c r="I157" s="252">
        <f t="shared" si="36"/>
        <v>2</v>
      </c>
      <c r="J157" s="251">
        <v>0</v>
      </c>
      <c r="K157" s="251">
        <v>0</v>
      </c>
      <c r="L157" s="251">
        <v>0</v>
      </c>
      <c r="M157" s="251">
        <f>'часть 1'!L958</f>
        <v>580386</v>
      </c>
      <c r="N157" s="251">
        <f t="shared" si="58"/>
        <v>580386</v>
      </c>
      <c r="P157" s="25"/>
    </row>
    <row r="158" spans="1:16" ht="27.75" customHeight="1">
      <c r="A158" s="236">
        <f t="shared" si="57"/>
        <v>22</v>
      </c>
      <c r="B158" s="253" t="s">
        <v>111</v>
      </c>
      <c r="C158" s="249">
        <f>'часть 1'!H506</f>
        <v>13232.03</v>
      </c>
      <c r="D158" s="250">
        <f>'часть 1'!K506</f>
        <v>487</v>
      </c>
      <c r="E158" s="252">
        <v>0</v>
      </c>
      <c r="F158" s="252">
        <v>0</v>
      </c>
      <c r="G158" s="252">
        <v>0</v>
      </c>
      <c r="H158" s="252">
        <v>1</v>
      </c>
      <c r="I158" s="252">
        <f t="shared" si="36"/>
        <v>1</v>
      </c>
      <c r="J158" s="251">
        <v>0</v>
      </c>
      <c r="K158" s="251">
        <v>0</v>
      </c>
      <c r="L158" s="251">
        <v>0</v>
      </c>
      <c r="M158" s="251">
        <f>'часть 1'!L506</f>
        <v>4688365</v>
      </c>
      <c r="N158" s="251">
        <f t="shared" si="58"/>
        <v>4688365</v>
      </c>
      <c r="P158" s="25"/>
    </row>
    <row r="159" spans="1:16" ht="27.75" customHeight="1">
      <c r="A159" s="536">
        <f t="shared" si="57"/>
        <v>23</v>
      </c>
      <c r="B159" s="534" t="s">
        <v>129</v>
      </c>
      <c r="C159" s="529">
        <f>'часть 1'!H963</f>
        <v>1028</v>
      </c>
      <c r="D159" s="530">
        <f>'часть 1'!K963</f>
        <v>47</v>
      </c>
      <c r="E159" s="531">
        <v>0</v>
      </c>
      <c r="F159" s="531">
        <v>0</v>
      </c>
      <c r="G159" s="531">
        <v>0</v>
      </c>
      <c r="H159" s="531">
        <v>1</v>
      </c>
      <c r="I159" s="531">
        <f t="shared" si="36"/>
        <v>1</v>
      </c>
      <c r="J159" s="532">
        <v>0</v>
      </c>
      <c r="K159" s="532">
        <v>0</v>
      </c>
      <c r="L159" s="532">
        <v>0</v>
      </c>
      <c r="M159" s="532">
        <f>'часть 1'!L963</f>
        <v>1430935</v>
      </c>
      <c r="N159" s="532">
        <f t="shared" si="58"/>
        <v>1430935</v>
      </c>
      <c r="P159" s="25"/>
    </row>
    <row r="160" spans="1:16">
      <c r="A160" s="236"/>
      <c r="B160" s="255" t="s">
        <v>54</v>
      </c>
      <c r="C160" s="249">
        <f>C161</f>
        <v>0</v>
      </c>
      <c r="D160" s="250">
        <f t="shared" ref="D160:N160" si="59">D161</f>
        <v>0</v>
      </c>
      <c r="E160" s="252">
        <f t="shared" si="59"/>
        <v>0</v>
      </c>
      <c r="F160" s="252">
        <f t="shared" si="59"/>
        <v>0</v>
      </c>
      <c r="G160" s="252">
        <f t="shared" si="59"/>
        <v>0</v>
      </c>
      <c r="H160" s="252" t="e">
        <f t="shared" si="59"/>
        <v>#REF!</v>
      </c>
      <c r="I160" s="252" t="e">
        <f t="shared" si="36"/>
        <v>#REF!</v>
      </c>
      <c r="J160" s="251">
        <f t="shared" si="59"/>
        <v>0</v>
      </c>
      <c r="K160" s="251">
        <f t="shared" si="59"/>
        <v>0</v>
      </c>
      <c r="L160" s="251">
        <f t="shared" si="59"/>
        <v>0</v>
      </c>
      <c r="M160" s="251">
        <f t="shared" si="59"/>
        <v>0</v>
      </c>
      <c r="N160" s="251">
        <f t="shared" si="59"/>
        <v>0</v>
      </c>
      <c r="O160" s="25"/>
      <c r="P160" s="25"/>
    </row>
    <row r="161" spans="1:16" ht="26.4">
      <c r="A161" s="236">
        <f>A159+1</f>
        <v>24</v>
      </c>
      <c r="B161" s="253" t="s">
        <v>112</v>
      </c>
      <c r="C161" s="249">
        <f>'часть 1'!H514</f>
        <v>0</v>
      </c>
      <c r="D161" s="250">
        <f>'часть 1'!K514</f>
        <v>0</v>
      </c>
      <c r="E161" s="252">
        <v>0</v>
      </c>
      <c r="F161" s="252">
        <v>0</v>
      </c>
      <c r="G161" s="252">
        <v>0</v>
      </c>
      <c r="H161" s="252" t="e">
        <f>'часть 2'!#REF!</f>
        <v>#REF!</v>
      </c>
      <c r="I161" s="252" t="e">
        <f t="shared" si="36"/>
        <v>#REF!</v>
      </c>
      <c r="J161" s="251">
        <v>0</v>
      </c>
      <c r="K161" s="251">
        <v>0</v>
      </c>
      <c r="L161" s="251">
        <v>0</v>
      </c>
      <c r="M161" s="251">
        <f>'часть 1'!L514</f>
        <v>0</v>
      </c>
      <c r="N161" s="251">
        <f>M161</f>
        <v>0</v>
      </c>
      <c r="P161" s="25"/>
    </row>
    <row r="162" spans="1:16">
      <c r="A162" s="236"/>
      <c r="B162" s="255" t="s">
        <v>55</v>
      </c>
      <c r="C162" s="249">
        <f>C163</f>
        <v>561.4</v>
      </c>
      <c r="D162" s="249">
        <f t="shared" ref="D162:N162" si="60">D163</f>
        <v>19</v>
      </c>
      <c r="E162" s="249">
        <f t="shared" si="60"/>
        <v>0</v>
      </c>
      <c r="F162" s="249">
        <f t="shared" si="60"/>
        <v>0</v>
      </c>
      <c r="G162" s="249">
        <f t="shared" si="60"/>
        <v>1</v>
      </c>
      <c r="H162" s="249">
        <f t="shared" si="60"/>
        <v>0</v>
      </c>
      <c r="I162" s="249">
        <f t="shared" si="60"/>
        <v>1</v>
      </c>
      <c r="J162" s="251">
        <f t="shared" si="60"/>
        <v>0</v>
      </c>
      <c r="K162" s="251">
        <f t="shared" si="60"/>
        <v>0</v>
      </c>
      <c r="L162" s="251">
        <f t="shared" si="60"/>
        <v>1739787</v>
      </c>
      <c r="M162" s="251">
        <f t="shared" si="60"/>
        <v>0</v>
      </c>
      <c r="N162" s="251">
        <f t="shared" si="60"/>
        <v>1739787</v>
      </c>
      <c r="O162" s="25"/>
      <c r="P162" s="25"/>
    </row>
    <row r="163" spans="1:16" ht="26.4">
      <c r="A163" s="536">
        <v>38</v>
      </c>
      <c r="B163" s="534" t="s">
        <v>590</v>
      </c>
      <c r="C163" s="529">
        <v>561.4</v>
      </c>
      <c r="D163" s="530">
        <v>19</v>
      </c>
      <c r="E163" s="531">
        <v>0</v>
      </c>
      <c r="F163" s="531">
        <v>0</v>
      </c>
      <c r="G163" s="531">
        <v>1</v>
      </c>
      <c r="H163" s="531">
        <v>0</v>
      </c>
      <c r="I163" s="531">
        <f t="shared" si="36"/>
        <v>1</v>
      </c>
      <c r="J163" s="532">
        <v>0</v>
      </c>
      <c r="K163" s="532">
        <v>0</v>
      </c>
      <c r="L163" s="532">
        <v>1739787</v>
      </c>
      <c r="M163" s="532">
        <v>0</v>
      </c>
      <c r="N163" s="532">
        <f>M163+L163+K163+J163</f>
        <v>1739787</v>
      </c>
      <c r="P163" s="25"/>
    </row>
    <row r="164" spans="1:16">
      <c r="A164" s="236"/>
      <c r="B164" s="255" t="s">
        <v>56</v>
      </c>
      <c r="C164" s="249">
        <f>'часть 1'!H523</f>
        <v>23801.1</v>
      </c>
      <c r="D164" s="250">
        <f>'часть 1'!K523</f>
        <v>702</v>
      </c>
      <c r="E164" s="252">
        <f t="shared" ref="E164:H164" si="61">E165+E166+E167</f>
        <v>0</v>
      </c>
      <c r="F164" s="252">
        <f t="shared" si="61"/>
        <v>0</v>
      </c>
      <c r="G164" s="252">
        <f t="shared" si="61"/>
        <v>0</v>
      </c>
      <c r="H164" s="252" t="e">
        <f t="shared" si="61"/>
        <v>#REF!</v>
      </c>
      <c r="I164" s="252" t="e">
        <f t="shared" si="36"/>
        <v>#REF!</v>
      </c>
      <c r="J164" s="251">
        <f t="shared" ref="J164:L164" si="62">J165+J166+J167</f>
        <v>0</v>
      </c>
      <c r="K164" s="251">
        <f t="shared" si="62"/>
        <v>0</v>
      </c>
      <c r="L164" s="251">
        <f t="shared" si="62"/>
        <v>0</v>
      </c>
      <c r="M164" s="251">
        <f>M165+M166+M167</f>
        <v>12623452</v>
      </c>
      <c r="N164" s="251">
        <f t="shared" ref="N164" si="63">N165+N166+N167</f>
        <v>12623452</v>
      </c>
      <c r="O164" s="25"/>
      <c r="P164" s="25"/>
    </row>
    <row r="165" spans="1:16" ht="26.4">
      <c r="A165" s="536">
        <v>39</v>
      </c>
      <c r="B165" s="534" t="s">
        <v>424</v>
      </c>
      <c r="C165" s="529">
        <f>'часть 1'!H979</f>
        <v>5703</v>
      </c>
      <c r="D165" s="530">
        <f>'часть 1'!K979</f>
        <v>262</v>
      </c>
      <c r="E165" s="531">
        <v>0</v>
      </c>
      <c r="F165" s="531">
        <v>0</v>
      </c>
      <c r="G165" s="531">
        <v>0</v>
      </c>
      <c r="H165" s="531">
        <v>6</v>
      </c>
      <c r="I165" s="531">
        <f t="shared" si="36"/>
        <v>6</v>
      </c>
      <c r="J165" s="532">
        <v>0</v>
      </c>
      <c r="K165" s="532">
        <v>0</v>
      </c>
      <c r="L165" s="532">
        <v>0</v>
      </c>
      <c r="M165" s="532">
        <f>'часть 1'!L979</f>
        <v>8669678</v>
      </c>
      <c r="N165" s="532">
        <f>M165</f>
        <v>8669678</v>
      </c>
      <c r="P165" s="25"/>
    </row>
    <row r="166" spans="1:16" ht="26.4">
      <c r="A166" s="236">
        <v>40</v>
      </c>
      <c r="B166" s="253" t="s">
        <v>121</v>
      </c>
      <c r="C166" s="249">
        <f>'часть 1'!H986</f>
        <v>1293.3000000000002</v>
      </c>
      <c r="D166" s="250">
        <f>'часть 1'!K986</f>
        <v>57</v>
      </c>
      <c r="E166" s="252">
        <v>0</v>
      </c>
      <c r="F166" s="252">
        <v>0</v>
      </c>
      <c r="G166" s="252">
        <v>0</v>
      </c>
      <c r="H166" s="252">
        <v>3</v>
      </c>
      <c r="I166" s="252">
        <f t="shared" si="36"/>
        <v>3</v>
      </c>
      <c r="J166" s="251">
        <v>0</v>
      </c>
      <c r="K166" s="251">
        <v>0</v>
      </c>
      <c r="L166" s="251">
        <v>0</v>
      </c>
      <c r="M166" s="251">
        <f>'часть 1'!L986</f>
        <v>2114731</v>
      </c>
      <c r="N166" s="251">
        <f>M166</f>
        <v>2114731</v>
      </c>
      <c r="O166" s="25"/>
      <c r="P166" s="25"/>
    </row>
    <row r="167" spans="1:16" ht="26.4">
      <c r="A167" s="236">
        <v>41</v>
      </c>
      <c r="B167" s="253" t="s">
        <v>120</v>
      </c>
      <c r="C167" s="249">
        <f>'часть 1'!H537</f>
        <v>4504.3</v>
      </c>
      <c r="D167" s="250">
        <f>'часть 1'!K537</f>
        <v>203</v>
      </c>
      <c r="E167" s="252">
        <v>0</v>
      </c>
      <c r="F167" s="252">
        <v>0</v>
      </c>
      <c r="G167" s="252">
        <v>0</v>
      </c>
      <c r="H167" s="252" t="e">
        <f>'часть 2'!#REF!</f>
        <v>#REF!</v>
      </c>
      <c r="I167" s="252" t="e">
        <f t="shared" si="36"/>
        <v>#REF!</v>
      </c>
      <c r="J167" s="251">
        <v>0</v>
      </c>
      <c r="K167" s="251">
        <v>0</v>
      </c>
      <c r="L167" s="251">
        <v>0</v>
      </c>
      <c r="M167" s="251">
        <f>'часть 1'!L537</f>
        <v>1839043</v>
      </c>
      <c r="N167" s="251">
        <f>M167</f>
        <v>1839043</v>
      </c>
      <c r="O167" s="25"/>
      <c r="P167" s="25"/>
    </row>
    <row r="168" spans="1:16">
      <c r="A168" s="236"/>
      <c r="B168" s="255" t="s">
        <v>57</v>
      </c>
      <c r="C168" s="249">
        <f>C169</f>
        <v>4519.1000000000004</v>
      </c>
      <c r="D168" s="250">
        <f t="shared" ref="D168:L168" si="64">D169</f>
        <v>141</v>
      </c>
      <c r="E168" s="252">
        <f t="shared" si="64"/>
        <v>0</v>
      </c>
      <c r="F168" s="252">
        <f t="shared" si="64"/>
        <v>0</v>
      </c>
      <c r="G168" s="252">
        <f t="shared" si="64"/>
        <v>0</v>
      </c>
      <c r="H168" s="252">
        <f t="shared" si="64"/>
        <v>2</v>
      </c>
      <c r="I168" s="252">
        <f t="shared" si="36"/>
        <v>2</v>
      </c>
      <c r="J168" s="251">
        <f t="shared" si="64"/>
        <v>0</v>
      </c>
      <c r="K168" s="251">
        <f t="shared" si="64"/>
        <v>0</v>
      </c>
      <c r="L168" s="251">
        <f t="shared" si="64"/>
        <v>0</v>
      </c>
      <c r="M168" s="251">
        <f>M169</f>
        <v>2547865</v>
      </c>
      <c r="N168" s="251">
        <f>N169</f>
        <v>2547865</v>
      </c>
      <c r="P168" s="25"/>
    </row>
    <row r="169" spans="1:16" ht="26.4">
      <c r="A169" s="236">
        <v>42</v>
      </c>
      <c r="B169" s="253" t="s">
        <v>119</v>
      </c>
      <c r="C169" s="249">
        <f>'часть 1'!H993</f>
        <v>4519.1000000000004</v>
      </c>
      <c r="D169" s="250">
        <f>'часть 1'!K993</f>
        <v>141</v>
      </c>
      <c r="E169" s="252">
        <v>0</v>
      </c>
      <c r="F169" s="252">
        <v>0</v>
      </c>
      <c r="G169" s="252">
        <v>0</v>
      </c>
      <c r="H169" s="252">
        <v>2</v>
      </c>
      <c r="I169" s="252">
        <f t="shared" si="36"/>
        <v>2</v>
      </c>
      <c r="J169" s="251">
        <v>0</v>
      </c>
      <c r="K169" s="251">
        <v>0</v>
      </c>
      <c r="L169" s="251">
        <v>0</v>
      </c>
      <c r="M169" s="251">
        <f>'часть 1'!L993</f>
        <v>2547865</v>
      </c>
      <c r="N169" s="251">
        <f>M169</f>
        <v>2547865</v>
      </c>
      <c r="P169" s="25"/>
    </row>
    <row r="170" spans="1:16">
      <c r="A170" s="236"/>
      <c r="B170" s="255" t="s">
        <v>58</v>
      </c>
      <c r="C170" s="249">
        <f>C171</f>
        <v>538.20000000000005</v>
      </c>
      <c r="D170" s="250">
        <f>'часть 1'!K543+'часть 1'!K603</f>
        <v>24</v>
      </c>
      <c r="E170" s="252">
        <f t="shared" ref="E170:N170" si="65">E171</f>
        <v>0</v>
      </c>
      <c r="F170" s="252">
        <f t="shared" si="65"/>
        <v>0</v>
      </c>
      <c r="G170" s="252">
        <f t="shared" si="65"/>
        <v>0</v>
      </c>
      <c r="H170" s="252" t="e">
        <f t="shared" si="65"/>
        <v>#REF!</v>
      </c>
      <c r="I170" s="252" t="e">
        <f t="shared" si="36"/>
        <v>#REF!</v>
      </c>
      <c r="J170" s="251">
        <f t="shared" si="65"/>
        <v>0</v>
      </c>
      <c r="K170" s="251">
        <f t="shared" si="65"/>
        <v>0</v>
      </c>
      <c r="L170" s="251">
        <f t="shared" si="65"/>
        <v>0</v>
      </c>
      <c r="M170" s="251">
        <f t="shared" si="65"/>
        <v>974618</v>
      </c>
      <c r="N170" s="251">
        <f t="shared" si="65"/>
        <v>974618</v>
      </c>
      <c r="P170" s="25"/>
    </row>
    <row r="171" spans="1:16" ht="27.75" customHeight="1">
      <c r="A171" s="236">
        <v>43</v>
      </c>
      <c r="B171" s="253" t="s">
        <v>87</v>
      </c>
      <c r="C171" s="249">
        <f>'часть 1'!H543+'часть 1'!H604</f>
        <v>538.20000000000005</v>
      </c>
      <c r="D171" s="250">
        <f>'часть 1'!K604+'часть 1'!K544</f>
        <v>45</v>
      </c>
      <c r="E171" s="252">
        <v>0</v>
      </c>
      <c r="F171" s="252">
        <v>0</v>
      </c>
      <c r="G171" s="252">
        <v>0</v>
      </c>
      <c r="H171" s="252" t="e">
        <f>'часть 2'!#REF!</f>
        <v>#REF!</v>
      </c>
      <c r="I171" s="252" t="e">
        <f t="shared" si="36"/>
        <v>#REF!</v>
      </c>
      <c r="J171" s="251">
        <v>0</v>
      </c>
      <c r="K171" s="251">
        <v>0</v>
      </c>
      <c r="L171" s="251">
        <v>0</v>
      </c>
      <c r="M171" s="251">
        <f>'часть 2'!C516</f>
        <v>974618</v>
      </c>
      <c r="N171" s="251">
        <f>M171</f>
        <v>974618</v>
      </c>
      <c r="P171" s="25"/>
    </row>
    <row r="172" spans="1:16" ht="30" customHeight="1">
      <c r="A172" s="536"/>
      <c r="B172" s="546" t="s">
        <v>59</v>
      </c>
      <c r="C172" s="529">
        <f>C173+C174</f>
        <v>0</v>
      </c>
      <c r="D172" s="529">
        <f t="shared" ref="D172:N172" si="66">D173+D174</f>
        <v>0</v>
      </c>
      <c r="E172" s="529">
        <f t="shared" si="66"/>
        <v>0</v>
      </c>
      <c r="F172" s="529">
        <f t="shared" si="66"/>
        <v>0</v>
      </c>
      <c r="G172" s="529">
        <f t="shared" si="66"/>
        <v>0</v>
      </c>
      <c r="H172" s="529">
        <f t="shared" si="66"/>
        <v>0</v>
      </c>
      <c r="I172" s="529">
        <f t="shared" si="66"/>
        <v>0</v>
      </c>
      <c r="J172" s="532">
        <f t="shared" si="66"/>
        <v>0</v>
      </c>
      <c r="K172" s="532">
        <f t="shared" si="66"/>
        <v>0</v>
      </c>
      <c r="L172" s="532">
        <f t="shared" si="66"/>
        <v>0</v>
      </c>
      <c r="M172" s="532">
        <f t="shared" si="66"/>
        <v>0</v>
      </c>
      <c r="N172" s="532">
        <f t="shared" si="66"/>
        <v>0</v>
      </c>
      <c r="P172" s="25"/>
    </row>
    <row r="173" spans="1:16" ht="26.4">
      <c r="A173" s="536">
        <v>44</v>
      </c>
      <c r="B173" s="534" t="s">
        <v>86</v>
      </c>
      <c r="C173" s="529">
        <f>'часть 1'!H607</f>
        <v>0</v>
      </c>
      <c r="D173" s="530">
        <f>'часть 1'!K607</f>
        <v>0</v>
      </c>
      <c r="E173" s="531">
        <v>0</v>
      </c>
      <c r="F173" s="531">
        <v>0</v>
      </c>
      <c r="G173" s="531">
        <v>0</v>
      </c>
      <c r="H173" s="531">
        <v>0</v>
      </c>
      <c r="I173" s="531">
        <v>0</v>
      </c>
      <c r="J173" s="532">
        <v>0</v>
      </c>
      <c r="K173" s="532">
        <v>0</v>
      </c>
      <c r="L173" s="532">
        <v>0</v>
      </c>
      <c r="M173" s="532">
        <v>0</v>
      </c>
      <c r="N173" s="532">
        <f>M173</f>
        <v>0</v>
      </c>
      <c r="P173" s="25"/>
    </row>
    <row r="174" spans="1:16" ht="26.4">
      <c r="A174" s="536">
        <v>45</v>
      </c>
      <c r="B174" s="534" t="s">
        <v>85</v>
      </c>
      <c r="C174" s="529">
        <f>'часть 1'!H662</f>
        <v>0</v>
      </c>
      <c r="D174" s="530">
        <f>'часть 1'!K662</f>
        <v>0</v>
      </c>
      <c r="E174" s="531">
        <v>0</v>
      </c>
      <c r="F174" s="531">
        <v>0</v>
      </c>
      <c r="G174" s="531">
        <v>0</v>
      </c>
      <c r="H174" s="531">
        <v>0</v>
      </c>
      <c r="I174" s="531">
        <f t="shared" ref="I174:I180" si="67">H174+G174</f>
        <v>0</v>
      </c>
      <c r="J174" s="532">
        <v>0</v>
      </c>
      <c r="K174" s="532">
        <v>0</v>
      </c>
      <c r="L174" s="532">
        <v>0</v>
      </c>
      <c r="M174" s="532">
        <v>0</v>
      </c>
      <c r="N174" s="532">
        <f>M174</f>
        <v>0</v>
      </c>
      <c r="P174" s="25"/>
    </row>
    <row r="175" spans="1:16">
      <c r="A175" s="236"/>
      <c r="B175" s="255" t="s">
        <v>60</v>
      </c>
      <c r="C175" s="249">
        <f>'часть 1'!H554</f>
        <v>640.4</v>
      </c>
      <c r="D175" s="250">
        <f>'часть 1'!K554</f>
        <v>19</v>
      </c>
      <c r="E175" s="252">
        <f t="shared" ref="E175:N175" si="68">E177</f>
        <v>0</v>
      </c>
      <c r="F175" s="252">
        <f t="shared" si="68"/>
        <v>0</v>
      </c>
      <c r="G175" s="252">
        <f t="shared" si="68"/>
        <v>3</v>
      </c>
      <c r="H175" s="252">
        <f t="shared" si="68"/>
        <v>0</v>
      </c>
      <c r="I175" s="252">
        <f t="shared" si="67"/>
        <v>3</v>
      </c>
      <c r="J175" s="251">
        <f t="shared" si="68"/>
        <v>0</v>
      </c>
      <c r="K175" s="251">
        <f t="shared" si="68"/>
        <v>0</v>
      </c>
      <c r="L175" s="251">
        <f t="shared" si="68"/>
        <v>4886972</v>
      </c>
      <c r="M175" s="251">
        <f t="shared" si="68"/>
        <v>0</v>
      </c>
      <c r="N175" s="251">
        <f t="shared" si="68"/>
        <v>4886972</v>
      </c>
      <c r="P175" s="25"/>
    </row>
    <row r="176" spans="1:16">
      <c r="A176" s="536"/>
      <c r="B176" s="546" t="s">
        <v>208</v>
      </c>
      <c r="C176" s="529">
        <f>'часть 1'!H1013</f>
        <v>274.14</v>
      </c>
      <c r="D176" s="530">
        <f>'часть 1'!K1015</f>
        <v>13</v>
      </c>
      <c r="E176" s="531">
        <v>0</v>
      </c>
      <c r="F176" s="531">
        <v>0</v>
      </c>
      <c r="G176" s="531">
        <v>0</v>
      </c>
      <c r="H176" s="531">
        <v>1</v>
      </c>
      <c r="I176" s="531">
        <f t="shared" si="67"/>
        <v>1</v>
      </c>
      <c r="J176" s="532">
        <v>0</v>
      </c>
      <c r="K176" s="532">
        <v>0</v>
      </c>
      <c r="L176" s="532">
        <v>0</v>
      </c>
      <c r="M176" s="532">
        <v>423156</v>
      </c>
      <c r="N176" s="532">
        <f>M176+L176+K176+J176</f>
        <v>423156</v>
      </c>
      <c r="P176" s="25"/>
    </row>
    <row r="177" spans="1:16">
      <c r="A177" s="536">
        <v>46</v>
      </c>
      <c r="B177" s="534" t="s">
        <v>61</v>
      </c>
      <c r="C177" s="529">
        <v>1469.14</v>
      </c>
      <c r="D177" s="530">
        <v>75</v>
      </c>
      <c r="E177" s="531">
        <v>0</v>
      </c>
      <c r="F177" s="531">
        <v>0</v>
      </c>
      <c r="G177" s="531">
        <v>3</v>
      </c>
      <c r="H177" s="531">
        <v>0</v>
      </c>
      <c r="I177" s="531">
        <f t="shared" si="67"/>
        <v>3</v>
      </c>
      <c r="J177" s="532">
        <v>0</v>
      </c>
      <c r="K177" s="532">
        <v>0</v>
      </c>
      <c r="L177" s="532">
        <v>4886972</v>
      </c>
      <c r="M177" s="532">
        <v>0</v>
      </c>
      <c r="N177" s="532">
        <f>M177+L177+K177+J177</f>
        <v>4886972</v>
      </c>
      <c r="P177" s="25"/>
    </row>
    <row r="178" spans="1:16">
      <c r="A178" s="236"/>
      <c r="B178" s="255" t="s">
        <v>649</v>
      </c>
      <c r="C178" s="249">
        <f>1391.4+1391.4</f>
        <v>2782.8</v>
      </c>
      <c r="D178" s="250">
        <f>39+37</f>
        <v>76</v>
      </c>
      <c r="E178" s="252">
        <v>0</v>
      </c>
      <c r="F178" s="252">
        <v>0</v>
      </c>
      <c r="G178" s="252">
        <v>2</v>
      </c>
      <c r="H178" s="252">
        <v>0</v>
      </c>
      <c r="I178" s="252">
        <v>2</v>
      </c>
      <c r="J178" s="251">
        <v>0</v>
      </c>
      <c r="K178" s="251">
        <v>0</v>
      </c>
      <c r="L178" s="251">
        <f>788836+788836</f>
        <v>1577672</v>
      </c>
      <c r="M178" s="251">
        <v>0</v>
      </c>
      <c r="N178" s="251">
        <f>788836+788836</f>
        <v>1577672</v>
      </c>
      <c r="P178" s="25"/>
    </row>
    <row r="179" spans="1:16">
      <c r="A179" s="536">
        <v>47</v>
      </c>
      <c r="B179" s="534" t="s">
        <v>62</v>
      </c>
      <c r="C179" s="529">
        <f>'часть 1'!H1026</f>
        <v>403.4</v>
      </c>
      <c r="D179" s="530">
        <v>17</v>
      </c>
      <c r="E179" s="531">
        <v>0</v>
      </c>
      <c r="F179" s="531">
        <v>0</v>
      </c>
      <c r="G179" s="531">
        <v>1</v>
      </c>
      <c r="H179" s="531">
        <v>0</v>
      </c>
      <c r="I179" s="531">
        <f t="shared" si="67"/>
        <v>1</v>
      </c>
      <c r="J179" s="532">
        <v>0</v>
      </c>
      <c r="K179" s="532">
        <v>0</v>
      </c>
      <c r="L179" s="532">
        <v>1134905</v>
      </c>
      <c r="M179" s="532">
        <v>0</v>
      </c>
      <c r="N179" s="532">
        <f>M179+L179+K179+J179</f>
        <v>1134905</v>
      </c>
      <c r="P179" s="25"/>
    </row>
    <row r="180" spans="1:16">
      <c r="A180" s="236"/>
      <c r="B180" s="255" t="s">
        <v>211</v>
      </c>
      <c r="C180" s="249">
        <f>'часть 1'!H1038</f>
        <v>1161.3</v>
      </c>
      <c r="D180" s="250">
        <f>'часть 1'!K1038</f>
        <v>32</v>
      </c>
      <c r="E180" s="252">
        <f>E182</f>
        <v>0</v>
      </c>
      <c r="F180" s="252">
        <f>F182</f>
        <v>0</v>
      </c>
      <c r="G180" s="252">
        <f>G182</f>
        <v>0</v>
      </c>
      <c r="H180" s="250">
        <v>2</v>
      </c>
      <c r="I180" s="252">
        <f t="shared" si="67"/>
        <v>2</v>
      </c>
      <c r="J180" s="251">
        <f>J182</f>
        <v>0</v>
      </c>
      <c r="K180" s="251">
        <f>K182</f>
        <v>0</v>
      </c>
      <c r="L180" s="251">
        <f>L182</f>
        <v>0</v>
      </c>
      <c r="M180" s="251">
        <f>'часть 1'!L1038</f>
        <v>3125223</v>
      </c>
      <c r="N180" s="251">
        <f>M180+L180+K180+J180</f>
        <v>3125223</v>
      </c>
      <c r="P180" s="25"/>
    </row>
    <row r="181" spans="1:16">
      <c r="A181" s="536"/>
      <c r="B181" s="546" t="s">
        <v>63</v>
      </c>
      <c r="C181" s="529">
        <f>'часть 1'!H1028</f>
        <v>1388.4</v>
      </c>
      <c r="D181" s="530">
        <f>'часть 1'!K1028</f>
        <v>39</v>
      </c>
      <c r="E181" s="531">
        <v>0</v>
      </c>
      <c r="F181" s="531">
        <v>0</v>
      </c>
      <c r="G181" s="531">
        <v>0</v>
      </c>
      <c r="H181" s="530">
        <v>2</v>
      </c>
      <c r="I181" s="531">
        <v>2</v>
      </c>
      <c r="J181" s="532">
        <v>0</v>
      </c>
      <c r="K181" s="532">
        <v>0</v>
      </c>
      <c r="L181" s="532">
        <v>0</v>
      </c>
      <c r="M181" s="532">
        <v>2751167</v>
      </c>
      <c r="N181" s="532">
        <f>M181+L181+K181+J181</f>
        <v>2751167</v>
      </c>
      <c r="P181" s="25"/>
    </row>
    <row r="182" spans="1:16" ht="20.399999999999999" customHeight="1">
      <c r="A182" s="236"/>
      <c r="B182" s="253" t="s">
        <v>64</v>
      </c>
      <c r="C182" s="249">
        <f>C183</f>
        <v>1981.8</v>
      </c>
      <c r="D182" s="249">
        <f t="shared" ref="D182:N182" si="69">D183</f>
        <v>66</v>
      </c>
      <c r="E182" s="249">
        <f t="shared" si="69"/>
        <v>0</v>
      </c>
      <c r="F182" s="249">
        <f t="shared" si="69"/>
        <v>0</v>
      </c>
      <c r="G182" s="249">
        <f t="shared" si="69"/>
        <v>0</v>
      </c>
      <c r="H182" s="249">
        <f t="shared" si="69"/>
        <v>4</v>
      </c>
      <c r="I182" s="249">
        <f t="shared" si="69"/>
        <v>4</v>
      </c>
      <c r="J182" s="251">
        <f t="shared" si="69"/>
        <v>0</v>
      </c>
      <c r="K182" s="251">
        <f t="shared" si="69"/>
        <v>0</v>
      </c>
      <c r="L182" s="251">
        <f t="shared" si="69"/>
        <v>0</v>
      </c>
      <c r="M182" s="251">
        <f t="shared" si="69"/>
        <v>5819333</v>
      </c>
      <c r="N182" s="251">
        <f t="shared" si="69"/>
        <v>5819333</v>
      </c>
      <c r="P182" s="25"/>
    </row>
    <row r="183" spans="1:16" ht="27" customHeight="1">
      <c r="A183" s="536">
        <v>49</v>
      </c>
      <c r="B183" s="534" t="s">
        <v>115</v>
      </c>
      <c r="C183" s="529">
        <v>1981.8</v>
      </c>
      <c r="D183" s="530">
        <v>66</v>
      </c>
      <c r="E183" s="531">
        <v>0</v>
      </c>
      <c r="F183" s="531">
        <v>0</v>
      </c>
      <c r="G183" s="531">
        <v>0</v>
      </c>
      <c r="H183" s="531">
        <v>4</v>
      </c>
      <c r="I183" s="531">
        <f t="shared" ref="I183:I185" si="70">H183+G183</f>
        <v>4</v>
      </c>
      <c r="J183" s="532">
        <v>0</v>
      </c>
      <c r="K183" s="532">
        <v>0</v>
      </c>
      <c r="L183" s="532">
        <v>0</v>
      </c>
      <c r="M183" s="532">
        <v>5819333</v>
      </c>
      <c r="N183" s="532">
        <f>M183</f>
        <v>5819333</v>
      </c>
      <c r="P183" s="25"/>
    </row>
    <row r="184" spans="1:16">
      <c r="A184" s="236"/>
      <c r="B184" s="255" t="s">
        <v>66</v>
      </c>
      <c r="C184" s="249">
        <f>C185</f>
        <v>1156.8</v>
      </c>
      <c r="D184" s="249">
        <f t="shared" ref="D184:N184" si="71">D185</f>
        <v>44</v>
      </c>
      <c r="E184" s="249">
        <f t="shared" si="71"/>
        <v>0</v>
      </c>
      <c r="F184" s="249">
        <f t="shared" si="71"/>
        <v>0</v>
      </c>
      <c r="G184" s="249">
        <f t="shared" si="71"/>
        <v>0</v>
      </c>
      <c r="H184" s="249">
        <f t="shared" si="71"/>
        <v>1</v>
      </c>
      <c r="I184" s="249">
        <f t="shared" si="71"/>
        <v>1</v>
      </c>
      <c r="J184" s="251">
        <f t="shared" si="71"/>
        <v>0</v>
      </c>
      <c r="K184" s="251">
        <f t="shared" si="71"/>
        <v>0</v>
      </c>
      <c r="L184" s="251">
        <f t="shared" si="71"/>
        <v>0</v>
      </c>
      <c r="M184" s="251">
        <f t="shared" si="71"/>
        <v>2792955</v>
      </c>
      <c r="N184" s="251">
        <f t="shared" si="71"/>
        <v>2792955</v>
      </c>
      <c r="P184" s="25"/>
    </row>
    <row r="185" spans="1:16" ht="26.4">
      <c r="A185" s="536"/>
      <c r="B185" s="534" t="s">
        <v>114</v>
      </c>
      <c r="C185" s="529">
        <v>1156.8</v>
      </c>
      <c r="D185" s="530">
        <v>44</v>
      </c>
      <c r="E185" s="531">
        <v>0</v>
      </c>
      <c r="F185" s="531">
        <v>0</v>
      </c>
      <c r="G185" s="531">
        <v>0</v>
      </c>
      <c r="H185" s="531">
        <v>1</v>
      </c>
      <c r="I185" s="531">
        <f t="shared" si="70"/>
        <v>1</v>
      </c>
      <c r="J185" s="532">
        <v>0</v>
      </c>
      <c r="K185" s="532">
        <v>0</v>
      </c>
      <c r="L185" s="532">
        <v>0</v>
      </c>
      <c r="M185" s="532">
        <v>2792955</v>
      </c>
      <c r="N185" s="532">
        <f t="shared" ref="N185" si="72">M185</f>
        <v>2792955</v>
      </c>
      <c r="P185" s="25"/>
    </row>
    <row r="186" spans="1:16">
      <c r="A186" s="536"/>
      <c r="B186" s="534"/>
      <c r="C186" s="529"/>
      <c r="D186" s="530"/>
      <c r="E186" s="530"/>
      <c r="F186" s="530"/>
      <c r="G186" s="530"/>
      <c r="H186" s="530"/>
      <c r="I186" s="531"/>
      <c r="J186" s="532"/>
      <c r="K186" s="532"/>
      <c r="L186" s="532"/>
      <c r="M186" s="532"/>
      <c r="N186" s="532"/>
      <c r="P186" s="25"/>
    </row>
    <row r="187" spans="1:16">
      <c r="A187" s="394"/>
      <c r="B187" s="258"/>
      <c r="C187" s="249"/>
      <c r="D187" s="250"/>
      <c r="E187" s="252"/>
      <c r="F187" s="252"/>
      <c r="G187" s="252"/>
      <c r="H187" s="252"/>
      <c r="I187" s="252"/>
      <c r="J187" s="251"/>
      <c r="K187" s="251"/>
      <c r="L187" s="251"/>
      <c r="M187" s="251"/>
      <c r="N187" s="251"/>
      <c r="P187" s="25"/>
    </row>
    <row r="188" spans="1:16" ht="27" customHeight="1">
      <c r="A188" s="236"/>
      <c r="B188" s="257"/>
      <c r="C188" s="249"/>
      <c r="D188" s="250"/>
      <c r="E188" s="252"/>
      <c r="F188" s="252"/>
      <c r="G188" s="252"/>
      <c r="H188" s="252"/>
      <c r="I188" s="252"/>
      <c r="J188" s="251"/>
      <c r="K188" s="251"/>
      <c r="L188" s="251"/>
      <c r="M188" s="251"/>
      <c r="N188" s="251"/>
      <c r="P188" s="25"/>
    </row>
    <row r="189" spans="1:16">
      <c r="A189" s="236"/>
      <c r="B189" s="253"/>
      <c r="C189" s="249"/>
      <c r="D189" s="250"/>
      <c r="E189" s="252"/>
      <c r="F189" s="252"/>
      <c r="G189" s="252"/>
      <c r="H189" s="252"/>
      <c r="I189" s="252"/>
      <c r="J189" s="251"/>
      <c r="K189" s="251"/>
      <c r="L189" s="251"/>
      <c r="M189" s="251"/>
      <c r="N189" s="251"/>
      <c r="P189" s="25"/>
    </row>
    <row r="190" spans="1:16" ht="29.25" customHeight="1">
      <c r="A190" s="236">
        <f>A188+1</f>
        <v>1</v>
      </c>
      <c r="B190" s="253" t="s">
        <v>212</v>
      </c>
      <c r="C190" s="249" t="e">
        <f>'часть 1'!#REF!</f>
        <v>#REF!</v>
      </c>
      <c r="D190" s="250" t="e">
        <f>'часть 1'!#REF!</f>
        <v>#REF!</v>
      </c>
      <c r="E190" s="252">
        <v>0</v>
      </c>
      <c r="F190" s="252">
        <v>0</v>
      </c>
      <c r="G190" s="252">
        <v>0</v>
      </c>
      <c r="H190" s="252">
        <v>1</v>
      </c>
      <c r="I190" s="252">
        <f t="shared" ref="I190:I191" si="73">H190+G190</f>
        <v>1</v>
      </c>
      <c r="J190" s="251">
        <v>0</v>
      </c>
      <c r="K190" s="251">
        <v>0</v>
      </c>
      <c r="L190" s="251">
        <v>0</v>
      </c>
      <c r="M190" s="251">
        <f>'часть 2'!C622</f>
        <v>1870046</v>
      </c>
      <c r="N190" s="251">
        <f>M190</f>
        <v>1870046</v>
      </c>
      <c r="P190" s="25"/>
    </row>
    <row r="191" spans="1:16" ht="27" customHeight="1">
      <c r="A191" s="236">
        <v>54</v>
      </c>
      <c r="B191" s="253" t="s">
        <v>213</v>
      </c>
      <c r="C191" s="249" t="e">
        <f>'часть 1'!#REF!</f>
        <v>#REF!</v>
      </c>
      <c r="D191" s="250" t="e">
        <f>'часть 1'!#REF!</f>
        <v>#REF!</v>
      </c>
      <c r="E191" s="252">
        <v>0</v>
      </c>
      <c r="F191" s="252">
        <v>0</v>
      </c>
      <c r="G191" s="252">
        <v>0</v>
      </c>
      <c r="H191" s="252">
        <v>1</v>
      </c>
      <c r="I191" s="252">
        <f t="shared" si="73"/>
        <v>1</v>
      </c>
      <c r="J191" s="251">
        <v>0</v>
      </c>
      <c r="K191" s="251">
        <v>0</v>
      </c>
      <c r="L191" s="251">
        <v>0</v>
      </c>
      <c r="M191" s="251">
        <f>'часть 2'!C624</f>
        <v>3687908</v>
      </c>
      <c r="N191" s="251">
        <f>M191</f>
        <v>3687908</v>
      </c>
      <c r="P191" s="25"/>
    </row>
    <row r="192" spans="1:16">
      <c r="A192" s="236"/>
      <c r="B192" s="255"/>
      <c r="C192" s="249"/>
      <c r="D192" s="250"/>
      <c r="E192" s="252"/>
      <c r="F192" s="252"/>
      <c r="G192" s="252"/>
      <c r="H192" s="252"/>
      <c r="I192" s="252"/>
      <c r="J192" s="251"/>
      <c r="K192" s="251"/>
      <c r="L192" s="251"/>
      <c r="M192" s="251"/>
      <c r="N192" s="251"/>
      <c r="P192" s="25"/>
    </row>
    <row r="193" spans="1:16">
      <c r="A193" s="536"/>
      <c r="B193" s="534"/>
      <c r="C193" s="529"/>
      <c r="D193" s="530"/>
      <c r="E193" s="531"/>
      <c r="F193" s="531"/>
      <c r="G193" s="531"/>
      <c r="H193" s="531"/>
      <c r="I193" s="531"/>
      <c r="J193" s="532"/>
      <c r="K193" s="532"/>
      <c r="L193" s="532"/>
      <c r="M193" s="532"/>
      <c r="N193" s="532"/>
      <c r="P193" s="25"/>
    </row>
    <row r="194" spans="1:16">
      <c r="A194" s="536">
        <v>56</v>
      </c>
      <c r="B194" s="534" t="s">
        <v>207</v>
      </c>
      <c r="C194" s="529">
        <v>53993.47</v>
      </c>
      <c r="D194" s="530">
        <v>1897</v>
      </c>
      <c r="E194" s="530">
        <v>0</v>
      </c>
      <c r="F194" s="530">
        <v>0</v>
      </c>
      <c r="G194" s="530">
        <v>0</v>
      </c>
      <c r="H194" s="530">
        <v>10</v>
      </c>
      <c r="I194" s="531">
        <f t="shared" ref="I194:I196" si="74">H194+G194</f>
        <v>10</v>
      </c>
      <c r="J194" s="532">
        <v>0</v>
      </c>
      <c r="K194" s="532">
        <v>0</v>
      </c>
      <c r="L194" s="532">
        <v>0</v>
      </c>
      <c r="M194" s="532">
        <v>22164555</v>
      </c>
      <c r="N194" s="532">
        <f>M194</f>
        <v>22164555</v>
      </c>
      <c r="P194" s="25"/>
    </row>
    <row r="195" spans="1:16">
      <c r="A195" s="394"/>
      <c r="B195" s="258" t="s">
        <v>67</v>
      </c>
      <c r="C195" s="249">
        <f>'часть 1'!H585</f>
        <v>0</v>
      </c>
      <c r="D195" s="250">
        <f>'часть 1'!K585</f>
        <v>0</v>
      </c>
      <c r="E195" s="252">
        <v>0</v>
      </c>
      <c r="F195" s="252">
        <v>0</v>
      </c>
      <c r="G195" s="252">
        <f>G196</f>
        <v>1</v>
      </c>
      <c r="H195" s="252">
        <f>H196+H197</f>
        <v>0</v>
      </c>
      <c r="I195" s="252">
        <f t="shared" si="74"/>
        <v>1</v>
      </c>
      <c r="J195" s="251">
        <v>0</v>
      </c>
      <c r="K195" s="251">
        <v>0</v>
      </c>
      <c r="L195" s="251">
        <f>L196</f>
        <v>9379653</v>
      </c>
      <c r="M195" s="251">
        <f>M196+M197</f>
        <v>0</v>
      </c>
      <c r="N195" s="251">
        <f>N196+N197</f>
        <v>9379653</v>
      </c>
      <c r="P195" s="25"/>
    </row>
    <row r="196" spans="1:16" ht="27" customHeight="1">
      <c r="A196" s="236">
        <v>57</v>
      </c>
      <c r="B196" s="257" t="s">
        <v>90</v>
      </c>
      <c r="C196" s="249">
        <f>'часть 1'!H586</f>
        <v>0</v>
      </c>
      <c r="D196" s="250">
        <f>'часть 1'!K586</f>
        <v>0</v>
      </c>
      <c r="E196" s="252">
        <v>0</v>
      </c>
      <c r="F196" s="252">
        <v>0</v>
      </c>
      <c r="G196" s="252">
        <v>1</v>
      </c>
      <c r="H196" s="252">
        <v>0</v>
      </c>
      <c r="I196" s="252">
        <f t="shared" si="74"/>
        <v>1</v>
      </c>
      <c r="J196" s="251">
        <v>0</v>
      </c>
      <c r="K196" s="251">
        <v>0</v>
      </c>
      <c r="L196" s="251">
        <f>'часть 1'!L586</f>
        <v>9379653</v>
      </c>
      <c r="M196" s="251">
        <v>0</v>
      </c>
      <c r="N196" s="251">
        <f>L196</f>
        <v>9379653</v>
      </c>
      <c r="P196" s="25"/>
    </row>
    <row r="197" spans="1:16" ht="26.4">
      <c r="A197" s="536">
        <v>58</v>
      </c>
      <c r="B197" s="534" t="s">
        <v>127</v>
      </c>
      <c r="C197" s="529">
        <v>0</v>
      </c>
      <c r="D197" s="530">
        <v>0</v>
      </c>
      <c r="E197" s="531">
        <v>0</v>
      </c>
      <c r="F197" s="531">
        <v>0</v>
      </c>
      <c r="G197" s="531">
        <v>0</v>
      </c>
      <c r="H197" s="531">
        <v>0</v>
      </c>
      <c r="I197" s="531">
        <v>0</v>
      </c>
      <c r="J197" s="532">
        <v>0</v>
      </c>
      <c r="K197" s="532">
        <v>0</v>
      </c>
      <c r="L197" s="532">
        <v>0</v>
      </c>
      <c r="M197" s="532">
        <v>0</v>
      </c>
      <c r="N197" s="532">
        <v>0</v>
      </c>
      <c r="P197" s="25"/>
    </row>
    <row r="198" spans="1:16" ht="15.75" customHeight="1">
      <c r="A198" s="537">
        <v>1</v>
      </c>
      <c r="B198" s="538" t="s">
        <v>89</v>
      </c>
      <c r="C198" s="539">
        <f>'часть 1'!H193</f>
        <v>1534.2</v>
      </c>
      <c r="D198" s="540">
        <f>'часть 1'!K193</f>
        <v>47</v>
      </c>
      <c r="E198" s="533">
        <v>0</v>
      </c>
      <c r="F198" s="533">
        <v>0</v>
      </c>
      <c r="G198" s="533">
        <v>0</v>
      </c>
      <c r="H198" s="533">
        <v>168</v>
      </c>
      <c r="I198" s="533">
        <f>H198+G198</f>
        <v>168</v>
      </c>
      <c r="J198" s="541">
        <v>0</v>
      </c>
      <c r="K198" s="541">
        <v>0</v>
      </c>
      <c r="L198" s="541">
        <v>0</v>
      </c>
      <c r="M198" s="541">
        <f>'часть 1'!L193</f>
        <v>2435193</v>
      </c>
      <c r="N198" s="541">
        <f t="shared" ref="N198:N200" si="75">M198</f>
        <v>2435193</v>
      </c>
      <c r="O198" s="25"/>
      <c r="P198" s="25"/>
    </row>
    <row r="199" spans="1:16" ht="26.25" customHeight="1">
      <c r="A199" s="189">
        <v>2</v>
      </c>
      <c r="B199" s="248" t="s">
        <v>91</v>
      </c>
      <c r="C199" s="249">
        <f>'часть 1'!H1255</f>
        <v>14224.600000000002</v>
      </c>
      <c r="D199" s="250">
        <f>'часть 1'!K1255</f>
        <v>391</v>
      </c>
      <c r="E199" s="252">
        <v>0</v>
      </c>
      <c r="F199" s="252">
        <v>0</v>
      </c>
      <c r="G199" s="252">
        <v>0</v>
      </c>
      <c r="H199" s="252">
        <v>11</v>
      </c>
      <c r="I199" s="252">
        <f t="shared" ref="I199:I264" si="76">H199+G199</f>
        <v>11</v>
      </c>
      <c r="J199" s="251">
        <v>0</v>
      </c>
      <c r="K199" s="251">
        <v>0</v>
      </c>
      <c r="L199" s="251">
        <v>0</v>
      </c>
      <c r="M199" s="251">
        <f>'часть 1'!L1255</f>
        <v>20085822.140000001</v>
      </c>
      <c r="N199" s="251">
        <f t="shared" si="75"/>
        <v>20085822.140000001</v>
      </c>
      <c r="O199" s="25"/>
      <c r="P199" s="25"/>
    </row>
    <row r="200" spans="1:16" ht="15.75" customHeight="1">
      <c r="A200" s="537">
        <v>3</v>
      </c>
      <c r="B200" s="538" t="s">
        <v>92</v>
      </c>
      <c r="C200" s="539">
        <v>0</v>
      </c>
      <c r="D200" s="540">
        <v>0</v>
      </c>
      <c r="E200" s="533">
        <v>0</v>
      </c>
      <c r="F200" s="533">
        <v>0</v>
      </c>
      <c r="G200" s="533">
        <v>0</v>
      </c>
      <c r="H200" s="533">
        <v>0</v>
      </c>
      <c r="I200" s="533">
        <f t="shared" si="76"/>
        <v>0</v>
      </c>
      <c r="J200" s="541">
        <v>0</v>
      </c>
      <c r="K200" s="541">
        <v>0</v>
      </c>
      <c r="L200" s="541">
        <v>0</v>
      </c>
      <c r="M200" s="703">
        <v>0</v>
      </c>
      <c r="N200" s="703">
        <f t="shared" si="75"/>
        <v>0</v>
      </c>
      <c r="P200" s="25"/>
    </row>
    <row r="201" spans="1:16" ht="15.75" customHeight="1">
      <c r="A201" s="537">
        <v>4</v>
      </c>
      <c r="B201" s="538" t="s">
        <v>93</v>
      </c>
      <c r="C201" s="539">
        <f>'часть 1'!H1269</f>
        <v>16121.400000000001</v>
      </c>
      <c r="D201" s="540">
        <f>'часть 1'!K1269</f>
        <v>400</v>
      </c>
      <c r="E201" s="533">
        <v>0</v>
      </c>
      <c r="F201" s="533">
        <v>0</v>
      </c>
      <c r="G201" s="533">
        <v>0</v>
      </c>
      <c r="H201" s="533">
        <v>4</v>
      </c>
      <c r="I201" s="533">
        <f t="shared" si="76"/>
        <v>4</v>
      </c>
      <c r="J201" s="541">
        <v>0</v>
      </c>
      <c r="K201" s="541">
        <v>0</v>
      </c>
      <c r="L201" s="541">
        <v>0</v>
      </c>
      <c r="M201" s="704">
        <f>'часть 1'!L1269</f>
        <v>12233600</v>
      </c>
      <c r="N201" s="703">
        <f>M201</f>
        <v>12233600</v>
      </c>
      <c r="P201" s="25"/>
    </row>
    <row r="202" spans="1:16" ht="16.5" customHeight="1">
      <c r="A202" s="537">
        <v>5</v>
      </c>
      <c r="B202" s="543" t="s">
        <v>94</v>
      </c>
      <c r="C202" s="539">
        <f>'часть 1'!H1295</f>
        <v>5185.7</v>
      </c>
      <c r="D202" s="540">
        <f>'часть 1'!K1295</f>
        <v>172</v>
      </c>
      <c r="E202" s="533">
        <v>0</v>
      </c>
      <c r="F202" s="533">
        <v>0</v>
      </c>
      <c r="G202" s="533">
        <v>0</v>
      </c>
      <c r="H202" s="533">
        <v>2</v>
      </c>
      <c r="I202" s="533">
        <f t="shared" si="76"/>
        <v>2</v>
      </c>
      <c r="J202" s="541">
        <v>0</v>
      </c>
      <c r="K202" s="541">
        <v>0</v>
      </c>
      <c r="L202" s="541">
        <v>0</v>
      </c>
      <c r="M202" s="703">
        <f>'часть 1'!L1295</f>
        <v>2634518</v>
      </c>
      <c r="N202" s="703">
        <f t="shared" ref="N202:N203" si="77">M202</f>
        <v>2634518</v>
      </c>
      <c r="O202" s="25"/>
      <c r="P202" s="25"/>
    </row>
    <row r="203" spans="1:16" s="3" customFormat="1">
      <c r="A203" s="537">
        <v>6</v>
      </c>
      <c r="B203" s="838" t="s">
        <v>123</v>
      </c>
      <c r="C203" s="839">
        <f>'часть 1'!H1308</f>
        <v>20881.099999999999</v>
      </c>
      <c r="D203" s="840">
        <f>'часть 1'!K1308</f>
        <v>629</v>
      </c>
      <c r="E203" s="882">
        <v>0</v>
      </c>
      <c r="F203" s="882">
        <v>0</v>
      </c>
      <c r="G203" s="882">
        <v>0</v>
      </c>
      <c r="H203" s="842">
        <v>3</v>
      </c>
      <c r="I203" s="533">
        <f t="shared" si="76"/>
        <v>3</v>
      </c>
      <c r="J203" s="841">
        <v>0</v>
      </c>
      <c r="K203" s="841">
        <v>0</v>
      </c>
      <c r="L203" s="841">
        <v>0</v>
      </c>
      <c r="M203" s="841">
        <f>'часть 1'!L1308</f>
        <v>10007426</v>
      </c>
      <c r="N203" s="841">
        <f t="shared" si="77"/>
        <v>10007426</v>
      </c>
      <c r="P203" s="25"/>
    </row>
    <row r="204" spans="1:16" s="3" customFormat="1">
      <c r="A204" s="537"/>
      <c r="B204" s="838" t="s">
        <v>864</v>
      </c>
      <c r="C204" s="839">
        <f>'часть 1'!H1320</f>
        <v>2514.6999999999998</v>
      </c>
      <c r="D204" s="840">
        <f>'часть 1'!K1320</f>
        <v>82</v>
      </c>
      <c r="E204" s="882">
        <v>0</v>
      </c>
      <c r="F204" s="882">
        <v>0</v>
      </c>
      <c r="G204" s="882">
        <v>1</v>
      </c>
      <c r="H204" s="842">
        <v>0</v>
      </c>
      <c r="I204" s="533">
        <f>H204+G204+F204+E204</f>
        <v>1</v>
      </c>
      <c r="J204" s="841">
        <v>0</v>
      </c>
      <c r="K204" s="841">
        <v>0</v>
      </c>
      <c r="L204" s="841">
        <v>1112894</v>
      </c>
      <c r="M204" s="841">
        <v>0</v>
      </c>
      <c r="N204" s="841">
        <v>1112894</v>
      </c>
      <c r="P204" s="25"/>
    </row>
    <row r="205" spans="1:16" s="3" customFormat="1">
      <c r="A205" s="837"/>
      <c r="B205" s="838" t="s">
        <v>72</v>
      </c>
      <c r="C205" s="839">
        <f>C206</f>
        <v>2066.4</v>
      </c>
      <c r="D205" s="840">
        <f t="shared" ref="D205:N205" si="78">D206</f>
        <v>80</v>
      </c>
      <c r="E205" s="840">
        <f t="shared" si="78"/>
        <v>0</v>
      </c>
      <c r="F205" s="840">
        <f t="shared" si="78"/>
        <v>0</v>
      </c>
      <c r="G205" s="840">
        <f t="shared" si="78"/>
        <v>0</v>
      </c>
      <c r="H205" s="840">
        <f t="shared" si="78"/>
        <v>4</v>
      </c>
      <c r="I205" s="840">
        <f t="shared" si="78"/>
        <v>4</v>
      </c>
      <c r="J205" s="841">
        <f t="shared" si="78"/>
        <v>0</v>
      </c>
      <c r="K205" s="841">
        <f t="shared" si="78"/>
        <v>0</v>
      </c>
      <c r="L205" s="841">
        <f t="shared" si="78"/>
        <v>0</v>
      </c>
      <c r="M205" s="841">
        <f t="shared" si="78"/>
        <v>4547991</v>
      </c>
      <c r="N205" s="841">
        <f t="shared" si="78"/>
        <v>4547991</v>
      </c>
      <c r="P205" s="25"/>
    </row>
    <row r="206" spans="1:16" s="3" customFormat="1" ht="26.4">
      <c r="A206" s="837">
        <v>7</v>
      </c>
      <c r="B206" s="838" t="s">
        <v>95</v>
      </c>
      <c r="C206" s="839">
        <f>'часть 1'!H1323</f>
        <v>2066.4</v>
      </c>
      <c r="D206" s="840">
        <f>'часть 1'!K1323</f>
        <v>80</v>
      </c>
      <c r="E206" s="533">
        <v>0</v>
      </c>
      <c r="F206" s="533">
        <v>0</v>
      </c>
      <c r="G206" s="533">
        <v>0</v>
      </c>
      <c r="H206" s="842">
        <v>4</v>
      </c>
      <c r="I206" s="533">
        <f t="shared" si="76"/>
        <v>4</v>
      </c>
      <c r="J206" s="841">
        <v>0</v>
      </c>
      <c r="K206" s="841">
        <v>0</v>
      </c>
      <c r="L206" s="841">
        <v>0</v>
      </c>
      <c r="M206" s="841">
        <f>'часть 1'!L1323</f>
        <v>4547991</v>
      </c>
      <c r="N206" s="841">
        <f>M206</f>
        <v>4547991</v>
      </c>
      <c r="P206" s="25"/>
    </row>
    <row r="207" spans="1:16">
      <c r="A207" s="394"/>
      <c r="B207" s="248" t="s">
        <v>41</v>
      </c>
      <c r="C207" s="249">
        <f>C208</f>
        <v>11641.5</v>
      </c>
      <c r="D207" s="249">
        <f t="shared" ref="D207:N207" si="79">D208</f>
        <v>480</v>
      </c>
      <c r="E207" s="249">
        <f t="shared" si="79"/>
        <v>0</v>
      </c>
      <c r="F207" s="249">
        <f t="shared" si="79"/>
        <v>0</v>
      </c>
      <c r="G207" s="249">
        <f t="shared" si="79"/>
        <v>0</v>
      </c>
      <c r="H207" s="249">
        <f t="shared" si="79"/>
        <v>4</v>
      </c>
      <c r="I207" s="249">
        <f t="shared" si="79"/>
        <v>4</v>
      </c>
      <c r="J207" s="249">
        <f t="shared" si="79"/>
        <v>0</v>
      </c>
      <c r="K207" s="249">
        <f t="shared" si="79"/>
        <v>0</v>
      </c>
      <c r="L207" s="249">
        <f t="shared" si="79"/>
        <v>0</v>
      </c>
      <c r="M207" s="249">
        <f t="shared" si="79"/>
        <v>12671361</v>
      </c>
      <c r="N207" s="249">
        <f t="shared" si="79"/>
        <v>12671361</v>
      </c>
      <c r="P207" s="25"/>
    </row>
    <row r="208" spans="1:16" ht="26.4">
      <c r="A208" s="544">
        <v>8</v>
      </c>
      <c r="B208" s="538" t="s">
        <v>96</v>
      </c>
      <c r="C208" s="539">
        <f>'часть 1'!H1332</f>
        <v>11641.5</v>
      </c>
      <c r="D208" s="540">
        <f>'часть 1'!K1332</f>
        <v>480</v>
      </c>
      <c r="E208" s="533">
        <v>0</v>
      </c>
      <c r="F208" s="533">
        <v>0</v>
      </c>
      <c r="G208" s="533">
        <v>0</v>
      </c>
      <c r="H208" s="533">
        <v>4</v>
      </c>
      <c r="I208" s="533">
        <f t="shared" si="76"/>
        <v>4</v>
      </c>
      <c r="J208" s="541">
        <v>0</v>
      </c>
      <c r="K208" s="541">
        <v>0</v>
      </c>
      <c r="L208" s="541">
        <v>0</v>
      </c>
      <c r="M208" s="541">
        <f>'часть 1'!L1332</f>
        <v>12671361</v>
      </c>
      <c r="N208" s="541">
        <f>M208</f>
        <v>12671361</v>
      </c>
      <c r="P208" s="25"/>
    </row>
    <row r="209" spans="1:16">
      <c r="A209" s="394"/>
      <c r="B209" s="248" t="s">
        <v>68</v>
      </c>
      <c r="C209" s="249">
        <f>C210</f>
        <v>0</v>
      </c>
      <c r="D209" s="250">
        <f t="shared" ref="D209:N209" si="80">D210</f>
        <v>0</v>
      </c>
      <c r="E209" s="252">
        <f t="shared" si="80"/>
        <v>0</v>
      </c>
      <c r="F209" s="252">
        <f t="shared" si="80"/>
        <v>0</v>
      </c>
      <c r="G209" s="252">
        <f t="shared" si="80"/>
        <v>0</v>
      </c>
      <c r="H209" s="252" t="e">
        <f>'часть 2'!#REF!</f>
        <v>#REF!</v>
      </c>
      <c r="I209" s="252" t="e">
        <f t="shared" si="76"/>
        <v>#REF!</v>
      </c>
      <c r="J209" s="251">
        <f t="shared" si="80"/>
        <v>0</v>
      </c>
      <c r="K209" s="251">
        <f t="shared" si="80"/>
        <v>0</v>
      </c>
      <c r="L209" s="251">
        <f t="shared" si="80"/>
        <v>0</v>
      </c>
      <c r="M209" s="251">
        <f>'часть 1'!L455</f>
        <v>1512903</v>
      </c>
      <c r="N209" s="251">
        <f t="shared" si="80"/>
        <v>0</v>
      </c>
      <c r="P209" s="25"/>
    </row>
    <row r="210" spans="1:16" ht="26.4">
      <c r="A210" s="544">
        <v>9</v>
      </c>
      <c r="B210" s="538" t="s">
        <v>97</v>
      </c>
      <c r="C210" s="539">
        <v>0</v>
      </c>
      <c r="D210" s="540">
        <v>0</v>
      </c>
      <c r="E210" s="533">
        <v>0</v>
      </c>
      <c r="F210" s="533">
        <v>0</v>
      </c>
      <c r="G210" s="533">
        <v>0</v>
      </c>
      <c r="H210" s="533">
        <v>0</v>
      </c>
      <c r="I210" s="533">
        <f t="shared" si="76"/>
        <v>0</v>
      </c>
      <c r="J210" s="541">
        <v>0</v>
      </c>
      <c r="K210" s="541">
        <v>0</v>
      </c>
      <c r="L210" s="541">
        <v>0</v>
      </c>
      <c r="M210" s="541">
        <v>0</v>
      </c>
      <c r="N210" s="541">
        <f>M210</f>
        <v>0</v>
      </c>
      <c r="P210" s="25"/>
    </row>
    <row r="211" spans="1:16" s="19" customFormat="1">
      <c r="A211" s="255"/>
      <c r="B211" s="255" t="s">
        <v>43</v>
      </c>
      <c r="C211" s="249">
        <f>C212+C213</f>
        <v>1600.52</v>
      </c>
      <c r="D211" s="256">
        <f>D212+D213</f>
        <v>49</v>
      </c>
      <c r="E211" s="252">
        <f>E212+E213</f>
        <v>0</v>
      </c>
      <c r="F211" s="252">
        <f t="shared" ref="F211:H211" si="81">F212+F213</f>
        <v>0</v>
      </c>
      <c r="G211" s="252">
        <f t="shared" si="81"/>
        <v>0</v>
      </c>
      <c r="H211" s="252" t="e">
        <f t="shared" si="81"/>
        <v>#REF!</v>
      </c>
      <c r="I211" s="252" t="e">
        <f t="shared" si="76"/>
        <v>#REF!</v>
      </c>
      <c r="J211" s="251">
        <f>J212+J213</f>
        <v>0</v>
      </c>
      <c r="K211" s="251">
        <f t="shared" ref="K211:N211" si="82">K212+K213</f>
        <v>0</v>
      </c>
      <c r="L211" s="251">
        <f t="shared" si="82"/>
        <v>0</v>
      </c>
      <c r="M211" s="251">
        <f t="shared" si="82"/>
        <v>2576038</v>
      </c>
      <c r="N211" s="251">
        <f t="shared" si="82"/>
        <v>2576038</v>
      </c>
      <c r="O211" s="84"/>
      <c r="P211" s="25"/>
    </row>
    <row r="212" spans="1:16" s="19" customFormat="1" ht="26.4">
      <c r="A212" s="394">
        <v>10</v>
      </c>
      <c r="B212" s="253" t="s">
        <v>125</v>
      </c>
      <c r="C212" s="249">
        <f>'часть 1'!H459</f>
        <v>1091.5999999999999</v>
      </c>
      <c r="D212" s="250">
        <f>'часть 1'!K459</f>
        <v>33</v>
      </c>
      <c r="E212" s="252">
        <v>0</v>
      </c>
      <c r="F212" s="252">
        <v>0</v>
      </c>
      <c r="G212" s="252">
        <v>0</v>
      </c>
      <c r="H212" s="252" t="e">
        <f>'часть 2'!#REF!</f>
        <v>#REF!</v>
      </c>
      <c r="I212" s="252" t="e">
        <f t="shared" si="76"/>
        <v>#REF!</v>
      </c>
      <c r="J212" s="251">
        <v>0</v>
      </c>
      <c r="K212" s="251">
        <v>0</v>
      </c>
      <c r="L212" s="251">
        <v>0</v>
      </c>
      <c r="M212" s="251">
        <f>'часть 1'!L459</f>
        <v>1361248</v>
      </c>
      <c r="N212" s="251">
        <f>M212</f>
        <v>1361248</v>
      </c>
      <c r="P212" s="25"/>
    </row>
    <row r="213" spans="1:16" s="19" customFormat="1" ht="26.4">
      <c r="A213" s="394">
        <v>11</v>
      </c>
      <c r="B213" s="253" t="s">
        <v>210</v>
      </c>
      <c r="C213" s="249">
        <f>'часть 1'!H477</f>
        <v>508.92</v>
      </c>
      <c r="D213" s="250">
        <f>'часть 1'!K477</f>
        <v>16</v>
      </c>
      <c r="E213" s="252">
        <v>0</v>
      </c>
      <c r="F213" s="252">
        <v>0</v>
      </c>
      <c r="G213" s="252">
        <v>0</v>
      </c>
      <c r="H213" s="252">
        <v>2</v>
      </c>
      <c r="I213" s="252">
        <f t="shared" si="76"/>
        <v>2</v>
      </c>
      <c r="J213" s="251">
        <v>0</v>
      </c>
      <c r="K213" s="251">
        <v>0</v>
      </c>
      <c r="L213" s="251">
        <v>0</v>
      </c>
      <c r="M213" s="251">
        <f>'часть 1'!L477</f>
        <v>1214790</v>
      </c>
      <c r="N213" s="251">
        <f>M213</f>
        <v>1214790</v>
      </c>
      <c r="P213" s="25"/>
    </row>
    <row r="214" spans="1:16">
      <c r="A214" s="394"/>
      <c r="B214" s="255" t="s">
        <v>44</v>
      </c>
      <c r="C214" s="249">
        <f>C215</f>
        <v>518.5</v>
      </c>
      <c r="D214" s="250">
        <f t="shared" ref="D214:N214" si="83">D215</f>
        <v>27</v>
      </c>
      <c r="E214" s="252">
        <f t="shared" si="83"/>
        <v>0</v>
      </c>
      <c r="F214" s="252">
        <f t="shared" si="83"/>
        <v>0</v>
      </c>
      <c r="G214" s="252">
        <f t="shared" si="83"/>
        <v>0</v>
      </c>
      <c r="H214" s="252">
        <f t="shared" si="83"/>
        <v>1</v>
      </c>
      <c r="I214" s="252">
        <f t="shared" si="76"/>
        <v>1</v>
      </c>
      <c r="J214" s="251">
        <f t="shared" si="83"/>
        <v>0</v>
      </c>
      <c r="K214" s="251">
        <f t="shared" si="83"/>
        <v>0</v>
      </c>
      <c r="L214" s="251">
        <f t="shared" si="83"/>
        <v>0</v>
      </c>
      <c r="M214" s="251">
        <f>'часть 1'!L480</f>
        <v>3037109</v>
      </c>
      <c r="N214" s="251">
        <f t="shared" si="83"/>
        <v>906976</v>
      </c>
      <c r="P214" s="25"/>
    </row>
    <row r="215" spans="1:16" s="18" customFormat="1" ht="26.4">
      <c r="A215" s="544">
        <f>A213+1</f>
        <v>12</v>
      </c>
      <c r="B215" s="543" t="s">
        <v>435</v>
      </c>
      <c r="C215" s="539">
        <f>'часть 1'!H1362</f>
        <v>518.5</v>
      </c>
      <c r="D215" s="540">
        <f>'часть 1'!K1361</f>
        <v>27</v>
      </c>
      <c r="E215" s="533">
        <v>0</v>
      </c>
      <c r="F215" s="533">
        <v>0</v>
      </c>
      <c r="G215" s="533">
        <v>0</v>
      </c>
      <c r="H215" s="533">
        <v>1</v>
      </c>
      <c r="I215" s="533">
        <v>1</v>
      </c>
      <c r="J215" s="541">
        <v>0</v>
      </c>
      <c r="K215" s="541">
        <v>0</v>
      </c>
      <c r="L215" s="541">
        <v>0</v>
      </c>
      <c r="M215" s="541">
        <f>'часть 1'!L1361</f>
        <v>906976</v>
      </c>
      <c r="N215" s="541">
        <f>M215</f>
        <v>906976</v>
      </c>
      <c r="P215" s="25"/>
    </row>
    <row r="216" spans="1:16">
      <c r="A216" s="394"/>
      <c r="B216" s="255" t="s">
        <v>45</v>
      </c>
      <c r="C216" s="249">
        <f>C217+C218+C219+C220+C221+C222+C223</f>
        <v>11088.41</v>
      </c>
      <c r="D216" s="249">
        <f t="shared" ref="D216:N216" si="84">D217+D218+D219+D220+D221+D222+D223</f>
        <v>381</v>
      </c>
      <c r="E216" s="249">
        <f t="shared" si="84"/>
        <v>0</v>
      </c>
      <c r="F216" s="249">
        <f t="shared" si="84"/>
        <v>0</v>
      </c>
      <c r="G216" s="249">
        <f t="shared" si="84"/>
        <v>1</v>
      </c>
      <c r="H216" s="249">
        <f t="shared" si="84"/>
        <v>5</v>
      </c>
      <c r="I216" s="249">
        <f t="shared" si="84"/>
        <v>6</v>
      </c>
      <c r="J216" s="251">
        <f t="shared" si="84"/>
        <v>0</v>
      </c>
      <c r="K216" s="251">
        <f t="shared" si="84"/>
        <v>0</v>
      </c>
      <c r="L216" s="251">
        <f t="shared" si="84"/>
        <v>1648047</v>
      </c>
      <c r="M216" s="251">
        <f t="shared" si="84"/>
        <v>9461519</v>
      </c>
      <c r="N216" s="251">
        <f t="shared" si="84"/>
        <v>11109566</v>
      </c>
      <c r="O216" s="25"/>
      <c r="P216" s="25"/>
    </row>
    <row r="217" spans="1:16" ht="26.4">
      <c r="A217" s="544">
        <f>A215+1</f>
        <v>13</v>
      </c>
      <c r="B217" s="595" t="s">
        <v>98</v>
      </c>
      <c r="C217" s="539">
        <f>'часть 1'!H1365</f>
        <v>3642.1</v>
      </c>
      <c r="D217" s="540">
        <f>'часть 1'!K1365</f>
        <v>158</v>
      </c>
      <c r="E217" s="533">
        <v>0</v>
      </c>
      <c r="F217" s="533">
        <v>0</v>
      </c>
      <c r="G217" s="533">
        <v>0</v>
      </c>
      <c r="H217" s="533">
        <v>1</v>
      </c>
      <c r="I217" s="533">
        <f t="shared" si="76"/>
        <v>1</v>
      </c>
      <c r="J217" s="541">
        <v>0</v>
      </c>
      <c r="K217" s="541">
        <v>0</v>
      </c>
      <c r="L217" s="541">
        <v>0</v>
      </c>
      <c r="M217" s="541">
        <f>'часть 1'!L1365</f>
        <v>2377747</v>
      </c>
      <c r="N217" s="541">
        <f>M217</f>
        <v>2377747</v>
      </c>
      <c r="P217" s="25"/>
    </row>
    <row r="218" spans="1:16" ht="26.4">
      <c r="A218" s="544"/>
      <c r="B218" s="595" t="s">
        <v>688</v>
      </c>
      <c r="C218" s="539">
        <f>'часть 1'!H1368</f>
        <v>489.41</v>
      </c>
      <c r="D218" s="540">
        <f>'часть 1'!K1368</f>
        <v>20</v>
      </c>
      <c r="E218" s="533">
        <v>0</v>
      </c>
      <c r="F218" s="533">
        <v>0</v>
      </c>
      <c r="G218" s="533">
        <v>0</v>
      </c>
      <c r="H218" s="533">
        <v>1</v>
      </c>
      <c r="I218" s="533">
        <v>1</v>
      </c>
      <c r="J218" s="541">
        <v>0</v>
      </c>
      <c r="K218" s="541">
        <v>0</v>
      </c>
      <c r="L218" s="541">
        <v>0</v>
      </c>
      <c r="M218" s="541">
        <v>901450</v>
      </c>
      <c r="N218" s="541">
        <f>M218+L218+K218+J218</f>
        <v>901450</v>
      </c>
      <c r="P218" s="25"/>
    </row>
    <row r="219" spans="1:16" ht="26.4">
      <c r="A219" s="544">
        <f>A217+1</f>
        <v>14</v>
      </c>
      <c r="B219" s="543" t="s">
        <v>99</v>
      </c>
      <c r="C219" s="479">
        <f>'часть 1'!H1369</f>
        <v>1025.3</v>
      </c>
      <c r="D219" s="516">
        <f>'часть 1'!K1369</f>
        <v>34</v>
      </c>
      <c r="E219" s="533">
        <v>0</v>
      </c>
      <c r="F219" s="533">
        <v>0</v>
      </c>
      <c r="G219" s="533">
        <v>0</v>
      </c>
      <c r="H219" s="515">
        <v>1</v>
      </c>
      <c r="I219" s="533">
        <f t="shared" si="76"/>
        <v>1</v>
      </c>
      <c r="J219" s="541">
        <v>0</v>
      </c>
      <c r="K219" s="541">
        <v>0</v>
      </c>
      <c r="L219" s="541">
        <v>0</v>
      </c>
      <c r="M219" s="541">
        <f>'часть 1'!L1369</f>
        <v>1696092</v>
      </c>
      <c r="N219" s="541">
        <f>M219</f>
        <v>1696092</v>
      </c>
      <c r="P219" s="25"/>
    </row>
    <row r="220" spans="1:16" ht="26.4">
      <c r="A220" s="544">
        <f>A219+1</f>
        <v>15</v>
      </c>
      <c r="B220" s="543" t="s">
        <v>100</v>
      </c>
      <c r="C220" s="539">
        <v>0</v>
      </c>
      <c r="D220" s="540">
        <v>0</v>
      </c>
      <c r="E220" s="533">
        <v>0</v>
      </c>
      <c r="F220" s="533">
        <v>0</v>
      </c>
      <c r="G220" s="533">
        <v>0</v>
      </c>
      <c r="H220" s="533">
        <v>0</v>
      </c>
      <c r="I220" s="533">
        <f t="shared" si="76"/>
        <v>0</v>
      </c>
      <c r="J220" s="541">
        <v>0</v>
      </c>
      <c r="K220" s="541">
        <v>0</v>
      </c>
      <c r="L220" s="541">
        <v>0</v>
      </c>
      <c r="M220" s="541">
        <v>0</v>
      </c>
      <c r="N220" s="541">
        <f>M220</f>
        <v>0</v>
      </c>
      <c r="P220" s="25"/>
    </row>
    <row r="221" spans="1:16" ht="26.4">
      <c r="A221" s="544">
        <f>A220+1</f>
        <v>16</v>
      </c>
      <c r="B221" s="543" t="s">
        <v>101</v>
      </c>
      <c r="C221" s="539">
        <f>'часть 1'!H1373</f>
        <v>1472.1</v>
      </c>
      <c r="D221" s="540">
        <f>'часть 1'!K1373</f>
        <v>29</v>
      </c>
      <c r="E221" s="533">
        <v>0</v>
      </c>
      <c r="F221" s="533">
        <v>0</v>
      </c>
      <c r="G221" s="533">
        <v>1</v>
      </c>
      <c r="H221" s="533">
        <v>0</v>
      </c>
      <c r="I221" s="533">
        <f t="shared" si="76"/>
        <v>1</v>
      </c>
      <c r="J221" s="541">
        <v>0</v>
      </c>
      <c r="K221" s="541">
        <v>0</v>
      </c>
      <c r="L221" s="541">
        <f>'часть 1'!L1373</f>
        <v>1648047</v>
      </c>
      <c r="M221" s="541">
        <v>0</v>
      </c>
      <c r="N221" s="541">
        <f>M221+L221+K221+J221</f>
        <v>1648047</v>
      </c>
      <c r="P221" s="25"/>
    </row>
    <row r="222" spans="1:16" ht="28.5" customHeight="1">
      <c r="A222" s="542">
        <f>A221+1</f>
        <v>17</v>
      </c>
      <c r="B222" s="543" t="s">
        <v>586</v>
      </c>
      <c r="C222" s="539">
        <f>'часть 1'!H1375</f>
        <v>874.2</v>
      </c>
      <c r="D222" s="540">
        <f>'часть 1'!K1375</f>
        <v>33</v>
      </c>
      <c r="E222" s="533">
        <v>0</v>
      </c>
      <c r="F222" s="533">
        <v>0</v>
      </c>
      <c r="G222" s="533">
        <v>0</v>
      </c>
      <c r="H222" s="533">
        <v>1</v>
      </c>
      <c r="I222" s="533">
        <f t="shared" si="76"/>
        <v>1</v>
      </c>
      <c r="J222" s="541">
        <v>0</v>
      </c>
      <c r="K222" s="541">
        <v>0</v>
      </c>
      <c r="L222" s="541">
        <v>0</v>
      </c>
      <c r="M222" s="541">
        <f>'часть 1'!L1375</f>
        <v>2577836</v>
      </c>
      <c r="N222" s="541">
        <f>M222</f>
        <v>2577836</v>
      </c>
      <c r="P222" s="25"/>
    </row>
    <row r="223" spans="1:16" ht="28.5" customHeight="1">
      <c r="A223" s="542"/>
      <c r="B223" s="543" t="s">
        <v>861</v>
      </c>
      <c r="C223" s="539">
        <f>'часть 1'!H1377</f>
        <v>3585.3</v>
      </c>
      <c r="D223" s="540">
        <f>'часть 1'!K1377</f>
        <v>107</v>
      </c>
      <c r="E223" s="533">
        <v>0</v>
      </c>
      <c r="F223" s="533">
        <v>0</v>
      </c>
      <c r="G223" s="533">
        <v>0</v>
      </c>
      <c r="H223" s="533">
        <v>1</v>
      </c>
      <c r="I223" s="533">
        <f t="shared" si="76"/>
        <v>1</v>
      </c>
      <c r="J223" s="541">
        <v>0</v>
      </c>
      <c r="K223" s="541">
        <v>0</v>
      </c>
      <c r="L223" s="541">
        <v>0</v>
      </c>
      <c r="M223" s="541">
        <f>'часть 1'!L1377</f>
        <v>1908394</v>
      </c>
      <c r="N223" s="541">
        <f>M223+L223+K223+J223</f>
        <v>1908394</v>
      </c>
      <c r="P223" s="25"/>
    </row>
    <row r="224" spans="1:16">
      <c r="A224" s="394"/>
      <c r="B224" s="255" t="s">
        <v>46</v>
      </c>
      <c r="C224" s="249">
        <f>C225</f>
        <v>466.2</v>
      </c>
      <c r="D224" s="249">
        <f t="shared" ref="D224:N224" si="85">D225</f>
        <v>17</v>
      </c>
      <c r="E224" s="249">
        <f t="shared" si="85"/>
        <v>0</v>
      </c>
      <c r="F224" s="249">
        <f t="shared" si="85"/>
        <v>0</v>
      </c>
      <c r="G224" s="249">
        <f t="shared" si="85"/>
        <v>0</v>
      </c>
      <c r="H224" s="249">
        <f t="shared" si="85"/>
        <v>1</v>
      </c>
      <c r="I224" s="249">
        <f t="shared" si="85"/>
        <v>1</v>
      </c>
      <c r="J224" s="251">
        <f t="shared" si="85"/>
        <v>0</v>
      </c>
      <c r="K224" s="251">
        <f t="shared" si="85"/>
        <v>0</v>
      </c>
      <c r="L224" s="251">
        <f t="shared" si="85"/>
        <v>0</v>
      </c>
      <c r="M224" s="251">
        <f t="shared" si="85"/>
        <v>684446</v>
      </c>
      <c r="N224" s="251">
        <f t="shared" si="85"/>
        <v>684446</v>
      </c>
      <c r="O224" s="25"/>
      <c r="P224" s="25"/>
    </row>
    <row r="225" spans="1:16" ht="26.4">
      <c r="A225" s="544">
        <f>A222+1</f>
        <v>18</v>
      </c>
      <c r="B225" s="543" t="s">
        <v>587</v>
      </c>
      <c r="C225" s="539">
        <v>466.2</v>
      </c>
      <c r="D225" s="540">
        <v>17</v>
      </c>
      <c r="E225" s="533">
        <v>0</v>
      </c>
      <c r="F225" s="533">
        <v>0</v>
      </c>
      <c r="G225" s="533">
        <v>0</v>
      </c>
      <c r="H225" s="533">
        <v>1</v>
      </c>
      <c r="I225" s="533">
        <f t="shared" si="76"/>
        <v>1</v>
      </c>
      <c r="J225" s="541">
        <v>0</v>
      </c>
      <c r="K225" s="541">
        <v>0</v>
      </c>
      <c r="L225" s="541">
        <v>0</v>
      </c>
      <c r="M225" s="541">
        <v>684446</v>
      </c>
      <c r="N225" s="541">
        <f>M225</f>
        <v>684446</v>
      </c>
      <c r="P225" s="25"/>
    </row>
    <row r="226" spans="1:16" ht="20.399999999999999" customHeight="1">
      <c r="A226" s="394"/>
      <c r="B226" s="255" t="s">
        <v>47</v>
      </c>
      <c r="C226" s="249">
        <f>C227</f>
        <v>930</v>
      </c>
      <c r="D226" s="249">
        <f t="shared" ref="D226:N226" si="86">D227</f>
        <v>45</v>
      </c>
      <c r="E226" s="249">
        <f t="shared" si="86"/>
        <v>0</v>
      </c>
      <c r="F226" s="249">
        <f t="shared" si="86"/>
        <v>0</v>
      </c>
      <c r="G226" s="249">
        <f t="shared" si="86"/>
        <v>0</v>
      </c>
      <c r="H226" s="249">
        <f t="shared" si="86"/>
        <v>1</v>
      </c>
      <c r="I226" s="249">
        <f t="shared" si="86"/>
        <v>1</v>
      </c>
      <c r="J226" s="251">
        <f t="shared" si="86"/>
        <v>0</v>
      </c>
      <c r="K226" s="251">
        <f t="shared" si="86"/>
        <v>0</v>
      </c>
      <c r="L226" s="251">
        <f t="shared" si="86"/>
        <v>0</v>
      </c>
      <c r="M226" s="251">
        <f t="shared" si="86"/>
        <v>2602688</v>
      </c>
      <c r="N226" s="251">
        <f t="shared" si="86"/>
        <v>2602688</v>
      </c>
      <c r="O226" s="25"/>
      <c r="P226" s="25"/>
    </row>
    <row r="227" spans="1:16" ht="26.4">
      <c r="A227" s="542">
        <f>A225+1</f>
        <v>19</v>
      </c>
      <c r="B227" s="543" t="s">
        <v>103</v>
      </c>
      <c r="C227" s="539">
        <f>'часть 1'!H1384</f>
        <v>930</v>
      </c>
      <c r="D227" s="540">
        <f>'часть 1'!K1384</f>
        <v>45</v>
      </c>
      <c r="E227" s="533">
        <v>0</v>
      </c>
      <c r="F227" s="533">
        <v>0</v>
      </c>
      <c r="G227" s="533">
        <v>0</v>
      </c>
      <c r="H227" s="533">
        <v>1</v>
      </c>
      <c r="I227" s="533">
        <f t="shared" si="76"/>
        <v>1</v>
      </c>
      <c r="J227" s="541">
        <v>0</v>
      </c>
      <c r="K227" s="541">
        <v>0</v>
      </c>
      <c r="L227" s="541">
        <v>0</v>
      </c>
      <c r="M227" s="541">
        <f>'часть 1'!L1384</f>
        <v>2602688</v>
      </c>
      <c r="N227" s="541">
        <f>M227</f>
        <v>2602688</v>
      </c>
      <c r="P227" s="25"/>
    </row>
    <row r="228" spans="1:16" s="9" customFormat="1">
      <c r="A228" s="394"/>
      <c r="B228" s="255" t="s">
        <v>48</v>
      </c>
      <c r="C228" s="249">
        <f>'часть 1'!H513</f>
        <v>0</v>
      </c>
      <c r="D228" s="250">
        <f>'часть 1'!K513</f>
        <v>0</v>
      </c>
      <c r="E228" s="252">
        <f t="shared" ref="E228:G228" si="87">E229+E230</f>
        <v>0</v>
      </c>
      <c r="F228" s="252">
        <f t="shared" si="87"/>
        <v>0</v>
      </c>
      <c r="G228" s="252">
        <f t="shared" si="87"/>
        <v>0</v>
      </c>
      <c r="H228" s="252" t="e">
        <f>H229+H230</f>
        <v>#REF!</v>
      </c>
      <c r="I228" s="252" t="e">
        <f t="shared" si="76"/>
        <v>#REF!</v>
      </c>
      <c r="J228" s="251">
        <f t="shared" ref="J228:N228" si="88">J229+J230</f>
        <v>0</v>
      </c>
      <c r="K228" s="251">
        <f t="shared" si="88"/>
        <v>0</v>
      </c>
      <c r="L228" s="251">
        <f t="shared" si="88"/>
        <v>0</v>
      </c>
      <c r="M228" s="251">
        <f t="shared" si="88"/>
        <v>4233663</v>
      </c>
      <c r="N228" s="251">
        <f t="shared" si="88"/>
        <v>4233663</v>
      </c>
      <c r="O228" s="39"/>
      <c r="P228" s="25"/>
    </row>
    <row r="229" spans="1:16" ht="26.4">
      <c r="A229" s="542">
        <f>A227+1</f>
        <v>20</v>
      </c>
      <c r="B229" s="543" t="s">
        <v>107</v>
      </c>
      <c r="C229" s="539">
        <f>'часть 1'!H1387</f>
        <v>1876</v>
      </c>
      <c r="D229" s="540">
        <f>'часть 1'!K1387</f>
        <v>41</v>
      </c>
      <c r="E229" s="533">
        <v>0</v>
      </c>
      <c r="F229" s="533">
        <v>0</v>
      </c>
      <c r="G229" s="533">
        <v>0</v>
      </c>
      <c r="H229" s="533">
        <v>1</v>
      </c>
      <c r="I229" s="533">
        <f t="shared" si="76"/>
        <v>1</v>
      </c>
      <c r="J229" s="541">
        <v>0</v>
      </c>
      <c r="K229" s="541">
        <v>0</v>
      </c>
      <c r="L229" s="541">
        <v>0</v>
      </c>
      <c r="M229" s="541">
        <f>'часть 1'!L1387</f>
        <v>2102577</v>
      </c>
      <c r="N229" s="541">
        <f t="shared" ref="N229:N230" si="89">M229</f>
        <v>2102577</v>
      </c>
      <c r="P229" s="25"/>
    </row>
    <row r="230" spans="1:16" ht="27" customHeight="1">
      <c r="A230" s="236">
        <f>A229+1</f>
        <v>21</v>
      </c>
      <c r="B230" s="253" t="s">
        <v>104</v>
      </c>
      <c r="C230" s="249">
        <f>'часть 1'!H518</f>
        <v>3286.8</v>
      </c>
      <c r="D230" s="250">
        <f>'часть 1'!K518</f>
        <v>100</v>
      </c>
      <c r="E230" s="252">
        <v>0</v>
      </c>
      <c r="F230" s="252">
        <v>0</v>
      </c>
      <c r="G230" s="252">
        <v>0</v>
      </c>
      <c r="H230" s="252" t="e">
        <f>'часть 2'!#REF!</f>
        <v>#REF!</v>
      </c>
      <c r="I230" s="252" t="e">
        <f t="shared" si="76"/>
        <v>#REF!</v>
      </c>
      <c r="J230" s="251">
        <v>0</v>
      </c>
      <c r="K230" s="251">
        <v>0</v>
      </c>
      <c r="L230" s="251">
        <v>0</v>
      </c>
      <c r="M230" s="251">
        <f>'часть 1'!L518</f>
        <v>2131086</v>
      </c>
      <c r="N230" s="251">
        <f t="shared" si="89"/>
        <v>2131086</v>
      </c>
      <c r="P230" s="25"/>
    </row>
    <row r="231" spans="1:16">
      <c r="A231" s="236"/>
      <c r="B231" s="255" t="s">
        <v>49</v>
      </c>
      <c r="C231" s="249">
        <f>'часть 1'!H520</f>
        <v>0</v>
      </c>
      <c r="D231" s="250">
        <f>'часть 1'!K520</f>
        <v>0</v>
      </c>
      <c r="E231" s="252">
        <f t="shared" ref="E231:K231" si="90">E232</f>
        <v>0</v>
      </c>
      <c r="F231" s="252">
        <f t="shared" si="90"/>
        <v>0</v>
      </c>
      <c r="G231" s="252">
        <f>G232+G233+G234+G235</f>
        <v>1</v>
      </c>
      <c r="H231" s="252">
        <f>H232+H233+H234+H235</f>
        <v>2</v>
      </c>
      <c r="I231" s="252">
        <f t="shared" si="76"/>
        <v>3</v>
      </c>
      <c r="J231" s="251">
        <f t="shared" si="90"/>
        <v>0</v>
      </c>
      <c r="K231" s="251">
        <f t="shared" si="90"/>
        <v>0</v>
      </c>
      <c r="L231" s="251">
        <f>L233</f>
        <v>2447351.64</v>
      </c>
      <c r="M231" s="251">
        <f>SUM(M232:M235)</f>
        <v>2041028.6400000001</v>
      </c>
      <c r="N231" s="251">
        <f>SUM(N232:N235)</f>
        <v>7291362.5800000001</v>
      </c>
      <c r="O231" s="25"/>
      <c r="P231" s="25"/>
    </row>
    <row r="232" spans="1:16" ht="26.4">
      <c r="A232" s="542">
        <f>A230+1</f>
        <v>22</v>
      </c>
      <c r="B232" s="543" t="s">
        <v>588</v>
      </c>
      <c r="C232" s="539">
        <f>'часть 1'!H1393</f>
        <v>637.1</v>
      </c>
      <c r="D232" s="540">
        <f>'часть 1'!K1393</f>
        <v>24</v>
      </c>
      <c r="E232" s="533">
        <v>0</v>
      </c>
      <c r="F232" s="533">
        <v>0</v>
      </c>
      <c r="G232" s="533">
        <v>0</v>
      </c>
      <c r="H232" s="533">
        <v>1</v>
      </c>
      <c r="I232" s="533">
        <f t="shared" si="76"/>
        <v>1</v>
      </c>
      <c r="J232" s="541">
        <v>0</v>
      </c>
      <c r="K232" s="541">
        <v>0</v>
      </c>
      <c r="L232" s="541">
        <v>0</v>
      </c>
      <c r="M232" s="541">
        <v>1551685</v>
      </c>
      <c r="N232" s="541">
        <f t="shared" ref="N232" si="91">M232</f>
        <v>1551685</v>
      </c>
      <c r="P232" s="25"/>
    </row>
    <row r="233" spans="1:16" ht="26.4">
      <c r="A233" s="236">
        <f>A232+1</f>
        <v>23</v>
      </c>
      <c r="B233" s="253" t="s">
        <v>188</v>
      </c>
      <c r="C233" s="249">
        <f>'часть 1'!H524</f>
        <v>23801.1</v>
      </c>
      <c r="D233" s="250">
        <f>'часть 1'!K524</f>
        <v>702</v>
      </c>
      <c r="E233" s="252">
        <v>0</v>
      </c>
      <c r="F233" s="252">
        <v>0</v>
      </c>
      <c r="G233" s="252">
        <v>0</v>
      </c>
      <c r="H233" s="252">
        <v>0</v>
      </c>
      <c r="I233" s="252">
        <f t="shared" si="76"/>
        <v>0</v>
      </c>
      <c r="J233" s="251">
        <v>0</v>
      </c>
      <c r="K233" s="251">
        <v>0</v>
      </c>
      <c r="L233" s="251">
        <f>'часть 1'!L524</f>
        <v>2447351.64</v>
      </c>
      <c r="M233" s="251">
        <v>0</v>
      </c>
      <c r="N233" s="251">
        <f>L233</f>
        <v>2447351.64</v>
      </c>
      <c r="P233" s="25"/>
    </row>
    <row r="234" spans="1:16" ht="26.4">
      <c r="A234" s="236">
        <f>A233+1</f>
        <v>24</v>
      </c>
      <c r="B234" s="253" t="s">
        <v>189</v>
      </c>
      <c r="C234" s="249">
        <f>'часть 1'!H527</f>
        <v>5460.1</v>
      </c>
      <c r="D234" s="250">
        <f>'часть 1'!K527</f>
        <v>132</v>
      </c>
      <c r="E234" s="252">
        <v>0</v>
      </c>
      <c r="F234" s="252">
        <v>0</v>
      </c>
      <c r="G234" s="252">
        <v>0</v>
      </c>
      <c r="H234" s="252">
        <v>1</v>
      </c>
      <c r="I234" s="252">
        <f t="shared" si="76"/>
        <v>1</v>
      </c>
      <c r="J234" s="251">
        <v>0</v>
      </c>
      <c r="K234" s="251">
        <v>0</v>
      </c>
      <c r="L234" s="251">
        <v>0</v>
      </c>
      <c r="M234" s="251">
        <f>'часть 1'!L527</f>
        <v>489343.64</v>
      </c>
      <c r="N234" s="251">
        <f>M234</f>
        <v>489343.64</v>
      </c>
      <c r="P234" s="25"/>
    </row>
    <row r="235" spans="1:16" ht="26.4">
      <c r="A235" s="236">
        <f>A234+1</f>
        <v>25</v>
      </c>
      <c r="B235" s="253" t="s">
        <v>589</v>
      </c>
      <c r="C235" s="249">
        <f>'часть 1'!H1401</f>
        <v>2818.6</v>
      </c>
      <c r="D235" s="250">
        <f>'часть 1'!K1401</f>
        <v>156</v>
      </c>
      <c r="E235" s="252">
        <v>0</v>
      </c>
      <c r="F235" s="252">
        <v>0</v>
      </c>
      <c r="G235" s="252">
        <v>1</v>
      </c>
      <c r="H235" s="252">
        <v>0</v>
      </c>
      <c r="I235" s="252">
        <f>H235+G235</f>
        <v>1</v>
      </c>
      <c r="J235" s="251">
        <v>0</v>
      </c>
      <c r="K235" s="251">
        <v>0</v>
      </c>
      <c r="L235" s="251">
        <v>2802982.3</v>
      </c>
      <c r="M235" s="251">
        <v>0</v>
      </c>
      <c r="N235" s="251">
        <v>2802982.3</v>
      </c>
      <c r="P235" s="25"/>
    </row>
    <row r="236" spans="1:16" ht="12.6" customHeight="1">
      <c r="A236" s="236"/>
      <c r="B236" s="255" t="s">
        <v>50</v>
      </c>
      <c r="C236" s="249">
        <f>C237</f>
        <v>7969.19</v>
      </c>
      <c r="D236" s="250">
        <f t="shared" ref="D236:N236" si="92">D237</f>
        <v>301</v>
      </c>
      <c r="E236" s="252">
        <f t="shared" si="92"/>
        <v>0</v>
      </c>
      <c r="F236" s="252">
        <f t="shared" si="92"/>
        <v>0</v>
      </c>
      <c r="G236" s="252">
        <f t="shared" si="92"/>
        <v>0</v>
      </c>
      <c r="H236" s="252">
        <f t="shared" si="92"/>
        <v>9</v>
      </c>
      <c r="I236" s="252">
        <f t="shared" si="76"/>
        <v>9</v>
      </c>
      <c r="J236" s="251">
        <f t="shared" si="92"/>
        <v>0</v>
      </c>
      <c r="K236" s="251">
        <f t="shared" si="92"/>
        <v>0</v>
      </c>
      <c r="L236" s="251">
        <f t="shared" si="92"/>
        <v>0</v>
      </c>
      <c r="M236" s="251">
        <f t="shared" si="92"/>
        <v>13218958</v>
      </c>
      <c r="N236" s="251">
        <f t="shared" si="92"/>
        <v>13218958</v>
      </c>
      <c r="O236" s="25"/>
      <c r="P236" s="25"/>
    </row>
    <row r="237" spans="1:16" ht="26.4">
      <c r="A237" s="236">
        <f>A235+1</f>
        <v>26</v>
      </c>
      <c r="B237" s="253" t="s">
        <v>106</v>
      </c>
      <c r="C237" s="249">
        <f>'часть 1'!H1404</f>
        <v>7969.19</v>
      </c>
      <c r="D237" s="250">
        <f>'часть 1'!K1404</f>
        <v>301</v>
      </c>
      <c r="E237" s="252">
        <v>0</v>
      </c>
      <c r="F237" s="252">
        <v>0</v>
      </c>
      <c r="G237" s="252">
        <v>0</v>
      </c>
      <c r="H237" s="252">
        <v>9</v>
      </c>
      <c r="I237" s="252">
        <f t="shared" si="76"/>
        <v>9</v>
      </c>
      <c r="J237" s="251">
        <v>0</v>
      </c>
      <c r="K237" s="251">
        <v>0</v>
      </c>
      <c r="L237" s="251">
        <v>0</v>
      </c>
      <c r="M237" s="251">
        <f>'часть 1'!L1404</f>
        <v>13218958</v>
      </c>
      <c r="N237" s="251">
        <f>M237</f>
        <v>13218958</v>
      </c>
      <c r="P237" s="25"/>
    </row>
    <row r="238" spans="1:16">
      <c r="A238" s="236"/>
      <c r="B238" s="255" t="s">
        <v>51</v>
      </c>
      <c r="C238" s="249">
        <f>C239</f>
        <v>8727.8000000000011</v>
      </c>
      <c r="D238" s="250">
        <f t="shared" ref="D238:N238" si="93">D239</f>
        <v>328</v>
      </c>
      <c r="E238" s="252">
        <f t="shared" si="93"/>
        <v>0</v>
      </c>
      <c r="F238" s="252">
        <f t="shared" si="93"/>
        <v>0</v>
      </c>
      <c r="G238" s="252">
        <f t="shared" si="93"/>
        <v>0</v>
      </c>
      <c r="H238" s="252">
        <f t="shared" si="93"/>
        <v>7</v>
      </c>
      <c r="I238" s="252">
        <f t="shared" si="76"/>
        <v>7</v>
      </c>
      <c r="J238" s="251">
        <f t="shared" si="93"/>
        <v>0</v>
      </c>
      <c r="K238" s="251">
        <f t="shared" si="93"/>
        <v>0</v>
      </c>
      <c r="L238" s="251">
        <f t="shared" si="93"/>
        <v>0</v>
      </c>
      <c r="M238" s="251">
        <f t="shared" si="93"/>
        <v>10822736</v>
      </c>
      <c r="N238" s="251">
        <f t="shared" si="93"/>
        <v>10822736</v>
      </c>
      <c r="O238" s="25"/>
      <c r="P238" s="25"/>
    </row>
    <row r="239" spans="1:16" ht="26.4">
      <c r="A239" s="236">
        <f>A237+1</f>
        <v>27</v>
      </c>
      <c r="B239" s="253" t="s">
        <v>108</v>
      </c>
      <c r="C239" s="249">
        <f>'часть 1'!H1415</f>
        <v>8727.8000000000011</v>
      </c>
      <c r="D239" s="250">
        <f>'часть 1'!K1415</f>
        <v>328</v>
      </c>
      <c r="E239" s="252">
        <v>0</v>
      </c>
      <c r="F239" s="252">
        <v>0</v>
      </c>
      <c r="G239" s="252">
        <v>0</v>
      </c>
      <c r="H239" s="252">
        <v>7</v>
      </c>
      <c r="I239" s="252">
        <f t="shared" si="76"/>
        <v>7</v>
      </c>
      <c r="J239" s="251">
        <v>0</v>
      </c>
      <c r="K239" s="251">
        <v>0</v>
      </c>
      <c r="L239" s="251">
        <v>0</v>
      </c>
      <c r="M239" s="251">
        <f>'часть 1'!L1415</f>
        <v>10822736</v>
      </c>
      <c r="N239" s="251">
        <f>M239</f>
        <v>10822736</v>
      </c>
      <c r="P239" s="25"/>
    </row>
    <row r="240" spans="1:16" ht="26.4">
      <c r="A240" s="542"/>
      <c r="B240" s="543" t="s">
        <v>882</v>
      </c>
      <c r="C240" s="539">
        <f>'часть 1'!H1423</f>
        <v>1097.9000000000001</v>
      </c>
      <c r="D240" s="540">
        <f>'часть 1'!K1423</f>
        <v>43</v>
      </c>
      <c r="E240" s="533">
        <v>0</v>
      </c>
      <c r="F240" s="533">
        <v>0</v>
      </c>
      <c r="G240" s="533">
        <v>1</v>
      </c>
      <c r="H240" s="533">
        <v>1</v>
      </c>
      <c r="I240" s="533">
        <v>2</v>
      </c>
      <c r="J240" s="541">
        <v>0</v>
      </c>
      <c r="K240" s="541">
        <v>0</v>
      </c>
      <c r="L240" s="541">
        <v>1625233</v>
      </c>
      <c r="M240" s="541">
        <v>292645</v>
      </c>
      <c r="N240" s="541">
        <f>M240+L240+K240+J240</f>
        <v>1917878</v>
      </c>
      <c r="P240" s="25"/>
    </row>
    <row r="241" spans="1:16">
      <c r="A241" s="236"/>
      <c r="B241" s="255" t="s">
        <v>52</v>
      </c>
      <c r="C241" s="249">
        <f>C243+C242+C244</f>
        <v>2049.2000000000003</v>
      </c>
      <c r="D241" s="250">
        <f>D243+D242+D244</f>
        <v>62</v>
      </c>
      <c r="E241" s="252">
        <f>E243+E242</f>
        <v>0</v>
      </c>
      <c r="F241" s="252">
        <f t="shared" ref="F241:G241" si="94">F243+F242</f>
        <v>0</v>
      </c>
      <c r="G241" s="252">
        <f t="shared" si="94"/>
        <v>1</v>
      </c>
      <c r="H241" s="252">
        <f>H243+H242+H244</f>
        <v>2</v>
      </c>
      <c r="I241" s="252">
        <f t="shared" si="76"/>
        <v>3</v>
      </c>
      <c r="J241" s="251">
        <f t="shared" ref="J241:L241" si="95">J243</f>
        <v>0</v>
      </c>
      <c r="K241" s="251">
        <f t="shared" si="95"/>
        <v>0</v>
      </c>
      <c r="L241" s="251">
        <f t="shared" si="95"/>
        <v>0</v>
      </c>
      <c r="M241" s="251">
        <f>M243+M242+M244</f>
        <v>282612</v>
      </c>
      <c r="N241" s="251">
        <f>M241</f>
        <v>282612</v>
      </c>
      <c r="O241" s="25"/>
      <c r="P241" s="25"/>
    </row>
    <row r="242" spans="1:16" ht="26.4">
      <c r="A242" s="542">
        <f>A239+1</f>
        <v>28</v>
      </c>
      <c r="B242" s="543" t="s">
        <v>130</v>
      </c>
      <c r="C242" s="539">
        <v>747.7</v>
      </c>
      <c r="D242" s="540">
        <v>18</v>
      </c>
      <c r="E242" s="533">
        <v>0</v>
      </c>
      <c r="F242" s="533">
        <v>0</v>
      </c>
      <c r="G242" s="533">
        <v>1</v>
      </c>
      <c r="H242" s="533">
        <v>0</v>
      </c>
      <c r="I242" s="533">
        <f t="shared" si="76"/>
        <v>1</v>
      </c>
      <c r="J242" s="541">
        <v>0</v>
      </c>
      <c r="K242" s="541">
        <v>0</v>
      </c>
      <c r="L242" s="541">
        <v>2385226</v>
      </c>
      <c r="M242" s="541">
        <v>0</v>
      </c>
      <c r="N242" s="541">
        <f>M242+L242+K242+J242</f>
        <v>2385226</v>
      </c>
      <c r="O242" s="25"/>
      <c r="P242" s="25"/>
    </row>
    <row r="243" spans="1:16" ht="26.4">
      <c r="A243" s="236">
        <f>A242+1</f>
        <v>29</v>
      </c>
      <c r="B243" s="253" t="s">
        <v>109</v>
      </c>
      <c r="C243" s="249">
        <f>'часть 1'!H564</f>
        <v>778.6</v>
      </c>
      <c r="D243" s="250">
        <f>'часть 1'!K564</f>
        <v>28</v>
      </c>
      <c r="E243" s="252">
        <v>0</v>
      </c>
      <c r="F243" s="252">
        <v>0</v>
      </c>
      <c r="G243" s="252">
        <v>0</v>
      </c>
      <c r="H243" s="252">
        <v>1</v>
      </c>
      <c r="I243" s="252">
        <f t="shared" si="76"/>
        <v>1</v>
      </c>
      <c r="J243" s="251">
        <v>0</v>
      </c>
      <c r="K243" s="251">
        <v>0</v>
      </c>
      <c r="L243" s="251">
        <v>0</v>
      </c>
      <c r="M243" s="251">
        <v>201010</v>
      </c>
      <c r="N243" s="251">
        <f>M243</f>
        <v>201010</v>
      </c>
      <c r="P243" s="25"/>
    </row>
    <row r="244" spans="1:16" ht="26.4">
      <c r="A244" s="236">
        <f>A243+1</f>
        <v>30</v>
      </c>
      <c r="B244" s="253" t="s">
        <v>198</v>
      </c>
      <c r="C244" s="249">
        <f>'часть 1'!H566</f>
        <v>522.9</v>
      </c>
      <c r="D244" s="250">
        <f>'часть 1'!K566</f>
        <v>16</v>
      </c>
      <c r="E244" s="252">
        <v>0</v>
      </c>
      <c r="F244" s="252">
        <v>0</v>
      </c>
      <c r="G244" s="252">
        <v>0</v>
      </c>
      <c r="H244" s="252">
        <v>1</v>
      </c>
      <c r="I244" s="252">
        <f t="shared" si="76"/>
        <v>1</v>
      </c>
      <c r="J244" s="251">
        <v>0</v>
      </c>
      <c r="K244" s="251">
        <v>0</v>
      </c>
      <c r="L244" s="251">
        <v>0</v>
      </c>
      <c r="M244" s="251">
        <f>'часть 1'!L566</f>
        <v>81602</v>
      </c>
      <c r="N244" s="251">
        <f>M244</f>
        <v>81602</v>
      </c>
      <c r="P244" s="25"/>
    </row>
    <row r="245" spans="1:16">
      <c r="A245" s="236"/>
      <c r="B245" s="255" t="s">
        <v>53</v>
      </c>
      <c r="C245" s="249">
        <f>'часть 1'!H568+'часть 1'!H681</f>
        <v>772.5</v>
      </c>
      <c r="D245" s="250">
        <f>'часть 1'!K568+'часть 1'!K681</f>
        <v>19</v>
      </c>
      <c r="E245" s="252">
        <f t="shared" ref="E245:G245" si="96">E248+E250+E251+E246</f>
        <v>0</v>
      </c>
      <c r="F245" s="252">
        <f t="shared" si="96"/>
        <v>0</v>
      </c>
      <c r="G245" s="252">
        <f t="shared" si="96"/>
        <v>0</v>
      </c>
      <c r="H245" s="252">
        <f>H248+H250+H249+H251+H246+H247+H252</f>
        <v>18</v>
      </c>
      <c r="I245" s="252">
        <f t="shared" si="76"/>
        <v>18</v>
      </c>
      <c r="J245" s="251">
        <f t="shared" ref="J245:L245" si="97">J248+J250+J251+J246</f>
        <v>0</v>
      </c>
      <c r="K245" s="251">
        <f t="shared" si="97"/>
        <v>0</v>
      </c>
      <c r="L245" s="251">
        <f t="shared" si="97"/>
        <v>0</v>
      </c>
      <c r="M245" s="251" t="e">
        <f>M248+M250+M249+M251+M246+M247+M252</f>
        <v>#REF!</v>
      </c>
      <c r="N245" s="251" t="e">
        <f t="shared" ref="N245:N246" si="98">M245</f>
        <v>#REF!</v>
      </c>
      <c r="O245" s="25"/>
      <c r="P245" s="25"/>
    </row>
    <row r="246" spans="1:16" ht="26.25" customHeight="1">
      <c r="A246" s="542">
        <f>A244+1</f>
        <v>31</v>
      </c>
      <c r="B246" s="543" t="s">
        <v>88</v>
      </c>
      <c r="C246" s="539">
        <f>'часть 1'!H1435</f>
        <v>56547.399999999987</v>
      </c>
      <c r="D246" s="540">
        <f>'часть 1'!K1435</f>
        <v>1705</v>
      </c>
      <c r="E246" s="533">
        <v>0</v>
      </c>
      <c r="F246" s="533">
        <v>0</v>
      </c>
      <c r="G246" s="533">
        <v>0</v>
      </c>
      <c r="H246" s="533">
        <v>11</v>
      </c>
      <c r="I246" s="533">
        <f t="shared" si="76"/>
        <v>11</v>
      </c>
      <c r="J246" s="541">
        <v>0</v>
      </c>
      <c r="K246" s="541">
        <v>0</v>
      </c>
      <c r="L246" s="541">
        <v>0</v>
      </c>
      <c r="M246" s="541">
        <f>'часть 1'!L1435</f>
        <v>29036828</v>
      </c>
      <c r="N246" s="541">
        <f t="shared" si="98"/>
        <v>29036828</v>
      </c>
      <c r="P246" s="25"/>
    </row>
    <row r="247" spans="1:16" ht="26.25" customHeight="1">
      <c r="A247" s="542">
        <f t="shared" ref="A247:A252" si="99">A246+1</f>
        <v>32</v>
      </c>
      <c r="B247" s="543" t="s">
        <v>132</v>
      </c>
      <c r="C247" s="539">
        <f>'часть 1'!H1447</f>
        <v>834</v>
      </c>
      <c r="D247" s="540">
        <f>'часть 1'!K1447</f>
        <v>47</v>
      </c>
      <c r="E247" s="533">
        <v>0</v>
      </c>
      <c r="F247" s="533">
        <v>0</v>
      </c>
      <c r="G247" s="533">
        <v>0</v>
      </c>
      <c r="H247" s="533">
        <v>1</v>
      </c>
      <c r="I247" s="533">
        <f t="shared" si="76"/>
        <v>1</v>
      </c>
      <c r="J247" s="541">
        <v>0</v>
      </c>
      <c r="K247" s="541">
        <v>0</v>
      </c>
      <c r="L247" s="541">
        <v>0</v>
      </c>
      <c r="M247" s="541">
        <f>'часть 1'!L1447</f>
        <v>1854126</v>
      </c>
      <c r="N247" s="541">
        <f>M247</f>
        <v>1854126</v>
      </c>
      <c r="P247" s="25"/>
    </row>
    <row r="248" spans="1:16" ht="26.25" customHeight="1">
      <c r="A248" s="542">
        <f t="shared" si="99"/>
        <v>33</v>
      </c>
      <c r="B248" s="543" t="s">
        <v>110</v>
      </c>
      <c r="C248" s="539">
        <f>'часть 1'!H1450</f>
        <v>1394.2</v>
      </c>
      <c r="D248" s="540">
        <f>'часть 1'!K1450</f>
        <v>60</v>
      </c>
      <c r="E248" s="533">
        <v>0</v>
      </c>
      <c r="F248" s="533">
        <v>0</v>
      </c>
      <c r="G248" s="533">
        <v>0</v>
      </c>
      <c r="H248" s="533">
        <v>1</v>
      </c>
      <c r="I248" s="533">
        <f t="shared" si="76"/>
        <v>1</v>
      </c>
      <c r="J248" s="541">
        <v>0</v>
      </c>
      <c r="K248" s="541">
        <v>0</v>
      </c>
      <c r="L248" s="541">
        <v>0</v>
      </c>
      <c r="M248" s="541">
        <v>2569441</v>
      </c>
      <c r="N248" s="541">
        <f t="shared" ref="N248:N252" si="100">M248</f>
        <v>2569441</v>
      </c>
      <c r="P248" s="25"/>
    </row>
    <row r="249" spans="1:16" ht="26.25" customHeight="1">
      <c r="A249" s="542">
        <f t="shared" si="99"/>
        <v>34</v>
      </c>
      <c r="B249" s="543" t="s">
        <v>128</v>
      </c>
      <c r="C249" s="539">
        <f>'часть 1'!H1451</f>
        <v>12875.8</v>
      </c>
      <c r="D249" s="540">
        <f>'часть 1'!K1451</f>
        <v>521</v>
      </c>
      <c r="E249" s="533">
        <v>0</v>
      </c>
      <c r="F249" s="533">
        <v>0</v>
      </c>
      <c r="G249" s="533">
        <v>0</v>
      </c>
      <c r="H249" s="533">
        <v>3</v>
      </c>
      <c r="I249" s="533">
        <f t="shared" si="76"/>
        <v>3</v>
      </c>
      <c r="J249" s="541">
        <v>0</v>
      </c>
      <c r="K249" s="541">
        <v>0</v>
      </c>
      <c r="L249" s="541">
        <v>0</v>
      </c>
      <c r="M249" s="541">
        <f>'часть 1'!L1451</f>
        <v>9681670</v>
      </c>
      <c r="N249" s="541">
        <f t="shared" si="100"/>
        <v>9681670</v>
      </c>
      <c r="P249" s="25"/>
    </row>
    <row r="250" spans="1:16" ht="26.4">
      <c r="A250" s="236">
        <f t="shared" si="99"/>
        <v>35</v>
      </c>
      <c r="B250" s="253" t="s">
        <v>994</v>
      </c>
      <c r="C250" s="249">
        <f>'часть 1'!H1458</f>
        <v>0</v>
      </c>
      <c r="D250" s="250">
        <v>0</v>
      </c>
      <c r="E250" s="252">
        <v>0</v>
      </c>
      <c r="F250" s="252">
        <v>0</v>
      </c>
      <c r="G250" s="252">
        <v>0</v>
      </c>
      <c r="H250" s="252">
        <v>0</v>
      </c>
      <c r="I250" s="252">
        <f t="shared" si="76"/>
        <v>0</v>
      </c>
      <c r="J250" s="251">
        <v>0</v>
      </c>
      <c r="K250" s="251">
        <v>0</v>
      </c>
      <c r="L250" s="251">
        <v>0</v>
      </c>
      <c r="M250" s="251">
        <v>0</v>
      </c>
      <c r="N250" s="251">
        <f t="shared" si="100"/>
        <v>0</v>
      </c>
      <c r="P250" s="25"/>
    </row>
    <row r="251" spans="1:16" ht="27.75" customHeight="1">
      <c r="A251" s="236">
        <f t="shared" si="99"/>
        <v>36</v>
      </c>
      <c r="B251" s="253" t="s">
        <v>111</v>
      </c>
      <c r="C251" s="249" t="e">
        <f>'часть 1'!#REF!</f>
        <v>#REF!</v>
      </c>
      <c r="D251" s="250" t="e">
        <f>'часть 1'!#REF!</f>
        <v>#REF!</v>
      </c>
      <c r="E251" s="252">
        <v>0</v>
      </c>
      <c r="F251" s="252">
        <v>0</v>
      </c>
      <c r="G251" s="252">
        <v>0</v>
      </c>
      <c r="H251" s="252">
        <v>1</v>
      </c>
      <c r="I251" s="252">
        <f t="shared" si="76"/>
        <v>1</v>
      </c>
      <c r="J251" s="251">
        <v>0</v>
      </c>
      <c r="K251" s="251">
        <v>0</v>
      </c>
      <c r="L251" s="251">
        <v>0</v>
      </c>
      <c r="M251" s="251" t="e">
        <f>'часть 1'!#REF!</f>
        <v>#REF!</v>
      </c>
      <c r="N251" s="251" t="e">
        <f t="shared" si="100"/>
        <v>#REF!</v>
      </c>
      <c r="P251" s="25"/>
    </row>
    <row r="252" spans="1:16" ht="27.75" customHeight="1">
      <c r="A252" s="542">
        <f t="shared" si="99"/>
        <v>37</v>
      </c>
      <c r="B252" s="543" t="s">
        <v>129</v>
      </c>
      <c r="C252" s="539">
        <f>'часть 1'!H1461</f>
        <v>1039.2</v>
      </c>
      <c r="D252" s="540">
        <f>'часть 1'!K1461</f>
        <v>48</v>
      </c>
      <c r="E252" s="533">
        <v>0</v>
      </c>
      <c r="F252" s="533">
        <v>0</v>
      </c>
      <c r="G252" s="533">
        <v>0</v>
      </c>
      <c r="H252" s="533">
        <v>1</v>
      </c>
      <c r="I252" s="533">
        <f t="shared" si="76"/>
        <v>1</v>
      </c>
      <c r="J252" s="541">
        <v>0</v>
      </c>
      <c r="K252" s="541">
        <v>0</v>
      </c>
      <c r="L252" s="541">
        <v>0</v>
      </c>
      <c r="M252" s="541">
        <f>'часть 1'!L1461</f>
        <v>1586995</v>
      </c>
      <c r="N252" s="541">
        <f t="shared" si="100"/>
        <v>1586995</v>
      </c>
      <c r="P252" s="25"/>
    </row>
    <row r="253" spans="1:16">
      <c r="A253" s="236"/>
      <c r="B253" s="255" t="s">
        <v>54</v>
      </c>
      <c r="C253" s="249">
        <f>C254</f>
        <v>0</v>
      </c>
      <c r="D253" s="250">
        <f t="shared" ref="D253:N253" si="101">D254</f>
        <v>0</v>
      </c>
      <c r="E253" s="252">
        <f t="shared" si="101"/>
        <v>0</v>
      </c>
      <c r="F253" s="252">
        <f t="shared" si="101"/>
        <v>0</v>
      </c>
      <c r="G253" s="252">
        <f t="shared" si="101"/>
        <v>0</v>
      </c>
      <c r="H253" s="252" t="e">
        <f t="shared" si="101"/>
        <v>#REF!</v>
      </c>
      <c r="I253" s="252" t="e">
        <f t="shared" si="76"/>
        <v>#REF!</v>
      </c>
      <c r="J253" s="251">
        <f t="shared" si="101"/>
        <v>0</v>
      </c>
      <c r="K253" s="251">
        <f t="shared" si="101"/>
        <v>0</v>
      </c>
      <c r="L253" s="251">
        <f t="shared" si="101"/>
        <v>0</v>
      </c>
      <c r="M253" s="251">
        <f t="shared" si="101"/>
        <v>336230870.63</v>
      </c>
      <c r="N253" s="251">
        <f t="shared" si="101"/>
        <v>336230870.63</v>
      </c>
      <c r="O253" s="25"/>
      <c r="P253" s="25"/>
    </row>
    <row r="254" spans="1:16" ht="26.4">
      <c r="A254" s="236">
        <f>A252+1</f>
        <v>38</v>
      </c>
      <c r="B254" s="253" t="s">
        <v>112</v>
      </c>
      <c r="C254" s="249">
        <f>'часть 1'!H584</f>
        <v>0</v>
      </c>
      <c r="D254" s="250">
        <f>'часть 1'!K584</f>
        <v>0</v>
      </c>
      <c r="E254" s="252">
        <v>0</v>
      </c>
      <c r="F254" s="252">
        <v>0</v>
      </c>
      <c r="G254" s="252">
        <v>0</v>
      </c>
      <c r="H254" s="252" t="e">
        <f>'часть 2'!#REF!</f>
        <v>#REF!</v>
      </c>
      <c r="I254" s="252" t="e">
        <f t="shared" si="76"/>
        <v>#REF!</v>
      </c>
      <c r="J254" s="251">
        <v>0</v>
      </c>
      <c r="K254" s="251">
        <v>0</v>
      </c>
      <c r="L254" s="251">
        <v>0</v>
      </c>
      <c r="M254" s="251">
        <f>'часть 1'!L584</f>
        <v>336230870.63</v>
      </c>
      <c r="N254" s="251">
        <f>M254</f>
        <v>336230870.63</v>
      </c>
      <c r="P254" s="25"/>
    </row>
    <row r="255" spans="1:16">
      <c r="A255" s="236"/>
      <c r="B255" s="255" t="s">
        <v>55</v>
      </c>
      <c r="C255" s="249">
        <f>C256</f>
        <v>988.7</v>
      </c>
      <c r="D255" s="249">
        <f t="shared" ref="D255:N255" si="102">D256</f>
        <v>17</v>
      </c>
      <c r="E255" s="249">
        <f t="shared" si="102"/>
        <v>0</v>
      </c>
      <c r="F255" s="249">
        <f t="shared" si="102"/>
        <v>0</v>
      </c>
      <c r="G255" s="249">
        <f t="shared" si="102"/>
        <v>1</v>
      </c>
      <c r="H255" s="249">
        <f t="shared" si="102"/>
        <v>0</v>
      </c>
      <c r="I255" s="249">
        <f t="shared" si="102"/>
        <v>1</v>
      </c>
      <c r="J255" s="251">
        <f t="shared" si="102"/>
        <v>0</v>
      </c>
      <c r="K255" s="251">
        <f t="shared" si="102"/>
        <v>0</v>
      </c>
      <c r="L255" s="251">
        <f t="shared" si="102"/>
        <v>2451868</v>
      </c>
      <c r="M255" s="251">
        <f t="shared" si="102"/>
        <v>0</v>
      </c>
      <c r="N255" s="251">
        <f t="shared" si="102"/>
        <v>2451868</v>
      </c>
      <c r="O255" s="25"/>
      <c r="P255" s="25"/>
    </row>
    <row r="256" spans="1:16" ht="26.4">
      <c r="A256" s="542">
        <v>38</v>
      </c>
      <c r="B256" s="543" t="s">
        <v>590</v>
      </c>
      <c r="C256" s="539">
        <v>988.7</v>
      </c>
      <c r="D256" s="540">
        <v>17</v>
      </c>
      <c r="E256" s="533">
        <v>0</v>
      </c>
      <c r="F256" s="533">
        <v>0</v>
      </c>
      <c r="G256" s="533">
        <v>1</v>
      </c>
      <c r="H256" s="533">
        <v>0</v>
      </c>
      <c r="I256" s="533">
        <f t="shared" si="76"/>
        <v>1</v>
      </c>
      <c r="J256" s="541">
        <v>0</v>
      </c>
      <c r="K256" s="541">
        <v>0</v>
      </c>
      <c r="L256" s="541">
        <v>2451868</v>
      </c>
      <c r="M256" s="541">
        <v>0</v>
      </c>
      <c r="N256" s="541">
        <f>M256+L256+K256+J256</f>
        <v>2451868</v>
      </c>
      <c r="P256" s="25"/>
    </row>
    <row r="257" spans="1:16">
      <c r="A257" s="236"/>
      <c r="B257" s="255" t="s">
        <v>56</v>
      </c>
      <c r="C257" s="249">
        <f>'часть 1'!H593</f>
        <v>0</v>
      </c>
      <c r="D257" s="250">
        <f>'часть 1'!K593</f>
        <v>0</v>
      </c>
      <c r="E257" s="252">
        <f t="shared" ref="E257:H257" si="103">E258+E259+E260</f>
        <v>0</v>
      </c>
      <c r="F257" s="252">
        <f t="shared" si="103"/>
        <v>1</v>
      </c>
      <c r="G257" s="252">
        <f t="shared" si="103"/>
        <v>0</v>
      </c>
      <c r="H257" s="252">
        <f t="shared" si="103"/>
        <v>6</v>
      </c>
      <c r="I257" s="252">
        <f t="shared" si="76"/>
        <v>6</v>
      </c>
      <c r="J257" s="251">
        <f t="shared" ref="J257:L257" si="104">J258+J259+J260</f>
        <v>0</v>
      </c>
      <c r="K257" s="251">
        <f t="shared" si="104"/>
        <v>588419</v>
      </c>
      <c r="L257" s="251">
        <f t="shared" si="104"/>
        <v>0</v>
      </c>
      <c r="M257" s="251">
        <f>M258+M259+M260</f>
        <v>11293784</v>
      </c>
      <c r="N257" s="251">
        <f t="shared" ref="N257" si="105">N258+N259+N260</f>
        <v>11882203</v>
      </c>
      <c r="O257" s="25"/>
      <c r="P257" s="25"/>
    </row>
    <row r="258" spans="1:16" ht="26.4">
      <c r="A258" s="542">
        <v>39</v>
      </c>
      <c r="B258" s="543" t="s">
        <v>424</v>
      </c>
      <c r="C258" s="539">
        <f>'часть 1'!H1477</f>
        <v>4232.5</v>
      </c>
      <c r="D258" s="540">
        <f>'часть 1'!K1477</f>
        <v>175</v>
      </c>
      <c r="E258" s="533">
        <v>0</v>
      </c>
      <c r="F258" s="533">
        <v>0</v>
      </c>
      <c r="G258" s="533">
        <v>0</v>
      </c>
      <c r="H258" s="533">
        <v>5</v>
      </c>
      <c r="I258" s="533">
        <f t="shared" si="76"/>
        <v>5</v>
      </c>
      <c r="J258" s="541">
        <v>0</v>
      </c>
      <c r="K258" s="541">
        <v>0</v>
      </c>
      <c r="L258" s="541">
        <v>0</v>
      </c>
      <c r="M258" s="541">
        <f>'часть 1'!L1477</f>
        <v>9225003</v>
      </c>
      <c r="N258" s="541">
        <f>M258</f>
        <v>9225003</v>
      </c>
      <c r="P258" s="25"/>
    </row>
    <row r="259" spans="1:16" ht="26.4">
      <c r="A259" s="236">
        <v>40</v>
      </c>
      <c r="B259" s="253" t="s">
        <v>121</v>
      </c>
      <c r="C259" s="249">
        <f>'часть 1'!H1483</f>
        <v>3954</v>
      </c>
      <c r="D259" s="250">
        <f>'часть 1'!K1483</f>
        <v>93</v>
      </c>
      <c r="E259" s="252">
        <v>0</v>
      </c>
      <c r="F259" s="252">
        <v>0</v>
      </c>
      <c r="G259" s="252">
        <v>0</v>
      </c>
      <c r="H259" s="252">
        <v>1</v>
      </c>
      <c r="I259" s="252">
        <f t="shared" si="76"/>
        <v>1</v>
      </c>
      <c r="J259" s="251">
        <v>0</v>
      </c>
      <c r="K259" s="251">
        <v>0</v>
      </c>
      <c r="L259" s="251">
        <v>0</v>
      </c>
      <c r="M259" s="251">
        <f>'часть 1'!L1483</f>
        <v>2068781</v>
      </c>
      <c r="N259" s="251">
        <f>M259</f>
        <v>2068781</v>
      </c>
      <c r="O259" s="25"/>
      <c r="P259" s="25"/>
    </row>
    <row r="260" spans="1:16" ht="26.4">
      <c r="A260" s="236">
        <v>41</v>
      </c>
      <c r="B260" s="253" t="s">
        <v>807</v>
      </c>
      <c r="C260" s="249">
        <f>'часть 1'!H1485</f>
        <v>654.20000000000005</v>
      </c>
      <c r="D260" s="250">
        <f>'часть 1'!K1485</f>
        <v>36</v>
      </c>
      <c r="E260" s="252">
        <v>0</v>
      </c>
      <c r="F260" s="252">
        <v>1</v>
      </c>
      <c r="G260" s="252">
        <v>0</v>
      </c>
      <c r="H260" s="252">
        <v>0</v>
      </c>
      <c r="I260" s="252">
        <v>1</v>
      </c>
      <c r="J260" s="251">
        <v>0</v>
      </c>
      <c r="K260" s="251">
        <v>588419</v>
      </c>
      <c r="L260" s="251">
        <v>0</v>
      </c>
      <c r="M260" s="251">
        <v>0</v>
      </c>
      <c r="N260" s="251">
        <f>K260</f>
        <v>588419</v>
      </c>
      <c r="O260" s="25"/>
      <c r="P260" s="25"/>
    </row>
    <row r="261" spans="1:16">
      <c r="A261" s="236"/>
      <c r="B261" s="255" t="s">
        <v>57</v>
      </c>
      <c r="C261" s="249">
        <f>C262</f>
        <v>821.12</v>
      </c>
      <c r="D261" s="250">
        <f t="shared" ref="D261:L261" si="106">D262</f>
        <v>21</v>
      </c>
      <c r="E261" s="252">
        <f t="shared" si="106"/>
        <v>0</v>
      </c>
      <c r="F261" s="252">
        <f t="shared" si="106"/>
        <v>0</v>
      </c>
      <c r="G261" s="252">
        <f t="shared" si="106"/>
        <v>0</v>
      </c>
      <c r="H261" s="252">
        <f t="shared" si="106"/>
        <v>1</v>
      </c>
      <c r="I261" s="252">
        <f t="shared" si="76"/>
        <v>1</v>
      </c>
      <c r="J261" s="251">
        <f t="shared" si="106"/>
        <v>0</v>
      </c>
      <c r="K261" s="251">
        <f t="shared" si="106"/>
        <v>0</v>
      </c>
      <c r="L261" s="251">
        <f t="shared" si="106"/>
        <v>0</v>
      </c>
      <c r="M261" s="251">
        <f>M262</f>
        <v>1788296</v>
      </c>
      <c r="N261" s="251">
        <f>N262</f>
        <v>1788296</v>
      </c>
      <c r="P261" s="25"/>
    </row>
    <row r="262" spans="1:16" ht="26.4">
      <c r="A262" s="236">
        <v>42</v>
      </c>
      <c r="B262" s="253" t="s">
        <v>119</v>
      </c>
      <c r="C262" s="249">
        <f>'часть 1'!H1488</f>
        <v>821.12</v>
      </c>
      <c r="D262" s="250">
        <f>'часть 1'!K1488</f>
        <v>21</v>
      </c>
      <c r="E262" s="252">
        <v>0</v>
      </c>
      <c r="F262" s="252">
        <v>0</v>
      </c>
      <c r="G262" s="252">
        <v>0</v>
      </c>
      <c r="H262" s="252">
        <v>1</v>
      </c>
      <c r="I262" s="252">
        <f t="shared" si="76"/>
        <v>1</v>
      </c>
      <c r="J262" s="251">
        <v>0</v>
      </c>
      <c r="K262" s="251">
        <v>0</v>
      </c>
      <c r="L262" s="251">
        <v>0</v>
      </c>
      <c r="M262" s="251">
        <f>'часть 1'!L1488</f>
        <v>1788296</v>
      </c>
      <c r="N262" s="251">
        <f>M262</f>
        <v>1788296</v>
      </c>
      <c r="P262" s="25"/>
    </row>
    <row r="263" spans="1:16">
      <c r="A263" s="236"/>
      <c r="B263" s="255" t="s">
        <v>58</v>
      </c>
      <c r="C263" s="249">
        <f>C264</f>
        <v>0</v>
      </c>
      <c r="D263" s="250">
        <f>'часть 1'!K613+'часть 1'!K690</f>
        <v>0</v>
      </c>
      <c r="E263" s="252">
        <f t="shared" ref="E263:N263" si="107">E264</f>
        <v>0</v>
      </c>
      <c r="F263" s="252">
        <f t="shared" si="107"/>
        <v>0</v>
      </c>
      <c r="G263" s="252">
        <f t="shared" si="107"/>
        <v>0</v>
      </c>
      <c r="H263" s="252" t="e">
        <f t="shared" si="107"/>
        <v>#REF!</v>
      </c>
      <c r="I263" s="252" t="e">
        <f t="shared" si="76"/>
        <v>#REF!</v>
      </c>
      <c r="J263" s="251">
        <f t="shared" si="107"/>
        <v>0</v>
      </c>
      <c r="K263" s="251">
        <f t="shared" si="107"/>
        <v>0</v>
      </c>
      <c r="L263" s="251">
        <f t="shared" si="107"/>
        <v>0</v>
      </c>
      <c r="M263" s="251">
        <f t="shared" si="107"/>
        <v>869880</v>
      </c>
      <c r="N263" s="251">
        <f t="shared" si="107"/>
        <v>869880</v>
      </c>
      <c r="P263" s="25"/>
    </row>
    <row r="264" spans="1:16" ht="27.75" customHeight="1">
      <c r="A264" s="236">
        <v>43</v>
      </c>
      <c r="B264" s="253" t="s">
        <v>87</v>
      </c>
      <c r="C264" s="249">
        <f>'часть 1'!H613+'часть 1'!H691</f>
        <v>0</v>
      </c>
      <c r="D264" s="250">
        <f>'часть 1'!K691+'часть 1'!K614</f>
        <v>0</v>
      </c>
      <c r="E264" s="252">
        <v>0</v>
      </c>
      <c r="F264" s="252">
        <v>0</v>
      </c>
      <c r="G264" s="252">
        <v>0</v>
      </c>
      <c r="H264" s="252" t="e">
        <f>'часть 2'!#REF!</f>
        <v>#REF!</v>
      </c>
      <c r="I264" s="252" t="e">
        <f t="shared" si="76"/>
        <v>#REF!</v>
      </c>
      <c r="J264" s="251">
        <v>0</v>
      </c>
      <c r="K264" s="251">
        <v>0</v>
      </c>
      <c r="L264" s="251">
        <v>0</v>
      </c>
      <c r="M264" s="251">
        <f>'часть 2'!C608</f>
        <v>869880</v>
      </c>
      <c r="N264" s="251">
        <f>M264</f>
        <v>869880</v>
      </c>
      <c r="P264" s="25"/>
    </row>
    <row r="265" spans="1:16" ht="25.2" customHeight="1">
      <c r="A265" s="542"/>
      <c r="B265" s="547" t="s">
        <v>59</v>
      </c>
      <c r="C265" s="539">
        <f>C266+C267</f>
        <v>0</v>
      </c>
      <c r="D265" s="539">
        <f t="shared" ref="D265:N265" si="108">D266+D267</f>
        <v>0</v>
      </c>
      <c r="E265" s="539">
        <f t="shared" si="108"/>
        <v>0</v>
      </c>
      <c r="F265" s="539">
        <f t="shared" si="108"/>
        <v>0</v>
      </c>
      <c r="G265" s="539">
        <f t="shared" si="108"/>
        <v>0</v>
      </c>
      <c r="H265" s="539">
        <f t="shared" si="108"/>
        <v>0</v>
      </c>
      <c r="I265" s="539">
        <f t="shared" si="108"/>
        <v>0</v>
      </c>
      <c r="J265" s="541">
        <f t="shared" si="108"/>
        <v>0</v>
      </c>
      <c r="K265" s="541">
        <f t="shared" si="108"/>
        <v>0</v>
      </c>
      <c r="L265" s="541">
        <f t="shared" si="108"/>
        <v>0</v>
      </c>
      <c r="M265" s="541">
        <f t="shared" si="108"/>
        <v>0</v>
      </c>
      <c r="N265" s="541">
        <f t="shared" si="108"/>
        <v>0</v>
      </c>
      <c r="P265" s="25"/>
    </row>
    <row r="266" spans="1:16" ht="26.4">
      <c r="A266" s="542">
        <v>44</v>
      </c>
      <c r="B266" s="543" t="s">
        <v>86</v>
      </c>
      <c r="C266" s="539">
        <v>0</v>
      </c>
      <c r="D266" s="540">
        <v>0</v>
      </c>
      <c r="E266" s="533">
        <v>0</v>
      </c>
      <c r="F266" s="533">
        <v>0</v>
      </c>
      <c r="G266" s="533">
        <v>0</v>
      </c>
      <c r="H266" s="533">
        <v>0</v>
      </c>
      <c r="I266" s="533">
        <v>0</v>
      </c>
      <c r="J266" s="541">
        <v>0</v>
      </c>
      <c r="K266" s="541">
        <v>0</v>
      </c>
      <c r="L266" s="541">
        <v>0</v>
      </c>
      <c r="M266" s="541">
        <v>0</v>
      </c>
      <c r="N266" s="541">
        <f>M266</f>
        <v>0</v>
      </c>
      <c r="P266" s="25"/>
    </row>
    <row r="267" spans="1:16" ht="26.4">
      <c r="A267" s="542">
        <v>45</v>
      </c>
      <c r="B267" s="543" t="s">
        <v>85</v>
      </c>
      <c r="C267" s="539">
        <v>0</v>
      </c>
      <c r="D267" s="540">
        <v>0</v>
      </c>
      <c r="E267" s="533">
        <v>0</v>
      </c>
      <c r="F267" s="533">
        <v>0</v>
      </c>
      <c r="G267" s="533">
        <v>0</v>
      </c>
      <c r="H267" s="533">
        <v>0</v>
      </c>
      <c r="I267" s="533">
        <v>0</v>
      </c>
      <c r="J267" s="541">
        <v>0</v>
      </c>
      <c r="K267" s="541">
        <v>0</v>
      </c>
      <c r="L267" s="541">
        <v>0</v>
      </c>
      <c r="M267" s="541">
        <v>0</v>
      </c>
      <c r="N267" s="541">
        <f>M267</f>
        <v>0</v>
      </c>
      <c r="P267" s="25"/>
    </row>
    <row r="268" spans="1:16">
      <c r="A268" s="236"/>
      <c r="B268" s="255" t="s">
        <v>60</v>
      </c>
      <c r="C268" s="249">
        <f>'часть 1'!H624</f>
        <v>0</v>
      </c>
      <c r="D268" s="250">
        <f>'часть 1'!K624</f>
        <v>0</v>
      </c>
      <c r="E268" s="252">
        <f t="shared" ref="E268:N268" si="109">E270</f>
        <v>0</v>
      </c>
      <c r="F268" s="252">
        <f t="shared" si="109"/>
        <v>2</v>
      </c>
      <c r="G268" s="252">
        <f t="shared" si="109"/>
        <v>2</v>
      </c>
      <c r="H268" s="252">
        <f t="shared" si="109"/>
        <v>0</v>
      </c>
      <c r="I268" s="252">
        <f t="shared" ref="I268:I273" si="110">H268+G268</f>
        <v>2</v>
      </c>
      <c r="J268" s="251">
        <f t="shared" si="109"/>
        <v>0</v>
      </c>
      <c r="K268" s="251">
        <f t="shared" si="109"/>
        <v>1585646</v>
      </c>
      <c r="L268" s="251">
        <f t="shared" si="109"/>
        <v>2750663</v>
      </c>
      <c r="M268" s="251">
        <f t="shared" si="109"/>
        <v>0</v>
      </c>
      <c r="N268" s="251">
        <f t="shared" si="109"/>
        <v>4336309</v>
      </c>
      <c r="P268" s="25"/>
    </row>
    <row r="269" spans="1:16">
      <c r="A269" s="542"/>
      <c r="B269" s="547" t="s">
        <v>208</v>
      </c>
      <c r="C269" s="539">
        <f>'часть 1'!H1507</f>
        <v>340.3</v>
      </c>
      <c r="D269" s="540">
        <f>'часть 1'!K1507</f>
        <v>14</v>
      </c>
      <c r="E269" s="533">
        <v>0</v>
      </c>
      <c r="F269" s="533">
        <v>0</v>
      </c>
      <c r="G269" s="533">
        <v>0</v>
      </c>
      <c r="H269" s="533">
        <v>1</v>
      </c>
      <c r="I269" s="533">
        <f t="shared" si="110"/>
        <v>1</v>
      </c>
      <c r="J269" s="541">
        <v>0</v>
      </c>
      <c r="K269" s="541">
        <v>0</v>
      </c>
      <c r="L269" s="541">
        <v>0</v>
      </c>
      <c r="M269" s="541">
        <v>512860</v>
      </c>
      <c r="N269" s="541">
        <f>M269+L269+K269+J269</f>
        <v>512860</v>
      </c>
      <c r="P269" s="25"/>
    </row>
    <row r="270" spans="1:16">
      <c r="A270" s="542">
        <v>46</v>
      </c>
      <c r="B270" s="543" t="s">
        <v>61</v>
      </c>
      <c r="C270" s="539">
        <v>2833.3</v>
      </c>
      <c r="D270" s="540">
        <v>119</v>
      </c>
      <c r="E270" s="533">
        <v>0</v>
      </c>
      <c r="F270" s="533">
        <v>2</v>
      </c>
      <c r="G270" s="533">
        <v>2</v>
      </c>
      <c r="H270" s="533">
        <v>0</v>
      </c>
      <c r="I270" s="533">
        <f>H270+G270+F270+E270</f>
        <v>4</v>
      </c>
      <c r="J270" s="541">
        <v>0</v>
      </c>
      <c r="K270" s="541">
        <v>1585646</v>
      </c>
      <c r="L270" s="541">
        <v>2750663</v>
      </c>
      <c r="M270" s="541">
        <v>0</v>
      </c>
      <c r="N270" s="541">
        <f>M270+L270+K270+J270</f>
        <v>4336309</v>
      </c>
      <c r="P270" s="25"/>
    </row>
    <row r="271" spans="1:16">
      <c r="A271" s="236"/>
      <c r="B271" s="255" t="s">
        <v>649</v>
      </c>
      <c r="C271" s="249">
        <v>952.2</v>
      </c>
      <c r="D271" s="250">
        <v>41</v>
      </c>
      <c r="E271" s="252">
        <v>0</v>
      </c>
      <c r="F271" s="252">
        <v>0</v>
      </c>
      <c r="G271" s="252">
        <v>1</v>
      </c>
      <c r="H271" s="252">
        <v>0</v>
      </c>
      <c r="I271" s="252">
        <v>1</v>
      </c>
      <c r="J271" s="251">
        <v>0</v>
      </c>
      <c r="K271" s="251">
        <v>0</v>
      </c>
      <c r="L271" s="251">
        <v>1490380</v>
      </c>
      <c r="M271" s="251">
        <v>0</v>
      </c>
      <c r="N271" s="251">
        <v>1490380</v>
      </c>
      <c r="P271" s="25"/>
    </row>
    <row r="272" spans="1:16">
      <c r="A272" s="542">
        <v>47</v>
      </c>
      <c r="B272" s="543" t="s">
        <v>62</v>
      </c>
      <c r="C272" s="539">
        <f>'часть 1'!H1520</f>
        <v>445.14</v>
      </c>
      <c r="D272" s="540">
        <v>18</v>
      </c>
      <c r="E272" s="533">
        <v>0</v>
      </c>
      <c r="F272" s="533">
        <v>0</v>
      </c>
      <c r="G272" s="533">
        <v>1</v>
      </c>
      <c r="H272" s="533">
        <v>0</v>
      </c>
      <c r="I272" s="533">
        <f t="shared" si="110"/>
        <v>1</v>
      </c>
      <c r="J272" s="541">
        <v>0</v>
      </c>
      <c r="K272" s="541">
        <v>0</v>
      </c>
      <c r="L272" s="541">
        <v>1175875</v>
      </c>
      <c r="M272" s="541">
        <v>0</v>
      </c>
      <c r="N272" s="541">
        <f>M272+L272+K272+J272</f>
        <v>1175875</v>
      </c>
      <c r="P272" s="25"/>
    </row>
    <row r="273" spans="1:16">
      <c r="A273" s="236"/>
      <c r="B273" s="255" t="s">
        <v>211</v>
      </c>
      <c r="C273" s="249">
        <f>'часть 1'!H1533</f>
        <v>2953.2000000000003</v>
      </c>
      <c r="D273" s="250">
        <f>'часть 1'!K1533</f>
        <v>85</v>
      </c>
      <c r="E273" s="252">
        <f>E277</f>
        <v>0</v>
      </c>
      <c r="F273" s="252">
        <f>F277</f>
        <v>0</v>
      </c>
      <c r="G273" s="252">
        <f>G277</f>
        <v>0</v>
      </c>
      <c r="H273" s="250">
        <v>2</v>
      </c>
      <c r="I273" s="252">
        <f t="shared" si="110"/>
        <v>2</v>
      </c>
      <c r="J273" s="251">
        <f>J277</f>
        <v>0</v>
      </c>
      <c r="K273" s="251">
        <f>K277</f>
        <v>0</v>
      </c>
      <c r="L273" s="251">
        <f>L277</f>
        <v>0</v>
      </c>
      <c r="M273" s="251">
        <f>'часть 1'!L1533</f>
        <v>3398521</v>
      </c>
      <c r="N273" s="251">
        <f>M273+L273+K273+J273</f>
        <v>3398521</v>
      </c>
      <c r="P273" s="25"/>
    </row>
    <row r="274" spans="1:16">
      <c r="A274" s="542"/>
      <c r="B274" s="547" t="s">
        <v>63</v>
      </c>
      <c r="C274" s="539">
        <f>'часть 1'!H1522</f>
        <v>571.1</v>
      </c>
      <c r="D274" s="540">
        <f>'часть 1'!K1522</f>
        <v>28</v>
      </c>
      <c r="E274" s="533">
        <v>0</v>
      </c>
      <c r="F274" s="533">
        <v>0</v>
      </c>
      <c r="G274" s="533">
        <v>0</v>
      </c>
      <c r="H274" s="540">
        <v>1</v>
      </c>
      <c r="I274" s="533">
        <v>1</v>
      </c>
      <c r="J274" s="541">
        <v>0</v>
      </c>
      <c r="K274" s="541">
        <v>0</v>
      </c>
      <c r="L274" s="541">
        <v>0</v>
      </c>
      <c r="M274" s="541">
        <v>1608623</v>
      </c>
      <c r="N274" s="541">
        <f>M274+L274+K274+J274</f>
        <v>1608623</v>
      </c>
      <c r="P274" s="25"/>
    </row>
    <row r="275" spans="1:16">
      <c r="A275" s="542"/>
      <c r="B275" s="547" t="s">
        <v>663</v>
      </c>
      <c r="C275" s="539">
        <f>C276</f>
        <v>783.2</v>
      </c>
      <c r="D275" s="539">
        <f t="shared" ref="D275:N275" si="111">D276</f>
        <v>32</v>
      </c>
      <c r="E275" s="539">
        <f t="shared" si="111"/>
        <v>0</v>
      </c>
      <c r="F275" s="539">
        <f t="shared" si="111"/>
        <v>0</v>
      </c>
      <c r="G275" s="539">
        <f t="shared" si="111"/>
        <v>1</v>
      </c>
      <c r="H275" s="539">
        <f t="shared" si="111"/>
        <v>0</v>
      </c>
      <c r="I275" s="539">
        <f t="shared" si="111"/>
        <v>1</v>
      </c>
      <c r="J275" s="539">
        <f t="shared" si="111"/>
        <v>0</v>
      </c>
      <c r="K275" s="539">
        <f t="shared" si="111"/>
        <v>0</v>
      </c>
      <c r="L275" s="539">
        <f t="shared" si="111"/>
        <v>1457324</v>
      </c>
      <c r="M275" s="541">
        <f t="shared" si="111"/>
        <v>0</v>
      </c>
      <c r="N275" s="541">
        <f t="shared" si="111"/>
        <v>1457324</v>
      </c>
      <c r="P275" s="25"/>
    </row>
    <row r="276" spans="1:16" ht="26.4">
      <c r="A276" s="542"/>
      <c r="B276" s="543" t="s">
        <v>667</v>
      </c>
      <c r="C276" s="539">
        <f>'часть 1'!H1526</f>
        <v>783.2</v>
      </c>
      <c r="D276" s="540">
        <f>'часть 1'!K1526</f>
        <v>32</v>
      </c>
      <c r="E276" s="533">
        <v>0</v>
      </c>
      <c r="F276" s="533">
        <v>0</v>
      </c>
      <c r="G276" s="533">
        <v>1</v>
      </c>
      <c r="H276" s="540">
        <v>0</v>
      </c>
      <c r="I276" s="533">
        <v>1</v>
      </c>
      <c r="J276" s="541">
        <v>0</v>
      </c>
      <c r="K276" s="541">
        <v>0</v>
      </c>
      <c r="L276" s="541">
        <v>1457324</v>
      </c>
      <c r="M276" s="541">
        <v>0</v>
      </c>
      <c r="N276" s="541">
        <v>1457324</v>
      </c>
      <c r="P276" s="25"/>
    </row>
    <row r="277" spans="1:16" ht="17.399999999999999" customHeight="1">
      <c r="A277" s="236"/>
      <c r="B277" s="253" t="s">
        <v>64</v>
      </c>
      <c r="C277" s="249">
        <f>C278</f>
        <v>3434.5</v>
      </c>
      <c r="D277" s="249">
        <f t="shared" ref="D277:N277" si="112">D278</f>
        <v>113</v>
      </c>
      <c r="E277" s="249">
        <f t="shared" si="112"/>
        <v>0</v>
      </c>
      <c r="F277" s="249">
        <f t="shared" si="112"/>
        <v>0</v>
      </c>
      <c r="G277" s="249">
        <f t="shared" si="112"/>
        <v>0</v>
      </c>
      <c r="H277" s="249">
        <f t="shared" si="112"/>
        <v>2</v>
      </c>
      <c r="I277" s="249">
        <f t="shared" si="112"/>
        <v>2</v>
      </c>
      <c r="J277" s="251">
        <f t="shared" si="112"/>
        <v>0</v>
      </c>
      <c r="K277" s="251">
        <f t="shared" si="112"/>
        <v>0</v>
      </c>
      <c r="L277" s="251">
        <f t="shared" si="112"/>
        <v>0</v>
      </c>
      <c r="M277" s="251">
        <f t="shared" si="112"/>
        <v>5448472</v>
      </c>
      <c r="N277" s="251">
        <f t="shared" si="112"/>
        <v>5448472</v>
      </c>
      <c r="P277" s="25"/>
    </row>
    <row r="278" spans="1:16" ht="27" customHeight="1">
      <c r="A278" s="542">
        <v>49</v>
      </c>
      <c r="B278" s="543" t="s">
        <v>115</v>
      </c>
      <c r="C278" s="539">
        <v>3434.5</v>
      </c>
      <c r="D278" s="540">
        <v>113</v>
      </c>
      <c r="E278" s="533">
        <v>0</v>
      </c>
      <c r="F278" s="533">
        <v>0</v>
      </c>
      <c r="G278" s="533">
        <v>0</v>
      </c>
      <c r="H278" s="533">
        <v>2</v>
      </c>
      <c r="I278" s="533">
        <f t="shared" ref="I278:I281" si="113">H278+G278</f>
        <v>2</v>
      </c>
      <c r="J278" s="541">
        <v>0</v>
      </c>
      <c r="K278" s="541">
        <v>0</v>
      </c>
      <c r="L278" s="541">
        <v>0</v>
      </c>
      <c r="M278" s="541">
        <v>5448472</v>
      </c>
      <c r="N278" s="541">
        <f>M278</f>
        <v>5448472</v>
      </c>
      <c r="P278" s="25"/>
    </row>
    <row r="279" spans="1:16">
      <c r="A279" s="236"/>
      <c r="B279" s="255" t="s">
        <v>66</v>
      </c>
      <c r="C279" s="249">
        <f>C281+C280</f>
        <v>1902.9</v>
      </c>
      <c r="D279" s="249">
        <f t="shared" ref="D279:N279" si="114">D281+D280</f>
        <v>48</v>
      </c>
      <c r="E279" s="249">
        <f t="shared" si="114"/>
        <v>0</v>
      </c>
      <c r="F279" s="249">
        <f t="shared" si="114"/>
        <v>0</v>
      </c>
      <c r="G279" s="249">
        <f t="shared" si="114"/>
        <v>0</v>
      </c>
      <c r="H279" s="249">
        <f t="shared" si="114"/>
        <v>3</v>
      </c>
      <c r="I279" s="249">
        <f t="shared" si="114"/>
        <v>3</v>
      </c>
      <c r="J279" s="251">
        <f t="shared" si="114"/>
        <v>0</v>
      </c>
      <c r="K279" s="251">
        <f t="shared" si="114"/>
        <v>0</v>
      </c>
      <c r="L279" s="251">
        <f t="shared" si="114"/>
        <v>0</v>
      </c>
      <c r="M279" s="251">
        <f t="shared" si="114"/>
        <v>4103443</v>
      </c>
      <c r="N279" s="251">
        <f t="shared" si="114"/>
        <v>4103443</v>
      </c>
      <c r="P279" s="25"/>
    </row>
    <row r="280" spans="1:16" ht="26.4">
      <c r="A280" s="542"/>
      <c r="B280" s="543" t="s">
        <v>641</v>
      </c>
      <c r="C280" s="539">
        <f>'часть 1'!H1539</f>
        <v>689.6</v>
      </c>
      <c r="D280" s="539">
        <f>'часть 1'!K1539</f>
        <v>19</v>
      </c>
      <c r="E280" s="539">
        <v>0</v>
      </c>
      <c r="F280" s="539">
        <v>0</v>
      </c>
      <c r="G280" s="539">
        <v>0</v>
      </c>
      <c r="H280" s="539">
        <v>1</v>
      </c>
      <c r="I280" s="539">
        <v>1</v>
      </c>
      <c r="J280" s="541">
        <v>0</v>
      </c>
      <c r="K280" s="541">
        <v>0</v>
      </c>
      <c r="L280" s="541">
        <v>0</v>
      </c>
      <c r="M280" s="541">
        <v>357985</v>
      </c>
      <c r="N280" s="541">
        <f>M280+L280+K280+J280</f>
        <v>357985</v>
      </c>
      <c r="P280" s="25"/>
    </row>
    <row r="281" spans="1:16" ht="26.4">
      <c r="A281" s="542"/>
      <c r="B281" s="543" t="s">
        <v>114</v>
      </c>
      <c r="C281" s="539">
        <v>1213.3</v>
      </c>
      <c r="D281" s="540">
        <v>29</v>
      </c>
      <c r="E281" s="533">
        <v>0</v>
      </c>
      <c r="F281" s="533">
        <v>0</v>
      </c>
      <c r="G281" s="533">
        <v>0</v>
      </c>
      <c r="H281" s="533">
        <v>2</v>
      </c>
      <c r="I281" s="533">
        <f t="shared" si="113"/>
        <v>2</v>
      </c>
      <c r="J281" s="541">
        <v>0</v>
      </c>
      <c r="K281" s="541">
        <v>0</v>
      </c>
      <c r="L281" s="541">
        <v>0</v>
      </c>
      <c r="M281" s="541">
        <v>3745458</v>
      </c>
      <c r="N281" s="541">
        <f t="shared" ref="N281" si="115">M281</f>
        <v>3745458</v>
      </c>
      <c r="P281" s="25"/>
    </row>
    <row r="282" spans="1:16">
      <c r="A282" s="542"/>
      <c r="B282" s="543"/>
      <c r="C282" s="539"/>
      <c r="D282" s="540"/>
      <c r="E282" s="540"/>
      <c r="F282" s="540"/>
      <c r="G282" s="540"/>
      <c r="H282" s="540"/>
      <c r="I282" s="533"/>
      <c r="J282" s="541"/>
      <c r="K282" s="541"/>
      <c r="L282" s="541"/>
      <c r="M282" s="541"/>
      <c r="N282" s="541"/>
      <c r="P282" s="25"/>
    </row>
    <row r="283" spans="1:16">
      <c r="A283" s="394"/>
      <c r="B283" s="258"/>
      <c r="C283" s="249"/>
      <c r="D283" s="250"/>
      <c r="E283" s="252"/>
      <c r="F283" s="252"/>
      <c r="G283" s="252"/>
      <c r="H283" s="252"/>
      <c r="I283" s="252"/>
      <c r="J283" s="251"/>
      <c r="K283" s="251"/>
      <c r="L283" s="251"/>
      <c r="M283" s="251"/>
      <c r="N283" s="251"/>
      <c r="P283" s="25"/>
    </row>
    <row r="284" spans="1:16" ht="27" customHeight="1">
      <c r="A284" s="236"/>
      <c r="B284" s="257"/>
      <c r="C284" s="249"/>
      <c r="D284" s="250"/>
      <c r="E284" s="252"/>
      <c r="F284" s="252"/>
      <c r="G284" s="252"/>
      <c r="H284" s="252"/>
      <c r="I284" s="252"/>
      <c r="J284" s="251"/>
      <c r="K284" s="251"/>
      <c r="L284" s="251"/>
      <c r="M284" s="251"/>
      <c r="N284" s="251"/>
      <c r="P284" s="25"/>
    </row>
    <row r="285" spans="1:16">
      <c r="A285" s="236"/>
      <c r="B285" s="253"/>
      <c r="C285" s="249"/>
      <c r="D285" s="250"/>
      <c r="E285" s="252"/>
      <c r="F285" s="252"/>
      <c r="G285" s="252"/>
      <c r="H285" s="252"/>
      <c r="I285" s="252"/>
      <c r="J285" s="251"/>
      <c r="K285" s="251"/>
      <c r="L285" s="251"/>
      <c r="M285" s="251"/>
      <c r="N285" s="251"/>
      <c r="P285" s="25"/>
    </row>
    <row r="286" spans="1:16" ht="29.25" customHeight="1">
      <c r="A286" s="236">
        <f>A284+1</f>
        <v>1</v>
      </c>
      <c r="B286" s="253" t="s">
        <v>212</v>
      </c>
      <c r="C286" s="249">
        <f>'часть 1'!H651</f>
        <v>0</v>
      </c>
      <c r="D286" s="250">
        <f>'часть 1'!K651</f>
        <v>0</v>
      </c>
      <c r="E286" s="252">
        <v>0</v>
      </c>
      <c r="F286" s="252">
        <v>0</v>
      </c>
      <c r="G286" s="252">
        <v>0</v>
      </c>
      <c r="H286" s="252">
        <v>1</v>
      </c>
      <c r="I286" s="252">
        <f t="shared" ref="I286:I287" si="116">H286+G286</f>
        <v>1</v>
      </c>
      <c r="J286" s="251">
        <v>0</v>
      </c>
      <c r="K286" s="251">
        <v>0</v>
      </c>
      <c r="L286" s="251">
        <v>0</v>
      </c>
      <c r="M286" s="251">
        <f>'часть 2'!C709</f>
        <v>1118494</v>
      </c>
      <c r="N286" s="251">
        <f>M286</f>
        <v>1118494</v>
      </c>
      <c r="P286" s="25"/>
    </row>
    <row r="287" spans="1:16" ht="27" customHeight="1">
      <c r="A287" s="236">
        <v>54</v>
      </c>
      <c r="B287" s="253" t="s">
        <v>213</v>
      </c>
      <c r="C287" s="249">
        <f>'часть 1'!H653</f>
        <v>0</v>
      </c>
      <c r="D287" s="250">
        <f>'часть 1'!K653</f>
        <v>0</v>
      </c>
      <c r="E287" s="252">
        <v>0</v>
      </c>
      <c r="F287" s="252">
        <v>0</v>
      </c>
      <c r="G287" s="252">
        <v>0</v>
      </c>
      <c r="H287" s="252">
        <v>1</v>
      </c>
      <c r="I287" s="252">
        <f t="shared" si="116"/>
        <v>1</v>
      </c>
      <c r="J287" s="251">
        <v>0</v>
      </c>
      <c r="K287" s="251">
        <v>0</v>
      </c>
      <c r="L287" s="251">
        <v>0</v>
      </c>
      <c r="M287" s="251">
        <f>'часть 2'!C711</f>
        <v>2253297</v>
      </c>
      <c r="N287" s="251">
        <f>M287</f>
        <v>2253297</v>
      </c>
      <c r="P287" s="25"/>
    </row>
    <row r="288" spans="1:16">
      <c r="A288" s="236"/>
      <c r="B288" s="255"/>
      <c r="C288" s="249"/>
      <c r="D288" s="250"/>
      <c r="E288" s="252"/>
      <c r="F288" s="252"/>
      <c r="G288" s="252"/>
      <c r="H288" s="252"/>
      <c r="I288" s="252"/>
      <c r="J288" s="251"/>
      <c r="K288" s="251"/>
      <c r="L288" s="251"/>
      <c r="M288" s="251"/>
      <c r="N288" s="251"/>
      <c r="P288" s="25"/>
    </row>
    <row r="289" spans="1:16">
      <c r="A289" s="542"/>
      <c r="B289" s="543"/>
      <c r="C289" s="539"/>
      <c r="D289" s="540"/>
      <c r="E289" s="533"/>
      <c r="F289" s="533"/>
      <c r="G289" s="533"/>
      <c r="H289" s="533"/>
      <c r="I289" s="533"/>
      <c r="J289" s="541"/>
      <c r="K289" s="541"/>
      <c r="L289" s="541"/>
      <c r="M289" s="541"/>
      <c r="N289" s="541"/>
      <c r="P289" s="25"/>
    </row>
    <row r="290" spans="1:16">
      <c r="A290" s="542">
        <v>56</v>
      </c>
      <c r="B290" s="543" t="s">
        <v>207</v>
      </c>
      <c r="C290" s="539">
        <v>53715.519999999997</v>
      </c>
      <c r="D290" s="540">
        <v>2022</v>
      </c>
      <c r="E290" s="540">
        <v>0</v>
      </c>
      <c r="F290" s="540">
        <v>0</v>
      </c>
      <c r="G290" s="540">
        <v>0</v>
      </c>
      <c r="H290" s="540">
        <v>7</v>
      </c>
      <c r="I290" s="533">
        <f t="shared" ref="I290:I293" si="117">H290+G290</f>
        <v>7</v>
      </c>
      <c r="J290" s="541">
        <v>0</v>
      </c>
      <c r="K290" s="541">
        <v>0</v>
      </c>
      <c r="L290" s="541">
        <v>0</v>
      </c>
      <c r="M290" s="541">
        <v>21360482</v>
      </c>
      <c r="N290" s="541">
        <f>M290</f>
        <v>21360482</v>
      </c>
      <c r="P290" s="25"/>
    </row>
    <row r="291" spans="1:16">
      <c r="A291" s="394"/>
      <c r="B291" s="258" t="s">
        <v>67</v>
      </c>
      <c r="C291" s="249">
        <f>'часть 1'!H672</f>
        <v>0</v>
      </c>
      <c r="D291" s="250">
        <f>'часть 1'!K672</f>
        <v>0</v>
      </c>
      <c r="E291" s="252">
        <v>0</v>
      </c>
      <c r="F291" s="252">
        <v>0</v>
      </c>
      <c r="G291" s="252">
        <f>G292</f>
        <v>1</v>
      </c>
      <c r="H291" s="252">
        <f>H292+H293</f>
        <v>1</v>
      </c>
      <c r="I291" s="252">
        <f t="shared" si="117"/>
        <v>2</v>
      </c>
      <c r="J291" s="251">
        <v>0</v>
      </c>
      <c r="K291" s="251">
        <v>0</v>
      </c>
      <c r="L291" s="251">
        <f>L292</f>
        <v>359651</v>
      </c>
      <c r="M291" s="251">
        <f>M292+M293</f>
        <v>2254298</v>
      </c>
      <c r="N291" s="251">
        <f>N292+N293</f>
        <v>2613949</v>
      </c>
      <c r="P291" s="25"/>
    </row>
    <row r="292" spans="1:16" ht="27" customHeight="1">
      <c r="A292" s="236">
        <v>57</v>
      </c>
      <c r="B292" s="257" t="s">
        <v>90</v>
      </c>
      <c r="C292" s="249">
        <f>'часть 1'!H673</f>
        <v>0</v>
      </c>
      <c r="D292" s="250">
        <f>'часть 1'!K673</f>
        <v>0</v>
      </c>
      <c r="E292" s="252">
        <v>0</v>
      </c>
      <c r="F292" s="252">
        <v>0</v>
      </c>
      <c r="G292" s="252">
        <v>1</v>
      </c>
      <c r="H292" s="252">
        <v>0</v>
      </c>
      <c r="I292" s="252">
        <f t="shared" si="117"/>
        <v>1</v>
      </c>
      <c r="J292" s="251">
        <v>0</v>
      </c>
      <c r="K292" s="251">
        <v>0</v>
      </c>
      <c r="L292" s="251">
        <f>'часть 1'!L673</f>
        <v>359651</v>
      </c>
      <c r="M292" s="251">
        <v>0</v>
      </c>
      <c r="N292" s="251">
        <f>L292</f>
        <v>359651</v>
      </c>
      <c r="P292" s="25"/>
    </row>
    <row r="293" spans="1:16" ht="26.4">
      <c r="A293" s="542">
        <v>58</v>
      </c>
      <c r="B293" s="543" t="s">
        <v>127</v>
      </c>
      <c r="C293" s="539">
        <f>'часть 1'!H1560</f>
        <v>3387.4</v>
      </c>
      <c r="D293" s="540">
        <f>'часть 1'!K1560</f>
        <v>105</v>
      </c>
      <c r="E293" s="533">
        <v>0</v>
      </c>
      <c r="F293" s="533">
        <v>0</v>
      </c>
      <c r="G293" s="533">
        <v>0</v>
      </c>
      <c r="H293" s="533">
        <v>1</v>
      </c>
      <c r="I293" s="533">
        <f t="shared" si="117"/>
        <v>1</v>
      </c>
      <c r="J293" s="541">
        <v>0</v>
      </c>
      <c r="K293" s="541">
        <v>0</v>
      </c>
      <c r="L293" s="541">
        <v>0</v>
      </c>
      <c r="M293" s="541">
        <f>'часть 1'!L1560</f>
        <v>2254298</v>
      </c>
      <c r="N293" s="541">
        <f>M293</f>
        <v>2254298</v>
      </c>
      <c r="P293" s="25"/>
    </row>
  </sheetData>
  <autoFilter ref="A5:P185"/>
  <customSheetViews>
    <customSheetView guid="{971AA6D5-B469-4A54-816C-1252CCB6D265}" scale="72" showPageBreaks="1" fitToPage="1" showAutoFilter="1" state="hidden" view="pageBreakPreview">
      <pane xSplit="2" ySplit="4" topLeftCell="C7" activePane="bottomRight" state="frozen"/>
      <selection pane="bottomRight" sqref="A1:XFD1048576"/>
      <pageMargins left="0.23622047244094491" right="0.23622047244094491" top="0.98425196850393704" bottom="0.39370078740157483" header="0.7" footer="0.31496062992125984"/>
      <printOptions horizontalCentered="1"/>
      <pageSetup paperSize="9" scale="75" firstPageNumber="38" fitToHeight="0" orientation="landscape" useFirstPageNumber="1" r:id="rId1"/>
      <headerFooter>
        <oddHeader>&amp;C&amp;P</oddHeader>
      </headerFooter>
      <autoFilter ref="A5:P185"/>
    </customSheetView>
    <customSheetView guid="{DFE5B545-478C-4B86-847C-1FEE882C6F69}" scale="72" showPageBreaks="1" fitToPage="1" showAutoFilter="1" state="hidden" view="pageBreakPreview">
      <pane xSplit="2" ySplit="4" topLeftCell="C7" activePane="bottomRight" state="frozen"/>
      <selection pane="bottomRight" sqref="A1:XFD1048576"/>
      <pageMargins left="0.23622047244094491" right="0.23622047244094491" top="0.98425196850393704" bottom="0.39370078740157483" header="0.7" footer="0.31496062992125984"/>
      <printOptions horizontalCentered="1"/>
      <pageSetup paperSize="9" scale="75" firstPageNumber="38" fitToHeight="0" orientation="landscape" useFirstPageNumber="1" r:id="rId2"/>
      <headerFooter>
        <oddHeader>&amp;C&amp;P</oddHeader>
      </headerFooter>
      <autoFilter ref="A5:P185"/>
    </customSheetView>
    <customSheetView guid="{4C44C113-DA02-468D-99C5-83FA6693F42F}" scale="72" showPageBreaks="1" fitToPage="1" showAutoFilter="1" state="hidden" view="pageBreakPreview">
      <pane xSplit="2" ySplit="6" topLeftCell="C7" activePane="bottomRight" state="frozen"/>
      <selection pane="bottomRight" sqref="A1:XFD1048576"/>
      <pageMargins left="0.23622047244094491" right="0.23622047244094491" top="0.98425196850393704" bottom="0.39370078740157483" header="0.7" footer="0.31496062992125984"/>
      <printOptions horizontalCentered="1"/>
      <pageSetup paperSize="9" scale="75" firstPageNumber="38" fitToHeight="0" orientation="landscape" useFirstPageNumber="1" r:id="rId3"/>
      <headerFooter>
        <oddHeader>&amp;C&amp;P</oddHeader>
      </headerFooter>
      <autoFilter ref="A5:P185"/>
    </customSheetView>
    <customSheetView guid="{570403C4-1D93-4175-B4D8-BD47D46CE99C}" scale="72" showPageBreaks="1" fitToPage="1" showAutoFilter="1" state="hidden" view="pageBreakPreview">
      <pane xSplit="2" ySplit="6" topLeftCell="C7" activePane="bottomRight" state="frozen"/>
      <selection pane="bottomRight" sqref="A1:XFD1048576"/>
      <pageMargins left="0.23622047244094491" right="0.23622047244094491" top="0.98425196850393704" bottom="0.39370078740157483" header="0.7" footer="0.31496062992125984"/>
      <printOptions horizontalCentered="1"/>
      <pageSetup paperSize="9" scale="75" firstPageNumber="38" fitToHeight="0" orientation="landscape" useFirstPageNumber="1" r:id="rId4"/>
      <headerFooter>
        <oddHeader>&amp;C&amp;P</oddHeader>
      </headerFooter>
      <autoFilter ref="A5:P185"/>
    </customSheetView>
    <customSheetView guid="{B1841E62-04AF-4786-8B2B-B1F42C88E6D1}" scale="72" showPageBreaks="1" fitToPage="1" showAutoFilter="1" state="hidden" view="pageBreakPreview">
      <pane xSplit="2" ySplit="5.666666666666667" topLeftCell="C7" activePane="bottomRight" state="frozen"/>
      <selection pane="bottomRight" sqref="A1:XFD1048576"/>
      <pageMargins left="0.23622047244094491" right="0.23622047244094491" top="0.98425196850393704" bottom="0.39370078740157483" header="0.7" footer="0.31496062992125984"/>
      <printOptions horizontalCentered="1"/>
      <pageSetup paperSize="9" scale="75" firstPageNumber="38" fitToHeight="0" orientation="landscape" useFirstPageNumber="1" r:id="rId5"/>
      <headerFooter>
        <oddHeader>&amp;C&amp;P</oddHeader>
      </headerFooter>
      <autoFilter ref="A5:P104"/>
    </customSheetView>
    <customSheetView guid="{A28C0ADC-4E0C-4A0A-ACB1-DA409183476D}" scale="72" showPageBreaks="1" fitToPage="1" showAutoFilter="1" state="hidden" view="pageBreakPreview">
      <pane xSplit="2" ySplit="6" topLeftCell="C7" activePane="bottomRight" state="frozen"/>
      <selection pane="bottomRight" sqref="A1:XFD1048576"/>
      <pageMargins left="0.23622047244094491" right="0.23622047244094491" top="0.98425196850393704" bottom="0.39370078740157483" header="0.7" footer="0.31496062992125984"/>
      <printOptions horizontalCentered="1"/>
      <pageSetup paperSize="9" scale="75" firstPageNumber="38" fitToHeight="0" orientation="landscape" useFirstPageNumber="1" r:id="rId6"/>
      <headerFooter>
        <oddHeader>&amp;C&amp;P</oddHeader>
      </headerFooter>
      <autoFilter ref="A5:P185"/>
    </customSheetView>
    <customSheetView guid="{144E5A37-1CF2-41F0-BEF8-CB5D4D392E2A}" scale="72" showPageBreaks="1" fitToPage="1" showAutoFilter="1" state="hidden" view="pageBreakPreview">
      <pane xSplit="1.7430555555555556" ySplit="5" topLeftCell="C7" activePane="bottomRight" state="frozen"/>
      <selection pane="bottomRight" sqref="A1:XFD1048576"/>
      <pageMargins left="0.23622047244094491" right="0.23622047244094491" top="0.98425196850393704" bottom="0.39370078740157483" header="0.7" footer="0.31496062992125984"/>
      <printOptions horizontalCentered="1"/>
      <pageSetup paperSize="9" scale="75" firstPageNumber="38" fitToHeight="0" orientation="landscape" useFirstPageNumber="1" r:id="rId7"/>
      <headerFooter>
        <oddHeader>&amp;C&amp;P</oddHeader>
      </headerFooter>
      <autoFilter ref="A5:P185"/>
    </customSheetView>
    <customSheetView guid="{7A75CCE7-0E84-47E6-A162-5AC0354F2967}" scale="72" showPageBreaks="1" fitToPage="1" showAutoFilter="1" state="hidden" view="pageBreakPreview">
      <pane xSplit="2" ySplit="6" topLeftCell="C7" activePane="bottomRight" state="frozen"/>
      <selection pane="bottomRight" sqref="A1:XFD1048576"/>
      <pageMargins left="0.23622047244094491" right="0.23622047244094491" top="0.98425196850393704" bottom="0.39370078740157483" header="0.7" footer="0.31496062992125984"/>
      <printOptions horizontalCentered="1"/>
      <pageSetup paperSize="9" scale="75" firstPageNumber="38" fitToHeight="0" orientation="landscape" useFirstPageNumber="1" r:id="rId8"/>
      <headerFooter>
        <oddHeader>&amp;C&amp;P</oddHeader>
      </headerFooter>
      <autoFilter ref="A5:P185"/>
    </customSheetView>
    <customSheetView guid="{A6187BD3-0BA4-497C-8924-4FA3D77530F0}" scale="72" showPageBreaks="1" fitToPage="1" showAutoFilter="1" state="hidden" view="pageBreakPreview">
      <pane xSplit="2" ySplit="6" topLeftCell="C7" activePane="bottomRight" state="frozen"/>
      <selection pane="bottomRight" sqref="A1:XFD1048576"/>
      <pageMargins left="0.23622047244094491" right="0.23622047244094491" top="0.98425196850393704" bottom="0.39370078740157483" header="0.7" footer="0.31496062992125984"/>
      <printOptions horizontalCentered="1"/>
      <pageSetup paperSize="9" scale="75" firstPageNumber="38" fitToHeight="0" orientation="landscape" useFirstPageNumber="1" r:id="rId9"/>
      <headerFooter>
        <oddHeader>&amp;C&amp;P</oddHeader>
      </headerFooter>
      <autoFilter ref="A5:P185"/>
    </customSheetView>
    <customSheetView guid="{DC88C499-913F-4D15-846E-E5B9D5E047D7}" scale="72" showPageBreaks="1" fitToPage="1" showAutoFilter="1" state="hidden" view="pageBreakPreview">
      <pane xSplit="2" ySplit="6" topLeftCell="C7" activePane="bottomRight" state="frozen"/>
      <selection pane="bottomRight" sqref="A1:XFD1048576"/>
      <pageMargins left="0.23622047244094491" right="0.23622047244094491" top="0.98425196850393704" bottom="0.39370078740157483" header="0.7" footer="0.31496062992125984"/>
      <printOptions horizontalCentered="1"/>
      <pageSetup paperSize="9" scale="75" firstPageNumber="38" fitToHeight="0" orientation="landscape" useFirstPageNumber="1" r:id="rId10"/>
      <headerFooter>
        <oddHeader>&amp;C&amp;P</oddHeader>
      </headerFooter>
      <autoFilter ref="A5:P185"/>
    </customSheetView>
  </customSheetViews>
  <mergeCells count="7">
    <mergeCell ref="A1:N1"/>
    <mergeCell ref="A2:A4"/>
    <mergeCell ref="B2:B4"/>
    <mergeCell ref="C2:C3"/>
    <mergeCell ref="D2:D3"/>
    <mergeCell ref="E2:I2"/>
    <mergeCell ref="J2:N2"/>
  </mergeCells>
  <printOptions horizontalCentered="1"/>
  <pageMargins left="0.23622047244094491" right="0.23622047244094491" top="0.98425196850393704" bottom="0.39370078740157483" header="0.7" footer="0.31496062992125984"/>
  <pageSetup paperSize="9" scale="75" firstPageNumber="38" fitToHeight="0" orientation="landscape" useFirstPageNumber="1" r:id="rId11"/>
  <headerFooter>
    <oddHeader>&amp;C&amp;P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3"/>
  <sheetViews>
    <sheetView workbookViewId="0">
      <selection activeCell="L21" sqref="L21"/>
    </sheetView>
  </sheetViews>
  <sheetFormatPr defaultColWidth="8.88671875" defaultRowHeight="14.4"/>
  <cols>
    <col min="1" max="1" width="4.33203125" style="1" customWidth="1"/>
    <col min="2" max="2" width="23.33203125" style="67" customWidth="1"/>
    <col min="3" max="3" width="1.5546875" style="1" customWidth="1"/>
    <col min="4" max="4" width="24.88671875" style="1" customWidth="1"/>
    <col min="5" max="5" width="2" style="1" customWidth="1"/>
    <col min="6" max="6" width="26.6640625" style="1" customWidth="1"/>
    <col min="7" max="16384" width="8.88671875" style="1"/>
  </cols>
  <sheetData>
    <row r="1" spans="2:6" ht="15" thickBot="1">
      <c r="B1" s="82" t="s">
        <v>199</v>
      </c>
      <c r="C1" s="30"/>
      <c r="D1" s="82" t="s">
        <v>200</v>
      </c>
      <c r="E1" s="30"/>
      <c r="F1" s="82" t="s">
        <v>201</v>
      </c>
    </row>
    <row r="2" spans="2:6">
      <c r="B2" s="68" t="s">
        <v>133</v>
      </c>
      <c r="D2" s="74" t="s">
        <v>154</v>
      </c>
      <c r="F2" s="74" t="s">
        <v>174</v>
      </c>
    </row>
    <row r="3" spans="2:6" s="3" customFormat="1">
      <c r="B3" s="69" t="s">
        <v>134</v>
      </c>
      <c r="D3" s="75" t="s">
        <v>155</v>
      </c>
      <c r="F3" s="75" t="s">
        <v>175</v>
      </c>
    </row>
    <row r="4" spans="2:6" s="3" customFormat="1" ht="15" thickBot="1">
      <c r="B4" s="69" t="s">
        <v>135</v>
      </c>
      <c r="D4" s="75" t="s">
        <v>156</v>
      </c>
      <c r="F4" s="76" t="s">
        <v>176</v>
      </c>
    </row>
    <row r="5" spans="2:6" s="3" customFormat="1">
      <c r="B5" s="69" t="s">
        <v>136</v>
      </c>
      <c r="D5" s="75" t="s">
        <v>157</v>
      </c>
      <c r="F5" s="75" t="s">
        <v>158</v>
      </c>
    </row>
    <row r="6" spans="2:6" ht="15" thickBot="1">
      <c r="B6" s="69" t="s">
        <v>137</v>
      </c>
      <c r="D6" s="77" t="s">
        <v>204</v>
      </c>
      <c r="F6" s="75" t="s">
        <v>159</v>
      </c>
    </row>
    <row r="7" spans="2:6">
      <c r="B7" s="74" t="s">
        <v>138</v>
      </c>
      <c r="D7" s="74" t="s">
        <v>169</v>
      </c>
      <c r="F7" s="75" t="s">
        <v>160</v>
      </c>
    </row>
    <row r="8" spans="2:6">
      <c r="B8" s="75" t="s">
        <v>192</v>
      </c>
      <c r="D8" s="75" t="s">
        <v>168</v>
      </c>
      <c r="F8" s="75" t="s">
        <v>161</v>
      </c>
    </row>
    <row r="9" spans="2:6" s="19" customFormat="1" ht="13.2">
      <c r="B9" s="75" t="s">
        <v>139</v>
      </c>
      <c r="D9" s="75" t="s">
        <v>170</v>
      </c>
      <c r="F9" s="75" t="s">
        <v>162</v>
      </c>
    </row>
    <row r="10" spans="2:6" ht="15" thickBot="1">
      <c r="B10" s="75" t="s">
        <v>140</v>
      </c>
      <c r="D10" s="76" t="s">
        <v>171</v>
      </c>
      <c r="F10" s="75" t="s">
        <v>163</v>
      </c>
    </row>
    <row r="11" spans="2:6" s="18" customFormat="1" ht="18" customHeight="1">
      <c r="B11" s="75" t="s">
        <v>141</v>
      </c>
      <c r="D11" s="69" t="s">
        <v>172</v>
      </c>
      <c r="F11" s="75" t="s">
        <v>164</v>
      </c>
    </row>
    <row r="12" spans="2:6" ht="15" thickBot="1">
      <c r="B12" s="75" t="s">
        <v>142</v>
      </c>
      <c r="D12" s="69" t="s">
        <v>173</v>
      </c>
      <c r="F12" s="76" t="s">
        <v>165</v>
      </c>
    </row>
    <row r="13" spans="2:6">
      <c r="B13" s="884" t="s">
        <v>143</v>
      </c>
      <c r="D13" s="69" t="s">
        <v>1060</v>
      </c>
    </row>
    <row r="14" spans="2:6" hidden="1">
      <c r="B14" s="884"/>
    </row>
    <row r="15" spans="2:6" hidden="1">
      <c r="B15" s="884"/>
    </row>
    <row r="16" spans="2:6" ht="15" thickBot="1">
      <c r="B16" s="884" t="s">
        <v>944</v>
      </c>
      <c r="D16" s="984" t="s">
        <v>1059</v>
      </c>
    </row>
    <row r="17" spans="2:6" ht="18.75" customHeight="1" thickBot="1">
      <c r="B17" s="883" t="s">
        <v>945</v>
      </c>
      <c r="D17" s="82" t="s">
        <v>202</v>
      </c>
      <c r="E17" s="30"/>
      <c r="F17" s="82" t="s">
        <v>203</v>
      </c>
    </row>
    <row r="18" spans="2:6" hidden="1">
      <c r="B18" s="69"/>
    </row>
    <row r="19" spans="2:6" ht="15" hidden="1" thickBot="1">
      <c r="B19" s="69"/>
    </row>
    <row r="20" spans="2:6" ht="16.5" customHeight="1" thickBot="1">
      <c r="B20" s="69"/>
      <c r="D20" s="68" t="s">
        <v>177</v>
      </c>
      <c r="F20" s="73" t="s">
        <v>178</v>
      </c>
    </row>
    <row r="21" spans="2:6" ht="16.5" customHeight="1" thickBot="1">
      <c r="B21" s="69"/>
      <c r="D21" s="69" t="s">
        <v>946</v>
      </c>
      <c r="F21" s="70"/>
    </row>
    <row r="22" spans="2:6" ht="15" thickBot="1">
      <c r="B22" s="69"/>
      <c r="D22" s="69" t="s">
        <v>153</v>
      </c>
      <c r="F22" s="72" t="s">
        <v>195</v>
      </c>
    </row>
    <row r="23" spans="2:6">
      <c r="B23" s="69"/>
      <c r="D23" s="69" t="s">
        <v>179</v>
      </c>
      <c r="F23" s="69" t="s">
        <v>144</v>
      </c>
    </row>
    <row r="24" spans="2:6" ht="15" thickBot="1">
      <c r="B24" s="69"/>
      <c r="D24" s="69" t="s">
        <v>182</v>
      </c>
      <c r="F24" s="69" t="s">
        <v>145</v>
      </c>
    </row>
    <row r="25" spans="2:6">
      <c r="B25" s="69"/>
      <c r="D25" s="69" t="s">
        <v>181</v>
      </c>
      <c r="F25" s="74" t="s">
        <v>147</v>
      </c>
    </row>
    <row r="26" spans="2:6">
      <c r="B26" s="69"/>
      <c r="D26" s="69" t="s">
        <v>180</v>
      </c>
      <c r="F26" s="75" t="s">
        <v>146</v>
      </c>
    </row>
    <row r="27" spans="2:6" ht="15" thickBot="1">
      <c r="B27" s="69"/>
      <c r="D27" s="71" t="s">
        <v>196</v>
      </c>
      <c r="F27" s="76" t="s">
        <v>148</v>
      </c>
    </row>
    <row r="28" spans="2:6">
      <c r="B28" s="69">
        <v>3</v>
      </c>
      <c r="D28" s="69" t="s">
        <v>183</v>
      </c>
      <c r="F28" s="75" t="s">
        <v>149</v>
      </c>
    </row>
    <row r="29" spans="2:6" s="9" customFormat="1" ht="13.8" thickBot="1">
      <c r="B29" s="81"/>
      <c r="D29" s="69" t="s">
        <v>184</v>
      </c>
      <c r="F29" s="75" t="s">
        <v>150</v>
      </c>
    </row>
    <row r="30" spans="2:6" s="9" customFormat="1" ht="17.25" customHeight="1">
      <c r="B30" s="81"/>
      <c r="D30" s="74" t="s">
        <v>185</v>
      </c>
      <c r="F30" s="75" t="s">
        <v>193</v>
      </c>
    </row>
    <row r="31" spans="2:6" s="9" customFormat="1" ht="13.2">
      <c r="B31" s="81"/>
      <c r="D31" s="75" t="s">
        <v>186</v>
      </c>
      <c r="F31" s="75" t="s">
        <v>194</v>
      </c>
    </row>
    <row r="32" spans="2:6" ht="18" customHeight="1" thickBot="1">
      <c r="B32" s="70"/>
      <c r="D32" s="76" t="s">
        <v>187</v>
      </c>
      <c r="F32" s="76" t="s">
        <v>151</v>
      </c>
    </row>
    <row r="33" spans="1:6">
      <c r="B33" s="68"/>
      <c r="F33" s="68" t="s">
        <v>152</v>
      </c>
    </row>
    <row r="34" spans="1:6">
      <c r="B34" s="69"/>
      <c r="F34" s="69" t="s">
        <v>166</v>
      </c>
    </row>
    <row r="35" spans="1:6" ht="15" thickBot="1">
      <c r="A35" s="78"/>
      <c r="B35" s="69"/>
      <c r="C35" s="78"/>
      <c r="D35" s="78"/>
      <c r="F35" s="70" t="s">
        <v>167</v>
      </c>
    </row>
    <row r="36" spans="1:6" s="10" customFormat="1" ht="14.4" customHeight="1">
      <c r="A36" s="80"/>
      <c r="B36" s="69" t="s">
        <v>179</v>
      </c>
      <c r="C36" s="80"/>
      <c r="D36" s="1507" t="s">
        <v>197</v>
      </c>
    </row>
    <row r="37" spans="1:6" s="10" customFormat="1" ht="14.4" customHeight="1">
      <c r="A37" s="80"/>
      <c r="B37" s="69" t="s">
        <v>182</v>
      </c>
      <c r="C37" s="80"/>
      <c r="D37" s="1507"/>
    </row>
    <row r="38" spans="1:6" s="10" customFormat="1">
      <c r="A38" s="80"/>
      <c r="B38" s="69" t="s">
        <v>181</v>
      </c>
      <c r="C38" s="80"/>
      <c r="D38" s="80"/>
    </row>
    <row r="39" spans="1:6" s="10" customFormat="1" ht="14.4" customHeight="1">
      <c r="A39" s="80"/>
      <c r="B39" s="69" t="s">
        <v>180</v>
      </c>
      <c r="C39" s="80"/>
      <c r="D39" s="1507" t="s">
        <v>197</v>
      </c>
    </row>
    <row r="40" spans="1:6" s="10" customFormat="1" ht="14.4" customHeight="1">
      <c r="A40" s="80"/>
      <c r="B40" s="69" t="s">
        <v>947</v>
      </c>
      <c r="C40" s="80"/>
      <c r="D40" s="1507"/>
    </row>
    <row r="41" spans="1:6" s="10" customFormat="1">
      <c r="A41" s="80"/>
      <c r="B41" s="69" t="s">
        <v>183</v>
      </c>
      <c r="C41" s="80"/>
      <c r="D41" s="80"/>
    </row>
    <row r="42" spans="1:6" s="10" customFormat="1" ht="15" thickBot="1">
      <c r="A42" s="80"/>
      <c r="B42" s="70" t="s">
        <v>184</v>
      </c>
      <c r="C42" s="80"/>
      <c r="D42" s="80"/>
    </row>
    <row r="43" spans="1:6">
      <c r="A43" s="78"/>
      <c r="B43" s="79"/>
      <c r="C43" s="78"/>
      <c r="D43" s="78"/>
    </row>
    <row r="62" ht="15.75" customHeight="1"/>
    <row r="63" ht="15.75" customHeight="1"/>
  </sheetData>
  <customSheetViews>
    <customSheetView guid="{971AA6D5-B469-4A54-816C-1252CCB6D265}" showPageBreaks="1" hiddenRows="1" state="hidden">
      <selection activeCell="L21" sqref="L21"/>
      <pageMargins left="0.7" right="0.7" top="0.75" bottom="0.75" header="0.3" footer="0.3"/>
      <pageSetup paperSize="9" orientation="portrait" r:id="rId1"/>
    </customSheetView>
    <customSheetView guid="{DFE5B545-478C-4B86-847C-1FEE882C6F69}" hiddenRows="1" state="hidden">
      <selection activeCell="L21" sqref="L21"/>
      <pageMargins left="0.7" right="0.7" top="0.75" bottom="0.75" header="0.3" footer="0.3"/>
      <pageSetup paperSize="9" orientation="portrait" r:id="rId2"/>
    </customSheetView>
    <customSheetView guid="{4C44C113-DA02-468D-99C5-83FA6693F42F}" hiddenRows="1" state="hidden">
      <selection activeCell="L21" sqref="L21"/>
      <pageMargins left="0.7" right="0.7" top="0.75" bottom="0.75" header="0.3" footer="0.3"/>
      <pageSetup paperSize="9" orientation="portrait" r:id="rId3"/>
    </customSheetView>
    <customSheetView guid="{570403C4-1D93-4175-B4D8-BD47D46CE99C}" hiddenRows="1" state="hidden">
      <selection activeCell="L21" sqref="L21"/>
      <pageMargins left="0.7" right="0.7" top="0.75" bottom="0.75" header="0.3" footer="0.3"/>
      <pageSetup paperSize="9" orientation="portrait" r:id="rId4"/>
    </customSheetView>
    <customSheetView guid="{B1841E62-04AF-4786-8B2B-B1F42C88E6D1}" hiddenRows="1" state="hidden">
      <selection activeCell="L21" sqref="L21"/>
      <pageMargins left="0.7" right="0.7" top="0.75" bottom="0.75" header="0.3" footer="0.3"/>
      <pageSetup paperSize="9" orientation="portrait" r:id="rId5"/>
    </customSheetView>
    <customSheetView guid="{A28C0ADC-4E0C-4A0A-ACB1-DA409183476D}" hiddenRows="1" state="hidden">
      <selection activeCell="L21" sqref="L21"/>
      <pageMargins left="0.7" right="0.7" top="0.75" bottom="0.75" header="0.3" footer="0.3"/>
      <pageSetup paperSize="9" orientation="portrait" r:id="rId6"/>
    </customSheetView>
    <customSheetView guid="{144E5A37-1CF2-41F0-BEF8-CB5D4D392E2A}" hiddenRows="1" state="hidden">
      <selection activeCell="L21" sqref="L21"/>
      <pageMargins left="0.7" right="0.7" top="0.75" bottom="0.75" header="0.3" footer="0.3"/>
      <pageSetup paperSize="9" orientation="portrait" r:id="rId7"/>
    </customSheetView>
    <customSheetView guid="{7A75CCE7-0E84-47E6-A162-5AC0354F2967}" hiddenRows="1" state="hidden">
      <selection activeCell="L21" sqref="L21"/>
      <pageMargins left="0.7" right="0.7" top="0.75" bottom="0.75" header="0.3" footer="0.3"/>
      <pageSetup paperSize="9" orientation="portrait" r:id="rId8"/>
    </customSheetView>
    <customSheetView guid="{A6187BD3-0BA4-497C-8924-4FA3D77530F0}" hiddenRows="1" state="hidden">
      <selection activeCell="L21" sqref="L21"/>
      <pageMargins left="0.7" right="0.7" top="0.75" bottom="0.75" header="0.3" footer="0.3"/>
      <pageSetup paperSize="9" orientation="portrait" r:id="rId9"/>
    </customSheetView>
    <customSheetView guid="{DC88C499-913F-4D15-846E-E5B9D5E047D7}" hiddenRows="1" state="hidden">
      <selection activeCell="L21" sqref="L21"/>
      <pageMargins left="0.7" right="0.7" top="0.75" bottom="0.75" header="0.3" footer="0.3"/>
      <pageSetup paperSize="9" orientation="portrait" r:id="rId10"/>
    </customSheetView>
  </customSheetViews>
  <mergeCells count="2">
    <mergeCell ref="D36:D37"/>
    <mergeCell ref="D39:D40"/>
  </mergeCells>
  <pageMargins left="0.7" right="0.7" top="0.75" bottom="0.75" header="0.3" footer="0.3"/>
  <pageSetup paperSize="9" orientation="portrait" r:id="rId1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C1642"/>
  <sheetViews>
    <sheetView view="pageBreakPreview" topLeftCell="A1628" zoomScale="71" zoomScaleSheetLayoutView="71" workbookViewId="0">
      <selection activeCell="O1" sqref="O1:Q2"/>
    </sheetView>
  </sheetViews>
  <sheetFormatPr defaultColWidth="8.88671875" defaultRowHeight="18"/>
  <cols>
    <col min="1" max="1" width="8.109375" style="999" customWidth="1"/>
    <col min="2" max="2" width="40.109375" style="1000" customWidth="1"/>
    <col min="3" max="3" width="9.33203125" style="1250" customWidth="1"/>
    <col min="4" max="4" width="9.6640625" style="1250" customWidth="1"/>
    <col min="5" max="5" width="18.6640625" style="1251" customWidth="1"/>
    <col min="6" max="6" width="6.5546875" style="1250" customWidth="1"/>
    <col min="7" max="7" width="6.6640625" style="1250" customWidth="1"/>
    <col min="8" max="8" width="16.109375" style="1001" customWidth="1"/>
    <col min="9" max="9" width="16.33203125" style="1001" customWidth="1"/>
    <col min="10" max="10" width="15.5546875" style="1001" customWidth="1"/>
    <col min="11" max="11" width="11.88671875" style="1002" customWidth="1"/>
    <col min="12" max="12" width="20.88671875" style="1001" customWidth="1"/>
    <col min="13" max="13" width="8.109375" style="1001" customWidth="1"/>
    <col min="14" max="14" width="15.88671875" style="1001" customWidth="1"/>
    <col min="15" max="15" width="20.5546875" style="1001" customWidth="1"/>
    <col min="16" max="16" width="8.109375" style="1001" customWidth="1"/>
    <col min="17" max="17" width="18.6640625" style="1001" customWidth="1"/>
    <col min="18" max="18" width="13" style="1014" customWidth="1"/>
    <col min="19" max="19" width="12.33203125" style="1014" customWidth="1"/>
    <col min="20" max="20" width="9.33203125" style="1251" customWidth="1"/>
    <col min="21" max="16384" width="8.88671875" style="1250"/>
  </cols>
  <sheetData>
    <row r="1" spans="1:20" ht="18" customHeight="1">
      <c r="O1" s="1509" t="s">
        <v>2621</v>
      </c>
      <c r="P1" s="1509"/>
      <c r="Q1" s="1509"/>
      <c r="R1" s="1379"/>
      <c r="S1" s="1379"/>
      <c r="T1" s="1379"/>
    </row>
    <row r="2" spans="1:20" ht="67.2" customHeight="1">
      <c r="O2" s="1509"/>
      <c r="P2" s="1509"/>
      <c r="Q2" s="1509"/>
      <c r="R2" s="1379"/>
      <c r="S2" s="1379"/>
      <c r="T2" s="1379"/>
    </row>
    <row r="3" spans="1:20" ht="15" customHeight="1">
      <c r="O3" s="1382"/>
      <c r="P3" s="1382"/>
      <c r="Q3" s="1379"/>
      <c r="R3" s="1379"/>
      <c r="S3" s="1379"/>
      <c r="T3" s="1379"/>
    </row>
    <row r="4" spans="1:20" ht="21">
      <c r="A4" s="1521" t="s">
        <v>438</v>
      </c>
      <c r="B4" s="1522"/>
      <c r="C4" s="1522"/>
      <c r="D4" s="1522"/>
      <c r="E4" s="1522"/>
      <c r="F4" s="1522"/>
      <c r="G4" s="1522"/>
      <c r="H4" s="1522"/>
      <c r="I4" s="1522"/>
      <c r="J4" s="1522"/>
      <c r="K4" s="1522"/>
      <c r="L4" s="1522"/>
      <c r="M4" s="1522"/>
      <c r="N4" s="1522"/>
      <c r="O4" s="1522"/>
      <c r="P4" s="1522"/>
      <c r="Q4" s="1522"/>
      <c r="R4" s="1523"/>
      <c r="S4" s="1522"/>
      <c r="T4" s="1522"/>
    </row>
    <row r="5" spans="1:20" ht="21">
      <c r="A5" s="1521" t="s">
        <v>2326</v>
      </c>
      <c r="B5" s="1522"/>
      <c r="C5" s="1522"/>
      <c r="D5" s="1522"/>
      <c r="E5" s="1522"/>
      <c r="F5" s="1522"/>
      <c r="G5" s="1522"/>
      <c r="H5" s="1522"/>
      <c r="I5" s="1522"/>
      <c r="J5" s="1522"/>
      <c r="K5" s="1522"/>
      <c r="L5" s="1522"/>
      <c r="M5" s="1522"/>
      <c r="N5" s="1522"/>
      <c r="O5" s="1522"/>
      <c r="P5" s="1522"/>
      <c r="Q5" s="1522"/>
      <c r="R5" s="1523"/>
      <c r="S5" s="1522"/>
      <c r="T5" s="1522"/>
    </row>
    <row r="6" spans="1:20" ht="21" customHeight="1">
      <c r="A6" s="1521" t="s">
        <v>2620</v>
      </c>
      <c r="B6" s="1522"/>
      <c r="C6" s="1522"/>
      <c r="D6" s="1522"/>
      <c r="E6" s="1522"/>
      <c r="F6" s="1522"/>
      <c r="G6" s="1522"/>
      <c r="H6" s="1522"/>
      <c r="I6" s="1522"/>
      <c r="J6" s="1522"/>
      <c r="K6" s="1522"/>
      <c r="L6" s="1522"/>
      <c r="M6" s="1522"/>
      <c r="N6" s="1522"/>
      <c r="O6" s="1522"/>
      <c r="P6" s="1522"/>
      <c r="Q6" s="1522"/>
      <c r="R6" s="1523"/>
      <c r="S6" s="1522"/>
      <c r="T6" s="1522"/>
    </row>
    <row r="7" spans="1:20" ht="36" customHeight="1">
      <c r="A7" s="1526" t="s">
        <v>38</v>
      </c>
      <c r="B7" s="1527"/>
      <c r="C7" s="1527"/>
      <c r="D7" s="1527"/>
      <c r="E7" s="1527"/>
      <c r="F7" s="1527"/>
      <c r="G7" s="1527"/>
      <c r="H7" s="1527"/>
      <c r="I7" s="1527"/>
      <c r="J7" s="1527"/>
      <c r="K7" s="1527"/>
      <c r="L7" s="1527"/>
      <c r="M7" s="1527"/>
      <c r="N7" s="1527"/>
      <c r="O7" s="1527"/>
      <c r="P7" s="1527"/>
      <c r="Q7" s="1527"/>
      <c r="R7" s="1528"/>
      <c r="S7" s="1527"/>
      <c r="T7" s="1527"/>
    </row>
    <row r="8" spans="1:20" ht="39.6" customHeight="1">
      <c r="A8" s="1529" t="s">
        <v>1122</v>
      </c>
      <c r="B8" s="1530" t="s">
        <v>2388</v>
      </c>
      <c r="C8" s="1533" t="s">
        <v>1</v>
      </c>
      <c r="D8" s="1533"/>
      <c r="E8" s="1534" t="s">
        <v>2</v>
      </c>
      <c r="F8" s="1534" t="s">
        <v>3</v>
      </c>
      <c r="G8" s="1534" t="s">
        <v>4</v>
      </c>
      <c r="H8" s="1525" t="s">
        <v>33</v>
      </c>
      <c r="I8" s="1536" t="s">
        <v>1235</v>
      </c>
      <c r="J8" s="1536"/>
      <c r="K8" s="1535" t="s">
        <v>6</v>
      </c>
      <c r="L8" s="1536" t="s">
        <v>7</v>
      </c>
      <c r="M8" s="1537"/>
      <c r="N8" s="1537"/>
      <c r="O8" s="1537"/>
      <c r="P8" s="1537"/>
      <c r="Q8" s="1537"/>
      <c r="R8" s="1525" t="s">
        <v>1155</v>
      </c>
      <c r="S8" s="1529" t="s">
        <v>1234</v>
      </c>
      <c r="T8" s="1529"/>
    </row>
    <row r="9" spans="1:20" ht="26.4" customHeight="1">
      <c r="A9" s="1529"/>
      <c r="B9" s="1531"/>
      <c r="C9" s="1524" t="s">
        <v>11</v>
      </c>
      <c r="D9" s="1524" t="s">
        <v>32</v>
      </c>
      <c r="E9" s="1534"/>
      <c r="F9" s="1534"/>
      <c r="G9" s="1534"/>
      <c r="H9" s="1525"/>
      <c r="I9" s="1525" t="s">
        <v>440</v>
      </c>
      <c r="J9" s="1525" t="s">
        <v>13</v>
      </c>
      <c r="K9" s="1535"/>
      <c r="L9" s="1525" t="s">
        <v>440</v>
      </c>
      <c r="M9" s="1536" t="s">
        <v>18</v>
      </c>
      <c r="N9" s="1537"/>
      <c r="O9" s="1537"/>
      <c r="P9" s="1537"/>
      <c r="Q9" s="1537"/>
      <c r="R9" s="1525"/>
      <c r="S9" s="1529"/>
      <c r="T9" s="1529"/>
    </row>
    <row r="10" spans="1:20" ht="282" customHeight="1">
      <c r="A10" s="1529"/>
      <c r="B10" s="1531"/>
      <c r="C10" s="1524"/>
      <c r="D10" s="1524"/>
      <c r="E10" s="1534"/>
      <c r="F10" s="1534"/>
      <c r="G10" s="1534"/>
      <c r="H10" s="1525"/>
      <c r="I10" s="1525"/>
      <c r="J10" s="1525"/>
      <c r="K10" s="1535"/>
      <c r="L10" s="1525"/>
      <c r="M10" s="1252" t="s">
        <v>471</v>
      </c>
      <c r="N10" s="1252" t="s">
        <v>14</v>
      </c>
      <c r="O10" s="1252" t="s">
        <v>1236</v>
      </c>
      <c r="P10" s="1252" t="s">
        <v>1152</v>
      </c>
      <c r="Q10" s="1252" t="s">
        <v>1153</v>
      </c>
      <c r="R10" s="1525"/>
      <c r="S10" s="1524" t="s">
        <v>1192</v>
      </c>
      <c r="T10" s="1524" t="s">
        <v>1173</v>
      </c>
    </row>
    <row r="11" spans="1:20" ht="29.4" customHeight="1">
      <c r="A11" s="1529"/>
      <c r="B11" s="1532"/>
      <c r="C11" s="1524"/>
      <c r="D11" s="1524"/>
      <c r="E11" s="1534"/>
      <c r="F11" s="1534"/>
      <c r="G11" s="1534"/>
      <c r="H11" s="1256" t="s">
        <v>21</v>
      </c>
      <c r="I11" s="1256" t="s">
        <v>21</v>
      </c>
      <c r="J11" s="1256" t="s">
        <v>21</v>
      </c>
      <c r="K11" s="986" t="s">
        <v>16</v>
      </c>
      <c r="L11" s="1256" t="s">
        <v>17</v>
      </c>
      <c r="M11" s="1256" t="s">
        <v>17</v>
      </c>
      <c r="N11" s="1256" t="s">
        <v>17</v>
      </c>
      <c r="O11" s="1256" t="s">
        <v>17</v>
      </c>
      <c r="P11" s="1256" t="s">
        <v>17</v>
      </c>
      <c r="Q11" s="1256" t="s">
        <v>17</v>
      </c>
      <c r="R11" s="1256" t="s">
        <v>439</v>
      </c>
      <c r="S11" s="1524"/>
      <c r="T11" s="1524"/>
    </row>
    <row r="12" spans="1:20" ht="26.4" customHeight="1">
      <c r="A12" s="1249">
        <v>1</v>
      </c>
      <c r="B12" s="1249">
        <v>2</v>
      </c>
      <c r="C12" s="1255">
        <v>3</v>
      </c>
      <c r="D12" s="1255">
        <v>4</v>
      </c>
      <c r="E12" s="1255">
        <v>5</v>
      </c>
      <c r="F12" s="1255">
        <v>6</v>
      </c>
      <c r="G12" s="1255">
        <v>7</v>
      </c>
      <c r="H12" s="995">
        <v>8</v>
      </c>
      <c r="I12" s="995">
        <v>9</v>
      </c>
      <c r="J12" s="995">
        <v>10</v>
      </c>
      <c r="K12" s="995">
        <v>11</v>
      </c>
      <c r="L12" s="995">
        <v>12</v>
      </c>
      <c r="M12" s="995">
        <v>13</v>
      </c>
      <c r="N12" s="995">
        <v>14</v>
      </c>
      <c r="O12" s="995">
        <v>15</v>
      </c>
      <c r="P12" s="995">
        <v>16</v>
      </c>
      <c r="Q12" s="995">
        <v>17</v>
      </c>
      <c r="R12" s="995">
        <v>18</v>
      </c>
      <c r="S12" s="995">
        <v>19</v>
      </c>
      <c r="T12" s="995">
        <v>20</v>
      </c>
    </row>
    <row r="13" spans="1:20" ht="24" customHeight="1">
      <c r="A13" s="1529" t="s">
        <v>1238</v>
      </c>
      <c r="B13" s="1538"/>
      <c r="C13" s="1538"/>
      <c r="D13" s="1538"/>
      <c r="E13" s="1538"/>
      <c r="F13" s="1538"/>
      <c r="G13" s="1538"/>
      <c r="H13" s="1538"/>
      <c r="I13" s="1538"/>
      <c r="J13" s="1538"/>
      <c r="K13" s="1538"/>
      <c r="L13" s="1538"/>
      <c r="M13" s="1538"/>
      <c r="N13" s="1538"/>
      <c r="O13" s="1538"/>
      <c r="P13" s="1538"/>
      <c r="Q13" s="1538"/>
      <c r="R13" s="1538"/>
      <c r="S13" s="1538"/>
      <c r="T13" s="1538"/>
    </row>
    <row r="14" spans="1:20" s="997" customFormat="1" ht="36" customHeight="1">
      <c r="A14" s="1249"/>
      <c r="B14" s="1517" t="s">
        <v>205</v>
      </c>
      <c r="C14" s="1517"/>
      <c r="D14" s="1517"/>
      <c r="E14" s="1517"/>
      <c r="F14" s="1517"/>
      <c r="G14" s="1517"/>
      <c r="H14" s="998">
        <f t="shared" ref="H14:Q14" si="0">H16+H433+H435</f>
        <v>739566.04999999981</v>
      </c>
      <c r="I14" s="998">
        <f t="shared" si="0"/>
        <v>656103.4</v>
      </c>
      <c r="J14" s="998">
        <f t="shared" si="0"/>
        <v>587032.09000000008</v>
      </c>
      <c r="K14" s="986">
        <f t="shared" si="0"/>
        <v>26190</v>
      </c>
      <c r="L14" s="998">
        <f t="shared" si="0"/>
        <v>1009644760.37</v>
      </c>
      <c r="M14" s="998">
        <f t="shared" si="0"/>
        <v>0</v>
      </c>
      <c r="N14" s="998">
        <f t="shared" si="0"/>
        <v>1522653.2</v>
      </c>
      <c r="O14" s="998">
        <f t="shared" si="0"/>
        <v>1008122107.17</v>
      </c>
      <c r="P14" s="998">
        <f t="shared" si="0"/>
        <v>0</v>
      </c>
      <c r="Q14" s="998">
        <f t="shared" si="0"/>
        <v>0</v>
      </c>
      <c r="R14" s="996" t="s">
        <v>40</v>
      </c>
      <c r="S14" s="1255" t="s">
        <v>40</v>
      </c>
      <c r="T14" s="1255" t="s">
        <v>40</v>
      </c>
    </row>
    <row r="15" spans="1:20" s="997" customFormat="1" ht="36" customHeight="1">
      <c r="A15" s="1529" t="s">
        <v>2328</v>
      </c>
      <c r="B15" s="1529"/>
      <c r="C15" s="1529"/>
      <c r="D15" s="1529"/>
      <c r="E15" s="1529"/>
      <c r="F15" s="1529"/>
      <c r="G15" s="1529"/>
      <c r="H15" s="1529"/>
      <c r="I15" s="1529"/>
      <c r="J15" s="1529"/>
      <c r="K15" s="1529"/>
      <c r="L15" s="1529"/>
      <c r="M15" s="1529"/>
      <c r="N15" s="1529"/>
      <c r="O15" s="1529"/>
      <c r="P15" s="1529"/>
      <c r="Q15" s="1529"/>
      <c r="R15" s="1529"/>
      <c r="S15" s="1529"/>
      <c r="T15" s="1529"/>
    </row>
    <row r="16" spans="1:20" s="997" customFormat="1" ht="36" customHeight="1">
      <c r="A16" s="1249"/>
      <c r="B16" s="1517" t="s">
        <v>42</v>
      </c>
      <c r="C16" s="1517"/>
      <c r="D16" s="1517"/>
      <c r="E16" s="1517"/>
      <c r="F16" s="1517"/>
      <c r="G16" s="1517"/>
      <c r="H16" s="998">
        <f t="shared" ref="H16:Q16" si="1">H17+H99+H136+H142+H164+H175+H179+H182+H205+H211+H222+H225+H228+H232+H235+H261+H271+H280+H289+H312+H316+H319+H322+H346+H356+H359+H363+H372+H374+H378+H384+H386+H389+H392+H396+H408+H412+H416+H423</f>
        <v>726603.54999999981</v>
      </c>
      <c r="I16" s="998">
        <f t="shared" si="1"/>
        <v>643294.4</v>
      </c>
      <c r="J16" s="998">
        <f t="shared" si="1"/>
        <v>574404.69000000006</v>
      </c>
      <c r="K16" s="986">
        <f t="shared" si="1"/>
        <v>25678</v>
      </c>
      <c r="L16" s="998">
        <f t="shared" si="1"/>
        <v>1006444313.37</v>
      </c>
      <c r="M16" s="998">
        <f t="shared" si="1"/>
        <v>0</v>
      </c>
      <c r="N16" s="998">
        <f t="shared" si="1"/>
        <v>562517.19999999995</v>
      </c>
      <c r="O16" s="998">
        <f t="shared" si="1"/>
        <v>1005881796.17</v>
      </c>
      <c r="P16" s="998">
        <f t="shared" si="1"/>
        <v>0</v>
      </c>
      <c r="Q16" s="998">
        <f t="shared" si="1"/>
        <v>0</v>
      </c>
      <c r="R16" s="996" t="s">
        <v>40</v>
      </c>
      <c r="S16" s="996" t="s">
        <v>40</v>
      </c>
      <c r="T16" s="996" t="s">
        <v>40</v>
      </c>
    </row>
    <row r="17" spans="1:20" s="997" customFormat="1" ht="36" customHeight="1">
      <c r="A17" s="1249"/>
      <c r="B17" s="1517" t="s">
        <v>2327</v>
      </c>
      <c r="C17" s="1517"/>
      <c r="D17" s="1517"/>
      <c r="E17" s="1517"/>
      <c r="F17" s="1517"/>
      <c r="G17" s="1517"/>
      <c r="H17" s="985">
        <f>SUM(H18:H98)</f>
        <v>285838.96000000008</v>
      </c>
      <c r="I17" s="985">
        <f t="shared" ref="I17:Q17" si="2">SUM(I18:I98)</f>
        <v>260135.24999999997</v>
      </c>
      <c r="J17" s="985">
        <f t="shared" si="2"/>
        <v>231549.46000000002</v>
      </c>
      <c r="K17" s="995">
        <f t="shared" si="2"/>
        <v>10022</v>
      </c>
      <c r="L17" s="985">
        <f t="shared" si="2"/>
        <v>353984333</v>
      </c>
      <c r="M17" s="985">
        <f t="shared" si="2"/>
        <v>0</v>
      </c>
      <c r="N17" s="985">
        <f t="shared" si="2"/>
        <v>0</v>
      </c>
      <c r="O17" s="985">
        <f t="shared" si="2"/>
        <v>353984333</v>
      </c>
      <c r="P17" s="985">
        <f t="shared" si="2"/>
        <v>0</v>
      </c>
      <c r="Q17" s="985">
        <f t="shared" si="2"/>
        <v>0</v>
      </c>
      <c r="R17" s="996" t="s">
        <v>40</v>
      </c>
      <c r="S17" s="996" t="s">
        <v>40</v>
      </c>
      <c r="T17" s="996" t="s">
        <v>40</v>
      </c>
    </row>
    <row r="18" spans="1:20" s="997" customFormat="1" ht="36" customHeight="1">
      <c r="A18" s="1037">
        <v>1</v>
      </c>
      <c r="B18" s="1023" t="s">
        <v>1682</v>
      </c>
      <c r="C18" s="1037">
        <v>1994</v>
      </c>
      <c r="D18" s="1037"/>
      <c r="E18" s="1037" t="s">
        <v>219</v>
      </c>
      <c r="F18" s="1037">
        <v>10</v>
      </c>
      <c r="G18" s="1037">
        <v>5</v>
      </c>
      <c r="H18" s="1038">
        <v>12497.5</v>
      </c>
      <c r="I18" s="1038">
        <v>11421.99</v>
      </c>
      <c r="J18" s="1038">
        <v>11374.89</v>
      </c>
      <c r="K18" s="1039">
        <v>431</v>
      </c>
      <c r="L18" s="1040">
        <v>16299923</v>
      </c>
      <c r="M18" s="1040">
        <v>0</v>
      </c>
      <c r="N18" s="1040">
        <v>0</v>
      </c>
      <c r="O18" s="1040">
        <v>16299923</v>
      </c>
      <c r="P18" s="1040">
        <v>0</v>
      </c>
      <c r="Q18" s="1040">
        <v>0</v>
      </c>
      <c r="R18" s="1038">
        <f t="shared" ref="R18:R80" si="3">L18/I18</f>
        <v>1427.065073599259</v>
      </c>
      <c r="S18" s="1255">
        <v>2020</v>
      </c>
      <c r="T18" s="1037">
        <v>2020</v>
      </c>
    </row>
    <row r="19" spans="1:20" s="1041" customFormat="1" ht="45.6" customHeight="1">
      <c r="A19" s="1037">
        <v>2</v>
      </c>
      <c r="B19" s="1023" t="s">
        <v>1683</v>
      </c>
      <c r="C19" s="1037">
        <v>1994</v>
      </c>
      <c r="D19" s="1037"/>
      <c r="E19" s="1026" t="s">
        <v>218</v>
      </c>
      <c r="F19" s="1037">
        <v>12</v>
      </c>
      <c r="G19" s="1037">
        <v>1</v>
      </c>
      <c r="H19" s="1038">
        <v>4485.7</v>
      </c>
      <c r="I19" s="1038">
        <v>3864.1</v>
      </c>
      <c r="J19" s="1038">
        <v>3818.8</v>
      </c>
      <c r="K19" s="1039">
        <v>168</v>
      </c>
      <c r="L19" s="1040">
        <v>6984731</v>
      </c>
      <c r="M19" s="1040">
        <v>0</v>
      </c>
      <c r="N19" s="1040">
        <v>0</v>
      </c>
      <c r="O19" s="1040">
        <v>6984731</v>
      </c>
      <c r="P19" s="1040">
        <v>0</v>
      </c>
      <c r="Q19" s="1040">
        <v>0</v>
      </c>
      <c r="R19" s="1038">
        <f t="shared" si="3"/>
        <v>1807.5958179136151</v>
      </c>
      <c r="S19" s="1255">
        <v>2020</v>
      </c>
      <c r="T19" s="1037">
        <v>2020</v>
      </c>
    </row>
    <row r="20" spans="1:20" s="1041" customFormat="1" ht="39.6" customHeight="1">
      <c r="A20" s="1037">
        <v>3</v>
      </c>
      <c r="B20" s="1023" t="s">
        <v>1684</v>
      </c>
      <c r="C20" s="1037">
        <v>1994</v>
      </c>
      <c r="D20" s="1037"/>
      <c r="E20" s="1037" t="s">
        <v>219</v>
      </c>
      <c r="F20" s="1037">
        <v>9</v>
      </c>
      <c r="G20" s="1037">
        <v>3</v>
      </c>
      <c r="H20" s="1038">
        <v>6615.4</v>
      </c>
      <c r="I20" s="1038">
        <v>6074.8</v>
      </c>
      <c r="J20" s="1038">
        <v>975.1</v>
      </c>
      <c r="K20" s="1039">
        <v>278</v>
      </c>
      <c r="L20" s="1040">
        <v>10555158</v>
      </c>
      <c r="M20" s="1040">
        <v>0</v>
      </c>
      <c r="N20" s="1040">
        <v>0</v>
      </c>
      <c r="O20" s="1040">
        <v>10555158</v>
      </c>
      <c r="P20" s="1040">
        <v>0</v>
      </c>
      <c r="Q20" s="1040">
        <v>0</v>
      </c>
      <c r="R20" s="1038">
        <f t="shared" si="3"/>
        <v>1737.5317705932705</v>
      </c>
      <c r="S20" s="1255">
        <v>2020</v>
      </c>
      <c r="T20" s="1037">
        <v>2020</v>
      </c>
    </row>
    <row r="21" spans="1:20" s="1041" customFormat="1" ht="39" customHeight="1">
      <c r="A21" s="1037">
        <v>4</v>
      </c>
      <c r="B21" s="1023" t="s">
        <v>1685</v>
      </c>
      <c r="C21" s="1037">
        <v>1995</v>
      </c>
      <c r="D21" s="1037"/>
      <c r="E21" s="1037" t="s">
        <v>219</v>
      </c>
      <c r="F21" s="1037">
        <v>10</v>
      </c>
      <c r="G21" s="1037">
        <v>5</v>
      </c>
      <c r="H21" s="1038">
        <v>12166.8</v>
      </c>
      <c r="I21" s="1038">
        <v>10842.8</v>
      </c>
      <c r="J21" s="1038">
        <v>10709.4</v>
      </c>
      <c r="K21" s="1039">
        <v>536</v>
      </c>
      <c r="L21" s="1040">
        <v>17461827</v>
      </c>
      <c r="M21" s="1040">
        <v>0</v>
      </c>
      <c r="N21" s="1040">
        <v>0</v>
      </c>
      <c r="O21" s="1040">
        <v>17461827</v>
      </c>
      <c r="P21" s="1040">
        <v>0</v>
      </c>
      <c r="Q21" s="1040">
        <v>0</v>
      </c>
      <c r="R21" s="1038">
        <f t="shared" si="3"/>
        <v>1610.4536651049546</v>
      </c>
      <c r="S21" s="1255">
        <v>2020</v>
      </c>
      <c r="T21" s="1037">
        <v>2020</v>
      </c>
    </row>
    <row r="22" spans="1:20" s="1041" customFormat="1" ht="45.6" customHeight="1">
      <c r="A22" s="1037">
        <v>5</v>
      </c>
      <c r="B22" s="1023" t="s">
        <v>1686</v>
      </c>
      <c r="C22" s="1037">
        <v>1960</v>
      </c>
      <c r="D22" s="1037"/>
      <c r="E22" s="1026" t="s">
        <v>218</v>
      </c>
      <c r="F22" s="1037">
        <v>4</v>
      </c>
      <c r="G22" s="1037">
        <v>4</v>
      </c>
      <c r="H22" s="1038">
        <v>3219.9</v>
      </c>
      <c r="I22" s="1038">
        <v>2423.1999999999998</v>
      </c>
      <c r="J22" s="1038">
        <v>1885.5</v>
      </c>
      <c r="K22" s="1039">
        <v>67</v>
      </c>
      <c r="L22" s="1040">
        <v>143558</v>
      </c>
      <c r="M22" s="1040">
        <v>0</v>
      </c>
      <c r="N22" s="1040">
        <v>0</v>
      </c>
      <c r="O22" s="1040">
        <v>143558</v>
      </c>
      <c r="P22" s="1040">
        <v>0</v>
      </c>
      <c r="Q22" s="1040">
        <v>0</v>
      </c>
      <c r="R22" s="1038">
        <f t="shared" si="3"/>
        <v>59.24314955430836</v>
      </c>
      <c r="S22" s="1255">
        <v>2020</v>
      </c>
      <c r="T22" s="1037">
        <v>2020</v>
      </c>
    </row>
    <row r="23" spans="1:20" s="1041" customFormat="1" ht="45.6" customHeight="1">
      <c r="A23" s="1037">
        <v>6</v>
      </c>
      <c r="B23" s="1265" t="s">
        <v>1724</v>
      </c>
      <c r="C23" s="1037">
        <v>1974</v>
      </c>
      <c r="D23" s="1037"/>
      <c r="E23" s="1037" t="s">
        <v>220</v>
      </c>
      <c r="F23" s="1037">
        <v>12</v>
      </c>
      <c r="G23" s="1037">
        <v>1</v>
      </c>
      <c r="H23" s="1038">
        <v>3833.3</v>
      </c>
      <c r="I23" s="1038">
        <v>3632.2</v>
      </c>
      <c r="J23" s="1038">
        <v>3350</v>
      </c>
      <c r="K23" s="1039">
        <v>178</v>
      </c>
      <c r="L23" s="1040">
        <v>1223262</v>
      </c>
      <c r="M23" s="1040">
        <v>0</v>
      </c>
      <c r="N23" s="1040">
        <v>0</v>
      </c>
      <c r="O23" s="1040">
        <v>1223262</v>
      </c>
      <c r="P23" s="1040">
        <v>0</v>
      </c>
      <c r="Q23" s="1040">
        <v>0</v>
      </c>
      <c r="R23" s="1038">
        <f t="shared" si="3"/>
        <v>336.78266615274492</v>
      </c>
      <c r="S23" s="1255">
        <v>2020</v>
      </c>
      <c r="T23" s="1037">
        <v>2020</v>
      </c>
    </row>
    <row r="24" spans="1:20" s="1041" customFormat="1" ht="42" customHeight="1">
      <c r="A24" s="1037">
        <v>7</v>
      </c>
      <c r="B24" s="1023" t="s">
        <v>1687</v>
      </c>
      <c r="C24" s="1037">
        <v>1959</v>
      </c>
      <c r="D24" s="1037"/>
      <c r="E24" s="1026" t="s">
        <v>218</v>
      </c>
      <c r="F24" s="1037">
        <v>2</v>
      </c>
      <c r="G24" s="1037">
        <v>2</v>
      </c>
      <c r="H24" s="1038">
        <v>716.9</v>
      </c>
      <c r="I24" s="1038">
        <v>638.6</v>
      </c>
      <c r="J24" s="1038">
        <v>638.6</v>
      </c>
      <c r="K24" s="1039">
        <v>37</v>
      </c>
      <c r="L24" s="1040">
        <v>2502533</v>
      </c>
      <c r="M24" s="1040">
        <v>0</v>
      </c>
      <c r="N24" s="1040">
        <v>0</v>
      </c>
      <c r="O24" s="1040">
        <v>2502533</v>
      </c>
      <c r="P24" s="1040">
        <v>0</v>
      </c>
      <c r="Q24" s="1040">
        <v>0</v>
      </c>
      <c r="R24" s="1038">
        <f t="shared" si="3"/>
        <v>3918.7801440651424</v>
      </c>
      <c r="S24" s="1255">
        <v>2020</v>
      </c>
      <c r="T24" s="1037">
        <v>2020</v>
      </c>
    </row>
    <row r="25" spans="1:20" s="1041" customFormat="1" ht="42" customHeight="1">
      <c r="A25" s="1037">
        <v>8</v>
      </c>
      <c r="B25" s="1023" t="s">
        <v>1688</v>
      </c>
      <c r="C25" s="1037">
        <v>1991</v>
      </c>
      <c r="D25" s="1037"/>
      <c r="E25" s="1037" t="s">
        <v>219</v>
      </c>
      <c r="F25" s="1037">
        <v>10</v>
      </c>
      <c r="G25" s="1037">
        <v>4</v>
      </c>
      <c r="H25" s="1038">
        <v>9035.9</v>
      </c>
      <c r="I25" s="1038">
        <v>8598.1</v>
      </c>
      <c r="J25" s="1038">
        <v>8180.9</v>
      </c>
      <c r="K25" s="1039">
        <v>293</v>
      </c>
      <c r="L25" s="1024">
        <v>3252433</v>
      </c>
      <c r="M25" s="1040">
        <v>0</v>
      </c>
      <c r="N25" s="1040">
        <v>0</v>
      </c>
      <c r="O25" s="1024">
        <v>3252433</v>
      </c>
      <c r="P25" s="1040">
        <v>0</v>
      </c>
      <c r="Q25" s="1040">
        <v>0</v>
      </c>
      <c r="R25" s="1038">
        <f t="shared" si="3"/>
        <v>378.27345576348262</v>
      </c>
      <c r="S25" s="1255">
        <v>2020</v>
      </c>
      <c r="T25" s="1037">
        <v>2020</v>
      </c>
    </row>
    <row r="26" spans="1:20" s="1041" customFormat="1" ht="43.2" customHeight="1">
      <c r="A26" s="1037">
        <v>9</v>
      </c>
      <c r="B26" s="1023" t="s">
        <v>2231</v>
      </c>
      <c r="C26" s="1037">
        <v>1986</v>
      </c>
      <c r="D26" s="1037"/>
      <c r="E26" s="1037" t="s">
        <v>219</v>
      </c>
      <c r="F26" s="1037">
        <v>9</v>
      </c>
      <c r="G26" s="1037">
        <v>3</v>
      </c>
      <c r="H26" s="1038">
        <v>6556.4</v>
      </c>
      <c r="I26" s="1038">
        <v>5865.7</v>
      </c>
      <c r="J26" s="1038">
        <v>5341.2</v>
      </c>
      <c r="K26" s="1039">
        <v>265</v>
      </c>
      <c r="L26" s="1024">
        <v>2472610</v>
      </c>
      <c r="M26" s="1040">
        <v>0</v>
      </c>
      <c r="N26" s="1040">
        <v>0</v>
      </c>
      <c r="O26" s="1024">
        <v>2472610</v>
      </c>
      <c r="P26" s="1040">
        <v>0</v>
      </c>
      <c r="Q26" s="1040">
        <v>0</v>
      </c>
      <c r="R26" s="1038">
        <f t="shared" si="3"/>
        <v>421.5370714492729</v>
      </c>
      <c r="S26" s="1255">
        <v>2020</v>
      </c>
      <c r="T26" s="1037">
        <v>2020</v>
      </c>
    </row>
    <row r="27" spans="1:20" s="1041" customFormat="1" ht="39.6" customHeight="1">
      <c r="A27" s="1037">
        <v>10</v>
      </c>
      <c r="B27" s="1023" t="s">
        <v>2034</v>
      </c>
      <c r="C27" s="1037">
        <v>1979</v>
      </c>
      <c r="D27" s="1037"/>
      <c r="E27" s="1037" t="s">
        <v>219</v>
      </c>
      <c r="F27" s="1037">
        <v>5</v>
      </c>
      <c r="G27" s="1037">
        <v>4</v>
      </c>
      <c r="H27" s="1038">
        <v>3490</v>
      </c>
      <c r="I27" s="1038">
        <v>3184.8</v>
      </c>
      <c r="J27" s="1038">
        <v>2847.5</v>
      </c>
      <c r="K27" s="1039">
        <v>123</v>
      </c>
      <c r="L27" s="1024">
        <v>2486195</v>
      </c>
      <c r="M27" s="1040">
        <v>0</v>
      </c>
      <c r="N27" s="1040">
        <v>0</v>
      </c>
      <c r="O27" s="1024">
        <v>2486195</v>
      </c>
      <c r="P27" s="1040">
        <v>0</v>
      </c>
      <c r="Q27" s="1040">
        <v>0</v>
      </c>
      <c r="R27" s="1038">
        <f t="shared" si="3"/>
        <v>780.64399648329561</v>
      </c>
      <c r="S27" s="1255">
        <v>2020</v>
      </c>
      <c r="T27" s="1037">
        <v>2020</v>
      </c>
    </row>
    <row r="28" spans="1:20" s="1041" customFormat="1" ht="40.799999999999997" customHeight="1">
      <c r="A28" s="1037">
        <v>11</v>
      </c>
      <c r="B28" s="1023" t="s">
        <v>1689</v>
      </c>
      <c r="C28" s="1037">
        <v>1994</v>
      </c>
      <c r="D28" s="1037"/>
      <c r="E28" s="1037" t="s">
        <v>219</v>
      </c>
      <c r="F28" s="1037">
        <v>9</v>
      </c>
      <c r="G28" s="1037">
        <v>4</v>
      </c>
      <c r="H28" s="1038">
        <v>8086.5</v>
      </c>
      <c r="I28" s="1038">
        <v>7521.3</v>
      </c>
      <c r="J28" s="1038">
        <v>7326.8</v>
      </c>
      <c r="K28" s="1039">
        <v>299</v>
      </c>
      <c r="L28" s="1024">
        <v>2978001</v>
      </c>
      <c r="M28" s="1040">
        <v>0</v>
      </c>
      <c r="N28" s="1040">
        <v>0</v>
      </c>
      <c r="O28" s="1024">
        <v>2978001</v>
      </c>
      <c r="P28" s="1040">
        <v>0</v>
      </c>
      <c r="Q28" s="1040">
        <v>0</v>
      </c>
      <c r="R28" s="1038">
        <f t="shared" si="3"/>
        <v>395.94232380040683</v>
      </c>
      <c r="S28" s="1255">
        <v>2020</v>
      </c>
      <c r="T28" s="1037">
        <v>2020</v>
      </c>
    </row>
    <row r="29" spans="1:20" s="1041" customFormat="1" ht="42" customHeight="1">
      <c r="A29" s="1037">
        <v>12</v>
      </c>
      <c r="B29" s="1023" t="s">
        <v>2232</v>
      </c>
      <c r="C29" s="1037">
        <v>1987</v>
      </c>
      <c r="D29" s="1037"/>
      <c r="E29" s="1037" t="s">
        <v>219</v>
      </c>
      <c r="F29" s="1037">
        <v>12</v>
      </c>
      <c r="G29" s="1037">
        <v>1</v>
      </c>
      <c r="H29" s="1038">
        <v>4395.3</v>
      </c>
      <c r="I29" s="1038">
        <v>3594.4</v>
      </c>
      <c r="J29" s="1038">
        <v>3368.6</v>
      </c>
      <c r="K29" s="1039">
        <v>148</v>
      </c>
      <c r="L29" s="1024">
        <v>1725393</v>
      </c>
      <c r="M29" s="1040">
        <v>0</v>
      </c>
      <c r="N29" s="1040">
        <v>0</v>
      </c>
      <c r="O29" s="1024">
        <v>1725393</v>
      </c>
      <c r="P29" s="1040">
        <v>0</v>
      </c>
      <c r="Q29" s="1040">
        <v>0</v>
      </c>
      <c r="R29" s="1038">
        <f t="shared" si="3"/>
        <v>480.02253505452927</v>
      </c>
      <c r="S29" s="1255">
        <v>2020</v>
      </c>
      <c r="T29" s="1037">
        <v>2020</v>
      </c>
    </row>
    <row r="30" spans="1:20" s="1041" customFormat="1" ht="45.6" customHeight="1">
      <c r="A30" s="1037">
        <v>13</v>
      </c>
      <c r="B30" s="1023" t="s">
        <v>1690</v>
      </c>
      <c r="C30" s="1037">
        <v>1971</v>
      </c>
      <c r="D30" s="1037"/>
      <c r="E30" s="1026" t="s">
        <v>218</v>
      </c>
      <c r="F30" s="1037">
        <v>5</v>
      </c>
      <c r="G30" s="1037">
        <v>1</v>
      </c>
      <c r="H30" s="1038">
        <v>3924.7</v>
      </c>
      <c r="I30" s="1038">
        <v>3658.2</v>
      </c>
      <c r="J30" s="1038">
        <v>3158.2</v>
      </c>
      <c r="K30" s="1039">
        <v>208</v>
      </c>
      <c r="L30" s="1024">
        <v>1304334</v>
      </c>
      <c r="M30" s="1040">
        <v>0</v>
      </c>
      <c r="N30" s="1040">
        <v>0</v>
      </c>
      <c r="O30" s="1024">
        <v>1304334</v>
      </c>
      <c r="P30" s="1040">
        <v>0</v>
      </c>
      <c r="Q30" s="1040">
        <v>0</v>
      </c>
      <c r="R30" s="1038">
        <f t="shared" si="3"/>
        <v>356.55076267016568</v>
      </c>
      <c r="S30" s="1255">
        <v>2020</v>
      </c>
      <c r="T30" s="1037">
        <v>2020</v>
      </c>
    </row>
    <row r="31" spans="1:20" s="1041" customFormat="1" ht="45.6" customHeight="1">
      <c r="A31" s="1037">
        <v>14</v>
      </c>
      <c r="B31" s="1023" t="s">
        <v>1691</v>
      </c>
      <c r="C31" s="1037">
        <v>1947</v>
      </c>
      <c r="D31" s="1037"/>
      <c r="E31" s="1026" t="s">
        <v>218</v>
      </c>
      <c r="F31" s="1037">
        <v>4</v>
      </c>
      <c r="G31" s="1037">
        <v>2</v>
      </c>
      <c r="H31" s="1038">
        <v>1384.7</v>
      </c>
      <c r="I31" s="1038">
        <v>1205.9000000000001</v>
      </c>
      <c r="J31" s="1038">
        <f>I31-276.8-45.4</f>
        <v>883.70000000000016</v>
      </c>
      <c r="K31" s="1039">
        <v>54</v>
      </c>
      <c r="L31" s="1024">
        <v>7429397</v>
      </c>
      <c r="M31" s="1040">
        <v>0</v>
      </c>
      <c r="N31" s="1040">
        <v>0</v>
      </c>
      <c r="O31" s="1024">
        <v>7429397</v>
      </c>
      <c r="P31" s="1040">
        <v>0</v>
      </c>
      <c r="Q31" s="1040">
        <v>0</v>
      </c>
      <c r="R31" s="1038">
        <f t="shared" si="3"/>
        <v>6160.8732067335595</v>
      </c>
      <c r="S31" s="1255">
        <v>2020</v>
      </c>
      <c r="T31" s="1037">
        <v>2020</v>
      </c>
    </row>
    <row r="32" spans="1:20" s="1041" customFormat="1" ht="45.6" customHeight="1">
      <c r="A32" s="1037">
        <v>15</v>
      </c>
      <c r="B32" s="1023" t="s">
        <v>1692</v>
      </c>
      <c r="C32" s="1037">
        <v>1959</v>
      </c>
      <c r="D32" s="1037"/>
      <c r="E32" s="1026" t="s">
        <v>218</v>
      </c>
      <c r="F32" s="1037">
        <v>2</v>
      </c>
      <c r="G32" s="1037">
        <v>1</v>
      </c>
      <c r="H32" s="1038">
        <v>301.10000000000002</v>
      </c>
      <c r="I32" s="1038">
        <v>278.2</v>
      </c>
      <c r="J32" s="1038">
        <v>240.3</v>
      </c>
      <c r="K32" s="1039">
        <v>15</v>
      </c>
      <c r="L32" s="1024">
        <v>220003</v>
      </c>
      <c r="M32" s="1040">
        <v>0</v>
      </c>
      <c r="N32" s="1040">
        <v>0</v>
      </c>
      <c r="O32" s="1024">
        <v>220003</v>
      </c>
      <c r="P32" s="1040">
        <v>0</v>
      </c>
      <c r="Q32" s="1040">
        <v>0</v>
      </c>
      <c r="R32" s="1038">
        <f t="shared" si="3"/>
        <v>790.80877066858375</v>
      </c>
      <c r="S32" s="1255">
        <v>2020</v>
      </c>
      <c r="T32" s="1037">
        <v>2020</v>
      </c>
    </row>
    <row r="33" spans="1:20" s="1041" customFormat="1" ht="45.6" customHeight="1">
      <c r="A33" s="1037">
        <v>16</v>
      </c>
      <c r="B33" s="1023" t="s">
        <v>1725</v>
      </c>
      <c r="C33" s="1037">
        <v>1962</v>
      </c>
      <c r="D33" s="1037"/>
      <c r="E33" s="1026" t="s">
        <v>218</v>
      </c>
      <c r="F33" s="1037">
        <v>4</v>
      </c>
      <c r="G33" s="1037">
        <v>3</v>
      </c>
      <c r="H33" s="1038">
        <v>2152.1</v>
      </c>
      <c r="I33" s="1038">
        <v>1979.1</v>
      </c>
      <c r="J33" s="1038">
        <v>1865.9</v>
      </c>
      <c r="K33" s="1039">
        <v>79</v>
      </c>
      <c r="L33" s="1024">
        <v>1272992</v>
      </c>
      <c r="M33" s="1040">
        <v>0</v>
      </c>
      <c r="N33" s="1040">
        <v>0</v>
      </c>
      <c r="O33" s="1024">
        <v>1272992</v>
      </c>
      <c r="P33" s="1040">
        <v>0</v>
      </c>
      <c r="Q33" s="1040">
        <v>0</v>
      </c>
      <c r="R33" s="1038">
        <f t="shared" si="3"/>
        <v>643.21762417260379</v>
      </c>
      <c r="S33" s="1255">
        <v>2020</v>
      </c>
      <c r="T33" s="1037">
        <v>2020</v>
      </c>
    </row>
    <row r="34" spans="1:20" s="1041" customFormat="1" ht="40.799999999999997" customHeight="1">
      <c r="A34" s="1037">
        <v>17</v>
      </c>
      <c r="B34" s="1023" t="s">
        <v>1693</v>
      </c>
      <c r="C34" s="1037">
        <v>1969</v>
      </c>
      <c r="D34" s="1037"/>
      <c r="E34" s="1037" t="s">
        <v>219</v>
      </c>
      <c r="F34" s="1037">
        <v>5</v>
      </c>
      <c r="G34" s="1037">
        <v>4</v>
      </c>
      <c r="H34" s="1038">
        <v>3032</v>
      </c>
      <c r="I34" s="1038">
        <v>2657.9</v>
      </c>
      <c r="J34" s="1038">
        <v>2448.3000000000002</v>
      </c>
      <c r="K34" s="1039">
        <v>121</v>
      </c>
      <c r="L34" s="1024">
        <v>7458020</v>
      </c>
      <c r="M34" s="1040">
        <v>0</v>
      </c>
      <c r="N34" s="1040">
        <v>0</v>
      </c>
      <c r="O34" s="1024">
        <v>7458020</v>
      </c>
      <c r="P34" s="1040">
        <v>0</v>
      </c>
      <c r="Q34" s="1040">
        <v>0</v>
      </c>
      <c r="R34" s="1038">
        <f t="shared" si="3"/>
        <v>2805.9821663719476</v>
      </c>
      <c r="S34" s="1255">
        <v>2020</v>
      </c>
      <c r="T34" s="1037">
        <v>2020</v>
      </c>
    </row>
    <row r="35" spans="1:20" s="1041" customFormat="1" ht="45.6" customHeight="1">
      <c r="A35" s="1037">
        <v>18</v>
      </c>
      <c r="B35" s="1265" t="s">
        <v>337</v>
      </c>
      <c r="C35" s="1037">
        <v>1959</v>
      </c>
      <c r="D35" s="1037"/>
      <c r="E35" s="1026" t="s">
        <v>218</v>
      </c>
      <c r="F35" s="1037">
        <v>2</v>
      </c>
      <c r="G35" s="1037">
        <v>2</v>
      </c>
      <c r="H35" s="1038">
        <v>700.6</v>
      </c>
      <c r="I35" s="1038">
        <v>651.79999999999995</v>
      </c>
      <c r="J35" s="1038">
        <v>651.79999999999995</v>
      </c>
      <c r="K35" s="1039">
        <v>24</v>
      </c>
      <c r="L35" s="1024">
        <v>379105</v>
      </c>
      <c r="M35" s="1040">
        <v>0</v>
      </c>
      <c r="N35" s="1040">
        <v>0</v>
      </c>
      <c r="O35" s="1024">
        <v>379105</v>
      </c>
      <c r="P35" s="1040">
        <v>0</v>
      </c>
      <c r="Q35" s="1040">
        <v>0</v>
      </c>
      <c r="R35" s="1038">
        <f t="shared" si="3"/>
        <v>581.62779993863148</v>
      </c>
      <c r="S35" s="1255">
        <v>2020</v>
      </c>
      <c r="T35" s="1037">
        <v>2020</v>
      </c>
    </row>
    <row r="36" spans="1:20" s="1041" customFormat="1" ht="45.6" customHeight="1">
      <c r="A36" s="1037">
        <v>19</v>
      </c>
      <c r="B36" s="1023" t="s">
        <v>1726</v>
      </c>
      <c r="C36" s="1037">
        <v>1958</v>
      </c>
      <c r="D36" s="1037"/>
      <c r="E36" s="1026" t="s">
        <v>218</v>
      </c>
      <c r="F36" s="1037">
        <v>3</v>
      </c>
      <c r="G36" s="1037">
        <v>2</v>
      </c>
      <c r="H36" s="1038">
        <v>1002.6</v>
      </c>
      <c r="I36" s="1038">
        <v>912</v>
      </c>
      <c r="J36" s="1038">
        <v>861.5</v>
      </c>
      <c r="K36" s="1039">
        <v>53</v>
      </c>
      <c r="L36" s="1024">
        <v>720344</v>
      </c>
      <c r="M36" s="1040">
        <v>0</v>
      </c>
      <c r="N36" s="1040">
        <v>0</v>
      </c>
      <c r="O36" s="1024">
        <v>720344</v>
      </c>
      <c r="P36" s="1040">
        <v>0</v>
      </c>
      <c r="Q36" s="1040">
        <v>0</v>
      </c>
      <c r="R36" s="1038">
        <f t="shared" si="3"/>
        <v>789.85087719298247</v>
      </c>
      <c r="S36" s="1255">
        <v>2020</v>
      </c>
      <c r="T36" s="1037">
        <v>2020</v>
      </c>
    </row>
    <row r="37" spans="1:20" s="1041" customFormat="1" ht="45.6" customHeight="1">
      <c r="A37" s="1037">
        <v>20</v>
      </c>
      <c r="B37" s="1023" t="s">
        <v>1694</v>
      </c>
      <c r="C37" s="1037">
        <v>1963</v>
      </c>
      <c r="D37" s="1037"/>
      <c r="E37" s="1026" t="s">
        <v>218</v>
      </c>
      <c r="F37" s="1037">
        <v>4</v>
      </c>
      <c r="G37" s="1037">
        <v>4</v>
      </c>
      <c r="H37" s="1038">
        <v>2744.8</v>
      </c>
      <c r="I37" s="1038">
        <v>2554.3000000000002</v>
      </c>
      <c r="J37" s="1038">
        <v>2427.4</v>
      </c>
      <c r="K37" s="1039">
        <v>104</v>
      </c>
      <c r="L37" s="1040">
        <v>4274120</v>
      </c>
      <c r="M37" s="1040">
        <v>0</v>
      </c>
      <c r="N37" s="1040">
        <v>0</v>
      </c>
      <c r="O37" s="1040">
        <v>4274120</v>
      </c>
      <c r="P37" s="1040">
        <v>0</v>
      </c>
      <c r="Q37" s="1040">
        <v>0</v>
      </c>
      <c r="R37" s="1038">
        <f t="shared" si="3"/>
        <v>1673.3038405825469</v>
      </c>
      <c r="S37" s="1255">
        <v>2020</v>
      </c>
      <c r="T37" s="1037">
        <v>2020</v>
      </c>
    </row>
    <row r="38" spans="1:20" s="1041" customFormat="1" ht="45.6" customHeight="1">
      <c r="A38" s="1037">
        <v>21</v>
      </c>
      <c r="B38" s="1023" t="s">
        <v>1695</v>
      </c>
      <c r="C38" s="1037">
        <v>1959</v>
      </c>
      <c r="D38" s="1037"/>
      <c r="E38" s="1026" t="s">
        <v>218</v>
      </c>
      <c r="F38" s="1037">
        <v>2</v>
      </c>
      <c r="G38" s="1037">
        <v>2</v>
      </c>
      <c r="H38" s="1038">
        <v>688</v>
      </c>
      <c r="I38" s="1038">
        <v>641</v>
      </c>
      <c r="J38" s="1038">
        <v>597.1</v>
      </c>
      <c r="K38" s="1039">
        <v>35</v>
      </c>
      <c r="L38" s="1040">
        <v>1840546</v>
      </c>
      <c r="M38" s="1040">
        <v>0</v>
      </c>
      <c r="N38" s="1040">
        <v>0</v>
      </c>
      <c r="O38" s="1040">
        <v>1840546</v>
      </c>
      <c r="P38" s="1040">
        <v>0</v>
      </c>
      <c r="Q38" s="1040">
        <v>0</v>
      </c>
      <c r="R38" s="1038">
        <f t="shared" si="3"/>
        <v>2871.3666146645865</v>
      </c>
      <c r="S38" s="1255">
        <v>2020</v>
      </c>
      <c r="T38" s="1037">
        <v>2020</v>
      </c>
    </row>
    <row r="39" spans="1:20" s="1041" customFormat="1" ht="45.6" customHeight="1">
      <c r="A39" s="1037">
        <v>22</v>
      </c>
      <c r="B39" s="1023" t="s">
        <v>1696</v>
      </c>
      <c r="C39" s="1037">
        <v>1959</v>
      </c>
      <c r="D39" s="1037"/>
      <c r="E39" s="1026" t="s">
        <v>218</v>
      </c>
      <c r="F39" s="1037">
        <v>4</v>
      </c>
      <c r="G39" s="1037">
        <v>4</v>
      </c>
      <c r="H39" s="1038">
        <v>2698</v>
      </c>
      <c r="I39" s="1038">
        <v>2510.3000000000002</v>
      </c>
      <c r="J39" s="1038">
        <v>2296.1</v>
      </c>
      <c r="K39" s="1039">
        <v>122</v>
      </c>
      <c r="L39" s="1040">
        <v>1985158</v>
      </c>
      <c r="M39" s="1040">
        <v>0</v>
      </c>
      <c r="N39" s="1040">
        <v>0</v>
      </c>
      <c r="O39" s="1040">
        <v>1985158</v>
      </c>
      <c r="P39" s="1040">
        <v>0</v>
      </c>
      <c r="Q39" s="1040">
        <v>0</v>
      </c>
      <c r="R39" s="1038">
        <f t="shared" si="3"/>
        <v>790.80508305780177</v>
      </c>
      <c r="S39" s="1255">
        <v>2020</v>
      </c>
      <c r="T39" s="1037">
        <v>2020</v>
      </c>
    </row>
    <row r="40" spans="1:20" s="1041" customFormat="1" ht="45.6" customHeight="1">
      <c r="A40" s="1037">
        <v>23</v>
      </c>
      <c r="B40" s="1023" t="s">
        <v>1697</v>
      </c>
      <c r="C40" s="1037">
        <v>1956</v>
      </c>
      <c r="D40" s="1037"/>
      <c r="E40" s="1026" t="s">
        <v>218</v>
      </c>
      <c r="F40" s="1037">
        <v>2</v>
      </c>
      <c r="G40" s="1037">
        <v>1</v>
      </c>
      <c r="H40" s="1038">
        <v>564.1</v>
      </c>
      <c r="I40" s="1038">
        <v>519.29999999999995</v>
      </c>
      <c r="J40" s="1038">
        <v>519.29999999999995</v>
      </c>
      <c r="K40" s="1039">
        <v>21</v>
      </c>
      <c r="L40" s="1040">
        <v>2465544</v>
      </c>
      <c r="M40" s="1040">
        <v>0</v>
      </c>
      <c r="N40" s="1040">
        <v>0</v>
      </c>
      <c r="O40" s="1040">
        <v>2465544</v>
      </c>
      <c r="P40" s="1040">
        <v>0</v>
      </c>
      <c r="Q40" s="1040">
        <v>0</v>
      </c>
      <c r="R40" s="1038">
        <f t="shared" si="3"/>
        <v>4747.8220681686889</v>
      </c>
      <c r="S40" s="1255">
        <v>2020</v>
      </c>
      <c r="T40" s="1037">
        <v>2020</v>
      </c>
    </row>
    <row r="41" spans="1:20" s="1041" customFormat="1" ht="42" customHeight="1">
      <c r="A41" s="1037">
        <v>24</v>
      </c>
      <c r="B41" s="1023" t="s">
        <v>263</v>
      </c>
      <c r="C41" s="1037">
        <v>1950</v>
      </c>
      <c r="D41" s="1037"/>
      <c r="E41" s="1037" t="s">
        <v>823</v>
      </c>
      <c r="F41" s="1037">
        <v>2</v>
      </c>
      <c r="G41" s="1037">
        <v>2</v>
      </c>
      <c r="H41" s="1038">
        <v>782.2</v>
      </c>
      <c r="I41" s="1038">
        <v>704.6</v>
      </c>
      <c r="J41" s="1038">
        <v>601.20000000000005</v>
      </c>
      <c r="K41" s="1039">
        <v>42</v>
      </c>
      <c r="L41" s="1040">
        <v>409752</v>
      </c>
      <c r="M41" s="1040">
        <v>0</v>
      </c>
      <c r="N41" s="1040">
        <v>0</v>
      </c>
      <c r="O41" s="1040">
        <v>409752</v>
      </c>
      <c r="P41" s="1040">
        <v>0</v>
      </c>
      <c r="Q41" s="1040">
        <v>0</v>
      </c>
      <c r="R41" s="1038">
        <f t="shared" si="3"/>
        <v>581.53846153846155</v>
      </c>
      <c r="S41" s="1255">
        <v>2020</v>
      </c>
      <c r="T41" s="1037">
        <v>2020</v>
      </c>
    </row>
    <row r="42" spans="1:20" s="1041" customFormat="1" ht="43.2" customHeight="1">
      <c r="A42" s="1037">
        <v>25</v>
      </c>
      <c r="B42" s="1023" t="s">
        <v>284</v>
      </c>
      <c r="C42" s="1037">
        <v>1950</v>
      </c>
      <c r="D42" s="1037"/>
      <c r="E42" s="1026" t="s">
        <v>218</v>
      </c>
      <c r="F42" s="1037">
        <v>2</v>
      </c>
      <c r="G42" s="1037">
        <v>2</v>
      </c>
      <c r="H42" s="1038">
        <v>814.2</v>
      </c>
      <c r="I42" s="1038">
        <v>732.3</v>
      </c>
      <c r="J42" s="1038">
        <v>589.1</v>
      </c>
      <c r="K42" s="1039">
        <v>31</v>
      </c>
      <c r="L42" s="1040">
        <v>425860</v>
      </c>
      <c r="M42" s="1040">
        <v>0</v>
      </c>
      <c r="N42" s="1040">
        <v>0</v>
      </c>
      <c r="O42" s="1040">
        <v>425860</v>
      </c>
      <c r="P42" s="1040">
        <v>0</v>
      </c>
      <c r="Q42" s="1040">
        <v>0</v>
      </c>
      <c r="R42" s="1038">
        <f t="shared" si="3"/>
        <v>581.53762119349994</v>
      </c>
      <c r="S42" s="1255">
        <v>2020</v>
      </c>
      <c r="T42" s="1037">
        <v>2020</v>
      </c>
    </row>
    <row r="43" spans="1:20" s="1041" customFormat="1" ht="45.6" customHeight="1">
      <c r="A43" s="1037">
        <v>26</v>
      </c>
      <c r="B43" s="1023" t="s">
        <v>1698</v>
      </c>
      <c r="C43" s="1037">
        <v>1961</v>
      </c>
      <c r="D43" s="1037"/>
      <c r="E43" s="1026" t="s">
        <v>218</v>
      </c>
      <c r="F43" s="1037">
        <v>4</v>
      </c>
      <c r="G43" s="1037">
        <v>3</v>
      </c>
      <c r="H43" s="1038">
        <v>1759.1</v>
      </c>
      <c r="I43" s="1038">
        <v>1584.5</v>
      </c>
      <c r="J43" s="1038">
        <v>1195.5999999999999</v>
      </c>
      <c r="K43" s="1039">
        <v>35</v>
      </c>
      <c r="L43" s="1040">
        <v>945487</v>
      </c>
      <c r="M43" s="1040">
        <v>0</v>
      </c>
      <c r="N43" s="1040">
        <v>0</v>
      </c>
      <c r="O43" s="1040">
        <v>945487</v>
      </c>
      <c r="P43" s="1040">
        <v>0</v>
      </c>
      <c r="Q43" s="1040">
        <v>0</v>
      </c>
      <c r="R43" s="1038">
        <f t="shared" si="3"/>
        <v>596.71000315556955</v>
      </c>
      <c r="S43" s="1255">
        <v>2020</v>
      </c>
      <c r="T43" s="1037">
        <v>2020</v>
      </c>
    </row>
    <row r="44" spans="1:20" s="1041" customFormat="1" ht="45.6" customHeight="1">
      <c r="A44" s="1037">
        <v>27</v>
      </c>
      <c r="B44" s="1023" t="s">
        <v>1699</v>
      </c>
      <c r="C44" s="1037">
        <v>1960</v>
      </c>
      <c r="D44" s="1037"/>
      <c r="E44" s="1026" t="s">
        <v>218</v>
      </c>
      <c r="F44" s="1037">
        <v>2</v>
      </c>
      <c r="G44" s="1037">
        <v>2</v>
      </c>
      <c r="H44" s="1038">
        <v>698.7</v>
      </c>
      <c r="I44" s="1038">
        <v>649.9</v>
      </c>
      <c r="J44" s="1038">
        <v>649.9</v>
      </c>
      <c r="K44" s="1039">
        <v>32</v>
      </c>
      <c r="L44" s="1040">
        <v>3932416</v>
      </c>
      <c r="M44" s="1040">
        <v>0</v>
      </c>
      <c r="N44" s="1040">
        <v>0</v>
      </c>
      <c r="O44" s="1040">
        <v>3932416</v>
      </c>
      <c r="P44" s="1040">
        <v>0</v>
      </c>
      <c r="Q44" s="1040">
        <v>0</v>
      </c>
      <c r="R44" s="1038">
        <f t="shared" si="3"/>
        <v>6050.8016617941221</v>
      </c>
      <c r="S44" s="1255">
        <v>2020</v>
      </c>
      <c r="T44" s="1037">
        <v>2020</v>
      </c>
    </row>
    <row r="45" spans="1:20" s="1041" customFormat="1" ht="41.4" customHeight="1">
      <c r="A45" s="1037">
        <v>28</v>
      </c>
      <c r="B45" s="1023" t="s">
        <v>1700</v>
      </c>
      <c r="C45" s="1037">
        <v>1967</v>
      </c>
      <c r="D45" s="1037"/>
      <c r="E45" s="1037" t="s">
        <v>219</v>
      </c>
      <c r="F45" s="1037">
        <v>5</v>
      </c>
      <c r="G45" s="1037">
        <v>6</v>
      </c>
      <c r="H45" s="1038">
        <v>4806.5</v>
      </c>
      <c r="I45" s="1038">
        <v>4343.6000000000004</v>
      </c>
      <c r="J45" s="1038">
        <v>3958.7</v>
      </c>
      <c r="K45" s="1039">
        <v>169</v>
      </c>
      <c r="L45" s="1040">
        <v>3786311</v>
      </c>
      <c r="M45" s="1040">
        <v>0</v>
      </c>
      <c r="N45" s="1040">
        <v>0</v>
      </c>
      <c r="O45" s="1040">
        <v>3786311</v>
      </c>
      <c r="P45" s="1040">
        <v>0</v>
      </c>
      <c r="Q45" s="1040">
        <v>0</v>
      </c>
      <c r="R45" s="1038">
        <f t="shared" si="3"/>
        <v>871.69882125425909</v>
      </c>
      <c r="S45" s="1255">
        <v>2020</v>
      </c>
      <c r="T45" s="1037">
        <v>2020</v>
      </c>
    </row>
    <row r="46" spans="1:20" s="1041" customFormat="1" ht="45.6" customHeight="1">
      <c r="A46" s="1037">
        <v>29</v>
      </c>
      <c r="B46" s="1023" t="s">
        <v>250</v>
      </c>
      <c r="C46" s="1037">
        <v>1948</v>
      </c>
      <c r="D46" s="1037"/>
      <c r="E46" s="1026" t="s">
        <v>218</v>
      </c>
      <c r="F46" s="1037">
        <v>2</v>
      </c>
      <c r="G46" s="1037">
        <v>3</v>
      </c>
      <c r="H46" s="1038">
        <v>1329.8</v>
      </c>
      <c r="I46" s="1038">
        <v>1212.2</v>
      </c>
      <c r="J46" s="1038">
        <v>1212.2</v>
      </c>
      <c r="K46" s="1039">
        <v>55</v>
      </c>
      <c r="L46" s="1040">
        <v>958615</v>
      </c>
      <c r="M46" s="1040">
        <v>0</v>
      </c>
      <c r="N46" s="1040">
        <v>0</v>
      </c>
      <c r="O46" s="1040">
        <v>958615</v>
      </c>
      <c r="P46" s="1040">
        <v>0</v>
      </c>
      <c r="Q46" s="1040">
        <v>0</v>
      </c>
      <c r="R46" s="1038">
        <f t="shared" si="3"/>
        <v>790.80597261178025</v>
      </c>
      <c r="S46" s="1255">
        <v>2020</v>
      </c>
      <c r="T46" s="1037">
        <v>2020</v>
      </c>
    </row>
    <row r="47" spans="1:20" s="1041" customFormat="1" ht="45.6" customHeight="1">
      <c r="A47" s="1037">
        <v>30</v>
      </c>
      <c r="B47" s="1023" t="s">
        <v>1701</v>
      </c>
      <c r="C47" s="1037">
        <v>1956</v>
      </c>
      <c r="D47" s="1037"/>
      <c r="E47" s="1026" t="s">
        <v>218</v>
      </c>
      <c r="F47" s="1037">
        <v>2</v>
      </c>
      <c r="G47" s="1037">
        <v>2</v>
      </c>
      <c r="H47" s="1038">
        <v>424.9</v>
      </c>
      <c r="I47" s="1038">
        <v>383.9</v>
      </c>
      <c r="J47" s="1038">
        <v>383.9</v>
      </c>
      <c r="K47" s="1039">
        <v>44</v>
      </c>
      <c r="L47" s="1040">
        <v>1907186</v>
      </c>
      <c r="M47" s="1040">
        <v>0</v>
      </c>
      <c r="N47" s="1040">
        <v>0</v>
      </c>
      <c r="O47" s="1040">
        <v>1907186</v>
      </c>
      <c r="P47" s="1040">
        <v>0</v>
      </c>
      <c r="Q47" s="1040">
        <v>0</v>
      </c>
      <c r="R47" s="1038">
        <f t="shared" si="3"/>
        <v>4967.9239385256578</v>
      </c>
      <c r="S47" s="1255">
        <v>2020</v>
      </c>
      <c r="T47" s="1037">
        <v>2020</v>
      </c>
    </row>
    <row r="48" spans="1:20" s="1041" customFormat="1" ht="45.6" customHeight="1">
      <c r="A48" s="1037">
        <v>31</v>
      </c>
      <c r="B48" s="1265" t="s">
        <v>496</v>
      </c>
      <c r="C48" s="1037">
        <v>1951</v>
      </c>
      <c r="D48" s="1037"/>
      <c r="E48" s="1026" t="s">
        <v>218</v>
      </c>
      <c r="F48" s="1037">
        <v>3</v>
      </c>
      <c r="G48" s="1037">
        <v>5</v>
      </c>
      <c r="H48" s="1038">
        <v>3364.9</v>
      </c>
      <c r="I48" s="1038">
        <v>3058</v>
      </c>
      <c r="J48" s="1038">
        <v>2654.3</v>
      </c>
      <c r="K48" s="1039">
        <v>68</v>
      </c>
      <c r="L48" s="1040">
        <v>5534843</v>
      </c>
      <c r="M48" s="1040">
        <v>0</v>
      </c>
      <c r="N48" s="1040">
        <v>0</v>
      </c>
      <c r="O48" s="1040">
        <v>5534843</v>
      </c>
      <c r="P48" s="1040">
        <v>0</v>
      </c>
      <c r="Q48" s="1040">
        <v>0</v>
      </c>
      <c r="R48" s="1038">
        <f t="shared" si="3"/>
        <v>1809.9551994767821</v>
      </c>
      <c r="S48" s="1255">
        <v>2020</v>
      </c>
      <c r="T48" s="1037">
        <v>2020</v>
      </c>
    </row>
    <row r="49" spans="1:20" s="1041" customFormat="1" ht="45.6" customHeight="1">
      <c r="A49" s="1037">
        <v>32</v>
      </c>
      <c r="B49" s="1023" t="s">
        <v>1702</v>
      </c>
      <c r="C49" s="1037">
        <v>1955</v>
      </c>
      <c r="D49" s="1037"/>
      <c r="E49" s="1026" t="s">
        <v>218</v>
      </c>
      <c r="F49" s="1037">
        <v>2</v>
      </c>
      <c r="G49" s="1037">
        <v>1</v>
      </c>
      <c r="H49" s="1038">
        <v>559.79999999999995</v>
      </c>
      <c r="I49" s="1038">
        <v>537.70000000000005</v>
      </c>
      <c r="J49" s="1038">
        <v>537.70000000000005</v>
      </c>
      <c r="K49" s="1039">
        <v>21</v>
      </c>
      <c r="L49" s="1040">
        <v>2175056</v>
      </c>
      <c r="M49" s="1040">
        <v>0</v>
      </c>
      <c r="N49" s="1040">
        <v>0</v>
      </c>
      <c r="O49" s="1040">
        <v>2175056</v>
      </c>
      <c r="P49" s="1040">
        <v>0</v>
      </c>
      <c r="Q49" s="1040">
        <v>0</v>
      </c>
      <c r="R49" s="1038">
        <f t="shared" si="3"/>
        <v>4045.1106564999068</v>
      </c>
      <c r="S49" s="1255">
        <v>2020</v>
      </c>
      <c r="T49" s="1037">
        <v>2020</v>
      </c>
    </row>
    <row r="50" spans="1:20" s="1041" customFormat="1" ht="46.2" customHeight="1">
      <c r="A50" s="1037">
        <v>33</v>
      </c>
      <c r="B50" s="1023" t="s">
        <v>1703</v>
      </c>
      <c r="C50" s="1037">
        <v>1982</v>
      </c>
      <c r="D50" s="1037"/>
      <c r="E50" s="1037" t="s">
        <v>219</v>
      </c>
      <c r="F50" s="1037">
        <v>5</v>
      </c>
      <c r="G50" s="1037">
        <v>14</v>
      </c>
      <c r="H50" s="1038">
        <v>11814.2</v>
      </c>
      <c r="I50" s="1038">
        <v>10844.5</v>
      </c>
      <c r="J50" s="1038">
        <v>9827.7999999999993</v>
      </c>
      <c r="K50" s="1039">
        <v>484</v>
      </c>
      <c r="L50" s="1040">
        <v>7608031</v>
      </c>
      <c r="M50" s="1040">
        <v>0</v>
      </c>
      <c r="N50" s="1040">
        <v>0</v>
      </c>
      <c r="O50" s="1040">
        <v>7608031</v>
      </c>
      <c r="P50" s="1040">
        <v>0</v>
      </c>
      <c r="Q50" s="1040">
        <v>0</v>
      </c>
      <c r="R50" s="1038">
        <f t="shared" si="3"/>
        <v>701.55664161556547</v>
      </c>
      <c r="S50" s="1255">
        <v>2020</v>
      </c>
      <c r="T50" s="1037">
        <v>2020</v>
      </c>
    </row>
    <row r="51" spans="1:20" s="1028" customFormat="1" ht="46.2" customHeight="1">
      <c r="A51" s="1037">
        <v>34</v>
      </c>
      <c r="B51" s="1023" t="s">
        <v>1704</v>
      </c>
      <c r="C51" s="1037">
        <v>1965</v>
      </c>
      <c r="D51" s="1037"/>
      <c r="E51" s="1026" t="s">
        <v>218</v>
      </c>
      <c r="F51" s="1037">
        <v>4</v>
      </c>
      <c r="G51" s="1037">
        <v>4</v>
      </c>
      <c r="H51" s="1038">
        <v>2779.5</v>
      </c>
      <c r="I51" s="1038">
        <v>2571.5</v>
      </c>
      <c r="J51" s="1038">
        <v>2359.4</v>
      </c>
      <c r="K51" s="1039">
        <v>114</v>
      </c>
      <c r="L51" s="1040">
        <v>2033556</v>
      </c>
      <c r="M51" s="1040">
        <v>0</v>
      </c>
      <c r="N51" s="1040">
        <v>0</v>
      </c>
      <c r="O51" s="1040">
        <v>2033556</v>
      </c>
      <c r="P51" s="1040">
        <v>0</v>
      </c>
      <c r="Q51" s="1040">
        <v>0</v>
      </c>
      <c r="R51" s="1038">
        <f t="shared" si="3"/>
        <v>790.80536651759678</v>
      </c>
      <c r="S51" s="1255">
        <v>2020</v>
      </c>
      <c r="T51" s="1037">
        <v>2020</v>
      </c>
    </row>
    <row r="52" spans="1:20" s="1028" customFormat="1" ht="43.8" customHeight="1">
      <c r="A52" s="1037">
        <v>35</v>
      </c>
      <c r="B52" s="1023" t="s">
        <v>1705</v>
      </c>
      <c r="C52" s="1037">
        <v>1989</v>
      </c>
      <c r="D52" s="1037"/>
      <c r="E52" s="1037" t="s">
        <v>219</v>
      </c>
      <c r="F52" s="1037">
        <v>9</v>
      </c>
      <c r="G52" s="1037">
        <v>1</v>
      </c>
      <c r="H52" s="1038">
        <v>4970.2</v>
      </c>
      <c r="I52" s="1038">
        <v>4016.1</v>
      </c>
      <c r="J52" s="1038">
        <v>3723.1</v>
      </c>
      <c r="K52" s="1039">
        <v>217</v>
      </c>
      <c r="L52" s="1040">
        <v>3653569</v>
      </c>
      <c r="M52" s="1040">
        <v>0</v>
      </c>
      <c r="N52" s="1040">
        <v>0</v>
      </c>
      <c r="O52" s="1040">
        <v>3653569</v>
      </c>
      <c r="P52" s="1040">
        <v>0</v>
      </c>
      <c r="Q52" s="1040">
        <v>0</v>
      </c>
      <c r="R52" s="1038">
        <f t="shared" si="3"/>
        <v>909.73058439779891</v>
      </c>
      <c r="S52" s="1255">
        <v>2020</v>
      </c>
      <c r="T52" s="1037">
        <v>2020</v>
      </c>
    </row>
    <row r="53" spans="1:20" s="1028" customFormat="1" ht="42" customHeight="1">
      <c r="A53" s="1037">
        <v>36</v>
      </c>
      <c r="B53" s="1023" t="s">
        <v>1706</v>
      </c>
      <c r="C53" s="1037">
        <v>1951</v>
      </c>
      <c r="D53" s="1037"/>
      <c r="E53" s="1037" t="s">
        <v>823</v>
      </c>
      <c r="F53" s="1037">
        <v>2</v>
      </c>
      <c r="G53" s="1037">
        <v>1</v>
      </c>
      <c r="H53" s="1038">
        <v>559.9</v>
      </c>
      <c r="I53" s="1038">
        <v>515.29999999999995</v>
      </c>
      <c r="J53" s="1038">
        <v>515.29999999999995</v>
      </c>
      <c r="K53" s="1039">
        <v>24</v>
      </c>
      <c r="L53" s="1040">
        <v>771870</v>
      </c>
      <c r="M53" s="1040">
        <v>0</v>
      </c>
      <c r="N53" s="1040">
        <v>0</v>
      </c>
      <c r="O53" s="1040">
        <v>771870</v>
      </c>
      <c r="P53" s="1040">
        <v>0</v>
      </c>
      <c r="Q53" s="1040">
        <v>0</v>
      </c>
      <c r="R53" s="1038">
        <f t="shared" si="3"/>
        <v>1497.9041335144577</v>
      </c>
      <c r="S53" s="1255">
        <v>2020</v>
      </c>
      <c r="T53" s="1037">
        <v>2020</v>
      </c>
    </row>
    <row r="54" spans="1:20" s="1028" customFormat="1" ht="42" customHeight="1">
      <c r="A54" s="1037">
        <v>37</v>
      </c>
      <c r="B54" s="1023" t="s">
        <v>1707</v>
      </c>
      <c r="C54" s="1037">
        <v>1972</v>
      </c>
      <c r="D54" s="1037"/>
      <c r="E54" s="1037" t="s">
        <v>219</v>
      </c>
      <c r="F54" s="1037">
        <v>5</v>
      </c>
      <c r="G54" s="1037">
        <v>4</v>
      </c>
      <c r="H54" s="1038">
        <v>3679.4</v>
      </c>
      <c r="I54" s="1038">
        <v>3408.6</v>
      </c>
      <c r="J54" s="1038">
        <v>2985.2</v>
      </c>
      <c r="K54" s="1039">
        <v>70</v>
      </c>
      <c r="L54" s="1040">
        <v>3642204</v>
      </c>
      <c r="M54" s="1040">
        <v>0</v>
      </c>
      <c r="N54" s="1040">
        <v>0</v>
      </c>
      <c r="O54" s="1040">
        <v>3642204</v>
      </c>
      <c r="P54" s="1040">
        <v>0</v>
      </c>
      <c r="Q54" s="1040">
        <v>0</v>
      </c>
      <c r="R54" s="1038">
        <f t="shared" si="3"/>
        <v>1068.533708854075</v>
      </c>
      <c r="S54" s="1255">
        <v>2020</v>
      </c>
      <c r="T54" s="1037">
        <v>2020</v>
      </c>
    </row>
    <row r="55" spans="1:20" s="1028" customFormat="1" ht="46.2" customHeight="1">
      <c r="A55" s="1037">
        <v>38</v>
      </c>
      <c r="B55" s="1023" t="s">
        <v>1708</v>
      </c>
      <c r="C55" s="1036">
        <v>1949</v>
      </c>
      <c r="D55" s="1037"/>
      <c r="E55" s="1026" t="s">
        <v>218</v>
      </c>
      <c r="F55" s="1042" t="s">
        <v>191</v>
      </c>
      <c r="G55" s="1037">
        <v>7</v>
      </c>
      <c r="H55" s="1038">
        <v>5815.5</v>
      </c>
      <c r="I55" s="1038">
        <v>5272.3</v>
      </c>
      <c r="J55" s="1038">
        <v>3562.2</v>
      </c>
      <c r="K55" s="1039">
        <v>119</v>
      </c>
      <c r="L55" s="1040">
        <v>4169204</v>
      </c>
      <c r="M55" s="1040">
        <v>0</v>
      </c>
      <c r="N55" s="1040">
        <v>0</v>
      </c>
      <c r="O55" s="1040">
        <v>4169204</v>
      </c>
      <c r="P55" s="1040">
        <v>0</v>
      </c>
      <c r="Q55" s="1040">
        <v>0</v>
      </c>
      <c r="R55" s="1038">
        <f t="shared" si="3"/>
        <v>790.77518350624962</v>
      </c>
      <c r="S55" s="1255">
        <v>2020</v>
      </c>
      <c r="T55" s="1037">
        <v>2020</v>
      </c>
    </row>
    <row r="56" spans="1:20" s="1028" customFormat="1" ht="46.2" customHeight="1">
      <c r="A56" s="1037">
        <v>39</v>
      </c>
      <c r="B56" s="1023" t="s">
        <v>1709</v>
      </c>
      <c r="C56" s="1037">
        <v>1959</v>
      </c>
      <c r="D56" s="1037"/>
      <c r="E56" s="1026" t="s">
        <v>218</v>
      </c>
      <c r="F56" s="1037">
        <v>4</v>
      </c>
      <c r="G56" s="1037">
        <v>1</v>
      </c>
      <c r="H56" s="1038">
        <v>3725.76</v>
      </c>
      <c r="I56" s="1038">
        <v>3593.36</v>
      </c>
      <c r="J56" s="1038">
        <v>3078.16</v>
      </c>
      <c r="K56" s="1039">
        <v>180</v>
      </c>
      <c r="L56" s="1040">
        <v>2841648</v>
      </c>
      <c r="M56" s="1040">
        <v>0</v>
      </c>
      <c r="N56" s="1040">
        <v>0</v>
      </c>
      <c r="O56" s="1040">
        <v>2841648</v>
      </c>
      <c r="P56" s="1040">
        <v>0</v>
      </c>
      <c r="Q56" s="1040">
        <v>0</v>
      </c>
      <c r="R56" s="1038">
        <f t="shared" si="3"/>
        <v>790.80526304071952</v>
      </c>
      <c r="S56" s="1255">
        <v>2020</v>
      </c>
      <c r="T56" s="1037">
        <v>2020</v>
      </c>
    </row>
    <row r="57" spans="1:20" s="1028" customFormat="1" ht="42" customHeight="1">
      <c r="A57" s="1037">
        <v>40</v>
      </c>
      <c r="B57" s="1023" t="s">
        <v>1710</v>
      </c>
      <c r="C57" s="1037">
        <v>1966</v>
      </c>
      <c r="D57" s="1037"/>
      <c r="E57" s="1037" t="s">
        <v>219</v>
      </c>
      <c r="F57" s="1037">
        <v>5</v>
      </c>
      <c r="G57" s="1037">
        <v>3</v>
      </c>
      <c r="H57" s="1038">
        <v>2785.4</v>
      </c>
      <c r="I57" s="1038">
        <v>2579.1</v>
      </c>
      <c r="J57" s="1038">
        <v>2363.5</v>
      </c>
      <c r="K57" s="1039">
        <v>124</v>
      </c>
      <c r="L57" s="1040">
        <v>1499848</v>
      </c>
      <c r="M57" s="1040">
        <v>0</v>
      </c>
      <c r="N57" s="1040">
        <v>0</v>
      </c>
      <c r="O57" s="1040">
        <v>1499848</v>
      </c>
      <c r="P57" s="1040">
        <v>0</v>
      </c>
      <c r="Q57" s="1040">
        <v>0</v>
      </c>
      <c r="R57" s="1038">
        <f t="shared" si="3"/>
        <v>581.53929665387147</v>
      </c>
      <c r="S57" s="1255">
        <v>2020</v>
      </c>
      <c r="T57" s="1037">
        <v>2020</v>
      </c>
    </row>
    <row r="58" spans="1:20" s="997" customFormat="1" ht="40.799999999999997" customHeight="1">
      <c r="A58" s="1037">
        <v>41</v>
      </c>
      <c r="B58" s="1023" t="s">
        <v>224</v>
      </c>
      <c r="C58" s="1037">
        <v>1934</v>
      </c>
      <c r="D58" s="1037"/>
      <c r="E58" s="1026" t="s">
        <v>218</v>
      </c>
      <c r="F58" s="1037">
        <v>3</v>
      </c>
      <c r="G58" s="1037">
        <v>5</v>
      </c>
      <c r="H58" s="1038">
        <v>2467</v>
      </c>
      <c r="I58" s="1038">
        <v>3299.5</v>
      </c>
      <c r="J58" s="1038">
        <v>2116.6999999999998</v>
      </c>
      <c r="K58" s="1039">
        <v>101</v>
      </c>
      <c r="L58" s="1040">
        <v>4803022</v>
      </c>
      <c r="M58" s="1040">
        <v>0</v>
      </c>
      <c r="N58" s="1040">
        <v>0</v>
      </c>
      <c r="O58" s="1040">
        <v>4803022</v>
      </c>
      <c r="P58" s="1040">
        <v>0</v>
      </c>
      <c r="Q58" s="1040">
        <v>0</v>
      </c>
      <c r="R58" s="1038">
        <f t="shared" si="3"/>
        <v>1455.6817699651463</v>
      </c>
      <c r="S58" s="1255">
        <v>2020</v>
      </c>
      <c r="T58" s="1037">
        <v>2020</v>
      </c>
    </row>
    <row r="59" spans="1:20" s="997" customFormat="1" ht="40.200000000000003" customHeight="1">
      <c r="A59" s="1037">
        <v>42</v>
      </c>
      <c r="B59" s="1265" t="s">
        <v>1711</v>
      </c>
      <c r="C59" s="1037">
        <v>1959</v>
      </c>
      <c r="D59" s="1037"/>
      <c r="E59" s="1026" t="s">
        <v>218</v>
      </c>
      <c r="F59" s="1037">
        <v>2</v>
      </c>
      <c r="G59" s="1037">
        <v>2</v>
      </c>
      <c r="H59" s="1038">
        <v>685.9</v>
      </c>
      <c r="I59" s="1038">
        <v>639.1</v>
      </c>
      <c r="J59" s="1038">
        <v>600.4</v>
      </c>
      <c r="K59" s="1039">
        <v>32</v>
      </c>
      <c r="L59" s="1040">
        <v>2546736</v>
      </c>
      <c r="M59" s="1040">
        <v>0</v>
      </c>
      <c r="N59" s="1040">
        <v>0</v>
      </c>
      <c r="O59" s="1040">
        <v>2546736</v>
      </c>
      <c r="P59" s="1040">
        <v>0</v>
      </c>
      <c r="Q59" s="1040">
        <v>0</v>
      </c>
      <c r="R59" s="1038">
        <f t="shared" si="3"/>
        <v>3984.878735722109</v>
      </c>
      <c r="S59" s="1255">
        <v>2020</v>
      </c>
      <c r="T59" s="1037">
        <v>2020</v>
      </c>
    </row>
    <row r="60" spans="1:20" s="997" customFormat="1" ht="40.799999999999997" customHeight="1">
      <c r="A60" s="1037">
        <v>43</v>
      </c>
      <c r="B60" s="1023" t="s">
        <v>1712</v>
      </c>
      <c r="C60" s="1037">
        <v>1939</v>
      </c>
      <c r="D60" s="1037"/>
      <c r="E60" s="1026" t="s">
        <v>218</v>
      </c>
      <c r="F60" s="1042" t="s">
        <v>1668</v>
      </c>
      <c r="G60" s="1037">
        <v>12</v>
      </c>
      <c r="H60" s="1038">
        <v>15355</v>
      </c>
      <c r="I60" s="1038">
        <v>13690.4</v>
      </c>
      <c r="J60" s="1038">
        <v>9253.2999999999993</v>
      </c>
      <c r="K60" s="1039">
        <v>237</v>
      </c>
      <c r="L60" s="1040">
        <v>22225426</v>
      </c>
      <c r="M60" s="1040">
        <v>0</v>
      </c>
      <c r="N60" s="1040">
        <v>0</v>
      </c>
      <c r="O60" s="1040">
        <v>22225426</v>
      </c>
      <c r="P60" s="1040">
        <v>0</v>
      </c>
      <c r="Q60" s="1040">
        <v>0</v>
      </c>
      <c r="R60" s="1038">
        <f t="shared" si="3"/>
        <v>1623.4314556185357</v>
      </c>
      <c r="S60" s="1255">
        <v>2020</v>
      </c>
      <c r="T60" s="1037">
        <v>2020</v>
      </c>
    </row>
    <row r="61" spans="1:20" s="997" customFormat="1" ht="36" customHeight="1">
      <c r="A61" s="1037">
        <v>44</v>
      </c>
      <c r="B61" s="1023" t="s">
        <v>1713</v>
      </c>
      <c r="C61" s="1037">
        <v>1925</v>
      </c>
      <c r="D61" s="1037"/>
      <c r="E61" s="1037" t="s">
        <v>221</v>
      </c>
      <c r="F61" s="1037">
        <v>2</v>
      </c>
      <c r="G61" s="1037">
        <v>2</v>
      </c>
      <c r="H61" s="1038">
        <v>458.9</v>
      </c>
      <c r="I61" s="1038">
        <v>417.8</v>
      </c>
      <c r="J61" s="1038">
        <f>I61-53.2</f>
        <v>364.6</v>
      </c>
      <c r="K61" s="1039">
        <v>28</v>
      </c>
      <c r="L61" s="1040">
        <v>1661291</v>
      </c>
      <c r="M61" s="1040">
        <v>0</v>
      </c>
      <c r="N61" s="1040">
        <v>0</v>
      </c>
      <c r="O61" s="1040">
        <v>1661291</v>
      </c>
      <c r="P61" s="1040">
        <v>0</v>
      </c>
      <c r="Q61" s="1040">
        <v>0</v>
      </c>
      <c r="R61" s="1038">
        <f t="shared" si="3"/>
        <v>3976.282910483485</v>
      </c>
      <c r="S61" s="1255">
        <v>2020</v>
      </c>
      <c r="T61" s="1037">
        <v>2020</v>
      </c>
    </row>
    <row r="62" spans="1:20" s="997" customFormat="1" ht="44.4" customHeight="1">
      <c r="A62" s="1037">
        <v>45</v>
      </c>
      <c r="B62" s="1023" t="s">
        <v>1714</v>
      </c>
      <c r="C62" s="1037">
        <v>1976</v>
      </c>
      <c r="D62" s="1037"/>
      <c r="E62" s="1026" t="s">
        <v>218</v>
      </c>
      <c r="F62" s="1037">
        <v>5</v>
      </c>
      <c r="G62" s="1037">
        <v>1</v>
      </c>
      <c r="H62" s="1038">
        <v>2246</v>
      </c>
      <c r="I62" s="1038">
        <v>1985.6</v>
      </c>
      <c r="J62" s="1038">
        <v>1780.2</v>
      </c>
      <c r="K62" s="1039">
        <v>67</v>
      </c>
      <c r="L62" s="1040">
        <v>1154705</v>
      </c>
      <c r="M62" s="1040">
        <v>0</v>
      </c>
      <c r="N62" s="1040">
        <v>0</v>
      </c>
      <c r="O62" s="1040">
        <v>1154705</v>
      </c>
      <c r="P62" s="1040">
        <v>0</v>
      </c>
      <c r="Q62" s="1040">
        <v>0</v>
      </c>
      <c r="R62" s="1038">
        <f t="shared" si="3"/>
        <v>581.53958501208706</v>
      </c>
      <c r="S62" s="1255">
        <v>2020</v>
      </c>
      <c r="T62" s="1037">
        <v>2020</v>
      </c>
    </row>
    <row r="63" spans="1:20" s="997" customFormat="1" ht="40.200000000000003" customHeight="1">
      <c r="A63" s="1037">
        <v>46</v>
      </c>
      <c r="B63" s="1023" t="s">
        <v>1715</v>
      </c>
      <c r="C63" s="1037">
        <v>1960</v>
      </c>
      <c r="D63" s="1037"/>
      <c r="E63" s="1026" t="s">
        <v>218</v>
      </c>
      <c r="F63" s="1037">
        <v>2</v>
      </c>
      <c r="G63" s="1037">
        <v>2</v>
      </c>
      <c r="H63" s="1038">
        <v>684</v>
      </c>
      <c r="I63" s="1038">
        <v>635.29999999999995</v>
      </c>
      <c r="J63" s="1038">
        <v>604.9</v>
      </c>
      <c r="K63" s="1039">
        <v>44</v>
      </c>
      <c r="L63" s="1040">
        <v>1168532</v>
      </c>
      <c r="M63" s="1040">
        <v>0</v>
      </c>
      <c r="N63" s="1040">
        <v>0</v>
      </c>
      <c r="O63" s="1040">
        <v>1168532</v>
      </c>
      <c r="P63" s="1040">
        <v>0</v>
      </c>
      <c r="Q63" s="1040">
        <v>0</v>
      </c>
      <c r="R63" s="1038">
        <f t="shared" si="3"/>
        <v>1839.3388950102315</v>
      </c>
      <c r="S63" s="1255">
        <v>2020</v>
      </c>
      <c r="T63" s="1037">
        <v>2020</v>
      </c>
    </row>
    <row r="64" spans="1:20" s="997" customFormat="1" ht="42.6" customHeight="1">
      <c r="A64" s="1037">
        <v>47</v>
      </c>
      <c r="B64" s="1023" t="s">
        <v>1716</v>
      </c>
      <c r="C64" s="1037">
        <v>1975</v>
      </c>
      <c r="D64" s="1037"/>
      <c r="E64" s="1026" t="s">
        <v>218</v>
      </c>
      <c r="F64" s="1037">
        <v>9</v>
      </c>
      <c r="G64" s="1037">
        <v>5</v>
      </c>
      <c r="H64" s="1038">
        <v>15767.7</v>
      </c>
      <c r="I64" s="1038">
        <v>15005.6</v>
      </c>
      <c r="J64" s="1038">
        <v>14275.5</v>
      </c>
      <c r="K64" s="1039">
        <v>453</v>
      </c>
      <c r="L64" s="1024">
        <v>15853359</v>
      </c>
      <c r="M64" s="1040">
        <v>0</v>
      </c>
      <c r="N64" s="1040">
        <v>0</v>
      </c>
      <c r="O64" s="1024">
        <v>15853359</v>
      </c>
      <c r="P64" s="1040">
        <v>0</v>
      </c>
      <c r="Q64" s="1040">
        <v>0</v>
      </c>
      <c r="R64" s="1038">
        <f t="shared" si="3"/>
        <v>1056.4961747614225</v>
      </c>
      <c r="S64" s="1255">
        <v>2020</v>
      </c>
      <c r="T64" s="1037">
        <v>2020</v>
      </c>
    </row>
    <row r="65" spans="1:20" s="997" customFormat="1" ht="46.2" customHeight="1">
      <c r="A65" s="1037">
        <v>48</v>
      </c>
      <c r="B65" s="1023" t="s">
        <v>1717</v>
      </c>
      <c r="C65" s="1037">
        <v>1981</v>
      </c>
      <c r="D65" s="1037"/>
      <c r="E65" s="1026" t="s">
        <v>218</v>
      </c>
      <c r="F65" s="1037">
        <v>5</v>
      </c>
      <c r="G65" s="1037">
        <v>4</v>
      </c>
      <c r="H65" s="1038">
        <v>3127</v>
      </c>
      <c r="I65" s="1038">
        <v>2803</v>
      </c>
      <c r="J65" s="1038">
        <v>2654.9</v>
      </c>
      <c r="K65" s="1039">
        <v>149</v>
      </c>
      <c r="L65" s="1040">
        <v>2165572</v>
      </c>
      <c r="M65" s="1040">
        <v>0</v>
      </c>
      <c r="N65" s="1040">
        <v>0</v>
      </c>
      <c r="O65" s="1040">
        <v>2165572</v>
      </c>
      <c r="P65" s="1040">
        <v>0</v>
      </c>
      <c r="Q65" s="1040">
        <v>0</v>
      </c>
      <c r="R65" s="1038">
        <f t="shared" si="3"/>
        <v>772.59079557616838</v>
      </c>
      <c r="S65" s="1255">
        <v>2020</v>
      </c>
      <c r="T65" s="1037">
        <v>2020</v>
      </c>
    </row>
    <row r="66" spans="1:20" s="997" customFormat="1" ht="44.4" customHeight="1">
      <c r="A66" s="1037">
        <v>49</v>
      </c>
      <c r="B66" s="1023" t="s">
        <v>1718</v>
      </c>
      <c r="C66" s="1037">
        <v>1956</v>
      </c>
      <c r="D66" s="1037"/>
      <c r="E66" s="1026" t="s">
        <v>218</v>
      </c>
      <c r="F66" s="1037">
        <v>2</v>
      </c>
      <c r="G66" s="1037">
        <v>1</v>
      </c>
      <c r="H66" s="1038">
        <v>569.20000000000005</v>
      </c>
      <c r="I66" s="1038">
        <v>523.9</v>
      </c>
      <c r="J66" s="1038">
        <v>523.9</v>
      </c>
      <c r="K66" s="1039">
        <v>33</v>
      </c>
      <c r="L66" s="1040">
        <v>718972</v>
      </c>
      <c r="M66" s="1040">
        <v>0</v>
      </c>
      <c r="N66" s="1040">
        <v>0</v>
      </c>
      <c r="O66" s="1040">
        <v>718972</v>
      </c>
      <c r="P66" s="1040">
        <v>0</v>
      </c>
      <c r="Q66" s="1040">
        <v>0</v>
      </c>
      <c r="R66" s="1038">
        <f t="shared" si="3"/>
        <v>1372.3458675319719</v>
      </c>
      <c r="S66" s="1255">
        <v>2020</v>
      </c>
      <c r="T66" s="1037">
        <v>2020</v>
      </c>
    </row>
    <row r="67" spans="1:20" s="997" customFormat="1" ht="40.200000000000003" customHeight="1">
      <c r="A67" s="1037">
        <v>50</v>
      </c>
      <c r="B67" s="1023" t="s">
        <v>1719</v>
      </c>
      <c r="C67" s="1037">
        <v>1941</v>
      </c>
      <c r="D67" s="1037"/>
      <c r="E67" s="1026" t="s">
        <v>218</v>
      </c>
      <c r="F67" s="1037">
        <v>4</v>
      </c>
      <c r="G67" s="1037">
        <v>3</v>
      </c>
      <c r="H67" s="1038">
        <v>2543.1</v>
      </c>
      <c r="I67" s="1038">
        <v>2237.1999999999998</v>
      </c>
      <c r="J67" s="1038">
        <f>I67-187.2</f>
        <v>2050</v>
      </c>
      <c r="K67" s="1039">
        <v>48</v>
      </c>
      <c r="L67" s="1024">
        <v>2538452</v>
      </c>
      <c r="M67" s="1040">
        <v>0</v>
      </c>
      <c r="N67" s="1040">
        <v>0</v>
      </c>
      <c r="O67" s="1024">
        <v>2538452</v>
      </c>
      <c r="P67" s="1040">
        <v>0</v>
      </c>
      <c r="Q67" s="1040">
        <v>0</v>
      </c>
      <c r="R67" s="1038">
        <f t="shared" si="3"/>
        <v>1134.6558197747186</v>
      </c>
      <c r="S67" s="1255">
        <v>2020</v>
      </c>
      <c r="T67" s="1037">
        <v>2020</v>
      </c>
    </row>
    <row r="68" spans="1:20" s="997" customFormat="1" ht="39.6" customHeight="1">
      <c r="A68" s="1037">
        <v>51</v>
      </c>
      <c r="B68" s="1023" t="s">
        <v>235</v>
      </c>
      <c r="C68" s="1037">
        <v>1950</v>
      </c>
      <c r="D68" s="1037"/>
      <c r="E68" s="1037" t="s">
        <v>823</v>
      </c>
      <c r="F68" s="1037">
        <v>2</v>
      </c>
      <c r="G68" s="1037">
        <v>1</v>
      </c>
      <c r="H68" s="1038">
        <v>428.6</v>
      </c>
      <c r="I68" s="1038">
        <v>391.9</v>
      </c>
      <c r="J68" s="1038">
        <v>344.7</v>
      </c>
      <c r="K68" s="1039">
        <v>27</v>
      </c>
      <c r="L68" s="1040">
        <v>814934</v>
      </c>
      <c r="M68" s="1040">
        <v>0</v>
      </c>
      <c r="N68" s="1040">
        <v>0</v>
      </c>
      <c r="O68" s="1040">
        <v>814934</v>
      </c>
      <c r="P68" s="1040">
        <v>0</v>
      </c>
      <c r="Q68" s="1040">
        <v>0</v>
      </c>
      <c r="R68" s="1038">
        <f t="shared" si="3"/>
        <v>2079.4437356468488</v>
      </c>
      <c r="S68" s="1255">
        <v>2020</v>
      </c>
      <c r="T68" s="1037">
        <v>2020</v>
      </c>
    </row>
    <row r="69" spans="1:20" s="997" customFormat="1" ht="46.2" customHeight="1">
      <c r="A69" s="1037">
        <v>52</v>
      </c>
      <c r="B69" s="1023" t="s">
        <v>1720</v>
      </c>
      <c r="C69" s="1037">
        <v>1962</v>
      </c>
      <c r="D69" s="1037"/>
      <c r="E69" s="1026" t="s">
        <v>218</v>
      </c>
      <c r="F69" s="1037">
        <v>2</v>
      </c>
      <c r="G69" s="1037">
        <v>1</v>
      </c>
      <c r="H69" s="1038">
        <v>362.4</v>
      </c>
      <c r="I69" s="1038">
        <v>331.3</v>
      </c>
      <c r="J69" s="1038">
        <v>297.39999999999998</v>
      </c>
      <c r="K69" s="1039">
        <v>17</v>
      </c>
      <c r="L69" s="1040">
        <v>495540</v>
      </c>
      <c r="M69" s="1040">
        <v>0</v>
      </c>
      <c r="N69" s="1040">
        <v>0</v>
      </c>
      <c r="O69" s="1040">
        <v>495540</v>
      </c>
      <c r="P69" s="1040">
        <v>0</v>
      </c>
      <c r="Q69" s="1040">
        <v>0</v>
      </c>
      <c r="R69" s="1038">
        <f t="shared" si="3"/>
        <v>1495.7440386356775</v>
      </c>
      <c r="S69" s="1255">
        <v>2020</v>
      </c>
      <c r="T69" s="1037">
        <v>2020</v>
      </c>
    </row>
    <row r="70" spans="1:20" s="997" customFormat="1" ht="46.2" customHeight="1">
      <c r="A70" s="1037">
        <v>53</v>
      </c>
      <c r="B70" s="1023" t="s">
        <v>1721</v>
      </c>
      <c r="C70" s="1037">
        <v>1961</v>
      </c>
      <c r="D70" s="1037"/>
      <c r="E70" s="1026" t="s">
        <v>218</v>
      </c>
      <c r="F70" s="1037">
        <v>5</v>
      </c>
      <c r="G70" s="1037">
        <v>4</v>
      </c>
      <c r="H70" s="1038">
        <v>4041.1</v>
      </c>
      <c r="I70" s="1038">
        <v>3205.4</v>
      </c>
      <c r="J70" s="1038">
        <v>2446.3000000000002</v>
      </c>
      <c r="K70" s="1039">
        <v>112</v>
      </c>
      <c r="L70" s="1040">
        <v>2581108</v>
      </c>
      <c r="M70" s="1040">
        <v>0</v>
      </c>
      <c r="N70" s="1040">
        <v>0</v>
      </c>
      <c r="O70" s="1040">
        <v>2581108</v>
      </c>
      <c r="P70" s="1040">
        <v>0</v>
      </c>
      <c r="Q70" s="1040">
        <v>0</v>
      </c>
      <c r="R70" s="1038">
        <f t="shared" si="3"/>
        <v>805.23741186747361</v>
      </c>
      <c r="S70" s="1255">
        <v>2020</v>
      </c>
      <c r="T70" s="1037">
        <v>2020</v>
      </c>
    </row>
    <row r="71" spans="1:20" s="997" customFormat="1" ht="42" customHeight="1">
      <c r="A71" s="1037">
        <v>54</v>
      </c>
      <c r="B71" s="1023" t="s">
        <v>1723</v>
      </c>
      <c r="C71" s="1037">
        <v>1975</v>
      </c>
      <c r="D71" s="1037"/>
      <c r="E71" s="1037" t="s">
        <v>219</v>
      </c>
      <c r="F71" s="1037">
        <v>9</v>
      </c>
      <c r="G71" s="1037">
        <v>2</v>
      </c>
      <c r="H71" s="1038">
        <v>4329.8999999999996</v>
      </c>
      <c r="I71" s="1038">
        <v>3868.4</v>
      </c>
      <c r="J71" s="1038">
        <v>3668.2</v>
      </c>
      <c r="K71" s="1039">
        <v>165</v>
      </c>
      <c r="L71" s="1040">
        <v>5892512</v>
      </c>
      <c r="M71" s="1040">
        <v>0</v>
      </c>
      <c r="N71" s="1040">
        <v>0</v>
      </c>
      <c r="O71" s="1040">
        <v>5892512</v>
      </c>
      <c r="P71" s="1040">
        <v>0</v>
      </c>
      <c r="Q71" s="1040">
        <v>0</v>
      </c>
      <c r="R71" s="1038">
        <f t="shared" si="3"/>
        <v>1523.2426843139283</v>
      </c>
      <c r="S71" s="1255">
        <v>2020</v>
      </c>
      <c r="T71" s="1037">
        <v>2020</v>
      </c>
    </row>
    <row r="72" spans="1:20" s="997" customFormat="1" ht="46.2" customHeight="1">
      <c r="A72" s="1037">
        <v>55</v>
      </c>
      <c r="B72" s="1023" t="s">
        <v>1722</v>
      </c>
      <c r="C72" s="1037">
        <v>1960</v>
      </c>
      <c r="D72" s="1037"/>
      <c r="E72" s="1026" t="s">
        <v>218</v>
      </c>
      <c r="F72" s="1037">
        <v>4</v>
      </c>
      <c r="G72" s="1037">
        <v>2</v>
      </c>
      <c r="H72" s="1038">
        <v>1367.9</v>
      </c>
      <c r="I72" s="1038">
        <v>1271.3</v>
      </c>
      <c r="J72" s="1038">
        <v>1258.5999999999999</v>
      </c>
      <c r="K72" s="1039">
        <v>47</v>
      </c>
      <c r="L72" s="1040">
        <v>2869710</v>
      </c>
      <c r="M72" s="1040">
        <v>0</v>
      </c>
      <c r="N72" s="1040">
        <v>0</v>
      </c>
      <c r="O72" s="1040">
        <v>2869710</v>
      </c>
      <c r="P72" s="1040">
        <v>0</v>
      </c>
      <c r="Q72" s="1040">
        <v>0</v>
      </c>
      <c r="R72" s="1038">
        <f t="shared" si="3"/>
        <v>2257.3035475497522</v>
      </c>
      <c r="S72" s="1255">
        <v>2020</v>
      </c>
      <c r="T72" s="1037">
        <v>2020</v>
      </c>
    </row>
    <row r="73" spans="1:20" s="997" customFormat="1" ht="46.2" customHeight="1">
      <c r="A73" s="1037">
        <v>56</v>
      </c>
      <c r="B73" s="1023" t="s">
        <v>305</v>
      </c>
      <c r="C73" s="1037">
        <v>1971</v>
      </c>
      <c r="D73" s="1037"/>
      <c r="E73" s="1026" t="s">
        <v>218</v>
      </c>
      <c r="F73" s="1037">
        <v>5</v>
      </c>
      <c r="G73" s="1037">
        <v>4</v>
      </c>
      <c r="H73" s="1038">
        <v>3545.9</v>
      </c>
      <c r="I73" s="1038">
        <v>3358.9</v>
      </c>
      <c r="J73" s="1038">
        <f>I73-151.8</f>
        <v>3207.1</v>
      </c>
      <c r="K73" s="1039">
        <v>134</v>
      </c>
      <c r="L73" s="1040">
        <v>13361240</v>
      </c>
      <c r="M73" s="1040">
        <v>0</v>
      </c>
      <c r="N73" s="1040">
        <v>0</v>
      </c>
      <c r="O73" s="1040">
        <v>13361240</v>
      </c>
      <c r="P73" s="1040">
        <v>0</v>
      </c>
      <c r="Q73" s="1040">
        <v>0</v>
      </c>
      <c r="R73" s="1038">
        <f t="shared" si="3"/>
        <v>3977.8617999940457</v>
      </c>
      <c r="S73" s="1255">
        <v>2020</v>
      </c>
      <c r="T73" s="1037">
        <v>2020</v>
      </c>
    </row>
    <row r="74" spans="1:20" s="997" customFormat="1" ht="46.2" customHeight="1">
      <c r="A74" s="1037">
        <v>57</v>
      </c>
      <c r="B74" s="1023" t="s">
        <v>1727</v>
      </c>
      <c r="C74" s="1037">
        <v>1937</v>
      </c>
      <c r="D74" s="1037"/>
      <c r="E74" s="1026" t="s">
        <v>218</v>
      </c>
      <c r="F74" s="1037">
        <v>4</v>
      </c>
      <c r="G74" s="1037">
        <v>3</v>
      </c>
      <c r="H74" s="1038">
        <v>1867.7</v>
      </c>
      <c r="I74" s="1038">
        <v>1793.2</v>
      </c>
      <c r="J74" s="1038">
        <v>1577.8</v>
      </c>
      <c r="K74" s="1039">
        <v>54</v>
      </c>
      <c r="L74" s="1040">
        <v>5133035</v>
      </c>
      <c r="M74" s="1040">
        <v>0</v>
      </c>
      <c r="N74" s="1040">
        <v>0</v>
      </c>
      <c r="O74" s="1040">
        <v>5133035</v>
      </c>
      <c r="P74" s="1040">
        <v>0</v>
      </c>
      <c r="Q74" s="1040">
        <v>0</v>
      </c>
      <c r="R74" s="1038">
        <f t="shared" si="3"/>
        <v>2862.5</v>
      </c>
      <c r="S74" s="1255">
        <v>2020</v>
      </c>
      <c r="T74" s="1037">
        <v>2020</v>
      </c>
    </row>
    <row r="75" spans="1:20" s="997" customFormat="1" ht="46.2" customHeight="1">
      <c r="A75" s="1037">
        <v>58</v>
      </c>
      <c r="B75" s="1023" t="s">
        <v>1728</v>
      </c>
      <c r="C75" s="1037">
        <v>1960</v>
      </c>
      <c r="D75" s="1037"/>
      <c r="E75" s="1026" t="s">
        <v>218</v>
      </c>
      <c r="F75" s="1037">
        <v>4</v>
      </c>
      <c r="G75" s="1037">
        <v>3</v>
      </c>
      <c r="H75" s="1038">
        <v>2158.4</v>
      </c>
      <c r="I75" s="1038">
        <v>2010.5</v>
      </c>
      <c r="J75" s="1038">
        <v>1971.6</v>
      </c>
      <c r="K75" s="1039">
        <v>78</v>
      </c>
      <c r="L75" s="1040">
        <v>3697990</v>
      </c>
      <c r="M75" s="1040">
        <v>0</v>
      </c>
      <c r="N75" s="1040">
        <v>0</v>
      </c>
      <c r="O75" s="1040">
        <v>3697990</v>
      </c>
      <c r="P75" s="1040">
        <v>0</v>
      </c>
      <c r="Q75" s="1040">
        <v>0</v>
      </c>
      <c r="R75" s="1038">
        <f t="shared" si="3"/>
        <v>1839.3384730166624</v>
      </c>
      <c r="S75" s="1255">
        <v>2020</v>
      </c>
      <c r="T75" s="1037">
        <v>2020</v>
      </c>
    </row>
    <row r="76" spans="1:20" s="997" customFormat="1" ht="46.2" customHeight="1">
      <c r="A76" s="1037">
        <v>59</v>
      </c>
      <c r="B76" s="1023" t="s">
        <v>1729</v>
      </c>
      <c r="C76" s="1037">
        <v>1963</v>
      </c>
      <c r="D76" s="1037"/>
      <c r="E76" s="1026" t="s">
        <v>218</v>
      </c>
      <c r="F76" s="1037">
        <v>4</v>
      </c>
      <c r="G76" s="1037">
        <v>3</v>
      </c>
      <c r="H76" s="1038">
        <v>2300.6999999999998</v>
      </c>
      <c r="I76" s="1038">
        <v>2035.7</v>
      </c>
      <c r="J76" s="1038">
        <v>1906.4</v>
      </c>
      <c r="K76" s="1039">
        <v>99</v>
      </c>
      <c r="L76" s="1040">
        <v>3744342</v>
      </c>
      <c r="M76" s="1040">
        <v>0</v>
      </c>
      <c r="N76" s="1040">
        <v>0</v>
      </c>
      <c r="O76" s="1040">
        <v>3744342</v>
      </c>
      <c r="P76" s="1040">
        <v>0</v>
      </c>
      <c r="Q76" s="1040">
        <v>0</v>
      </c>
      <c r="R76" s="1038">
        <f t="shared" si="3"/>
        <v>1839.3388023775606</v>
      </c>
      <c r="S76" s="1255">
        <v>2020</v>
      </c>
      <c r="T76" s="1037">
        <v>2020</v>
      </c>
    </row>
    <row r="77" spans="1:20" s="997" customFormat="1" ht="46.2" customHeight="1">
      <c r="A77" s="1037">
        <v>60</v>
      </c>
      <c r="B77" s="1023" t="s">
        <v>272</v>
      </c>
      <c r="C77" s="1037">
        <v>1959</v>
      </c>
      <c r="D77" s="1037"/>
      <c r="E77" s="1026" t="s">
        <v>218</v>
      </c>
      <c r="F77" s="1037">
        <v>2</v>
      </c>
      <c r="G77" s="1037">
        <v>2</v>
      </c>
      <c r="H77" s="1038">
        <v>694.1</v>
      </c>
      <c r="I77" s="1038">
        <v>645.20000000000005</v>
      </c>
      <c r="J77" s="1038">
        <v>645.20000000000005</v>
      </c>
      <c r="K77" s="1039">
        <v>32</v>
      </c>
      <c r="L77" s="1040">
        <v>1180385</v>
      </c>
      <c r="M77" s="1040">
        <v>0</v>
      </c>
      <c r="N77" s="1040">
        <v>0</v>
      </c>
      <c r="O77" s="1040">
        <v>1180385</v>
      </c>
      <c r="P77" s="1040">
        <v>0</v>
      </c>
      <c r="Q77" s="1040">
        <v>0</v>
      </c>
      <c r="R77" s="1038">
        <f t="shared" si="3"/>
        <v>1829.4869807811531</v>
      </c>
      <c r="S77" s="1255">
        <v>2020</v>
      </c>
      <c r="T77" s="1037">
        <v>2020</v>
      </c>
    </row>
    <row r="78" spans="1:20" s="997" customFormat="1" ht="46.2" customHeight="1">
      <c r="A78" s="1037">
        <v>61</v>
      </c>
      <c r="B78" s="1023" t="s">
        <v>1730</v>
      </c>
      <c r="C78" s="1037">
        <v>1962</v>
      </c>
      <c r="D78" s="1037"/>
      <c r="E78" s="1026" t="s">
        <v>218</v>
      </c>
      <c r="F78" s="1037">
        <v>4</v>
      </c>
      <c r="G78" s="1037">
        <v>3</v>
      </c>
      <c r="H78" s="1038">
        <v>2172.5</v>
      </c>
      <c r="I78" s="1038">
        <v>2026.3</v>
      </c>
      <c r="J78" s="1038">
        <v>1938.8</v>
      </c>
      <c r="K78" s="1039">
        <v>88</v>
      </c>
      <c r="L78" s="1040">
        <v>3465934</v>
      </c>
      <c r="M78" s="1040">
        <v>0</v>
      </c>
      <c r="N78" s="1040">
        <v>0</v>
      </c>
      <c r="O78" s="1040">
        <v>3465934</v>
      </c>
      <c r="P78" s="1040">
        <v>0</v>
      </c>
      <c r="Q78" s="1040">
        <v>0</v>
      </c>
      <c r="R78" s="1038">
        <f t="shared" si="3"/>
        <v>1710.474263435819</v>
      </c>
      <c r="S78" s="1255">
        <v>2020</v>
      </c>
      <c r="T78" s="1037">
        <v>2020</v>
      </c>
    </row>
    <row r="79" spans="1:20" s="997" customFormat="1" ht="46.2" customHeight="1">
      <c r="A79" s="1037">
        <v>62</v>
      </c>
      <c r="B79" s="1023" t="s">
        <v>1731</v>
      </c>
      <c r="C79" s="1037">
        <v>1959</v>
      </c>
      <c r="D79" s="1037"/>
      <c r="E79" s="1026" t="s">
        <v>218</v>
      </c>
      <c r="F79" s="1037">
        <v>2</v>
      </c>
      <c r="G79" s="1037">
        <v>2</v>
      </c>
      <c r="H79" s="1038">
        <v>681.5</v>
      </c>
      <c r="I79" s="1038">
        <v>632.1</v>
      </c>
      <c r="J79" s="1038">
        <v>589.6</v>
      </c>
      <c r="K79" s="1039">
        <v>28</v>
      </c>
      <c r="L79" s="1040">
        <v>1532993</v>
      </c>
      <c r="M79" s="1040">
        <v>0</v>
      </c>
      <c r="N79" s="1040">
        <v>0</v>
      </c>
      <c r="O79" s="1040">
        <v>1532993</v>
      </c>
      <c r="P79" s="1040">
        <v>0</v>
      </c>
      <c r="Q79" s="1040">
        <v>0</v>
      </c>
      <c r="R79" s="1038">
        <f t="shared" si="3"/>
        <v>2425.238095238095</v>
      </c>
      <c r="S79" s="1255">
        <v>2020</v>
      </c>
      <c r="T79" s="1037">
        <v>2020</v>
      </c>
    </row>
    <row r="80" spans="1:20" s="997" customFormat="1" ht="46.2" customHeight="1">
      <c r="A80" s="1037">
        <v>63</v>
      </c>
      <c r="B80" s="1023" t="s">
        <v>1732</v>
      </c>
      <c r="C80" s="1037">
        <v>1968</v>
      </c>
      <c r="D80" s="1037"/>
      <c r="E80" s="1026" t="s">
        <v>218</v>
      </c>
      <c r="F80" s="1037">
        <v>5</v>
      </c>
      <c r="G80" s="1037">
        <v>4</v>
      </c>
      <c r="H80" s="1038">
        <v>3438</v>
      </c>
      <c r="I80" s="1038">
        <v>3169.8</v>
      </c>
      <c r="J80" s="1038">
        <f>I80-349.8</f>
        <v>2820</v>
      </c>
      <c r="K80" s="1039">
        <v>162</v>
      </c>
      <c r="L80" s="1040">
        <v>5074174</v>
      </c>
      <c r="M80" s="1040">
        <v>0</v>
      </c>
      <c r="N80" s="1040">
        <v>0</v>
      </c>
      <c r="O80" s="1040">
        <v>5074174</v>
      </c>
      <c r="P80" s="1040">
        <v>0</v>
      </c>
      <c r="Q80" s="1040">
        <v>0</v>
      </c>
      <c r="R80" s="1038">
        <f t="shared" si="3"/>
        <v>1600.786800429049</v>
      </c>
      <c r="S80" s="1255">
        <v>2020</v>
      </c>
      <c r="T80" s="1037">
        <v>2020</v>
      </c>
    </row>
    <row r="81" spans="1:20" s="997" customFormat="1" ht="40.200000000000003" customHeight="1">
      <c r="A81" s="1037">
        <v>64</v>
      </c>
      <c r="B81" s="1023" t="s">
        <v>1733</v>
      </c>
      <c r="C81" s="1037">
        <v>1963</v>
      </c>
      <c r="D81" s="1037"/>
      <c r="E81" s="1037" t="s">
        <v>219</v>
      </c>
      <c r="F81" s="1037">
        <v>4</v>
      </c>
      <c r="G81" s="1037">
        <v>5</v>
      </c>
      <c r="H81" s="1038">
        <v>2832.2</v>
      </c>
      <c r="I81" s="1038">
        <v>2622.6</v>
      </c>
      <c r="J81" s="1038">
        <v>2535.9</v>
      </c>
      <c r="K81" s="1039">
        <v>132</v>
      </c>
      <c r="L81" s="1040">
        <v>4291978</v>
      </c>
      <c r="M81" s="1040">
        <v>0</v>
      </c>
      <c r="N81" s="1040">
        <v>0</v>
      </c>
      <c r="O81" s="1040">
        <v>4291978</v>
      </c>
      <c r="P81" s="1040">
        <v>0</v>
      </c>
      <c r="Q81" s="1040">
        <v>0</v>
      </c>
      <c r="R81" s="1038">
        <f t="shared" ref="R81:R98" si="4">L81/I81</f>
        <v>1636.5354991230079</v>
      </c>
      <c r="S81" s="1255">
        <v>2020</v>
      </c>
      <c r="T81" s="1037">
        <v>2020</v>
      </c>
    </row>
    <row r="82" spans="1:20" s="997" customFormat="1" ht="46.2" customHeight="1">
      <c r="A82" s="1037">
        <v>65</v>
      </c>
      <c r="B82" s="1265" t="s">
        <v>247</v>
      </c>
      <c r="C82" s="1037">
        <v>1953</v>
      </c>
      <c r="D82" s="1037"/>
      <c r="E82" s="1026" t="s">
        <v>218</v>
      </c>
      <c r="F82" s="1037">
        <v>3</v>
      </c>
      <c r="G82" s="1037">
        <v>3</v>
      </c>
      <c r="H82" s="1038">
        <v>2201.1999999999998</v>
      </c>
      <c r="I82" s="1038">
        <v>1827.5</v>
      </c>
      <c r="J82" s="1038">
        <v>1827.5</v>
      </c>
      <c r="K82" s="1039">
        <v>50</v>
      </c>
      <c r="L82" s="1040">
        <v>6083771</v>
      </c>
      <c r="M82" s="1040">
        <v>0</v>
      </c>
      <c r="N82" s="1040">
        <v>0</v>
      </c>
      <c r="O82" s="1040">
        <v>6083771</v>
      </c>
      <c r="P82" s="1040">
        <v>0</v>
      </c>
      <c r="Q82" s="1040">
        <v>0</v>
      </c>
      <c r="R82" s="1038">
        <f t="shared" si="4"/>
        <v>3329.0128590971271</v>
      </c>
      <c r="S82" s="1255">
        <v>2020</v>
      </c>
      <c r="T82" s="1037">
        <v>2020</v>
      </c>
    </row>
    <row r="83" spans="1:20" s="997" customFormat="1" ht="46.2" customHeight="1">
      <c r="A83" s="1037">
        <v>66</v>
      </c>
      <c r="B83" s="1023" t="s">
        <v>1734</v>
      </c>
      <c r="C83" s="1037">
        <v>1962</v>
      </c>
      <c r="D83" s="1037"/>
      <c r="E83" s="1026" t="s">
        <v>218</v>
      </c>
      <c r="F83" s="1037">
        <v>4</v>
      </c>
      <c r="G83" s="1037">
        <v>3</v>
      </c>
      <c r="H83" s="1038">
        <v>2175.1</v>
      </c>
      <c r="I83" s="1038">
        <v>2004.4</v>
      </c>
      <c r="J83" s="1038">
        <v>1961.2</v>
      </c>
      <c r="K83" s="1039">
        <v>90</v>
      </c>
      <c r="L83" s="1040">
        <v>4845784</v>
      </c>
      <c r="M83" s="1040">
        <v>0</v>
      </c>
      <c r="N83" s="1040">
        <v>0</v>
      </c>
      <c r="O83" s="1040">
        <v>4845784</v>
      </c>
      <c r="P83" s="1040">
        <v>0</v>
      </c>
      <c r="Q83" s="1040">
        <v>0</v>
      </c>
      <c r="R83" s="1038">
        <f t="shared" si="4"/>
        <v>2417.5733386549591</v>
      </c>
      <c r="S83" s="1255">
        <v>2020</v>
      </c>
      <c r="T83" s="1037">
        <v>2020</v>
      </c>
    </row>
    <row r="84" spans="1:20" s="997" customFormat="1" ht="36" customHeight="1">
      <c r="A84" s="1037">
        <v>67</v>
      </c>
      <c r="B84" s="1023" t="s">
        <v>1735</v>
      </c>
      <c r="C84" s="1037">
        <v>1970</v>
      </c>
      <c r="D84" s="1037"/>
      <c r="E84" s="1037" t="s">
        <v>219</v>
      </c>
      <c r="F84" s="1037">
        <v>5</v>
      </c>
      <c r="G84" s="1037">
        <v>8</v>
      </c>
      <c r="H84" s="1038">
        <v>6282.7</v>
      </c>
      <c r="I84" s="1038">
        <v>5721.8</v>
      </c>
      <c r="J84" s="1038">
        <v>5380.29</v>
      </c>
      <c r="K84" s="1039">
        <v>300</v>
      </c>
      <c r="L84" s="1040">
        <v>8154102</v>
      </c>
      <c r="M84" s="1040">
        <v>0</v>
      </c>
      <c r="N84" s="1040">
        <v>0</v>
      </c>
      <c r="O84" s="1040">
        <v>8154102</v>
      </c>
      <c r="P84" s="1040">
        <v>0</v>
      </c>
      <c r="Q84" s="1040">
        <v>0</v>
      </c>
      <c r="R84" s="1038">
        <f t="shared" si="4"/>
        <v>1425.0938515851656</v>
      </c>
      <c r="S84" s="1255">
        <v>2020</v>
      </c>
      <c r="T84" s="1037">
        <v>2020</v>
      </c>
    </row>
    <row r="85" spans="1:20" s="1043" customFormat="1" ht="37.950000000000003" customHeight="1">
      <c r="A85" s="1037">
        <v>68</v>
      </c>
      <c r="B85" s="1023" t="s">
        <v>1736</v>
      </c>
      <c r="C85" s="1037">
        <v>1958</v>
      </c>
      <c r="D85" s="1037"/>
      <c r="E85" s="1026" t="s">
        <v>218</v>
      </c>
      <c r="F85" s="1037">
        <v>3</v>
      </c>
      <c r="G85" s="1037">
        <v>2</v>
      </c>
      <c r="H85" s="1038">
        <v>1117.5</v>
      </c>
      <c r="I85" s="1038">
        <v>945.6</v>
      </c>
      <c r="J85" s="1038">
        <v>848.6</v>
      </c>
      <c r="K85" s="1039">
        <v>39</v>
      </c>
      <c r="L85" s="1040">
        <v>2022347</v>
      </c>
      <c r="M85" s="1040">
        <v>0</v>
      </c>
      <c r="N85" s="1040">
        <v>0</v>
      </c>
      <c r="O85" s="1040">
        <v>2022347</v>
      </c>
      <c r="P85" s="1040">
        <v>0</v>
      </c>
      <c r="Q85" s="1040">
        <v>0</v>
      </c>
      <c r="R85" s="1038">
        <f t="shared" si="4"/>
        <v>2138.6918358714042</v>
      </c>
      <c r="S85" s="1255">
        <v>2020</v>
      </c>
      <c r="T85" s="1037">
        <v>2020</v>
      </c>
    </row>
    <row r="86" spans="1:20" s="1044" customFormat="1" ht="37.950000000000003" customHeight="1">
      <c r="A86" s="1037">
        <v>69</v>
      </c>
      <c r="B86" s="1023" t="s">
        <v>2233</v>
      </c>
      <c r="C86" s="1037">
        <v>1959</v>
      </c>
      <c r="D86" s="1037"/>
      <c r="E86" s="1026" t="s">
        <v>218</v>
      </c>
      <c r="F86" s="1037">
        <v>3</v>
      </c>
      <c r="G86" s="1037">
        <v>2</v>
      </c>
      <c r="H86" s="1038">
        <v>1012.8</v>
      </c>
      <c r="I86" s="1038">
        <v>983.7</v>
      </c>
      <c r="J86" s="1038">
        <v>947.3</v>
      </c>
      <c r="K86" s="1039">
        <v>22</v>
      </c>
      <c r="L86" s="1040">
        <v>2589668</v>
      </c>
      <c r="M86" s="1040">
        <v>0</v>
      </c>
      <c r="N86" s="1040">
        <v>0</v>
      </c>
      <c r="O86" s="1040">
        <v>2589668</v>
      </c>
      <c r="P86" s="1040">
        <v>0</v>
      </c>
      <c r="Q86" s="1040">
        <v>0</v>
      </c>
      <c r="R86" s="1038">
        <f t="shared" si="4"/>
        <v>2632.5790383246922</v>
      </c>
      <c r="S86" s="1255">
        <v>2020</v>
      </c>
      <c r="T86" s="1037">
        <v>2020</v>
      </c>
    </row>
    <row r="87" spans="1:20" s="1045" customFormat="1" ht="37.950000000000003" customHeight="1">
      <c r="A87" s="1037">
        <v>70</v>
      </c>
      <c r="B87" s="1023" t="s">
        <v>1737</v>
      </c>
      <c r="C87" s="1037">
        <v>1961</v>
      </c>
      <c r="D87" s="1037"/>
      <c r="E87" s="1026" t="s">
        <v>218</v>
      </c>
      <c r="F87" s="1037">
        <v>5</v>
      </c>
      <c r="G87" s="1037">
        <v>2</v>
      </c>
      <c r="H87" s="1038">
        <v>1932.2</v>
      </c>
      <c r="I87" s="1038">
        <v>1801.4</v>
      </c>
      <c r="J87" s="1038">
        <v>1286.0999999999999</v>
      </c>
      <c r="K87" s="1039">
        <v>56</v>
      </c>
      <c r="L87" s="1040">
        <v>1047584</v>
      </c>
      <c r="M87" s="1040">
        <v>0</v>
      </c>
      <c r="N87" s="1040">
        <v>0</v>
      </c>
      <c r="O87" s="1040">
        <v>1047584</v>
      </c>
      <c r="P87" s="1040">
        <v>0</v>
      </c>
      <c r="Q87" s="1040">
        <v>0</v>
      </c>
      <c r="R87" s="1038">
        <f t="shared" si="4"/>
        <v>581.53880315310312</v>
      </c>
      <c r="S87" s="1255">
        <v>2020</v>
      </c>
      <c r="T87" s="1037">
        <v>2020</v>
      </c>
    </row>
    <row r="88" spans="1:20" s="1045" customFormat="1" ht="37.950000000000003" customHeight="1">
      <c r="A88" s="1037">
        <v>71</v>
      </c>
      <c r="B88" s="1023" t="s">
        <v>1738</v>
      </c>
      <c r="C88" s="1037">
        <v>1960</v>
      </c>
      <c r="D88" s="1037"/>
      <c r="E88" s="1026" t="s">
        <v>218</v>
      </c>
      <c r="F88" s="1037">
        <v>4</v>
      </c>
      <c r="G88" s="1037">
        <v>5</v>
      </c>
      <c r="H88" s="1038">
        <v>5862.4</v>
      </c>
      <c r="I88" s="1038">
        <v>5360.2</v>
      </c>
      <c r="J88" s="1038">
        <v>4140.0200000000004</v>
      </c>
      <c r="K88" s="1039">
        <v>157</v>
      </c>
      <c r="L88" s="1040">
        <v>3117167</v>
      </c>
      <c r="M88" s="1040">
        <v>0</v>
      </c>
      <c r="N88" s="1040">
        <v>0</v>
      </c>
      <c r="O88" s="1040">
        <v>3117167</v>
      </c>
      <c r="P88" s="1040">
        <v>0</v>
      </c>
      <c r="Q88" s="1040">
        <v>0</v>
      </c>
      <c r="R88" s="1038">
        <f t="shared" si="4"/>
        <v>581.53930823476742</v>
      </c>
      <c r="S88" s="1255">
        <v>2020</v>
      </c>
      <c r="T88" s="1037">
        <v>2020</v>
      </c>
    </row>
    <row r="89" spans="1:20" s="1045" customFormat="1" ht="37.950000000000003" customHeight="1">
      <c r="A89" s="1037">
        <v>72</v>
      </c>
      <c r="B89" s="1023" t="s">
        <v>1739</v>
      </c>
      <c r="C89" s="1037">
        <v>1957</v>
      </c>
      <c r="D89" s="1037"/>
      <c r="E89" s="1026" t="s">
        <v>218</v>
      </c>
      <c r="F89" s="1037">
        <v>4</v>
      </c>
      <c r="G89" s="1037">
        <v>4</v>
      </c>
      <c r="H89" s="1038">
        <v>3324.1</v>
      </c>
      <c r="I89" s="1038">
        <v>2981.4</v>
      </c>
      <c r="J89" s="1038">
        <v>2981.4</v>
      </c>
      <c r="K89" s="1039">
        <v>132</v>
      </c>
      <c r="L89" s="1040">
        <v>7217604</v>
      </c>
      <c r="M89" s="1040">
        <v>0</v>
      </c>
      <c r="N89" s="1040">
        <v>0</v>
      </c>
      <c r="O89" s="1040">
        <v>7217604</v>
      </c>
      <c r="P89" s="1040">
        <v>0</v>
      </c>
      <c r="Q89" s="1040">
        <v>0</v>
      </c>
      <c r="R89" s="1038">
        <f t="shared" si="4"/>
        <v>2420.8774401287983</v>
      </c>
      <c r="S89" s="1255">
        <v>2020</v>
      </c>
      <c r="T89" s="1037">
        <v>2020</v>
      </c>
    </row>
    <row r="90" spans="1:20" s="1045" customFormat="1" ht="37.950000000000003" customHeight="1">
      <c r="A90" s="1037">
        <v>73</v>
      </c>
      <c r="B90" s="1023" t="s">
        <v>1740</v>
      </c>
      <c r="C90" s="1037">
        <v>1989</v>
      </c>
      <c r="D90" s="1037"/>
      <c r="E90" s="1037" t="s">
        <v>219</v>
      </c>
      <c r="F90" s="1037">
        <v>5</v>
      </c>
      <c r="G90" s="1037">
        <v>2</v>
      </c>
      <c r="H90" s="1038">
        <v>4769.2</v>
      </c>
      <c r="I90" s="1038">
        <v>4038.7</v>
      </c>
      <c r="J90" s="1038">
        <v>3447.2</v>
      </c>
      <c r="K90" s="1039">
        <v>115</v>
      </c>
      <c r="L90" s="1040">
        <v>3551048</v>
      </c>
      <c r="M90" s="1040">
        <v>0</v>
      </c>
      <c r="N90" s="1040">
        <v>0</v>
      </c>
      <c r="O90" s="1040">
        <v>3551048</v>
      </c>
      <c r="P90" s="1040">
        <v>0</v>
      </c>
      <c r="Q90" s="1040">
        <v>0</v>
      </c>
      <c r="R90" s="1038">
        <f t="shared" si="4"/>
        <v>879.2552058830812</v>
      </c>
      <c r="S90" s="1255">
        <v>2020</v>
      </c>
      <c r="T90" s="1037">
        <v>2020</v>
      </c>
    </row>
    <row r="91" spans="1:20" s="1045" customFormat="1" ht="37.950000000000003" customHeight="1">
      <c r="A91" s="1037">
        <v>74</v>
      </c>
      <c r="B91" s="1023" t="s">
        <v>1741</v>
      </c>
      <c r="C91" s="1037">
        <v>1989</v>
      </c>
      <c r="D91" s="1037"/>
      <c r="E91" s="1037" t="s">
        <v>219</v>
      </c>
      <c r="F91" s="1037">
        <v>5</v>
      </c>
      <c r="G91" s="1037">
        <v>5</v>
      </c>
      <c r="H91" s="1038">
        <v>4177.7</v>
      </c>
      <c r="I91" s="1038">
        <v>3828.8</v>
      </c>
      <c r="J91" s="1038">
        <v>3674.3</v>
      </c>
      <c r="K91" s="1039">
        <v>153</v>
      </c>
      <c r="L91" s="1040">
        <v>2672049</v>
      </c>
      <c r="M91" s="1040">
        <v>0</v>
      </c>
      <c r="N91" s="1040">
        <v>0</v>
      </c>
      <c r="O91" s="1040">
        <v>2672049</v>
      </c>
      <c r="P91" s="1040">
        <v>0</v>
      </c>
      <c r="Q91" s="1040">
        <v>0</v>
      </c>
      <c r="R91" s="1038">
        <f t="shared" si="4"/>
        <v>697.88158169661506</v>
      </c>
      <c r="S91" s="1255">
        <v>2020</v>
      </c>
      <c r="T91" s="1037">
        <v>2020</v>
      </c>
    </row>
    <row r="92" spans="1:20" s="1045" customFormat="1" ht="37.950000000000003" customHeight="1">
      <c r="A92" s="1037">
        <v>75</v>
      </c>
      <c r="B92" s="1023" t="s">
        <v>1742</v>
      </c>
      <c r="C92" s="1037">
        <v>1954</v>
      </c>
      <c r="D92" s="1037"/>
      <c r="E92" s="1026" t="s">
        <v>218</v>
      </c>
      <c r="F92" s="1037">
        <v>4</v>
      </c>
      <c r="G92" s="1037">
        <v>4</v>
      </c>
      <c r="H92" s="1038">
        <v>2698.9</v>
      </c>
      <c r="I92" s="1038">
        <v>2583.8000000000002</v>
      </c>
      <c r="J92" s="1038">
        <f>I92-347.1</f>
        <v>2236.7000000000003</v>
      </c>
      <c r="K92" s="1039">
        <v>71</v>
      </c>
      <c r="L92" s="1040">
        <v>5055867</v>
      </c>
      <c r="M92" s="1040">
        <v>0</v>
      </c>
      <c r="N92" s="1040">
        <v>0</v>
      </c>
      <c r="O92" s="1040">
        <v>5055867</v>
      </c>
      <c r="P92" s="1040">
        <v>0</v>
      </c>
      <c r="Q92" s="1040">
        <v>0</v>
      </c>
      <c r="R92" s="1038">
        <f t="shared" si="4"/>
        <v>1956.7563278891553</v>
      </c>
      <c r="S92" s="1255">
        <v>2020</v>
      </c>
      <c r="T92" s="1037">
        <v>2020</v>
      </c>
    </row>
    <row r="93" spans="1:20" s="1045" customFormat="1" ht="37.950000000000003" customHeight="1">
      <c r="A93" s="1037">
        <v>76</v>
      </c>
      <c r="B93" s="1023" t="s">
        <v>1743</v>
      </c>
      <c r="C93" s="1037">
        <v>1959</v>
      </c>
      <c r="D93" s="1037"/>
      <c r="E93" s="1026" t="s">
        <v>218</v>
      </c>
      <c r="F93" s="1037">
        <v>4</v>
      </c>
      <c r="G93" s="1037">
        <v>2</v>
      </c>
      <c r="H93" s="1038">
        <v>1976.8</v>
      </c>
      <c r="I93" s="1038">
        <v>1759.7</v>
      </c>
      <c r="J93" s="1038">
        <v>1669.7</v>
      </c>
      <c r="K93" s="1039">
        <v>70</v>
      </c>
      <c r="L93" s="1040">
        <v>4027441</v>
      </c>
      <c r="M93" s="1040">
        <v>0</v>
      </c>
      <c r="N93" s="1040">
        <v>0</v>
      </c>
      <c r="O93" s="1040">
        <v>4027441</v>
      </c>
      <c r="P93" s="1040">
        <v>0</v>
      </c>
      <c r="Q93" s="1040">
        <v>0</v>
      </c>
      <c r="R93" s="1038">
        <f t="shared" si="4"/>
        <v>2288.7088708302549</v>
      </c>
      <c r="S93" s="1255">
        <v>2020</v>
      </c>
      <c r="T93" s="1037">
        <v>2020</v>
      </c>
    </row>
    <row r="94" spans="1:20" s="1045" customFormat="1" ht="37.950000000000003" customHeight="1">
      <c r="A94" s="1037">
        <v>77</v>
      </c>
      <c r="B94" s="1023" t="s">
        <v>310</v>
      </c>
      <c r="C94" s="1037">
        <v>1983</v>
      </c>
      <c r="D94" s="1037"/>
      <c r="E94" s="1037" t="s">
        <v>219</v>
      </c>
      <c r="F94" s="1037">
        <v>9</v>
      </c>
      <c r="G94" s="1037">
        <v>8</v>
      </c>
      <c r="H94" s="1038">
        <v>17869.5</v>
      </c>
      <c r="I94" s="1038">
        <v>16141.5</v>
      </c>
      <c r="J94" s="1038">
        <f>I94-345.3</f>
        <v>15796.2</v>
      </c>
      <c r="K94" s="1039">
        <v>632</v>
      </c>
      <c r="L94" s="1024">
        <v>26812058</v>
      </c>
      <c r="M94" s="1040">
        <v>0</v>
      </c>
      <c r="N94" s="1040">
        <v>0</v>
      </c>
      <c r="O94" s="1024">
        <v>26812058</v>
      </c>
      <c r="P94" s="1040">
        <v>0</v>
      </c>
      <c r="Q94" s="1040">
        <v>0</v>
      </c>
      <c r="R94" s="1038">
        <f t="shared" si="4"/>
        <v>1661.0635938419603</v>
      </c>
      <c r="S94" s="1255">
        <v>2020</v>
      </c>
      <c r="T94" s="1037">
        <v>2020</v>
      </c>
    </row>
    <row r="95" spans="1:20" s="1045" customFormat="1" ht="37.950000000000003" customHeight="1">
      <c r="A95" s="1037">
        <v>78</v>
      </c>
      <c r="B95" s="1023" t="s">
        <v>1744</v>
      </c>
      <c r="C95" s="1037">
        <v>1953</v>
      </c>
      <c r="D95" s="1037"/>
      <c r="E95" s="1026" t="s">
        <v>218</v>
      </c>
      <c r="F95" s="1037">
        <v>4</v>
      </c>
      <c r="G95" s="1037">
        <v>9</v>
      </c>
      <c r="H95" s="1038">
        <v>8123.8</v>
      </c>
      <c r="I95" s="1038">
        <v>7344.1</v>
      </c>
      <c r="J95" s="1038">
        <v>7199.8</v>
      </c>
      <c r="K95" s="1039">
        <v>144</v>
      </c>
      <c r="L95" s="1040">
        <v>15206099</v>
      </c>
      <c r="M95" s="1040">
        <v>0</v>
      </c>
      <c r="N95" s="1040">
        <v>0</v>
      </c>
      <c r="O95" s="1040">
        <v>15206099</v>
      </c>
      <c r="P95" s="1040">
        <v>0</v>
      </c>
      <c r="Q95" s="1040">
        <v>0</v>
      </c>
      <c r="R95" s="1038">
        <f t="shared" si="4"/>
        <v>2070.5190561130703</v>
      </c>
      <c r="S95" s="1255">
        <v>2020</v>
      </c>
      <c r="T95" s="1037">
        <v>2020</v>
      </c>
    </row>
    <row r="96" spans="1:20" s="1045" customFormat="1" ht="37.950000000000003" customHeight="1">
      <c r="A96" s="1037">
        <v>79</v>
      </c>
      <c r="B96" s="1023" t="s">
        <v>1745</v>
      </c>
      <c r="C96" s="1037">
        <v>1963</v>
      </c>
      <c r="D96" s="1037"/>
      <c r="E96" s="1026" t="s">
        <v>218</v>
      </c>
      <c r="F96" s="1037">
        <v>3</v>
      </c>
      <c r="G96" s="1037">
        <v>2</v>
      </c>
      <c r="H96" s="1038">
        <v>1047.4000000000001</v>
      </c>
      <c r="I96" s="1038">
        <v>953.6</v>
      </c>
      <c r="J96" s="1038">
        <v>911.5</v>
      </c>
      <c r="K96" s="1039">
        <v>44</v>
      </c>
      <c r="L96" s="1040">
        <v>2133762</v>
      </c>
      <c r="M96" s="1040">
        <v>0</v>
      </c>
      <c r="N96" s="1040">
        <v>0</v>
      </c>
      <c r="O96" s="1040">
        <v>2133762</v>
      </c>
      <c r="P96" s="1040">
        <v>0</v>
      </c>
      <c r="Q96" s="1040">
        <v>0</v>
      </c>
      <c r="R96" s="1038">
        <f t="shared" si="4"/>
        <v>2237.5859899328857</v>
      </c>
      <c r="S96" s="1255">
        <v>2020</v>
      </c>
      <c r="T96" s="1037">
        <v>2020</v>
      </c>
    </row>
    <row r="97" spans="1:20" s="1045" customFormat="1" ht="37.950000000000003" customHeight="1">
      <c r="A97" s="1037">
        <v>80</v>
      </c>
      <c r="B97" s="1025" t="s">
        <v>1746</v>
      </c>
      <c r="C97" s="1037">
        <v>1950</v>
      </c>
      <c r="D97" s="1037"/>
      <c r="E97" s="1026" t="s">
        <v>218</v>
      </c>
      <c r="F97" s="1037">
        <v>2</v>
      </c>
      <c r="G97" s="1037">
        <v>3</v>
      </c>
      <c r="H97" s="1038">
        <v>1491.9</v>
      </c>
      <c r="I97" s="1038">
        <v>1381.8</v>
      </c>
      <c r="J97" s="1038">
        <v>1304.5</v>
      </c>
      <c r="K97" s="1039">
        <v>55</v>
      </c>
      <c r="L97" s="1040">
        <v>5414970</v>
      </c>
      <c r="M97" s="1040">
        <v>0</v>
      </c>
      <c r="N97" s="1040">
        <v>0</v>
      </c>
      <c r="O97" s="1040">
        <v>5414970</v>
      </c>
      <c r="P97" s="1040">
        <v>0</v>
      </c>
      <c r="Q97" s="1040">
        <v>0</v>
      </c>
      <c r="R97" s="1038">
        <f t="shared" si="4"/>
        <v>3918.7798523664787</v>
      </c>
      <c r="S97" s="1255">
        <v>2020</v>
      </c>
      <c r="T97" s="1037">
        <v>2020</v>
      </c>
    </row>
    <row r="98" spans="1:20" s="1045" customFormat="1" ht="37.950000000000003" customHeight="1">
      <c r="A98" s="1037">
        <v>81</v>
      </c>
      <c r="B98" s="1023" t="s">
        <v>1747</v>
      </c>
      <c r="C98" s="1037">
        <v>1958</v>
      </c>
      <c r="D98" s="1037"/>
      <c r="E98" s="1026" t="s">
        <v>218</v>
      </c>
      <c r="F98" s="1037">
        <v>2</v>
      </c>
      <c r="G98" s="1037">
        <v>2</v>
      </c>
      <c r="H98" s="1038">
        <v>688.8</v>
      </c>
      <c r="I98" s="1038">
        <v>639.79999999999995</v>
      </c>
      <c r="J98" s="1038">
        <v>541</v>
      </c>
      <c r="K98" s="1039">
        <v>37</v>
      </c>
      <c r="L98" s="1040">
        <v>1330427</v>
      </c>
      <c r="M98" s="1040">
        <v>0</v>
      </c>
      <c r="N98" s="1040">
        <v>0</v>
      </c>
      <c r="O98" s="1040">
        <v>1330427</v>
      </c>
      <c r="P98" s="1040">
        <v>0</v>
      </c>
      <c r="Q98" s="1040">
        <v>0</v>
      </c>
      <c r="R98" s="1038">
        <f t="shared" si="4"/>
        <v>2079.4420131291031</v>
      </c>
      <c r="S98" s="1255">
        <v>2020</v>
      </c>
      <c r="T98" s="1037">
        <v>2020</v>
      </c>
    </row>
    <row r="99" spans="1:20" s="1045" customFormat="1" ht="37.950000000000003" customHeight="1">
      <c r="A99" s="1249"/>
      <c r="B99" s="1539" t="s">
        <v>1619</v>
      </c>
      <c r="C99" s="1540"/>
      <c r="D99" s="1540"/>
      <c r="E99" s="1540"/>
      <c r="F99" s="1540"/>
      <c r="G99" s="1541"/>
      <c r="H99" s="985">
        <f>SUM(H100:H135)</f>
        <v>34653.710000000006</v>
      </c>
      <c r="I99" s="985">
        <f t="shared" ref="I99:Q99" si="5">SUM(I100:I135)</f>
        <v>34232.11</v>
      </c>
      <c r="J99" s="985">
        <f t="shared" si="5"/>
        <v>30264.410000000003</v>
      </c>
      <c r="K99" s="995">
        <f t="shared" si="5"/>
        <v>1283</v>
      </c>
      <c r="L99" s="985">
        <f t="shared" si="5"/>
        <v>64404784</v>
      </c>
      <c r="M99" s="985">
        <f t="shared" si="5"/>
        <v>0</v>
      </c>
      <c r="N99" s="985">
        <f t="shared" si="5"/>
        <v>0</v>
      </c>
      <c r="O99" s="985">
        <f t="shared" si="5"/>
        <v>64404784</v>
      </c>
      <c r="P99" s="985">
        <f t="shared" si="5"/>
        <v>0</v>
      </c>
      <c r="Q99" s="985">
        <f t="shared" si="5"/>
        <v>0</v>
      </c>
      <c r="R99" s="996" t="s">
        <v>40</v>
      </c>
      <c r="S99" s="996" t="s">
        <v>40</v>
      </c>
      <c r="T99" s="996" t="s">
        <v>40</v>
      </c>
    </row>
    <row r="100" spans="1:20" s="1045" customFormat="1" ht="37.950000000000003" customHeight="1">
      <c r="A100" s="1046">
        <v>82</v>
      </c>
      <c r="B100" s="1025" t="s">
        <v>1465</v>
      </c>
      <c r="C100" s="1037">
        <v>1926</v>
      </c>
      <c r="D100" s="1037"/>
      <c r="E100" s="1037" t="s">
        <v>824</v>
      </c>
      <c r="F100" s="1037">
        <v>1</v>
      </c>
      <c r="G100" s="1037">
        <v>1</v>
      </c>
      <c r="H100" s="1038">
        <v>186.3</v>
      </c>
      <c r="I100" s="1038">
        <v>186.3</v>
      </c>
      <c r="J100" s="1038">
        <v>186.3</v>
      </c>
      <c r="K100" s="1039">
        <v>8</v>
      </c>
      <c r="L100" s="1047">
        <v>938888</v>
      </c>
      <c r="M100" s="985">
        <v>0</v>
      </c>
      <c r="N100" s="985">
        <v>0</v>
      </c>
      <c r="O100" s="1038">
        <v>938888</v>
      </c>
      <c r="P100" s="998">
        <f t="shared" ref="P100" si="6">Q100</f>
        <v>0</v>
      </c>
      <c r="Q100" s="985">
        <v>0</v>
      </c>
      <c r="R100" s="1038">
        <f>L100/I100</f>
        <v>5039.656468062265</v>
      </c>
      <c r="S100" s="1048">
        <v>2020</v>
      </c>
      <c r="T100" s="1048">
        <v>2020</v>
      </c>
    </row>
    <row r="101" spans="1:20" s="1045" customFormat="1" ht="37.950000000000003" customHeight="1">
      <c r="A101" s="1046">
        <v>83</v>
      </c>
      <c r="B101" s="1025" t="s">
        <v>1466</v>
      </c>
      <c r="C101" s="1049">
        <v>1962</v>
      </c>
      <c r="D101" s="1049"/>
      <c r="E101" s="1249" t="s">
        <v>218</v>
      </c>
      <c r="F101" s="1049">
        <v>2</v>
      </c>
      <c r="G101" s="1049">
        <v>2</v>
      </c>
      <c r="H101" s="1050">
        <v>317.89999999999998</v>
      </c>
      <c r="I101" s="1050">
        <v>317.89999999999998</v>
      </c>
      <c r="J101" s="1050">
        <v>317.89999999999998</v>
      </c>
      <c r="K101" s="1051">
        <v>16</v>
      </c>
      <c r="L101" s="1047">
        <v>1174456</v>
      </c>
      <c r="M101" s="985">
        <v>0</v>
      </c>
      <c r="N101" s="985">
        <v>0</v>
      </c>
      <c r="O101" s="1038">
        <v>1174456</v>
      </c>
      <c r="P101" s="998">
        <f t="shared" ref="P101:P102" si="7">Q101</f>
        <v>0</v>
      </c>
      <c r="Q101" s="985">
        <v>0</v>
      </c>
      <c r="R101" s="1038">
        <f t="shared" ref="R101:R135" si="8">L101/I101</f>
        <v>3694.4196288140929</v>
      </c>
      <c r="S101" s="1048">
        <v>2020</v>
      </c>
      <c r="T101" s="1048">
        <v>2020</v>
      </c>
    </row>
    <row r="102" spans="1:20" s="1045" customFormat="1" ht="37.950000000000003" customHeight="1">
      <c r="A102" s="1046">
        <v>84</v>
      </c>
      <c r="B102" s="1025" t="s">
        <v>478</v>
      </c>
      <c r="C102" s="1049">
        <v>1993</v>
      </c>
      <c r="D102" s="1049"/>
      <c r="E102" s="1249" t="s">
        <v>218</v>
      </c>
      <c r="F102" s="1049">
        <v>2</v>
      </c>
      <c r="G102" s="1049">
        <v>3</v>
      </c>
      <c r="H102" s="1050">
        <v>849.5</v>
      </c>
      <c r="I102" s="1050">
        <v>849.5</v>
      </c>
      <c r="J102" s="1050">
        <v>849.5</v>
      </c>
      <c r="K102" s="1051">
        <v>41</v>
      </c>
      <c r="L102" s="1047">
        <v>1141204</v>
      </c>
      <c r="M102" s="985">
        <v>0</v>
      </c>
      <c r="N102" s="985">
        <v>0</v>
      </c>
      <c r="O102" s="1038">
        <v>1141204</v>
      </c>
      <c r="P102" s="998">
        <f t="shared" si="7"/>
        <v>0</v>
      </c>
      <c r="Q102" s="985">
        <v>0</v>
      </c>
      <c r="R102" s="1038">
        <f t="shared" si="8"/>
        <v>1343.3831665685698</v>
      </c>
      <c r="S102" s="1048">
        <v>2020</v>
      </c>
      <c r="T102" s="1048">
        <v>2020</v>
      </c>
    </row>
    <row r="103" spans="1:20" s="1045" customFormat="1" ht="37.950000000000003" customHeight="1">
      <c r="A103" s="1046">
        <v>85</v>
      </c>
      <c r="B103" s="1025" t="s">
        <v>1467</v>
      </c>
      <c r="C103" s="1049">
        <v>1931</v>
      </c>
      <c r="D103" s="1049"/>
      <c r="E103" s="1037" t="s">
        <v>824</v>
      </c>
      <c r="F103" s="1049">
        <v>1</v>
      </c>
      <c r="G103" s="1049">
        <v>3</v>
      </c>
      <c r="H103" s="1050">
        <v>265.10000000000002</v>
      </c>
      <c r="I103" s="1050">
        <v>265.10000000000002</v>
      </c>
      <c r="J103" s="1050">
        <v>226.7</v>
      </c>
      <c r="K103" s="1051">
        <v>13</v>
      </c>
      <c r="L103" s="1047">
        <v>1218456</v>
      </c>
      <c r="M103" s="985">
        <v>0</v>
      </c>
      <c r="N103" s="985">
        <v>0</v>
      </c>
      <c r="O103" s="1038">
        <v>1218456</v>
      </c>
      <c r="P103" s="998">
        <f t="shared" ref="P103:P128" si="9">Q103</f>
        <v>0</v>
      </c>
      <c r="Q103" s="985">
        <v>0</v>
      </c>
      <c r="R103" s="1038">
        <f t="shared" si="8"/>
        <v>4596.212749905696</v>
      </c>
      <c r="S103" s="1048">
        <v>2020</v>
      </c>
      <c r="T103" s="1048">
        <v>2020</v>
      </c>
    </row>
    <row r="104" spans="1:20" s="1045" customFormat="1" ht="37.950000000000003" customHeight="1">
      <c r="A104" s="1046">
        <v>86</v>
      </c>
      <c r="B104" s="1025" t="s">
        <v>1748</v>
      </c>
      <c r="C104" s="1049">
        <v>1972</v>
      </c>
      <c r="D104" s="1049"/>
      <c r="E104" s="1249" t="s">
        <v>218</v>
      </c>
      <c r="F104" s="1049">
        <v>5</v>
      </c>
      <c r="G104" s="1049">
        <v>4</v>
      </c>
      <c r="H104" s="1050">
        <v>3463.7</v>
      </c>
      <c r="I104" s="1050">
        <v>3463.7</v>
      </c>
      <c r="J104" s="1050">
        <v>3242.1</v>
      </c>
      <c r="K104" s="1051">
        <v>108</v>
      </c>
      <c r="L104" s="1047">
        <v>3553832</v>
      </c>
      <c r="M104" s="985">
        <v>0</v>
      </c>
      <c r="N104" s="985">
        <v>0</v>
      </c>
      <c r="O104" s="1038">
        <v>3553832</v>
      </c>
      <c r="P104" s="998">
        <f t="shared" si="9"/>
        <v>0</v>
      </c>
      <c r="Q104" s="985">
        <v>0</v>
      </c>
      <c r="R104" s="1038">
        <f t="shared" si="8"/>
        <v>1026.0218841123653</v>
      </c>
      <c r="S104" s="1048">
        <v>2020</v>
      </c>
      <c r="T104" s="1048">
        <v>2020</v>
      </c>
    </row>
    <row r="105" spans="1:20" s="1045" customFormat="1" ht="37.950000000000003" customHeight="1">
      <c r="A105" s="1046">
        <v>87</v>
      </c>
      <c r="B105" s="1025" t="s">
        <v>1468</v>
      </c>
      <c r="C105" s="1049" t="s">
        <v>190</v>
      </c>
      <c r="D105" s="1049"/>
      <c r="E105" s="1249" t="s">
        <v>218</v>
      </c>
      <c r="F105" s="1049">
        <v>3</v>
      </c>
      <c r="G105" s="1049">
        <v>2</v>
      </c>
      <c r="H105" s="1050">
        <v>626.29999999999995</v>
      </c>
      <c r="I105" s="1050">
        <v>626.29999999999995</v>
      </c>
      <c r="J105" s="1050">
        <v>444.8</v>
      </c>
      <c r="K105" s="1051">
        <v>18</v>
      </c>
      <c r="L105" s="1047">
        <v>1263776</v>
      </c>
      <c r="M105" s="985">
        <v>0</v>
      </c>
      <c r="N105" s="985">
        <v>0</v>
      </c>
      <c r="O105" s="1038">
        <v>1263776</v>
      </c>
      <c r="P105" s="998">
        <f t="shared" si="9"/>
        <v>0</v>
      </c>
      <c r="Q105" s="985">
        <v>0</v>
      </c>
      <c r="R105" s="1038">
        <f t="shared" si="8"/>
        <v>2017.8444834743734</v>
      </c>
      <c r="S105" s="1048">
        <v>2020</v>
      </c>
      <c r="T105" s="1048">
        <v>2020</v>
      </c>
    </row>
    <row r="106" spans="1:20" s="1045" customFormat="1" ht="37.950000000000003" customHeight="1">
      <c r="A106" s="1046">
        <v>88</v>
      </c>
      <c r="B106" s="1025" t="s">
        <v>1469</v>
      </c>
      <c r="C106" s="1049">
        <v>1977</v>
      </c>
      <c r="D106" s="1049"/>
      <c r="E106" s="1049" t="s">
        <v>221</v>
      </c>
      <c r="F106" s="1049">
        <v>2</v>
      </c>
      <c r="G106" s="1049">
        <v>3</v>
      </c>
      <c r="H106" s="1050">
        <v>823.2</v>
      </c>
      <c r="I106" s="1050">
        <v>823.2</v>
      </c>
      <c r="J106" s="1050">
        <v>823.2</v>
      </c>
      <c r="K106" s="1051">
        <v>42</v>
      </c>
      <c r="L106" s="1047">
        <v>1605636</v>
      </c>
      <c r="M106" s="985">
        <v>0</v>
      </c>
      <c r="N106" s="985">
        <v>0</v>
      </c>
      <c r="O106" s="1038">
        <v>1605636</v>
      </c>
      <c r="P106" s="998">
        <f t="shared" si="9"/>
        <v>0</v>
      </c>
      <c r="Q106" s="985">
        <v>0</v>
      </c>
      <c r="R106" s="1038">
        <f t="shared" si="8"/>
        <v>1950.4810495626821</v>
      </c>
      <c r="S106" s="1048">
        <v>2020</v>
      </c>
      <c r="T106" s="1048">
        <v>2020</v>
      </c>
    </row>
    <row r="107" spans="1:20" s="2" customFormat="1" ht="36.75" customHeight="1">
      <c r="A107" s="1046">
        <v>89</v>
      </c>
      <c r="B107" s="1025" t="s">
        <v>1749</v>
      </c>
      <c r="C107" s="1049">
        <v>1934</v>
      </c>
      <c r="D107" s="1049"/>
      <c r="E107" s="1037" t="s">
        <v>824</v>
      </c>
      <c r="F107" s="1049">
        <v>2</v>
      </c>
      <c r="G107" s="1049">
        <v>1</v>
      </c>
      <c r="H107" s="1050">
        <v>323.8</v>
      </c>
      <c r="I107" s="1050">
        <v>323.8</v>
      </c>
      <c r="J107" s="1050">
        <v>181.7</v>
      </c>
      <c r="K107" s="1051">
        <v>14</v>
      </c>
      <c r="L107" s="1047">
        <v>1153472</v>
      </c>
      <c r="M107" s="985">
        <v>0</v>
      </c>
      <c r="N107" s="985">
        <v>0</v>
      </c>
      <c r="O107" s="1038">
        <v>1153472</v>
      </c>
      <c r="P107" s="998">
        <f t="shared" si="9"/>
        <v>0</v>
      </c>
      <c r="Q107" s="985">
        <v>0</v>
      </c>
      <c r="R107" s="1038">
        <f t="shared" si="8"/>
        <v>3562.2977146386656</v>
      </c>
      <c r="S107" s="1048">
        <v>2020</v>
      </c>
      <c r="T107" s="1048">
        <v>2020</v>
      </c>
    </row>
    <row r="108" spans="1:20" s="2" customFormat="1" ht="40.200000000000003" customHeight="1">
      <c r="A108" s="1046">
        <v>90</v>
      </c>
      <c r="B108" s="1025" t="s">
        <v>1750</v>
      </c>
      <c r="C108" s="1049">
        <v>1960</v>
      </c>
      <c r="D108" s="1049"/>
      <c r="E108" s="1249" t="s">
        <v>218</v>
      </c>
      <c r="F108" s="1049">
        <v>4</v>
      </c>
      <c r="G108" s="1049">
        <v>2</v>
      </c>
      <c r="H108" s="1050">
        <v>1252.5999999999999</v>
      </c>
      <c r="I108" s="1050">
        <v>1252.5999999999999</v>
      </c>
      <c r="J108" s="1050">
        <v>1252.5999999999999</v>
      </c>
      <c r="K108" s="1051">
        <v>51</v>
      </c>
      <c r="L108" s="1047">
        <v>2132299</v>
      </c>
      <c r="M108" s="985">
        <v>0</v>
      </c>
      <c r="N108" s="985">
        <v>0</v>
      </c>
      <c r="O108" s="1038">
        <v>2132299</v>
      </c>
      <c r="P108" s="998">
        <f t="shared" si="9"/>
        <v>0</v>
      </c>
      <c r="Q108" s="985">
        <v>0</v>
      </c>
      <c r="R108" s="1038">
        <f t="shared" si="8"/>
        <v>1702.2984192878814</v>
      </c>
      <c r="S108" s="1048">
        <v>2020</v>
      </c>
      <c r="T108" s="1048">
        <v>2020</v>
      </c>
    </row>
    <row r="109" spans="1:20" s="2" customFormat="1" ht="40.200000000000003" customHeight="1">
      <c r="A109" s="1046">
        <v>91</v>
      </c>
      <c r="B109" s="1025" t="s">
        <v>1751</v>
      </c>
      <c r="C109" s="1049">
        <v>1961</v>
      </c>
      <c r="D109" s="1049"/>
      <c r="E109" s="1249" t="s">
        <v>218</v>
      </c>
      <c r="F109" s="1049">
        <v>3</v>
      </c>
      <c r="G109" s="1049">
        <v>3</v>
      </c>
      <c r="H109" s="1050">
        <v>2001.1</v>
      </c>
      <c r="I109" s="1050">
        <v>2001.1</v>
      </c>
      <c r="J109" s="1050">
        <v>1363.01</v>
      </c>
      <c r="K109" s="1051">
        <v>57</v>
      </c>
      <c r="L109" s="1047">
        <v>5406298</v>
      </c>
      <c r="M109" s="985">
        <v>0</v>
      </c>
      <c r="N109" s="985">
        <v>0</v>
      </c>
      <c r="O109" s="1038">
        <v>5406298</v>
      </c>
      <c r="P109" s="998">
        <f t="shared" si="9"/>
        <v>0</v>
      </c>
      <c r="Q109" s="985">
        <v>0</v>
      </c>
      <c r="R109" s="1038">
        <f t="shared" si="8"/>
        <v>2701.6630853030833</v>
      </c>
      <c r="S109" s="1048">
        <v>2020</v>
      </c>
      <c r="T109" s="1048">
        <v>2020</v>
      </c>
    </row>
    <row r="110" spans="1:20" s="2" customFormat="1" ht="36.75" customHeight="1">
      <c r="A110" s="1046">
        <v>92</v>
      </c>
      <c r="B110" s="1025" t="s">
        <v>1471</v>
      </c>
      <c r="C110" s="1049">
        <v>1993</v>
      </c>
      <c r="D110" s="1049"/>
      <c r="E110" s="1037" t="s">
        <v>824</v>
      </c>
      <c r="F110" s="1049">
        <v>2</v>
      </c>
      <c r="G110" s="1049">
        <v>1</v>
      </c>
      <c r="H110" s="1050">
        <v>209.4</v>
      </c>
      <c r="I110" s="1050">
        <v>209.4</v>
      </c>
      <c r="J110" s="1050">
        <v>209.4</v>
      </c>
      <c r="K110" s="1051">
        <v>6</v>
      </c>
      <c r="L110" s="1047">
        <v>686261</v>
      </c>
      <c r="M110" s="985">
        <v>0</v>
      </c>
      <c r="N110" s="985">
        <v>0</v>
      </c>
      <c r="O110" s="1038">
        <v>686261</v>
      </c>
      <c r="P110" s="998">
        <f t="shared" si="9"/>
        <v>0</v>
      </c>
      <c r="Q110" s="985">
        <v>0</v>
      </c>
      <c r="R110" s="1038">
        <f t="shared" si="8"/>
        <v>3277.2731614135623</v>
      </c>
      <c r="S110" s="1048">
        <v>2020</v>
      </c>
      <c r="T110" s="1048">
        <v>2020</v>
      </c>
    </row>
    <row r="111" spans="1:20" s="2" customFormat="1" ht="41.4" customHeight="1">
      <c r="A111" s="1046">
        <v>93</v>
      </c>
      <c r="B111" s="1025" t="s">
        <v>935</v>
      </c>
      <c r="C111" s="1049" t="s">
        <v>190</v>
      </c>
      <c r="D111" s="1049"/>
      <c r="E111" s="1249" t="s">
        <v>218</v>
      </c>
      <c r="F111" s="1049">
        <v>3</v>
      </c>
      <c r="G111" s="1049">
        <v>3</v>
      </c>
      <c r="H111" s="1050">
        <v>2020.3</v>
      </c>
      <c r="I111" s="1050">
        <v>2020.3</v>
      </c>
      <c r="J111" s="1050">
        <v>1435</v>
      </c>
      <c r="K111" s="1051">
        <v>49</v>
      </c>
      <c r="L111" s="1047">
        <v>117262</v>
      </c>
      <c r="M111" s="985">
        <v>0</v>
      </c>
      <c r="N111" s="985">
        <v>0</v>
      </c>
      <c r="O111" s="1038">
        <v>117262</v>
      </c>
      <c r="P111" s="998">
        <f t="shared" si="9"/>
        <v>0</v>
      </c>
      <c r="Q111" s="985">
        <v>0</v>
      </c>
      <c r="R111" s="1038">
        <f t="shared" si="8"/>
        <v>58.041874969064004</v>
      </c>
      <c r="S111" s="1048">
        <v>2020</v>
      </c>
      <c r="T111" s="1048">
        <v>2020</v>
      </c>
    </row>
    <row r="112" spans="1:20" s="2" customFormat="1" ht="36" customHeight="1">
      <c r="A112" s="1046">
        <v>94</v>
      </c>
      <c r="B112" s="1025" t="s">
        <v>1752</v>
      </c>
      <c r="C112" s="1049">
        <v>1961</v>
      </c>
      <c r="D112" s="1049"/>
      <c r="E112" s="1037" t="s">
        <v>824</v>
      </c>
      <c r="F112" s="1049">
        <v>2</v>
      </c>
      <c r="G112" s="1049">
        <v>2</v>
      </c>
      <c r="H112" s="1050">
        <v>719.1</v>
      </c>
      <c r="I112" s="1050">
        <v>719.1</v>
      </c>
      <c r="J112" s="1050">
        <v>719.1</v>
      </c>
      <c r="K112" s="1051">
        <v>30</v>
      </c>
      <c r="L112" s="1047">
        <v>2568914</v>
      </c>
      <c r="M112" s="985">
        <v>0</v>
      </c>
      <c r="N112" s="985">
        <v>0</v>
      </c>
      <c r="O112" s="1038">
        <v>2568914</v>
      </c>
      <c r="P112" s="998">
        <f t="shared" si="9"/>
        <v>0</v>
      </c>
      <c r="Q112" s="985">
        <v>0</v>
      </c>
      <c r="R112" s="1038">
        <f t="shared" si="8"/>
        <v>3572.4016131275202</v>
      </c>
      <c r="S112" s="1048">
        <v>2020</v>
      </c>
      <c r="T112" s="1048">
        <v>2020</v>
      </c>
    </row>
    <row r="113" spans="1:20" s="1052" customFormat="1" ht="34.799999999999997" customHeight="1">
      <c r="A113" s="1046">
        <v>95</v>
      </c>
      <c r="B113" s="1025" t="s">
        <v>1472</v>
      </c>
      <c r="C113" s="1049">
        <v>1963</v>
      </c>
      <c r="D113" s="1049"/>
      <c r="E113" s="1037" t="s">
        <v>824</v>
      </c>
      <c r="F113" s="1049">
        <v>1</v>
      </c>
      <c r="G113" s="1049">
        <v>3</v>
      </c>
      <c r="H113" s="1050">
        <v>153.4</v>
      </c>
      <c r="I113" s="1050">
        <v>153.30000000000001</v>
      </c>
      <c r="J113" s="1050">
        <v>153.4</v>
      </c>
      <c r="K113" s="1051">
        <v>3</v>
      </c>
      <c r="L113" s="1047">
        <v>876612</v>
      </c>
      <c r="M113" s="985">
        <v>0</v>
      </c>
      <c r="N113" s="985">
        <v>0</v>
      </c>
      <c r="O113" s="1038">
        <v>876612</v>
      </c>
      <c r="P113" s="998">
        <f t="shared" si="9"/>
        <v>0</v>
      </c>
      <c r="Q113" s="985">
        <v>0</v>
      </c>
      <c r="R113" s="1038">
        <f t="shared" si="8"/>
        <v>5718.2778864970642</v>
      </c>
      <c r="S113" s="1048">
        <v>2020</v>
      </c>
      <c r="T113" s="1048">
        <v>2020</v>
      </c>
    </row>
    <row r="114" spans="1:20" s="2" customFormat="1" ht="35.4" customHeight="1">
      <c r="A114" s="1046">
        <v>96</v>
      </c>
      <c r="B114" s="1025" t="s">
        <v>1753</v>
      </c>
      <c r="C114" s="1049">
        <v>1957</v>
      </c>
      <c r="D114" s="1049"/>
      <c r="E114" s="1037" t="s">
        <v>824</v>
      </c>
      <c r="F114" s="1049">
        <v>2</v>
      </c>
      <c r="G114" s="1049">
        <v>1</v>
      </c>
      <c r="H114" s="1050">
        <v>373.6</v>
      </c>
      <c r="I114" s="1050">
        <v>373.6</v>
      </c>
      <c r="J114" s="1050">
        <v>373.6</v>
      </c>
      <c r="K114" s="1051">
        <v>27</v>
      </c>
      <c r="L114" s="1047">
        <v>1086458</v>
      </c>
      <c r="M114" s="985">
        <v>0</v>
      </c>
      <c r="N114" s="985">
        <v>0</v>
      </c>
      <c r="O114" s="1038">
        <v>1086458</v>
      </c>
      <c r="P114" s="998">
        <f t="shared" si="9"/>
        <v>0</v>
      </c>
      <c r="Q114" s="985">
        <v>0</v>
      </c>
      <c r="R114" s="1038">
        <f t="shared" si="8"/>
        <v>2908.0781584582442</v>
      </c>
      <c r="S114" s="1048">
        <v>2020</v>
      </c>
      <c r="T114" s="1048">
        <v>2020</v>
      </c>
    </row>
    <row r="115" spans="1:20" s="2" customFormat="1" ht="36" customHeight="1">
      <c r="A115" s="1046">
        <v>97</v>
      </c>
      <c r="B115" s="1025" t="s">
        <v>1473</v>
      </c>
      <c r="C115" s="1049">
        <v>1959</v>
      </c>
      <c r="D115" s="1049"/>
      <c r="E115" s="1037" t="s">
        <v>824</v>
      </c>
      <c r="F115" s="1049">
        <v>2</v>
      </c>
      <c r="G115" s="1049">
        <v>2</v>
      </c>
      <c r="H115" s="1050">
        <v>717.2</v>
      </c>
      <c r="I115" s="1050">
        <v>717.2</v>
      </c>
      <c r="J115" s="1050">
        <v>717.2</v>
      </c>
      <c r="K115" s="1051">
        <v>29</v>
      </c>
      <c r="L115" s="1047">
        <v>3316910</v>
      </c>
      <c r="M115" s="985">
        <v>0</v>
      </c>
      <c r="N115" s="985">
        <v>0</v>
      </c>
      <c r="O115" s="1038">
        <v>3316910</v>
      </c>
      <c r="P115" s="998">
        <f t="shared" si="9"/>
        <v>0</v>
      </c>
      <c r="Q115" s="985">
        <v>0</v>
      </c>
      <c r="R115" s="1038">
        <f t="shared" si="8"/>
        <v>4624.8047964305633</v>
      </c>
      <c r="S115" s="1048">
        <v>2020</v>
      </c>
      <c r="T115" s="1048">
        <v>2020</v>
      </c>
    </row>
    <row r="116" spans="1:20" s="2" customFormat="1" ht="39.6" customHeight="1">
      <c r="A116" s="1046">
        <v>98</v>
      </c>
      <c r="B116" s="1025" t="s">
        <v>1474</v>
      </c>
      <c r="C116" s="1049" t="s">
        <v>190</v>
      </c>
      <c r="D116" s="1049"/>
      <c r="E116" s="1249" t="s">
        <v>218</v>
      </c>
      <c r="F116" s="1049">
        <v>3</v>
      </c>
      <c r="G116" s="1049">
        <v>1</v>
      </c>
      <c r="H116" s="1050">
        <v>837.5</v>
      </c>
      <c r="I116" s="1050">
        <v>837.5</v>
      </c>
      <c r="J116" s="1050">
        <v>697</v>
      </c>
      <c r="K116" s="1051">
        <v>27</v>
      </c>
      <c r="L116" s="1047">
        <v>1678763</v>
      </c>
      <c r="M116" s="985">
        <v>0</v>
      </c>
      <c r="N116" s="985">
        <v>0</v>
      </c>
      <c r="O116" s="1038">
        <v>1678763</v>
      </c>
      <c r="P116" s="998">
        <f t="shared" si="9"/>
        <v>0</v>
      </c>
      <c r="Q116" s="985">
        <v>0</v>
      </c>
      <c r="R116" s="1038">
        <f t="shared" si="8"/>
        <v>2004.4931343283581</v>
      </c>
      <c r="S116" s="1048">
        <v>2020</v>
      </c>
      <c r="T116" s="1048">
        <v>2020</v>
      </c>
    </row>
    <row r="117" spans="1:20" s="2" customFormat="1" ht="37.5" customHeight="1">
      <c r="A117" s="1046">
        <v>99</v>
      </c>
      <c r="B117" s="1025" t="s">
        <v>1475</v>
      </c>
      <c r="C117" s="1049">
        <v>1964</v>
      </c>
      <c r="D117" s="1049"/>
      <c r="E117" s="1249" t="s">
        <v>218</v>
      </c>
      <c r="F117" s="1049">
        <v>2</v>
      </c>
      <c r="G117" s="1049">
        <v>3</v>
      </c>
      <c r="H117" s="1050">
        <v>324.5</v>
      </c>
      <c r="I117" s="1050">
        <v>324.5</v>
      </c>
      <c r="J117" s="1050">
        <v>324.5</v>
      </c>
      <c r="K117" s="1051">
        <v>13</v>
      </c>
      <c r="L117" s="1047">
        <v>940209</v>
      </c>
      <c r="M117" s="985">
        <v>0</v>
      </c>
      <c r="N117" s="985">
        <v>0</v>
      </c>
      <c r="O117" s="1038">
        <v>940209</v>
      </c>
      <c r="P117" s="998">
        <f t="shared" si="9"/>
        <v>0</v>
      </c>
      <c r="Q117" s="985">
        <v>0</v>
      </c>
      <c r="R117" s="1038">
        <f t="shared" si="8"/>
        <v>2897.4083204930662</v>
      </c>
      <c r="S117" s="1048">
        <v>2020</v>
      </c>
      <c r="T117" s="1048">
        <v>2020</v>
      </c>
    </row>
    <row r="118" spans="1:20" s="2" customFormat="1" ht="26.4" customHeight="1">
      <c r="A118" s="1046">
        <v>100</v>
      </c>
      <c r="B118" s="1025" t="s">
        <v>1476</v>
      </c>
      <c r="C118" s="1049">
        <v>1967</v>
      </c>
      <c r="D118" s="1049"/>
      <c r="E118" s="1037" t="s">
        <v>824</v>
      </c>
      <c r="F118" s="1049">
        <v>1</v>
      </c>
      <c r="G118" s="1049">
        <v>2</v>
      </c>
      <c r="H118" s="1050">
        <v>199.8</v>
      </c>
      <c r="I118" s="1050">
        <v>199.8</v>
      </c>
      <c r="J118" s="1050">
        <v>193</v>
      </c>
      <c r="K118" s="1051">
        <v>16</v>
      </c>
      <c r="L118" s="1047">
        <v>670568</v>
      </c>
      <c r="M118" s="985">
        <v>0</v>
      </c>
      <c r="N118" s="985">
        <v>0</v>
      </c>
      <c r="O118" s="1038">
        <v>670568</v>
      </c>
      <c r="P118" s="998">
        <f t="shared" si="9"/>
        <v>0</v>
      </c>
      <c r="Q118" s="985">
        <v>0</v>
      </c>
      <c r="R118" s="1038">
        <f t="shared" si="8"/>
        <v>3356.1961961961961</v>
      </c>
      <c r="S118" s="1048">
        <v>2020</v>
      </c>
      <c r="T118" s="1048">
        <v>2020</v>
      </c>
    </row>
    <row r="119" spans="1:20" s="2" customFormat="1" ht="35.25" customHeight="1">
      <c r="A119" s="1046">
        <v>101</v>
      </c>
      <c r="B119" s="1025" t="s">
        <v>1477</v>
      </c>
      <c r="C119" s="1049">
        <v>1958</v>
      </c>
      <c r="D119" s="1049"/>
      <c r="E119" s="1037" t="s">
        <v>824</v>
      </c>
      <c r="F119" s="1049">
        <v>2</v>
      </c>
      <c r="G119" s="1049">
        <v>3</v>
      </c>
      <c r="H119" s="1050">
        <v>445</v>
      </c>
      <c r="I119" s="1050">
        <v>445</v>
      </c>
      <c r="J119" s="1050">
        <v>393.8</v>
      </c>
      <c r="K119" s="1051">
        <v>23</v>
      </c>
      <c r="L119" s="1047">
        <v>60901</v>
      </c>
      <c r="M119" s="985">
        <v>0</v>
      </c>
      <c r="N119" s="985">
        <v>0</v>
      </c>
      <c r="O119" s="1038">
        <v>60901</v>
      </c>
      <c r="P119" s="998">
        <f t="shared" si="9"/>
        <v>0</v>
      </c>
      <c r="Q119" s="985">
        <v>0</v>
      </c>
      <c r="R119" s="1038">
        <f t="shared" si="8"/>
        <v>136.85617977528091</v>
      </c>
      <c r="S119" s="1048">
        <v>2020</v>
      </c>
      <c r="T119" s="1048">
        <v>2020</v>
      </c>
    </row>
    <row r="120" spans="1:20" s="2" customFormat="1" ht="38.4" customHeight="1">
      <c r="A120" s="1046">
        <v>102</v>
      </c>
      <c r="B120" s="1025" t="s">
        <v>1478</v>
      </c>
      <c r="C120" s="1049">
        <v>1964</v>
      </c>
      <c r="D120" s="1049"/>
      <c r="E120" s="1249" t="s">
        <v>218</v>
      </c>
      <c r="F120" s="1049">
        <v>4</v>
      </c>
      <c r="G120" s="1049">
        <v>3</v>
      </c>
      <c r="H120" s="1050">
        <v>1965.5</v>
      </c>
      <c r="I120" s="1050">
        <v>1965.5</v>
      </c>
      <c r="J120" s="1050">
        <v>1390.6</v>
      </c>
      <c r="K120" s="1051">
        <v>73</v>
      </c>
      <c r="L120" s="1047">
        <v>3904725</v>
      </c>
      <c r="M120" s="985">
        <v>0</v>
      </c>
      <c r="N120" s="985">
        <v>0</v>
      </c>
      <c r="O120" s="1038">
        <v>3904725</v>
      </c>
      <c r="P120" s="998">
        <f t="shared" si="9"/>
        <v>0</v>
      </c>
      <c r="Q120" s="985">
        <v>0</v>
      </c>
      <c r="R120" s="1038">
        <f t="shared" si="8"/>
        <v>1986.6319002798271</v>
      </c>
      <c r="S120" s="1048">
        <v>2020</v>
      </c>
      <c r="T120" s="1048">
        <v>2020</v>
      </c>
    </row>
    <row r="121" spans="1:20" s="2" customFormat="1" ht="40.799999999999997" customHeight="1">
      <c r="A121" s="1046">
        <v>103</v>
      </c>
      <c r="B121" s="1025" t="s">
        <v>1479</v>
      </c>
      <c r="C121" s="1049">
        <v>1959</v>
      </c>
      <c r="D121" s="1049"/>
      <c r="E121" s="1249" t="s">
        <v>218</v>
      </c>
      <c r="F121" s="1049">
        <v>2</v>
      </c>
      <c r="G121" s="1049">
        <v>3</v>
      </c>
      <c r="H121" s="1050">
        <v>981.3</v>
      </c>
      <c r="I121" s="1050">
        <v>981.3</v>
      </c>
      <c r="J121" s="1050">
        <v>523.79999999999995</v>
      </c>
      <c r="K121" s="1051">
        <v>44</v>
      </c>
      <c r="L121" s="1047">
        <v>2530667</v>
      </c>
      <c r="M121" s="985">
        <v>0</v>
      </c>
      <c r="N121" s="985">
        <v>0</v>
      </c>
      <c r="O121" s="1038">
        <v>2530667</v>
      </c>
      <c r="P121" s="998">
        <f t="shared" si="9"/>
        <v>0</v>
      </c>
      <c r="Q121" s="985">
        <v>0</v>
      </c>
      <c r="R121" s="1038">
        <f t="shared" si="8"/>
        <v>2578.8922857434018</v>
      </c>
      <c r="S121" s="1048">
        <v>2020</v>
      </c>
      <c r="T121" s="1048">
        <v>2020</v>
      </c>
    </row>
    <row r="122" spans="1:20" s="2" customFormat="1" ht="38.4" customHeight="1">
      <c r="A122" s="1046">
        <v>104</v>
      </c>
      <c r="B122" s="1025" t="s">
        <v>1480</v>
      </c>
      <c r="C122" s="1049">
        <v>1961</v>
      </c>
      <c r="D122" s="1049"/>
      <c r="E122" s="1249" t="s">
        <v>218</v>
      </c>
      <c r="F122" s="1049">
        <v>2</v>
      </c>
      <c r="G122" s="1049">
        <v>2</v>
      </c>
      <c r="H122" s="1050">
        <v>847.5</v>
      </c>
      <c r="I122" s="1050">
        <v>847.5</v>
      </c>
      <c r="J122" s="1050">
        <v>847.5</v>
      </c>
      <c r="K122" s="1051">
        <v>30</v>
      </c>
      <c r="L122" s="1047">
        <v>2149900</v>
      </c>
      <c r="M122" s="985">
        <v>0</v>
      </c>
      <c r="N122" s="985">
        <v>0</v>
      </c>
      <c r="O122" s="1038">
        <v>2149900</v>
      </c>
      <c r="P122" s="998">
        <f t="shared" si="9"/>
        <v>0</v>
      </c>
      <c r="Q122" s="985">
        <v>0</v>
      </c>
      <c r="R122" s="1038">
        <f t="shared" si="8"/>
        <v>2536.7551622418878</v>
      </c>
      <c r="S122" s="1048">
        <v>2020</v>
      </c>
      <c r="T122" s="1048">
        <v>2020</v>
      </c>
    </row>
    <row r="123" spans="1:20" s="2" customFormat="1" ht="37.200000000000003" customHeight="1">
      <c r="A123" s="1046">
        <v>105</v>
      </c>
      <c r="B123" s="1025" t="s">
        <v>1481</v>
      </c>
      <c r="C123" s="1049">
        <v>1950</v>
      </c>
      <c r="D123" s="1049"/>
      <c r="E123" s="1249" t="s">
        <v>218</v>
      </c>
      <c r="F123" s="1049">
        <v>3</v>
      </c>
      <c r="G123" s="1049">
        <v>3</v>
      </c>
      <c r="H123" s="1050">
        <v>1575.9</v>
      </c>
      <c r="I123" s="1050">
        <v>1575.9</v>
      </c>
      <c r="J123" s="1050">
        <v>1575.9</v>
      </c>
      <c r="K123" s="1051">
        <v>60</v>
      </c>
      <c r="L123" s="1047">
        <v>2573245</v>
      </c>
      <c r="M123" s="985">
        <v>0</v>
      </c>
      <c r="N123" s="985">
        <v>0</v>
      </c>
      <c r="O123" s="1038">
        <v>2573245</v>
      </c>
      <c r="P123" s="998">
        <f t="shared" si="9"/>
        <v>0</v>
      </c>
      <c r="Q123" s="985">
        <v>0</v>
      </c>
      <c r="R123" s="1038">
        <f t="shared" si="8"/>
        <v>1632.8732787613426</v>
      </c>
      <c r="S123" s="1048">
        <v>2020</v>
      </c>
      <c r="T123" s="1048">
        <v>2020</v>
      </c>
    </row>
    <row r="124" spans="1:20" s="2" customFormat="1" ht="37.799999999999997" customHeight="1">
      <c r="A124" s="1046">
        <v>106</v>
      </c>
      <c r="B124" s="1025" t="s">
        <v>1754</v>
      </c>
      <c r="C124" s="1049">
        <v>1950</v>
      </c>
      <c r="D124" s="1049"/>
      <c r="E124" s="1249" t="s">
        <v>218</v>
      </c>
      <c r="F124" s="1049">
        <v>3</v>
      </c>
      <c r="G124" s="1049">
        <v>1</v>
      </c>
      <c r="H124" s="1050">
        <v>689.2</v>
      </c>
      <c r="I124" s="1050">
        <v>689.2</v>
      </c>
      <c r="J124" s="1050">
        <v>464.9</v>
      </c>
      <c r="K124" s="1051">
        <v>21</v>
      </c>
      <c r="L124" s="1047">
        <v>1357023</v>
      </c>
      <c r="M124" s="985">
        <v>0</v>
      </c>
      <c r="N124" s="985">
        <v>0</v>
      </c>
      <c r="O124" s="1038">
        <v>1357023</v>
      </c>
      <c r="P124" s="998">
        <f t="shared" si="9"/>
        <v>0</v>
      </c>
      <c r="Q124" s="985">
        <v>0</v>
      </c>
      <c r="R124" s="1038">
        <f t="shared" si="8"/>
        <v>1968.9828786999419</v>
      </c>
      <c r="S124" s="1048">
        <v>2020</v>
      </c>
      <c r="T124" s="1048">
        <v>2020</v>
      </c>
    </row>
    <row r="125" spans="1:20" s="2" customFormat="1" ht="39.6" customHeight="1">
      <c r="A125" s="1046">
        <v>107</v>
      </c>
      <c r="B125" s="1025" t="s">
        <v>1755</v>
      </c>
      <c r="C125" s="1049">
        <v>1962</v>
      </c>
      <c r="D125" s="1049"/>
      <c r="E125" s="1249" t="s">
        <v>218</v>
      </c>
      <c r="F125" s="1049">
        <v>3</v>
      </c>
      <c r="G125" s="1049">
        <v>2</v>
      </c>
      <c r="H125" s="1050">
        <v>955.8</v>
      </c>
      <c r="I125" s="1050">
        <v>955.8</v>
      </c>
      <c r="J125" s="1050">
        <v>924</v>
      </c>
      <c r="K125" s="1051">
        <v>42</v>
      </c>
      <c r="L125" s="1047">
        <v>1868266</v>
      </c>
      <c r="M125" s="985">
        <v>0</v>
      </c>
      <c r="N125" s="985">
        <v>0</v>
      </c>
      <c r="O125" s="1038">
        <v>1868266</v>
      </c>
      <c r="P125" s="998">
        <f t="shared" si="9"/>
        <v>0</v>
      </c>
      <c r="Q125" s="985">
        <v>0</v>
      </c>
      <c r="R125" s="1038">
        <f t="shared" si="8"/>
        <v>1954.6620631931366</v>
      </c>
      <c r="S125" s="1048">
        <v>2020</v>
      </c>
      <c r="T125" s="1048">
        <v>2020</v>
      </c>
    </row>
    <row r="126" spans="1:20" s="2" customFormat="1" ht="37.799999999999997" customHeight="1">
      <c r="A126" s="1046">
        <v>108</v>
      </c>
      <c r="B126" s="1025" t="s">
        <v>1756</v>
      </c>
      <c r="C126" s="1049">
        <v>1967</v>
      </c>
      <c r="D126" s="1049"/>
      <c r="E126" s="1249" t="s">
        <v>218</v>
      </c>
      <c r="F126" s="1049">
        <v>2</v>
      </c>
      <c r="G126" s="1049">
        <v>2</v>
      </c>
      <c r="H126" s="1050">
        <v>606.70000000000005</v>
      </c>
      <c r="I126" s="1050">
        <v>606.70000000000005</v>
      </c>
      <c r="J126" s="1050">
        <v>606.70000000000005</v>
      </c>
      <c r="K126" s="1051">
        <v>29</v>
      </c>
      <c r="L126" s="1047">
        <v>1421533</v>
      </c>
      <c r="M126" s="985">
        <v>0</v>
      </c>
      <c r="N126" s="985">
        <v>0</v>
      </c>
      <c r="O126" s="1038">
        <v>1421533</v>
      </c>
      <c r="P126" s="998">
        <f t="shared" si="9"/>
        <v>0</v>
      </c>
      <c r="Q126" s="985">
        <v>0</v>
      </c>
      <c r="R126" s="1038">
        <f t="shared" si="8"/>
        <v>2343.057524311851</v>
      </c>
      <c r="S126" s="1048">
        <v>2020</v>
      </c>
      <c r="T126" s="1048">
        <v>2020</v>
      </c>
    </row>
    <row r="127" spans="1:20" s="2" customFormat="1" ht="38.4" customHeight="1">
      <c r="A127" s="1046">
        <v>109</v>
      </c>
      <c r="B127" s="1025" t="s">
        <v>1757</v>
      </c>
      <c r="C127" s="1049">
        <v>1991</v>
      </c>
      <c r="D127" s="1049"/>
      <c r="E127" s="1249" t="s">
        <v>218</v>
      </c>
      <c r="F127" s="1049">
        <v>3</v>
      </c>
      <c r="G127" s="1049">
        <v>2</v>
      </c>
      <c r="H127" s="1050">
        <v>1353</v>
      </c>
      <c r="I127" s="1050">
        <v>1353</v>
      </c>
      <c r="J127" s="1050">
        <v>1174.9000000000001</v>
      </c>
      <c r="K127" s="1051">
        <v>52</v>
      </c>
      <c r="L127" s="1047">
        <v>2165164</v>
      </c>
      <c r="M127" s="985">
        <v>0</v>
      </c>
      <c r="N127" s="985">
        <v>0</v>
      </c>
      <c r="O127" s="1038">
        <v>2165164</v>
      </c>
      <c r="P127" s="998">
        <f t="shared" si="9"/>
        <v>0</v>
      </c>
      <c r="Q127" s="985">
        <v>0</v>
      </c>
      <c r="R127" s="1038">
        <f t="shared" si="8"/>
        <v>1600.2690317812269</v>
      </c>
      <c r="S127" s="1048">
        <v>2020</v>
      </c>
      <c r="T127" s="1048">
        <v>2020</v>
      </c>
    </row>
    <row r="128" spans="1:20" s="2" customFormat="1" ht="36" customHeight="1">
      <c r="A128" s="1046">
        <v>110</v>
      </c>
      <c r="B128" s="1264" t="s">
        <v>1482</v>
      </c>
      <c r="C128" s="1049">
        <v>1974</v>
      </c>
      <c r="D128" s="1049"/>
      <c r="E128" s="1049" t="s">
        <v>219</v>
      </c>
      <c r="F128" s="1049">
        <v>5</v>
      </c>
      <c r="G128" s="1049">
        <v>6</v>
      </c>
      <c r="H128" s="1050">
        <v>4614.3</v>
      </c>
      <c r="I128" s="1050">
        <v>4415.8</v>
      </c>
      <c r="J128" s="1050">
        <v>4415.8</v>
      </c>
      <c r="K128" s="1051">
        <v>151</v>
      </c>
      <c r="L128" s="1047">
        <v>6428277</v>
      </c>
      <c r="M128" s="985">
        <v>0</v>
      </c>
      <c r="N128" s="985">
        <v>0</v>
      </c>
      <c r="O128" s="1038">
        <v>6428277</v>
      </c>
      <c r="P128" s="998">
        <f t="shared" si="9"/>
        <v>0</v>
      </c>
      <c r="Q128" s="985">
        <v>0</v>
      </c>
      <c r="R128" s="1038">
        <f t="shared" si="8"/>
        <v>1455.7445989401692</v>
      </c>
      <c r="S128" s="1048">
        <v>2020</v>
      </c>
      <c r="T128" s="1048">
        <v>2020</v>
      </c>
    </row>
    <row r="129" spans="1:20" s="1058" customFormat="1" ht="39" customHeight="1">
      <c r="A129" s="1046">
        <v>111</v>
      </c>
      <c r="B129" s="1264" t="s">
        <v>1758</v>
      </c>
      <c r="C129" s="1053">
        <v>1966</v>
      </c>
      <c r="D129" s="1053"/>
      <c r="E129" s="1249" t="s">
        <v>218</v>
      </c>
      <c r="F129" s="1053">
        <v>2</v>
      </c>
      <c r="G129" s="1053">
        <v>2</v>
      </c>
      <c r="H129" s="1054">
        <v>462.9</v>
      </c>
      <c r="I129" s="1054">
        <v>455.9</v>
      </c>
      <c r="J129" s="1054">
        <v>455.9</v>
      </c>
      <c r="K129" s="1055">
        <v>30</v>
      </c>
      <c r="L129" s="1056">
        <v>1431686</v>
      </c>
      <c r="M129" s="985">
        <v>0</v>
      </c>
      <c r="N129" s="985">
        <v>0</v>
      </c>
      <c r="O129" s="1057">
        <v>1431686</v>
      </c>
      <c r="P129" s="998">
        <f t="shared" ref="P129:P135" si="10">Q129</f>
        <v>0</v>
      </c>
      <c r="Q129" s="985">
        <v>0</v>
      </c>
      <c r="R129" s="1057">
        <f t="shared" si="8"/>
        <v>3140.3509541566136</v>
      </c>
      <c r="S129" s="1048">
        <v>2020</v>
      </c>
      <c r="T129" s="1048">
        <v>2020</v>
      </c>
    </row>
    <row r="130" spans="1:20" s="1058" customFormat="1" ht="39" customHeight="1">
      <c r="A130" s="1046">
        <v>112</v>
      </c>
      <c r="B130" s="1264" t="s">
        <v>2329</v>
      </c>
      <c r="C130" s="1053">
        <v>1960</v>
      </c>
      <c r="D130" s="1053"/>
      <c r="E130" s="1249" t="s">
        <v>218</v>
      </c>
      <c r="F130" s="1053">
        <v>2</v>
      </c>
      <c r="G130" s="1053">
        <v>3</v>
      </c>
      <c r="H130" s="1054">
        <v>489.41</v>
      </c>
      <c r="I130" s="1054">
        <v>489.41</v>
      </c>
      <c r="J130" s="1054">
        <v>317</v>
      </c>
      <c r="K130" s="1055">
        <v>19</v>
      </c>
      <c r="L130" s="1056">
        <v>1569979</v>
      </c>
      <c r="M130" s="985">
        <v>0</v>
      </c>
      <c r="N130" s="985">
        <v>0</v>
      </c>
      <c r="O130" s="1057">
        <v>1569979</v>
      </c>
      <c r="P130" s="998">
        <f t="shared" si="10"/>
        <v>0</v>
      </c>
      <c r="Q130" s="985">
        <v>0</v>
      </c>
      <c r="R130" s="1057">
        <f t="shared" si="8"/>
        <v>3207.9013506058313</v>
      </c>
      <c r="S130" s="1048">
        <v>2020</v>
      </c>
      <c r="T130" s="1048">
        <v>2020</v>
      </c>
    </row>
    <row r="131" spans="1:20" s="1058" customFormat="1" ht="43.8" customHeight="1">
      <c r="A131" s="1046">
        <v>113</v>
      </c>
      <c r="B131" s="1264" t="s">
        <v>1759</v>
      </c>
      <c r="C131" s="1053">
        <v>1981</v>
      </c>
      <c r="D131" s="1053"/>
      <c r="E131" s="1249" t="s">
        <v>218</v>
      </c>
      <c r="F131" s="1053">
        <v>2</v>
      </c>
      <c r="G131" s="1053">
        <v>3</v>
      </c>
      <c r="H131" s="1054">
        <v>987.2</v>
      </c>
      <c r="I131" s="1054">
        <v>900.2</v>
      </c>
      <c r="J131" s="1054">
        <v>587.6</v>
      </c>
      <c r="K131" s="1055">
        <v>44</v>
      </c>
      <c r="L131" s="1056">
        <v>711884</v>
      </c>
      <c r="M131" s="985">
        <v>0</v>
      </c>
      <c r="N131" s="985">
        <v>0</v>
      </c>
      <c r="O131" s="1057">
        <v>711884</v>
      </c>
      <c r="P131" s="998">
        <f t="shared" si="10"/>
        <v>0</v>
      </c>
      <c r="Q131" s="985">
        <v>0</v>
      </c>
      <c r="R131" s="1057">
        <f t="shared" si="8"/>
        <v>790.80648744723396</v>
      </c>
      <c r="S131" s="1048">
        <v>2020</v>
      </c>
      <c r="T131" s="1048">
        <v>2020</v>
      </c>
    </row>
    <row r="132" spans="1:20" s="1058" customFormat="1" ht="39" customHeight="1">
      <c r="A132" s="1046">
        <v>114</v>
      </c>
      <c r="B132" s="1264" t="s">
        <v>1760</v>
      </c>
      <c r="C132" s="1053">
        <v>1976</v>
      </c>
      <c r="D132" s="1053"/>
      <c r="E132" s="1249" t="s">
        <v>218</v>
      </c>
      <c r="F132" s="1053">
        <v>3</v>
      </c>
      <c r="G132" s="1053">
        <v>2</v>
      </c>
      <c r="H132" s="1054">
        <v>1155</v>
      </c>
      <c r="I132" s="1054">
        <v>1081.8</v>
      </c>
      <c r="J132" s="1054">
        <v>1081.8</v>
      </c>
      <c r="K132" s="1055">
        <v>27</v>
      </c>
      <c r="L132" s="1056">
        <v>1046105</v>
      </c>
      <c r="M132" s="985">
        <v>0</v>
      </c>
      <c r="N132" s="985">
        <v>0</v>
      </c>
      <c r="O132" s="1057">
        <v>1046105</v>
      </c>
      <c r="P132" s="998">
        <f t="shared" si="10"/>
        <v>0</v>
      </c>
      <c r="Q132" s="985">
        <v>0</v>
      </c>
      <c r="R132" s="1057">
        <f t="shared" si="8"/>
        <v>967.00406729524866</v>
      </c>
      <c r="S132" s="1048">
        <v>2020</v>
      </c>
      <c r="T132" s="1048">
        <v>2020</v>
      </c>
    </row>
    <row r="133" spans="1:20" s="2" customFormat="1" ht="42" customHeight="1">
      <c r="A133" s="1046">
        <v>115</v>
      </c>
      <c r="B133" s="1264" t="s">
        <v>2330</v>
      </c>
      <c r="C133" s="1053">
        <v>1961</v>
      </c>
      <c r="D133" s="1053"/>
      <c r="E133" s="1249" t="s">
        <v>218</v>
      </c>
      <c r="F133" s="1053">
        <v>2</v>
      </c>
      <c r="G133" s="1053">
        <v>3</v>
      </c>
      <c r="H133" s="1054">
        <v>814.4</v>
      </c>
      <c r="I133" s="1054">
        <v>814.4</v>
      </c>
      <c r="J133" s="1054">
        <v>803.7</v>
      </c>
      <c r="K133" s="1055">
        <v>32</v>
      </c>
      <c r="L133" s="1056">
        <v>2595990</v>
      </c>
      <c r="M133" s="985">
        <v>0</v>
      </c>
      <c r="N133" s="985">
        <v>0</v>
      </c>
      <c r="O133" s="1057">
        <v>2595990</v>
      </c>
      <c r="P133" s="998">
        <f t="shared" si="10"/>
        <v>0</v>
      </c>
      <c r="Q133" s="985">
        <v>0</v>
      </c>
      <c r="R133" s="1057">
        <f t="shared" si="8"/>
        <v>3187.6105108055012</v>
      </c>
      <c r="S133" s="1048">
        <v>2020</v>
      </c>
      <c r="T133" s="1048">
        <v>2020</v>
      </c>
    </row>
    <row r="134" spans="1:20" s="2" customFormat="1" ht="41.4" customHeight="1">
      <c r="A134" s="1046">
        <v>116</v>
      </c>
      <c r="B134" s="1264" t="s">
        <v>1761</v>
      </c>
      <c r="C134" s="1053">
        <v>1972</v>
      </c>
      <c r="D134" s="1053"/>
      <c r="E134" s="1249" t="s">
        <v>218</v>
      </c>
      <c r="F134" s="1053">
        <v>2</v>
      </c>
      <c r="G134" s="1053">
        <v>2</v>
      </c>
      <c r="H134" s="1054">
        <v>547</v>
      </c>
      <c r="I134" s="1054">
        <v>522</v>
      </c>
      <c r="J134" s="1054">
        <v>522</v>
      </c>
      <c r="K134" s="1055">
        <v>22</v>
      </c>
      <c r="L134" s="1056">
        <v>177137</v>
      </c>
      <c r="M134" s="985">
        <v>0</v>
      </c>
      <c r="N134" s="985">
        <v>0</v>
      </c>
      <c r="O134" s="1057">
        <v>177137</v>
      </c>
      <c r="P134" s="998">
        <f t="shared" si="10"/>
        <v>0</v>
      </c>
      <c r="Q134" s="985">
        <v>0</v>
      </c>
      <c r="R134" s="1057">
        <f t="shared" si="8"/>
        <v>339.34291187739461</v>
      </c>
      <c r="S134" s="1048">
        <v>2020</v>
      </c>
      <c r="T134" s="1048">
        <v>2020</v>
      </c>
    </row>
    <row r="135" spans="1:20" s="997" customFormat="1" ht="38.4" customHeight="1">
      <c r="A135" s="1046">
        <v>117</v>
      </c>
      <c r="B135" s="1264" t="s">
        <v>1762</v>
      </c>
      <c r="C135" s="1053">
        <v>1962</v>
      </c>
      <c r="D135" s="1053"/>
      <c r="E135" s="1249" t="s">
        <v>218</v>
      </c>
      <c r="F135" s="1053">
        <v>2</v>
      </c>
      <c r="G135" s="1053">
        <v>2</v>
      </c>
      <c r="H135" s="1054">
        <v>499.3</v>
      </c>
      <c r="I135" s="1054">
        <v>468.5</v>
      </c>
      <c r="J135" s="1054">
        <v>468.5</v>
      </c>
      <c r="K135" s="1055">
        <v>16</v>
      </c>
      <c r="L135" s="1056">
        <v>882028</v>
      </c>
      <c r="M135" s="985">
        <v>0</v>
      </c>
      <c r="N135" s="985">
        <v>0</v>
      </c>
      <c r="O135" s="1057">
        <v>882028</v>
      </c>
      <c r="P135" s="998">
        <f t="shared" si="10"/>
        <v>0</v>
      </c>
      <c r="Q135" s="985">
        <v>0</v>
      </c>
      <c r="R135" s="1057">
        <f t="shared" si="8"/>
        <v>1882.6638207043757</v>
      </c>
      <c r="S135" s="1048">
        <v>2020</v>
      </c>
      <c r="T135" s="1048">
        <v>2020</v>
      </c>
    </row>
    <row r="136" spans="1:20" s="997" customFormat="1" ht="36" customHeight="1">
      <c r="A136" s="1249"/>
      <c r="B136" s="1257" t="s">
        <v>1072</v>
      </c>
      <c r="C136" s="991"/>
      <c r="D136" s="992"/>
      <c r="E136" s="993"/>
      <c r="F136" s="991"/>
      <c r="G136" s="994"/>
      <c r="H136" s="985">
        <f>H137+H138+H139+H140+H141</f>
        <v>2414.6</v>
      </c>
      <c r="I136" s="985">
        <f t="shared" ref="I136:Q136" si="11">I137+I138+I139+I140+I141</f>
        <v>2212.9</v>
      </c>
      <c r="J136" s="985">
        <f t="shared" si="11"/>
        <v>2072.4</v>
      </c>
      <c r="K136" s="995">
        <f t="shared" si="11"/>
        <v>115</v>
      </c>
      <c r="L136" s="985">
        <f t="shared" si="11"/>
        <v>5981829</v>
      </c>
      <c r="M136" s="985">
        <f t="shared" si="11"/>
        <v>0</v>
      </c>
      <c r="N136" s="985">
        <f t="shared" si="11"/>
        <v>0</v>
      </c>
      <c r="O136" s="985">
        <f t="shared" si="11"/>
        <v>5981829</v>
      </c>
      <c r="P136" s="985">
        <f t="shared" si="11"/>
        <v>0</v>
      </c>
      <c r="Q136" s="985">
        <f t="shared" si="11"/>
        <v>0</v>
      </c>
      <c r="R136" s="996" t="s">
        <v>40</v>
      </c>
      <c r="S136" s="996" t="s">
        <v>40</v>
      </c>
      <c r="T136" s="996" t="s">
        <v>40</v>
      </c>
    </row>
    <row r="137" spans="1:20" s="997" customFormat="1" ht="38.4" customHeight="1">
      <c r="A137" s="1249">
        <v>118</v>
      </c>
      <c r="B137" s="1260" t="s">
        <v>1308</v>
      </c>
      <c r="C137" s="1255">
        <v>1959</v>
      </c>
      <c r="D137" s="1255"/>
      <c r="E137" s="1249" t="s">
        <v>218</v>
      </c>
      <c r="F137" s="1255">
        <v>2</v>
      </c>
      <c r="G137" s="1255">
        <v>2</v>
      </c>
      <c r="H137" s="985">
        <v>586.5</v>
      </c>
      <c r="I137" s="985">
        <v>543.5</v>
      </c>
      <c r="J137" s="985">
        <v>512</v>
      </c>
      <c r="K137" s="995">
        <v>25</v>
      </c>
      <c r="L137" s="985">
        <v>1814258</v>
      </c>
      <c r="M137" s="985">
        <v>0</v>
      </c>
      <c r="N137" s="985">
        <v>0</v>
      </c>
      <c r="O137" s="985">
        <v>1814258</v>
      </c>
      <c r="P137" s="998">
        <v>0</v>
      </c>
      <c r="Q137" s="985">
        <v>0</v>
      </c>
      <c r="R137" s="985">
        <f t="shared" ref="R137" si="12">L137/I137</f>
        <v>3338.101195952162</v>
      </c>
      <c r="S137" s="988">
        <v>2020</v>
      </c>
      <c r="T137" s="988">
        <v>2020</v>
      </c>
    </row>
    <row r="138" spans="1:20" s="997" customFormat="1" ht="38.4" customHeight="1">
      <c r="A138" s="1249">
        <v>119</v>
      </c>
      <c r="B138" s="1260" t="s">
        <v>1309</v>
      </c>
      <c r="C138" s="1255">
        <v>1953</v>
      </c>
      <c r="D138" s="1255"/>
      <c r="E138" s="1249" t="s">
        <v>221</v>
      </c>
      <c r="F138" s="1255">
        <v>2</v>
      </c>
      <c r="G138" s="1255">
        <v>1</v>
      </c>
      <c r="H138" s="985">
        <v>430.8</v>
      </c>
      <c r="I138" s="985">
        <v>394.5</v>
      </c>
      <c r="J138" s="985">
        <v>336.6</v>
      </c>
      <c r="K138" s="995">
        <v>28</v>
      </c>
      <c r="L138" s="985">
        <v>590924</v>
      </c>
      <c r="M138" s="985">
        <v>0</v>
      </c>
      <c r="N138" s="985">
        <v>0</v>
      </c>
      <c r="O138" s="985">
        <v>590924</v>
      </c>
      <c r="P138" s="998">
        <v>0</v>
      </c>
      <c r="Q138" s="985">
        <v>0</v>
      </c>
      <c r="R138" s="985">
        <f t="shared" ref="R138:R141" si="13">L138/I138</f>
        <v>1497.9062103929025</v>
      </c>
      <c r="S138" s="988">
        <v>2020</v>
      </c>
      <c r="T138" s="988">
        <v>2020</v>
      </c>
    </row>
    <row r="139" spans="1:20" s="997" customFormat="1" ht="38.4" customHeight="1">
      <c r="A139" s="1249">
        <v>120</v>
      </c>
      <c r="B139" s="1260" t="s">
        <v>1310</v>
      </c>
      <c r="C139" s="1255">
        <v>1953</v>
      </c>
      <c r="D139" s="1255"/>
      <c r="E139" s="1249" t="s">
        <v>221</v>
      </c>
      <c r="F139" s="1255">
        <v>2</v>
      </c>
      <c r="G139" s="1255">
        <v>1</v>
      </c>
      <c r="H139" s="985">
        <v>431.7</v>
      </c>
      <c r="I139" s="985">
        <v>395.5</v>
      </c>
      <c r="J139" s="985">
        <v>395.5</v>
      </c>
      <c r="K139" s="995">
        <v>29</v>
      </c>
      <c r="L139" s="985">
        <v>646645</v>
      </c>
      <c r="M139" s="985">
        <v>0</v>
      </c>
      <c r="N139" s="985">
        <v>0</v>
      </c>
      <c r="O139" s="985">
        <v>646645</v>
      </c>
      <c r="P139" s="998">
        <v>0</v>
      </c>
      <c r="Q139" s="985">
        <v>0</v>
      </c>
      <c r="R139" s="985">
        <f t="shared" si="13"/>
        <v>1635.0063211125157</v>
      </c>
      <c r="S139" s="988">
        <v>2020</v>
      </c>
      <c r="T139" s="988">
        <v>2020</v>
      </c>
    </row>
    <row r="140" spans="1:20" s="997" customFormat="1" ht="43.2" customHeight="1">
      <c r="A140" s="1249">
        <v>121</v>
      </c>
      <c r="B140" s="1260" t="s">
        <v>1311</v>
      </c>
      <c r="C140" s="1255">
        <v>1960</v>
      </c>
      <c r="D140" s="1255"/>
      <c r="E140" s="1249" t="s">
        <v>218</v>
      </c>
      <c r="F140" s="1255">
        <v>2</v>
      </c>
      <c r="G140" s="1255">
        <v>1</v>
      </c>
      <c r="H140" s="985">
        <v>484.5</v>
      </c>
      <c r="I140" s="985">
        <v>441.2</v>
      </c>
      <c r="J140" s="985">
        <v>441.2</v>
      </c>
      <c r="K140" s="995">
        <v>14</v>
      </c>
      <c r="L140" s="985">
        <v>1604301</v>
      </c>
      <c r="M140" s="985">
        <v>0</v>
      </c>
      <c r="N140" s="985">
        <v>0</v>
      </c>
      <c r="O140" s="985">
        <v>1604301</v>
      </c>
      <c r="P140" s="998">
        <v>0</v>
      </c>
      <c r="Q140" s="985">
        <v>0</v>
      </c>
      <c r="R140" s="985">
        <f t="shared" si="13"/>
        <v>3636.2216681776972</v>
      </c>
      <c r="S140" s="988">
        <v>2020</v>
      </c>
      <c r="T140" s="988">
        <v>2020</v>
      </c>
    </row>
    <row r="141" spans="1:20" s="997" customFormat="1" ht="42.6" customHeight="1">
      <c r="A141" s="1249">
        <v>122</v>
      </c>
      <c r="B141" s="1260" t="s">
        <v>1763</v>
      </c>
      <c r="C141" s="1255">
        <v>1960</v>
      </c>
      <c r="D141" s="1255"/>
      <c r="E141" s="1249" t="s">
        <v>218</v>
      </c>
      <c r="F141" s="1255">
        <v>2</v>
      </c>
      <c r="G141" s="1255">
        <v>1</v>
      </c>
      <c r="H141" s="985">
        <v>481.1</v>
      </c>
      <c r="I141" s="985">
        <v>438.2</v>
      </c>
      <c r="J141" s="985">
        <v>387.1</v>
      </c>
      <c r="K141" s="995">
        <v>19</v>
      </c>
      <c r="L141" s="985">
        <v>1325701</v>
      </c>
      <c r="M141" s="985">
        <v>0</v>
      </c>
      <c r="N141" s="985">
        <v>0</v>
      </c>
      <c r="O141" s="985">
        <v>1325701</v>
      </c>
      <c r="P141" s="998">
        <v>0</v>
      </c>
      <c r="Q141" s="985">
        <v>0</v>
      </c>
      <c r="R141" s="985">
        <f t="shared" si="13"/>
        <v>3025.333181195801</v>
      </c>
      <c r="S141" s="988">
        <v>2020</v>
      </c>
      <c r="T141" s="988">
        <v>2020</v>
      </c>
    </row>
    <row r="142" spans="1:20" s="2" customFormat="1" ht="33.75" customHeight="1">
      <c r="A142" s="1249"/>
      <c r="B142" s="1517" t="s">
        <v>1073</v>
      </c>
      <c r="C142" s="1513"/>
      <c r="D142" s="1513"/>
      <c r="E142" s="1513"/>
      <c r="F142" s="1513"/>
      <c r="G142" s="1513"/>
      <c r="H142" s="985">
        <f t="shared" ref="H142:Q142" si="14">SUM(H143:H163)</f>
        <v>50121.099999999991</v>
      </c>
      <c r="I142" s="985">
        <f t="shared" si="14"/>
        <v>40000.9</v>
      </c>
      <c r="J142" s="985">
        <f t="shared" si="14"/>
        <v>39590.299999999996</v>
      </c>
      <c r="K142" s="995">
        <f t="shared" si="14"/>
        <v>1674</v>
      </c>
      <c r="L142" s="985">
        <f t="shared" si="14"/>
        <v>70617731.540000007</v>
      </c>
      <c r="M142" s="985">
        <f t="shared" si="14"/>
        <v>0</v>
      </c>
      <c r="N142" s="985">
        <f t="shared" si="14"/>
        <v>0</v>
      </c>
      <c r="O142" s="985">
        <f t="shared" si="14"/>
        <v>70617731.540000007</v>
      </c>
      <c r="P142" s="985">
        <f t="shared" si="14"/>
        <v>0</v>
      </c>
      <c r="Q142" s="985">
        <f t="shared" si="14"/>
        <v>0</v>
      </c>
      <c r="R142" s="996" t="s">
        <v>40</v>
      </c>
      <c r="S142" s="996" t="s">
        <v>40</v>
      </c>
      <c r="T142" s="996" t="s">
        <v>40</v>
      </c>
    </row>
    <row r="143" spans="1:20" s="2" customFormat="1" ht="43.2" customHeight="1">
      <c r="A143" s="1249">
        <v>123</v>
      </c>
      <c r="B143" s="1019" t="s">
        <v>1621</v>
      </c>
      <c r="C143" s="1249">
        <v>1957</v>
      </c>
      <c r="D143" s="1249"/>
      <c r="E143" s="1249" t="s">
        <v>218</v>
      </c>
      <c r="F143" s="1249">
        <v>4</v>
      </c>
      <c r="G143" s="1249">
        <v>4</v>
      </c>
      <c r="H143" s="998">
        <v>3664.2</v>
      </c>
      <c r="I143" s="998">
        <v>2904.4</v>
      </c>
      <c r="J143" s="998">
        <v>2904.4</v>
      </c>
      <c r="K143" s="986">
        <v>80</v>
      </c>
      <c r="L143" s="998">
        <v>6254362.6799999997</v>
      </c>
      <c r="M143" s="985">
        <v>0</v>
      </c>
      <c r="N143" s="985">
        <v>0</v>
      </c>
      <c r="O143" s="998">
        <v>6254362.6799999997</v>
      </c>
      <c r="P143" s="998">
        <f t="shared" ref="P143:P144" si="15">Q143</f>
        <v>0</v>
      </c>
      <c r="Q143" s="985">
        <v>0</v>
      </c>
      <c r="R143" s="985">
        <f t="shared" ref="R143:R144" si="16">L143/I143</f>
        <v>2153.4095441399254</v>
      </c>
      <c r="S143" s="988">
        <v>2020</v>
      </c>
      <c r="T143" s="988">
        <v>2020</v>
      </c>
    </row>
    <row r="144" spans="1:20" s="2" customFormat="1" ht="42" customHeight="1">
      <c r="A144" s="1249">
        <v>124</v>
      </c>
      <c r="B144" s="1019" t="s">
        <v>1622</v>
      </c>
      <c r="C144" s="1249">
        <v>1960</v>
      </c>
      <c r="D144" s="1249"/>
      <c r="E144" s="1249" t="s">
        <v>218</v>
      </c>
      <c r="F144" s="1249">
        <v>3</v>
      </c>
      <c r="G144" s="1249">
        <v>4</v>
      </c>
      <c r="H144" s="998">
        <v>1945.1</v>
      </c>
      <c r="I144" s="998">
        <v>1648.4</v>
      </c>
      <c r="J144" s="998">
        <v>1648.4</v>
      </c>
      <c r="K144" s="986">
        <v>39</v>
      </c>
      <c r="L144" s="998">
        <v>3709524.01</v>
      </c>
      <c r="M144" s="985">
        <v>0</v>
      </c>
      <c r="N144" s="985">
        <v>0</v>
      </c>
      <c r="O144" s="998">
        <v>3709524.01</v>
      </c>
      <c r="P144" s="998">
        <f t="shared" si="15"/>
        <v>0</v>
      </c>
      <c r="Q144" s="985">
        <v>0</v>
      </c>
      <c r="R144" s="985">
        <f t="shared" si="16"/>
        <v>2250.3785549623876</v>
      </c>
      <c r="S144" s="988">
        <v>2020</v>
      </c>
      <c r="T144" s="988">
        <v>2020</v>
      </c>
    </row>
    <row r="145" spans="1:20" s="2" customFormat="1" ht="38.4" customHeight="1">
      <c r="A145" s="1249">
        <v>125</v>
      </c>
      <c r="B145" s="1019" t="s">
        <v>1623</v>
      </c>
      <c r="C145" s="1249">
        <v>1961</v>
      </c>
      <c r="D145" s="1249"/>
      <c r="E145" s="1249" t="s">
        <v>218</v>
      </c>
      <c r="F145" s="1249">
        <v>4</v>
      </c>
      <c r="G145" s="1249">
        <v>3</v>
      </c>
      <c r="H145" s="998">
        <v>2834.9</v>
      </c>
      <c r="I145" s="998">
        <v>2162</v>
      </c>
      <c r="J145" s="998">
        <v>2162</v>
      </c>
      <c r="K145" s="986">
        <v>66</v>
      </c>
      <c r="L145" s="998">
        <v>2903988.69</v>
      </c>
      <c r="M145" s="985">
        <v>0</v>
      </c>
      <c r="N145" s="985">
        <v>0</v>
      </c>
      <c r="O145" s="998">
        <v>2903988.69</v>
      </c>
      <c r="P145" s="998">
        <f t="shared" ref="P145:P157" si="17">Q145</f>
        <v>0</v>
      </c>
      <c r="Q145" s="985">
        <v>0</v>
      </c>
      <c r="R145" s="985">
        <f t="shared" ref="R145:R163" si="18">L145/I145</f>
        <v>1343.195508788159</v>
      </c>
      <c r="S145" s="988">
        <v>2020</v>
      </c>
      <c r="T145" s="988">
        <v>2020</v>
      </c>
    </row>
    <row r="146" spans="1:20" s="2" customFormat="1" ht="38.4" customHeight="1">
      <c r="A146" s="1249">
        <v>126</v>
      </c>
      <c r="B146" s="1019" t="s">
        <v>1624</v>
      </c>
      <c r="C146" s="1249">
        <v>1964</v>
      </c>
      <c r="D146" s="1249"/>
      <c r="E146" s="1249" t="s">
        <v>218</v>
      </c>
      <c r="F146" s="1249">
        <v>4</v>
      </c>
      <c r="G146" s="1249">
        <v>3</v>
      </c>
      <c r="H146" s="998">
        <v>2135.4</v>
      </c>
      <c r="I146" s="998">
        <v>1792.2</v>
      </c>
      <c r="J146" s="998">
        <v>1792</v>
      </c>
      <c r="K146" s="986">
        <v>41</v>
      </c>
      <c r="L146" s="998">
        <v>1868300.41</v>
      </c>
      <c r="M146" s="985">
        <v>0</v>
      </c>
      <c r="N146" s="985">
        <v>0</v>
      </c>
      <c r="O146" s="998">
        <v>1868300.41</v>
      </c>
      <c r="P146" s="998">
        <f t="shared" si="17"/>
        <v>0</v>
      </c>
      <c r="Q146" s="985">
        <v>0</v>
      </c>
      <c r="R146" s="985">
        <f t="shared" si="18"/>
        <v>1042.4620075884386</v>
      </c>
      <c r="S146" s="988">
        <v>2020</v>
      </c>
      <c r="T146" s="988">
        <v>2020</v>
      </c>
    </row>
    <row r="147" spans="1:20" s="2" customFormat="1" ht="38.4" customHeight="1">
      <c r="A147" s="1249">
        <v>127</v>
      </c>
      <c r="B147" s="1019" t="s">
        <v>1625</v>
      </c>
      <c r="C147" s="1249">
        <v>1964</v>
      </c>
      <c r="D147" s="1249"/>
      <c r="E147" s="1249" t="s">
        <v>218</v>
      </c>
      <c r="F147" s="1249">
        <v>4</v>
      </c>
      <c r="G147" s="1249">
        <v>3</v>
      </c>
      <c r="H147" s="998">
        <v>2240.1</v>
      </c>
      <c r="I147" s="998">
        <v>2095.8000000000002</v>
      </c>
      <c r="J147" s="998">
        <v>2095.8000000000002</v>
      </c>
      <c r="K147" s="986">
        <v>54</v>
      </c>
      <c r="L147" s="998">
        <v>2903988.69</v>
      </c>
      <c r="M147" s="985">
        <v>0</v>
      </c>
      <c r="N147" s="985">
        <v>0</v>
      </c>
      <c r="O147" s="998">
        <v>2903988.69</v>
      </c>
      <c r="P147" s="998">
        <f t="shared" si="17"/>
        <v>0</v>
      </c>
      <c r="Q147" s="985">
        <v>0</v>
      </c>
      <c r="R147" s="985">
        <f t="shared" si="18"/>
        <v>1385.6230031491552</v>
      </c>
      <c r="S147" s="988">
        <v>2020</v>
      </c>
      <c r="T147" s="988">
        <v>2020</v>
      </c>
    </row>
    <row r="148" spans="1:20" s="2" customFormat="1" ht="38.4" customHeight="1">
      <c r="A148" s="1249">
        <v>128</v>
      </c>
      <c r="B148" s="1019" t="s">
        <v>1764</v>
      </c>
      <c r="C148" s="1249">
        <v>1977</v>
      </c>
      <c r="D148" s="1249"/>
      <c r="E148" s="1249" t="s">
        <v>218</v>
      </c>
      <c r="F148" s="1249">
        <v>5</v>
      </c>
      <c r="G148" s="1249">
        <v>2</v>
      </c>
      <c r="H148" s="998">
        <v>3231.3</v>
      </c>
      <c r="I148" s="998">
        <v>2623</v>
      </c>
      <c r="J148" s="998">
        <v>2623</v>
      </c>
      <c r="K148" s="986">
        <v>200</v>
      </c>
      <c r="L148" s="998">
        <v>3937669</v>
      </c>
      <c r="M148" s="985">
        <v>0</v>
      </c>
      <c r="N148" s="985">
        <v>0</v>
      </c>
      <c r="O148" s="998">
        <v>3937669</v>
      </c>
      <c r="P148" s="998">
        <f t="shared" si="17"/>
        <v>0</v>
      </c>
      <c r="Q148" s="985">
        <v>0</v>
      </c>
      <c r="R148" s="985">
        <f t="shared" si="18"/>
        <v>1501.2081585970263</v>
      </c>
      <c r="S148" s="988">
        <v>2020</v>
      </c>
      <c r="T148" s="988">
        <v>2020</v>
      </c>
    </row>
    <row r="149" spans="1:20" s="2" customFormat="1" ht="38.4" customHeight="1">
      <c r="A149" s="1249">
        <v>129</v>
      </c>
      <c r="B149" s="1019" t="s">
        <v>1626</v>
      </c>
      <c r="C149" s="1249">
        <v>1972</v>
      </c>
      <c r="D149" s="1249"/>
      <c r="E149" s="1249" t="s">
        <v>218</v>
      </c>
      <c r="F149" s="1249">
        <v>5</v>
      </c>
      <c r="G149" s="1249">
        <v>1</v>
      </c>
      <c r="H149" s="998">
        <v>3999.2</v>
      </c>
      <c r="I149" s="998">
        <v>2344.5</v>
      </c>
      <c r="J149" s="998">
        <v>2344.5</v>
      </c>
      <c r="K149" s="986">
        <v>231</v>
      </c>
      <c r="L149" s="998">
        <v>3519584</v>
      </c>
      <c r="M149" s="985">
        <v>0</v>
      </c>
      <c r="N149" s="985">
        <v>0</v>
      </c>
      <c r="O149" s="998">
        <v>3519584</v>
      </c>
      <c r="P149" s="998">
        <f t="shared" si="17"/>
        <v>0</v>
      </c>
      <c r="Q149" s="985">
        <v>0</v>
      </c>
      <c r="R149" s="985">
        <f t="shared" si="18"/>
        <v>1501.2087865216465</v>
      </c>
      <c r="S149" s="988">
        <v>2020</v>
      </c>
      <c r="T149" s="988">
        <v>2020</v>
      </c>
    </row>
    <row r="150" spans="1:20" s="2" customFormat="1" ht="42.6" customHeight="1">
      <c r="A150" s="1249">
        <v>130</v>
      </c>
      <c r="B150" s="1019" t="s">
        <v>1627</v>
      </c>
      <c r="C150" s="1249">
        <v>1968</v>
      </c>
      <c r="D150" s="1249"/>
      <c r="E150" s="1249" t="s">
        <v>218</v>
      </c>
      <c r="F150" s="1249">
        <v>5</v>
      </c>
      <c r="G150" s="1249">
        <v>4</v>
      </c>
      <c r="H150" s="998">
        <v>4185.8</v>
      </c>
      <c r="I150" s="998">
        <v>4155.1000000000004</v>
      </c>
      <c r="J150" s="998">
        <v>4155.1000000000004</v>
      </c>
      <c r="K150" s="986">
        <v>125</v>
      </c>
      <c r="L150" s="998">
        <v>2274801</v>
      </c>
      <c r="M150" s="985">
        <v>0</v>
      </c>
      <c r="N150" s="985">
        <v>0</v>
      </c>
      <c r="O150" s="998">
        <v>2274801</v>
      </c>
      <c r="P150" s="998">
        <f t="shared" si="17"/>
        <v>0</v>
      </c>
      <c r="Q150" s="985">
        <v>0</v>
      </c>
      <c r="R150" s="985">
        <f t="shared" si="18"/>
        <v>547.47202233399912</v>
      </c>
      <c r="S150" s="988">
        <v>2020</v>
      </c>
      <c r="T150" s="988">
        <v>2020</v>
      </c>
    </row>
    <row r="151" spans="1:20" s="2" customFormat="1" ht="37.799999999999997" customHeight="1">
      <c r="A151" s="1249">
        <v>131</v>
      </c>
      <c r="B151" s="1019" t="s">
        <v>1628</v>
      </c>
      <c r="C151" s="1249">
        <v>1974</v>
      </c>
      <c r="D151" s="1249"/>
      <c r="E151" s="1049" t="s">
        <v>219</v>
      </c>
      <c r="F151" s="1249">
        <v>5</v>
      </c>
      <c r="G151" s="1249">
        <v>5</v>
      </c>
      <c r="H151" s="998">
        <v>3470.6</v>
      </c>
      <c r="I151" s="998">
        <v>3440.6</v>
      </c>
      <c r="J151" s="998">
        <v>3440.6</v>
      </c>
      <c r="K151" s="986">
        <v>119</v>
      </c>
      <c r="L151" s="998">
        <v>2000844</v>
      </c>
      <c r="M151" s="985">
        <v>0</v>
      </c>
      <c r="N151" s="985">
        <v>0</v>
      </c>
      <c r="O151" s="998">
        <v>2000844</v>
      </c>
      <c r="P151" s="998">
        <f t="shared" si="17"/>
        <v>0</v>
      </c>
      <c r="Q151" s="985">
        <v>0</v>
      </c>
      <c r="R151" s="985">
        <f t="shared" si="18"/>
        <v>581.53926640702207</v>
      </c>
      <c r="S151" s="988">
        <v>2020</v>
      </c>
      <c r="T151" s="988">
        <v>2020</v>
      </c>
    </row>
    <row r="152" spans="1:20" s="2" customFormat="1" ht="36" customHeight="1">
      <c r="A152" s="1249">
        <v>132</v>
      </c>
      <c r="B152" s="1019" t="s">
        <v>1629</v>
      </c>
      <c r="C152" s="1249">
        <v>1973</v>
      </c>
      <c r="D152" s="1249"/>
      <c r="E152" s="1249" t="s">
        <v>220</v>
      </c>
      <c r="F152" s="1249">
        <v>5</v>
      </c>
      <c r="G152" s="1249">
        <v>6</v>
      </c>
      <c r="H152" s="998">
        <v>5548.2</v>
      </c>
      <c r="I152" s="998">
        <v>4627.2</v>
      </c>
      <c r="J152" s="998">
        <v>4627</v>
      </c>
      <c r="K152" s="986">
        <v>199</v>
      </c>
      <c r="L152" s="998">
        <v>4255492</v>
      </c>
      <c r="M152" s="985">
        <v>0</v>
      </c>
      <c r="N152" s="985">
        <v>0</v>
      </c>
      <c r="O152" s="998">
        <v>4255492</v>
      </c>
      <c r="P152" s="998">
        <f t="shared" si="17"/>
        <v>0</v>
      </c>
      <c r="Q152" s="985">
        <v>0</v>
      </c>
      <c r="R152" s="985">
        <f t="shared" si="18"/>
        <v>919.66891424619644</v>
      </c>
      <c r="S152" s="988">
        <v>2020</v>
      </c>
      <c r="T152" s="988">
        <v>2020</v>
      </c>
    </row>
    <row r="153" spans="1:20" s="2" customFormat="1" ht="42.6" customHeight="1">
      <c r="A153" s="1249">
        <v>133</v>
      </c>
      <c r="B153" s="1019" t="s">
        <v>1765</v>
      </c>
      <c r="C153" s="1249">
        <v>1963</v>
      </c>
      <c r="D153" s="1249"/>
      <c r="E153" s="1249" t="s">
        <v>218</v>
      </c>
      <c r="F153" s="1249">
        <v>2</v>
      </c>
      <c r="G153" s="1249">
        <v>1</v>
      </c>
      <c r="H153" s="998">
        <v>395</v>
      </c>
      <c r="I153" s="998">
        <v>374.9</v>
      </c>
      <c r="J153" s="998">
        <v>374.9</v>
      </c>
      <c r="K153" s="986">
        <v>15</v>
      </c>
      <c r="L153" s="998">
        <v>1245533</v>
      </c>
      <c r="M153" s="985">
        <v>0</v>
      </c>
      <c r="N153" s="985">
        <v>0</v>
      </c>
      <c r="O153" s="998">
        <v>1245533</v>
      </c>
      <c r="P153" s="998">
        <f t="shared" si="17"/>
        <v>0</v>
      </c>
      <c r="Q153" s="985">
        <v>0</v>
      </c>
      <c r="R153" s="985">
        <f t="shared" si="18"/>
        <v>3322.3072819418512</v>
      </c>
      <c r="S153" s="988">
        <v>2020</v>
      </c>
      <c r="T153" s="988">
        <v>2020</v>
      </c>
    </row>
    <row r="154" spans="1:20" s="997" customFormat="1" ht="40.799999999999997" customHeight="1">
      <c r="A154" s="1249">
        <v>134</v>
      </c>
      <c r="B154" s="1019" t="s">
        <v>1128</v>
      </c>
      <c r="C154" s="1249">
        <v>1957</v>
      </c>
      <c r="D154" s="1249"/>
      <c r="E154" s="1249" t="s">
        <v>218</v>
      </c>
      <c r="F154" s="1249">
        <v>3</v>
      </c>
      <c r="G154" s="1249">
        <v>3</v>
      </c>
      <c r="H154" s="998">
        <v>1373.3</v>
      </c>
      <c r="I154" s="998">
        <v>1155.3</v>
      </c>
      <c r="J154" s="998">
        <v>1155.3</v>
      </c>
      <c r="K154" s="986">
        <v>40</v>
      </c>
      <c r="L154" s="998">
        <v>2910757</v>
      </c>
      <c r="M154" s="985">
        <v>0</v>
      </c>
      <c r="N154" s="985">
        <v>0</v>
      </c>
      <c r="O154" s="998">
        <v>2910757</v>
      </c>
      <c r="P154" s="998">
        <f t="shared" si="17"/>
        <v>0</v>
      </c>
      <c r="Q154" s="985">
        <v>0</v>
      </c>
      <c r="R154" s="985">
        <f t="shared" si="18"/>
        <v>2519.4815199515278</v>
      </c>
      <c r="S154" s="988">
        <v>2020</v>
      </c>
      <c r="T154" s="988">
        <v>2020</v>
      </c>
    </row>
    <row r="155" spans="1:20" s="997" customFormat="1" ht="39.6" customHeight="1">
      <c r="A155" s="1249">
        <v>135</v>
      </c>
      <c r="B155" s="1019" t="s">
        <v>1766</v>
      </c>
      <c r="C155" s="1249">
        <v>1951</v>
      </c>
      <c r="D155" s="1249"/>
      <c r="E155" s="1249" t="s">
        <v>218</v>
      </c>
      <c r="F155" s="1249">
        <v>2</v>
      </c>
      <c r="G155" s="1249">
        <v>1</v>
      </c>
      <c r="H155" s="998">
        <v>799.7</v>
      </c>
      <c r="I155" s="998">
        <v>518.6</v>
      </c>
      <c r="J155" s="998">
        <v>418.4</v>
      </c>
      <c r="K155" s="986">
        <v>32</v>
      </c>
      <c r="L155" s="998">
        <v>2014364</v>
      </c>
      <c r="M155" s="985">
        <v>0</v>
      </c>
      <c r="N155" s="985">
        <v>0</v>
      </c>
      <c r="O155" s="998">
        <v>2014364</v>
      </c>
      <c r="P155" s="998">
        <f t="shared" si="17"/>
        <v>0</v>
      </c>
      <c r="Q155" s="985">
        <v>0</v>
      </c>
      <c r="R155" s="985">
        <f t="shared" si="18"/>
        <v>3884.2344774392595</v>
      </c>
      <c r="S155" s="988">
        <v>2020</v>
      </c>
      <c r="T155" s="988">
        <v>2020</v>
      </c>
    </row>
    <row r="156" spans="1:20" s="997" customFormat="1" ht="36" customHeight="1">
      <c r="A156" s="1249">
        <v>136</v>
      </c>
      <c r="B156" s="1019" t="s">
        <v>1630</v>
      </c>
      <c r="C156" s="1249">
        <v>1961</v>
      </c>
      <c r="D156" s="1249"/>
      <c r="E156" s="1249" t="s">
        <v>2331</v>
      </c>
      <c r="F156" s="1249">
        <v>1</v>
      </c>
      <c r="G156" s="1249">
        <v>1</v>
      </c>
      <c r="H156" s="998">
        <v>145.4</v>
      </c>
      <c r="I156" s="998">
        <v>145.4</v>
      </c>
      <c r="J156" s="998">
        <v>145.4</v>
      </c>
      <c r="K156" s="986">
        <v>15</v>
      </c>
      <c r="L156" s="998">
        <v>791997</v>
      </c>
      <c r="M156" s="985">
        <v>0</v>
      </c>
      <c r="N156" s="985">
        <v>0</v>
      </c>
      <c r="O156" s="998">
        <v>791997</v>
      </c>
      <c r="P156" s="998">
        <f t="shared" si="17"/>
        <v>0</v>
      </c>
      <c r="Q156" s="985">
        <v>0</v>
      </c>
      <c r="R156" s="985">
        <f t="shared" si="18"/>
        <v>5447.022008253095</v>
      </c>
      <c r="S156" s="988">
        <v>2020</v>
      </c>
      <c r="T156" s="988">
        <v>2020</v>
      </c>
    </row>
    <row r="157" spans="1:20" s="997" customFormat="1" ht="36" customHeight="1">
      <c r="A157" s="1249">
        <v>137</v>
      </c>
      <c r="B157" s="1019" t="s">
        <v>1767</v>
      </c>
      <c r="C157" s="1249">
        <v>1951</v>
      </c>
      <c r="D157" s="1249"/>
      <c r="E157" s="1249" t="s">
        <v>2331</v>
      </c>
      <c r="F157" s="1249">
        <v>2</v>
      </c>
      <c r="G157" s="1249">
        <v>1</v>
      </c>
      <c r="H157" s="998">
        <v>680.7</v>
      </c>
      <c r="I157" s="998">
        <v>256.2</v>
      </c>
      <c r="J157" s="998">
        <v>256.2</v>
      </c>
      <c r="K157" s="986">
        <v>16</v>
      </c>
      <c r="L157" s="998">
        <v>1200103.06</v>
      </c>
      <c r="M157" s="985">
        <v>0</v>
      </c>
      <c r="N157" s="985">
        <v>0</v>
      </c>
      <c r="O157" s="998">
        <v>1200103.06</v>
      </c>
      <c r="P157" s="998">
        <f t="shared" si="17"/>
        <v>0</v>
      </c>
      <c r="Q157" s="985">
        <v>0</v>
      </c>
      <c r="R157" s="985">
        <f t="shared" si="18"/>
        <v>4684.2430132708823</v>
      </c>
      <c r="S157" s="988">
        <v>2020</v>
      </c>
      <c r="T157" s="988">
        <v>2020</v>
      </c>
    </row>
    <row r="158" spans="1:20" s="997" customFormat="1" ht="39.6" customHeight="1">
      <c r="A158" s="1249">
        <v>138</v>
      </c>
      <c r="B158" s="1019" t="s">
        <v>2017</v>
      </c>
      <c r="C158" s="1249">
        <v>1965</v>
      </c>
      <c r="D158" s="1249"/>
      <c r="E158" s="1249" t="s">
        <v>218</v>
      </c>
      <c r="F158" s="1249">
        <v>5</v>
      </c>
      <c r="G158" s="1249">
        <v>2</v>
      </c>
      <c r="H158" s="998">
        <v>2033.7</v>
      </c>
      <c r="I158" s="998">
        <v>1364</v>
      </c>
      <c r="J158" s="998">
        <v>1364</v>
      </c>
      <c r="K158" s="986">
        <v>65</v>
      </c>
      <c r="L158" s="998">
        <v>4257572</v>
      </c>
      <c r="M158" s="985">
        <v>0</v>
      </c>
      <c r="N158" s="985">
        <v>0</v>
      </c>
      <c r="O158" s="998">
        <v>4257572</v>
      </c>
      <c r="P158" s="998">
        <f t="shared" ref="P158:P162" si="19">Q158</f>
        <v>0</v>
      </c>
      <c r="Q158" s="985">
        <v>0</v>
      </c>
      <c r="R158" s="985">
        <f t="shared" si="18"/>
        <v>3121.3870967741937</v>
      </c>
      <c r="S158" s="988">
        <v>2020</v>
      </c>
      <c r="T158" s="988">
        <v>2020</v>
      </c>
    </row>
    <row r="159" spans="1:20" s="997" customFormat="1" ht="40.200000000000003" customHeight="1">
      <c r="A159" s="1249">
        <v>139</v>
      </c>
      <c r="B159" s="1019" t="s">
        <v>990</v>
      </c>
      <c r="C159" s="1249">
        <v>1970</v>
      </c>
      <c r="D159" s="1249"/>
      <c r="E159" s="1249" t="s">
        <v>218</v>
      </c>
      <c r="F159" s="1249">
        <v>5</v>
      </c>
      <c r="G159" s="1249">
        <v>4</v>
      </c>
      <c r="H159" s="998">
        <v>2545.4</v>
      </c>
      <c r="I159" s="998">
        <v>1628</v>
      </c>
      <c r="J159" s="998">
        <v>1628</v>
      </c>
      <c r="K159" s="986">
        <v>57</v>
      </c>
      <c r="L159" s="998">
        <v>6854690</v>
      </c>
      <c r="M159" s="985">
        <v>0</v>
      </c>
      <c r="N159" s="985">
        <v>0</v>
      </c>
      <c r="O159" s="998">
        <v>6854690</v>
      </c>
      <c r="P159" s="998">
        <f t="shared" si="19"/>
        <v>0</v>
      </c>
      <c r="Q159" s="985">
        <v>0</v>
      </c>
      <c r="R159" s="985">
        <f t="shared" si="18"/>
        <v>4210.497542997543</v>
      </c>
      <c r="S159" s="988">
        <v>2020</v>
      </c>
      <c r="T159" s="988">
        <v>2020</v>
      </c>
    </row>
    <row r="160" spans="1:20" s="997" customFormat="1" ht="40.799999999999997" customHeight="1">
      <c r="A160" s="1249">
        <v>140</v>
      </c>
      <c r="B160" s="1019" t="s">
        <v>892</v>
      </c>
      <c r="C160" s="1249">
        <v>1967</v>
      </c>
      <c r="D160" s="1249"/>
      <c r="E160" s="1249" t="s">
        <v>218</v>
      </c>
      <c r="F160" s="1249">
        <v>3</v>
      </c>
      <c r="G160" s="1249">
        <v>3</v>
      </c>
      <c r="H160" s="998">
        <v>3257.6</v>
      </c>
      <c r="I160" s="998">
        <v>2014.6</v>
      </c>
      <c r="J160" s="998">
        <v>2014.6</v>
      </c>
      <c r="K160" s="986">
        <v>86</v>
      </c>
      <c r="L160" s="998">
        <v>5577419</v>
      </c>
      <c r="M160" s="985">
        <v>0</v>
      </c>
      <c r="N160" s="985">
        <v>0</v>
      </c>
      <c r="O160" s="998">
        <v>5577419</v>
      </c>
      <c r="P160" s="998">
        <f t="shared" si="19"/>
        <v>0</v>
      </c>
      <c r="Q160" s="985">
        <v>0</v>
      </c>
      <c r="R160" s="985">
        <f t="shared" si="18"/>
        <v>2768.4994539859031</v>
      </c>
      <c r="S160" s="988">
        <v>2020</v>
      </c>
      <c r="T160" s="988">
        <v>2020</v>
      </c>
    </row>
    <row r="161" spans="1:20" s="997" customFormat="1" ht="40.200000000000003" customHeight="1">
      <c r="A161" s="1249">
        <v>141</v>
      </c>
      <c r="B161" s="1019" t="s">
        <v>1213</v>
      </c>
      <c r="C161" s="1249">
        <v>1950</v>
      </c>
      <c r="D161" s="1249"/>
      <c r="E161" s="1249" t="s">
        <v>218</v>
      </c>
      <c r="F161" s="1249">
        <v>2</v>
      </c>
      <c r="G161" s="1249">
        <v>1</v>
      </c>
      <c r="H161" s="998">
        <v>441.6</v>
      </c>
      <c r="I161" s="998">
        <v>354</v>
      </c>
      <c r="J161" s="998">
        <v>354</v>
      </c>
      <c r="K161" s="986">
        <v>15</v>
      </c>
      <c r="L161" s="998">
        <v>1995737</v>
      </c>
      <c r="M161" s="985">
        <v>0</v>
      </c>
      <c r="N161" s="985">
        <v>0</v>
      </c>
      <c r="O161" s="998">
        <v>1995737</v>
      </c>
      <c r="P161" s="998">
        <f t="shared" si="19"/>
        <v>0</v>
      </c>
      <c r="Q161" s="985">
        <v>0</v>
      </c>
      <c r="R161" s="985">
        <f t="shared" si="18"/>
        <v>5637.6751412429376</v>
      </c>
      <c r="S161" s="988">
        <v>2020</v>
      </c>
      <c r="T161" s="988">
        <v>2020</v>
      </c>
    </row>
    <row r="162" spans="1:20" s="997" customFormat="1" ht="40.799999999999997" customHeight="1">
      <c r="A162" s="1383">
        <v>142</v>
      </c>
      <c r="B162" s="1019" t="s">
        <v>894</v>
      </c>
      <c r="C162" s="1383">
        <v>1964</v>
      </c>
      <c r="D162" s="1383"/>
      <c r="E162" s="1383" t="s">
        <v>218</v>
      </c>
      <c r="F162" s="1383">
        <v>4</v>
      </c>
      <c r="G162" s="1383">
        <v>2</v>
      </c>
      <c r="H162" s="998">
        <v>1759.4</v>
      </c>
      <c r="I162" s="998">
        <v>962.2</v>
      </c>
      <c r="J162" s="998">
        <v>962.2</v>
      </c>
      <c r="K162" s="986">
        <v>34</v>
      </c>
      <c r="L162" s="998">
        <v>3531124</v>
      </c>
      <c r="M162" s="985">
        <v>0</v>
      </c>
      <c r="N162" s="985">
        <v>0</v>
      </c>
      <c r="O162" s="998">
        <v>3531124</v>
      </c>
      <c r="P162" s="998">
        <f t="shared" si="19"/>
        <v>0</v>
      </c>
      <c r="Q162" s="985">
        <v>0</v>
      </c>
      <c r="R162" s="985">
        <f t="shared" si="18"/>
        <v>3669.8441072542091</v>
      </c>
      <c r="S162" s="988">
        <v>2020</v>
      </c>
      <c r="T162" s="988">
        <v>2020</v>
      </c>
    </row>
    <row r="163" spans="1:20" s="997" customFormat="1" ht="40.799999999999997" customHeight="1">
      <c r="A163" s="1383">
        <v>143</v>
      </c>
      <c r="B163" s="1019" t="s">
        <v>1631</v>
      </c>
      <c r="C163" s="1383">
        <v>1976</v>
      </c>
      <c r="D163" s="1383"/>
      <c r="E163" s="1383" t="s">
        <v>218</v>
      </c>
      <c r="F163" s="1383">
        <v>5</v>
      </c>
      <c r="G163" s="1383">
        <v>4</v>
      </c>
      <c r="H163" s="998">
        <v>3434.5</v>
      </c>
      <c r="I163" s="998">
        <v>3434.5</v>
      </c>
      <c r="J163" s="998">
        <v>3124.5</v>
      </c>
      <c r="K163" s="986">
        <v>145</v>
      </c>
      <c r="L163" s="998">
        <v>6609881</v>
      </c>
      <c r="M163" s="985">
        <v>0</v>
      </c>
      <c r="N163" s="985">
        <v>0</v>
      </c>
      <c r="O163" s="998">
        <v>6609881</v>
      </c>
      <c r="P163" s="1059">
        <v>0</v>
      </c>
      <c r="Q163" s="998">
        <v>0</v>
      </c>
      <c r="R163" s="985">
        <f t="shared" si="18"/>
        <v>1924.5540835638376</v>
      </c>
      <c r="S163" s="988">
        <v>2020</v>
      </c>
      <c r="T163" s="988">
        <v>2020</v>
      </c>
    </row>
    <row r="164" spans="1:20" s="997" customFormat="1" ht="36" customHeight="1">
      <c r="A164" s="1383"/>
      <c r="B164" s="1517" t="s">
        <v>1074</v>
      </c>
      <c r="C164" s="1513"/>
      <c r="D164" s="1513"/>
      <c r="E164" s="1513"/>
      <c r="F164" s="1513"/>
      <c r="G164" s="1513"/>
      <c r="H164" s="985">
        <f t="shared" ref="H164:Q164" si="20">SUM(H165:H174)</f>
        <v>13747.900000000001</v>
      </c>
      <c r="I164" s="985">
        <f t="shared" si="20"/>
        <v>13747.900000000001</v>
      </c>
      <c r="J164" s="985">
        <f t="shared" si="20"/>
        <v>12325.6</v>
      </c>
      <c r="K164" s="995">
        <f t="shared" si="20"/>
        <v>501</v>
      </c>
      <c r="L164" s="985">
        <f t="shared" si="20"/>
        <v>16648847</v>
      </c>
      <c r="M164" s="985">
        <f t="shared" si="20"/>
        <v>0</v>
      </c>
      <c r="N164" s="985">
        <f t="shared" si="20"/>
        <v>0</v>
      </c>
      <c r="O164" s="985">
        <f t="shared" si="20"/>
        <v>16648847</v>
      </c>
      <c r="P164" s="985">
        <f t="shared" si="20"/>
        <v>0</v>
      </c>
      <c r="Q164" s="985">
        <f t="shared" si="20"/>
        <v>0</v>
      </c>
      <c r="R164" s="996" t="s">
        <v>40</v>
      </c>
      <c r="S164" s="996" t="s">
        <v>40</v>
      </c>
      <c r="T164" s="996" t="s">
        <v>40</v>
      </c>
    </row>
    <row r="165" spans="1:20" s="997" customFormat="1" ht="39.6" customHeight="1">
      <c r="A165" s="1393">
        <v>144</v>
      </c>
      <c r="B165" s="1390" t="s">
        <v>2033</v>
      </c>
      <c r="C165" s="1393">
        <v>1960</v>
      </c>
      <c r="D165" s="1393"/>
      <c r="E165" s="1383" t="s">
        <v>218</v>
      </c>
      <c r="F165" s="1393">
        <v>2</v>
      </c>
      <c r="G165" s="1393">
        <v>2</v>
      </c>
      <c r="H165" s="985">
        <v>562.29999999999995</v>
      </c>
      <c r="I165" s="985">
        <v>562.29999999999995</v>
      </c>
      <c r="J165" s="985">
        <v>379.5</v>
      </c>
      <c r="K165" s="995">
        <v>32</v>
      </c>
      <c r="L165" s="985">
        <v>1090857</v>
      </c>
      <c r="M165" s="985">
        <v>0</v>
      </c>
      <c r="N165" s="985">
        <v>0</v>
      </c>
      <c r="O165" s="985">
        <f t="shared" ref="O165:O174" si="21">L165</f>
        <v>1090857</v>
      </c>
      <c r="P165" s="985">
        <v>0</v>
      </c>
      <c r="Q165" s="985">
        <v>0</v>
      </c>
      <c r="R165" s="985">
        <f t="shared" ref="R165:R174" si="22">L165/I165</f>
        <v>1939.9911079494932</v>
      </c>
      <c r="S165" s="988">
        <v>2020</v>
      </c>
      <c r="T165" s="988">
        <v>2020</v>
      </c>
    </row>
    <row r="166" spans="1:20" s="997" customFormat="1" ht="40.799999999999997" customHeight="1">
      <c r="A166" s="1393">
        <v>145</v>
      </c>
      <c r="B166" s="1390" t="s">
        <v>1416</v>
      </c>
      <c r="C166" s="1393">
        <v>1958</v>
      </c>
      <c r="D166" s="1393"/>
      <c r="E166" s="1383" t="s">
        <v>218</v>
      </c>
      <c r="F166" s="1393">
        <v>3</v>
      </c>
      <c r="G166" s="1393">
        <v>4</v>
      </c>
      <c r="H166" s="985">
        <v>1641.7</v>
      </c>
      <c r="I166" s="985">
        <v>1641.7</v>
      </c>
      <c r="J166" s="985">
        <v>1547.8</v>
      </c>
      <c r="K166" s="995">
        <v>44</v>
      </c>
      <c r="L166" s="985">
        <v>3203527</v>
      </c>
      <c r="M166" s="985">
        <v>0</v>
      </c>
      <c r="N166" s="985">
        <v>0</v>
      </c>
      <c r="O166" s="985">
        <f t="shared" si="21"/>
        <v>3203527</v>
      </c>
      <c r="P166" s="985">
        <v>0</v>
      </c>
      <c r="Q166" s="985">
        <v>0</v>
      </c>
      <c r="R166" s="985">
        <f t="shared" si="22"/>
        <v>1951.3473838094658</v>
      </c>
      <c r="S166" s="988">
        <v>2020</v>
      </c>
      <c r="T166" s="988">
        <v>2020</v>
      </c>
    </row>
    <row r="167" spans="1:20" s="997" customFormat="1" ht="40.200000000000003" customHeight="1">
      <c r="A167" s="1393">
        <v>146</v>
      </c>
      <c r="B167" s="1390" t="s">
        <v>1768</v>
      </c>
      <c r="C167" s="1393">
        <v>1965</v>
      </c>
      <c r="D167" s="1393"/>
      <c r="E167" s="1383" t="s">
        <v>218</v>
      </c>
      <c r="F167" s="1393">
        <v>2</v>
      </c>
      <c r="G167" s="1393">
        <v>2</v>
      </c>
      <c r="H167" s="985">
        <v>623.70000000000005</v>
      </c>
      <c r="I167" s="985">
        <v>623.70000000000005</v>
      </c>
      <c r="J167" s="985">
        <v>440.7</v>
      </c>
      <c r="K167" s="995">
        <v>42</v>
      </c>
      <c r="L167" s="985">
        <v>405299</v>
      </c>
      <c r="M167" s="985">
        <v>0</v>
      </c>
      <c r="N167" s="985">
        <v>0</v>
      </c>
      <c r="O167" s="985">
        <f t="shared" si="21"/>
        <v>405299</v>
      </c>
      <c r="P167" s="985">
        <v>0</v>
      </c>
      <c r="Q167" s="985">
        <v>0</v>
      </c>
      <c r="R167" s="985">
        <f t="shared" si="22"/>
        <v>649.83004649671307</v>
      </c>
      <c r="S167" s="988">
        <v>2020</v>
      </c>
      <c r="T167" s="988">
        <v>2020</v>
      </c>
    </row>
    <row r="168" spans="1:20" s="997" customFormat="1" ht="39.6" customHeight="1">
      <c r="A168" s="1393">
        <v>147</v>
      </c>
      <c r="B168" s="1390" t="s">
        <v>1769</v>
      </c>
      <c r="C168" s="1393">
        <v>1965</v>
      </c>
      <c r="D168" s="1393"/>
      <c r="E168" s="1383" t="s">
        <v>218</v>
      </c>
      <c r="F168" s="1393">
        <v>5</v>
      </c>
      <c r="G168" s="1393">
        <v>5</v>
      </c>
      <c r="H168" s="985">
        <v>3401.7</v>
      </c>
      <c r="I168" s="985">
        <v>3401.7</v>
      </c>
      <c r="J168" s="985">
        <v>3024.7</v>
      </c>
      <c r="K168" s="995">
        <v>117</v>
      </c>
      <c r="L168" s="985">
        <v>2904682</v>
      </c>
      <c r="M168" s="985">
        <v>0</v>
      </c>
      <c r="N168" s="985">
        <v>0</v>
      </c>
      <c r="O168" s="985">
        <f t="shared" si="21"/>
        <v>2904682</v>
      </c>
      <c r="P168" s="985">
        <v>0</v>
      </c>
      <c r="Q168" s="985">
        <v>0</v>
      </c>
      <c r="R168" s="985">
        <f t="shared" si="22"/>
        <v>853.89128964929307</v>
      </c>
      <c r="S168" s="988">
        <v>2020</v>
      </c>
      <c r="T168" s="988">
        <v>2020</v>
      </c>
    </row>
    <row r="169" spans="1:20" s="997" customFormat="1" ht="42.6" customHeight="1">
      <c r="A169" s="1393">
        <v>148</v>
      </c>
      <c r="B169" s="1390" t="s">
        <v>1770</v>
      </c>
      <c r="C169" s="1393">
        <v>1960</v>
      </c>
      <c r="D169" s="1393"/>
      <c r="E169" s="1383" t="s">
        <v>218</v>
      </c>
      <c r="F169" s="1393">
        <v>3</v>
      </c>
      <c r="G169" s="1393">
        <v>2</v>
      </c>
      <c r="H169" s="985">
        <v>1032.8</v>
      </c>
      <c r="I169" s="985">
        <v>1032.8</v>
      </c>
      <c r="J169" s="985">
        <v>960.5</v>
      </c>
      <c r="K169" s="995">
        <v>34</v>
      </c>
      <c r="L169" s="985">
        <v>1298799</v>
      </c>
      <c r="M169" s="985">
        <v>0</v>
      </c>
      <c r="N169" s="985">
        <v>0</v>
      </c>
      <c r="O169" s="985">
        <f t="shared" si="21"/>
        <v>1298799</v>
      </c>
      <c r="P169" s="985">
        <v>0</v>
      </c>
      <c r="Q169" s="985">
        <v>0</v>
      </c>
      <c r="R169" s="985">
        <f t="shared" si="22"/>
        <v>1257.5513168086754</v>
      </c>
      <c r="S169" s="988">
        <v>2020</v>
      </c>
      <c r="T169" s="988">
        <v>2020</v>
      </c>
    </row>
    <row r="170" spans="1:20" s="997" customFormat="1" ht="40.200000000000003" customHeight="1">
      <c r="A170" s="1393">
        <v>149</v>
      </c>
      <c r="B170" s="1390" t="s">
        <v>1771</v>
      </c>
      <c r="C170" s="1393">
        <v>1961</v>
      </c>
      <c r="D170" s="1393"/>
      <c r="E170" s="1383" t="s">
        <v>218</v>
      </c>
      <c r="F170" s="1393">
        <v>3</v>
      </c>
      <c r="G170" s="1393">
        <v>2</v>
      </c>
      <c r="H170" s="985">
        <v>1039.4000000000001</v>
      </c>
      <c r="I170" s="985">
        <v>1039.4000000000001</v>
      </c>
      <c r="J170" s="985">
        <v>966.2</v>
      </c>
      <c r="K170" s="995">
        <v>28</v>
      </c>
      <c r="L170" s="985">
        <v>1298799</v>
      </c>
      <c r="M170" s="985">
        <v>0</v>
      </c>
      <c r="N170" s="985">
        <v>0</v>
      </c>
      <c r="O170" s="985">
        <f t="shared" si="21"/>
        <v>1298799</v>
      </c>
      <c r="P170" s="985">
        <v>0</v>
      </c>
      <c r="Q170" s="985">
        <v>0</v>
      </c>
      <c r="R170" s="985">
        <f t="shared" si="22"/>
        <v>1249.5660958245139</v>
      </c>
      <c r="S170" s="988">
        <v>2020</v>
      </c>
      <c r="T170" s="988">
        <v>2020</v>
      </c>
    </row>
    <row r="171" spans="1:20" s="997" customFormat="1" ht="39.6" customHeight="1">
      <c r="A171" s="1393">
        <v>150</v>
      </c>
      <c r="B171" s="1390" t="s">
        <v>1417</v>
      </c>
      <c r="C171" s="1393">
        <v>1961</v>
      </c>
      <c r="D171" s="1393"/>
      <c r="E171" s="1383" t="s">
        <v>218</v>
      </c>
      <c r="F171" s="1393">
        <v>3</v>
      </c>
      <c r="G171" s="1393">
        <v>2</v>
      </c>
      <c r="H171" s="985">
        <v>1022.2</v>
      </c>
      <c r="I171" s="985">
        <v>1022.2</v>
      </c>
      <c r="J171" s="985">
        <v>950.6</v>
      </c>
      <c r="K171" s="995">
        <v>45</v>
      </c>
      <c r="L171" s="985">
        <v>1252608</v>
      </c>
      <c r="M171" s="985">
        <v>0</v>
      </c>
      <c r="N171" s="985">
        <v>0</v>
      </c>
      <c r="O171" s="985">
        <f t="shared" si="21"/>
        <v>1252608</v>
      </c>
      <c r="P171" s="985">
        <v>0</v>
      </c>
      <c r="Q171" s="985">
        <v>0</v>
      </c>
      <c r="R171" s="985">
        <f t="shared" si="22"/>
        <v>1225.4040305224025</v>
      </c>
      <c r="S171" s="988">
        <v>2020</v>
      </c>
      <c r="T171" s="988">
        <v>2020</v>
      </c>
    </row>
    <row r="172" spans="1:20" s="997" customFormat="1" ht="39.6" customHeight="1">
      <c r="A172" s="1393">
        <v>151</v>
      </c>
      <c r="B172" s="1390" t="s">
        <v>1419</v>
      </c>
      <c r="C172" s="1393">
        <v>1961</v>
      </c>
      <c r="D172" s="1393"/>
      <c r="E172" s="1383" t="s">
        <v>218</v>
      </c>
      <c r="F172" s="1393">
        <v>3</v>
      </c>
      <c r="G172" s="1393">
        <v>2</v>
      </c>
      <c r="H172" s="985">
        <v>1036</v>
      </c>
      <c r="I172" s="985">
        <v>1036</v>
      </c>
      <c r="J172" s="985">
        <v>961.7</v>
      </c>
      <c r="K172" s="995">
        <v>39</v>
      </c>
      <c r="L172" s="985">
        <v>1298799</v>
      </c>
      <c r="M172" s="985">
        <v>0</v>
      </c>
      <c r="N172" s="985">
        <v>0</v>
      </c>
      <c r="O172" s="985">
        <f t="shared" si="21"/>
        <v>1298799</v>
      </c>
      <c r="P172" s="985">
        <v>0</v>
      </c>
      <c r="Q172" s="985">
        <v>0</v>
      </c>
      <c r="R172" s="985">
        <f t="shared" si="22"/>
        <v>1253.6669884169885</v>
      </c>
      <c r="S172" s="988">
        <v>2020</v>
      </c>
      <c r="T172" s="988">
        <v>2020</v>
      </c>
    </row>
    <row r="173" spans="1:20" s="997" customFormat="1" ht="40.200000000000003" customHeight="1">
      <c r="A173" s="1393">
        <v>152</v>
      </c>
      <c r="B173" s="1390" t="s">
        <v>1420</v>
      </c>
      <c r="C173" s="1393">
        <v>1960</v>
      </c>
      <c r="D173" s="1393"/>
      <c r="E173" s="1383" t="s">
        <v>218</v>
      </c>
      <c r="F173" s="1393">
        <v>2</v>
      </c>
      <c r="G173" s="1393">
        <v>2</v>
      </c>
      <c r="H173" s="985">
        <v>684.3</v>
      </c>
      <c r="I173" s="985">
        <v>684.3</v>
      </c>
      <c r="J173" s="985">
        <v>637.9</v>
      </c>
      <c r="K173" s="995">
        <v>25</v>
      </c>
      <c r="L173" s="985">
        <v>2186115</v>
      </c>
      <c r="M173" s="985">
        <v>0</v>
      </c>
      <c r="N173" s="985">
        <v>0</v>
      </c>
      <c r="O173" s="985">
        <f t="shared" si="21"/>
        <v>2186115</v>
      </c>
      <c r="P173" s="985">
        <v>0</v>
      </c>
      <c r="Q173" s="985">
        <v>0</v>
      </c>
      <c r="R173" s="985">
        <f t="shared" si="22"/>
        <v>3194.6733888645335</v>
      </c>
      <c r="S173" s="988">
        <v>2020</v>
      </c>
      <c r="T173" s="988">
        <v>2020</v>
      </c>
    </row>
    <row r="174" spans="1:20" s="997" customFormat="1" ht="40.799999999999997" customHeight="1">
      <c r="A174" s="1393">
        <v>153</v>
      </c>
      <c r="B174" s="1390" t="s">
        <v>1423</v>
      </c>
      <c r="C174" s="1393">
        <v>1992</v>
      </c>
      <c r="D174" s="1393"/>
      <c r="E174" s="1383" t="s">
        <v>218</v>
      </c>
      <c r="F174" s="1393">
        <v>5</v>
      </c>
      <c r="G174" s="1393">
        <v>2</v>
      </c>
      <c r="H174" s="985">
        <v>2703.8</v>
      </c>
      <c r="I174" s="985">
        <v>2703.8</v>
      </c>
      <c r="J174" s="985">
        <v>2456</v>
      </c>
      <c r="K174" s="995">
        <v>95</v>
      </c>
      <c r="L174" s="985">
        <v>1709362</v>
      </c>
      <c r="M174" s="985">
        <v>0</v>
      </c>
      <c r="N174" s="985">
        <v>0</v>
      </c>
      <c r="O174" s="985">
        <f t="shared" si="21"/>
        <v>1709362</v>
      </c>
      <c r="P174" s="985">
        <v>0</v>
      </c>
      <c r="Q174" s="985">
        <v>0</v>
      </c>
      <c r="R174" s="985">
        <f t="shared" si="22"/>
        <v>632.20726385087653</v>
      </c>
      <c r="S174" s="988">
        <v>2020</v>
      </c>
      <c r="T174" s="988">
        <v>2020</v>
      </c>
    </row>
    <row r="175" spans="1:20" s="997" customFormat="1" ht="36" customHeight="1">
      <c r="A175" s="1393"/>
      <c r="B175" s="1388" t="s">
        <v>1163</v>
      </c>
      <c r="C175" s="991"/>
      <c r="D175" s="992"/>
      <c r="E175" s="993"/>
      <c r="F175" s="991"/>
      <c r="G175" s="994"/>
      <c r="H175" s="1060">
        <f>H176+H177+H178</f>
        <v>16929.599999999999</v>
      </c>
      <c r="I175" s="1060">
        <f t="shared" ref="I175:Q175" si="23">I176+I177+I178</f>
        <v>10617.5</v>
      </c>
      <c r="J175" s="1060">
        <f t="shared" si="23"/>
        <v>7391.35</v>
      </c>
      <c r="K175" s="995">
        <f t="shared" si="23"/>
        <v>501</v>
      </c>
      <c r="L175" s="1060">
        <f t="shared" si="23"/>
        <v>10026071</v>
      </c>
      <c r="M175" s="1060">
        <f t="shared" si="23"/>
        <v>0</v>
      </c>
      <c r="N175" s="1060">
        <f t="shared" si="23"/>
        <v>0</v>
      </c>
      <c r="O175" s="1060">
        <f t="shared" si="23"/>
        <v>10026071</v>
      </c>
      <c r="P175" s="1060">
        <f t="shared" si="23"/>
        <v>0</v>
      </c>
      <c r="Q175" s="1060">
        <f t="shared" si="23"/>
        <v>0</v>
      </c>
      <c r="R175" s="996" t="s">
        <v>40</v>
      </c>
      <c r="S175" s="996" t="s">
        <v>40</v>
      </c>
      <c r="T175" s="996" t="s">
        <v>40</v>
      </c>
    </row>
    <row r="176" spans="1:20" s="997" customFormat="1" ht="42" customHeight="1">
      <c r="A176" s="1393">
        <v>154</v>
      </c>
      <c r="B176" s="1390" t="s">
        <v>736</v>
      </c>
      <c r="C176" s="1393">
        <v>1967</v>
      </c>
      <c r="D176" s="1393"/>
      <c r="E176" s="1383" t="s">
        <v>218</v>
      </c>
      <c r="F176" s="1393">
        <v>5</v>
      </c>
      <c r="G176" s="1393">
        <v>5</v>
      </c>
      <c r="H176" s="1060">
        <v>4774.3999999999996</v>
      </c>
      <c r="I176" s="1060">
        <v>3076.1</v>
      </c>
      <c r="J176" s="1060">
        <v>1861.04</v>
      </c>
      <c r="K176" s="995">
        <v>162</v>
      </c>
      <c r="L176" s="1060">
        <v>3646194</v>
      </c>
      <c r="M176" s="1060">
        <v>0</v>
      </c>
      <c r="N176" s="1060">
        <v>0</v>
      </c>
      <c r="O176" s="1060">
        <v>3646194</v>
      </c>
      <c r="P176" s="1060">
        <v>0</v>
      </c>
      <c r="Q176" s="1060">
        <v>0</v>
      </c>
      <c r="R176" s="985">
        <f t="shared" ref="R176:R178" si="24">L176/I176</f>
        <v>1185.3301258086537</v>
      </c>
      <c r="S176" s="988">
        <v>2020</v>
      </c>
      <c r="T176" s="988">
        <v>2020</v>
      </c>
    </row>
    <row r="177" spans="1:20" s="997" customFormat="1" ht="38.4" customHeight="1">
      <c r="A177" s="1393">
        <v>155</v>
      </c>
      <c r="B177" s="1390" t="s">
        <v>1520</v>
      </c>
      <c r="C177" s="1393">
        <v>1967</v>
      </c>
      <c r="D177" s="1393"/>
      <c r="E177" s="1383" t="s">
        <v>218</v>
      </c>
      <c r="F177" s="1393">
        <v>5</v>
      </c>
      <c r="G177" s="1393">
        <v>5</v>
      </c>
      <c r="H177" s="1060">
        <v>5224.8</v>
      </c>
      <c r="I177" s="1060">
        <v>3447.3</v>
      </c>
      <c r="J177" s="1060">
        <v>2930.92</v>
      </c>
      <c r="K177" s="995">
        <v>134</v>
      </c>
      <c r="L177" s="1060">
        <v>2662811</v>
      </c>
      <c r="M177" s="1060">
        <v>0</v>
      </c>
      <c r="N177" s="1060">
        <v>0</v>
      </c>
      <c r="O177" s="1060">
        <v>2662811</v>
      </c>
      <c r="P177" s="1060">
        <v>0</v>
      </c>
      <c r="Q177" s="1060">
        <v>0</v>
      </c>
      <c r="R177" s="985">
        <f t="shared" si="24"/>
        <v>772.43378876221971</v>
      </c>
      <c r="S177" s="988">
        <v>2020</v>
      </c>
      <c r="T177" s="988">
        <v>2020</v>
      </c>
    </row>
    <row r="178" spans="1:20" s="997" customFormat="1" ht="40.200000000000003" customHeight="1">
      <c r="A178" s="1393">
        <v>156</v>
      </c>
      <c r="B178" s="1390" t="s">
        <v>1521</v>
      </c>
      <c r="C178" s="1393">
        <v>1988</v>
      </c>
      <c r="D178" s="1393"/>
      <c r="E178" s="1383" t="s">
        <v>218</v>
      </c>
      <c r="F178" s="1393">
        <v>5</v>
      </c>
      <c r="G178" s="1393">
        <v>6</v>
      </c>
      <c r="H178" s="1060">
        <v>6930.4</v>
      </c>
      <c r="I178" s="1060">
        <v>4094.1</v>
      </c>
      <c r="J178" s="1060">
        <v>2599.39</v>
      </c>
      <c r="K178" s="995">
        <v>205</v>
      </c>
      <c r="L178" s="1060">
        <v>3717066</v>
      </c>
      <c r="M178" s="1060">
        <v>0</v>
      </c>
      <c r="N178" s="1060">
        <v>0</v>
      </c>
      <c r="O178" s="1060">
        <v>3717066</v>
      </c>
      <c r="P178" s="1060">
        <v>0</v>
      </c>
      <c r="Q178" s="1060">
        <v>0</v>
      </c>
      <c r="R178" s="985">
        <f t="shared" si="24"/>
        <v>907.9079651205393</v>
      </c>
      <c r="S178" s="988">
        <v>2020</v>
      </c>
      <c r="T178" s="988">
        <v>2020</v>
      </c>
    </row>
    <row r="179" spans="1:20" s="997" customFormat="1" ht="36" customHeight="1">
      <c r="A179" s="1393"/>
      <c r="B179" s="1513" t="s">
        <v>1681</v>
      </c>
      <c r="C179" s="1513"/>
      <c r="D179" s="1513"/>
      <c r="E179" s="1513"/>
      <c r="F179" s="1513"/>
      <c r="G179" s="1513"/>
      <c r="H179" s="1060">
        <f>H180+H181</f>
        <v>937.3</v>
      </c>
      <c r="I179" s="1060">
        <f t="shared" ref="I179:Q179" si="25">I180+I181</f>
        <v>799.9</v>
      </c>
      <c r="J179" s="1060">
        <f t="shared" si="25"/>
        <v>697.9</v>
      </c>
      <c r="K179" s="995">
        <f t="shared" si="25"/>
        <v>19</v>
      </c>
      <c r="L179" s="1060">
        <f t="shared" si="25"/>
        <v>3858446</v>
      </c>
      <c r="M179" s="1060">
        <f t="shared" si="25"/>
        <v>0</v>
      </c>
      <c r="N179" s="1060">
        <f t="shared" si="25"/>
        <v>0</v>
      </c>
      <c r="O179" s="1060">
        <f t="shared" si="25"/>
        <v>3858446</v>
      </c>
      <c r="P179" s="1060">
        <f t="shared" si="25"/>
        <v>0</v>
      </c>
      <c r="Q179" s="1060">
        <f t="shared" si="25"/>
        <v>0</v>
      </c>
      <c r="R179" s="996" t="s">
        <v>40</v>
      </c>
      <c r="S179" s="996" t="s">
        <v>40</v>
      </c>
      <c r="T179" s="996" t="s">
        <v>40</v>
      </c>
    </row>
    <row r="180" spans="1:20" s="1005" customFormat="1" ht="39.6" customHeight="1">
      <c r="A180" s="1393">
        <v>157</v>
      </c>
      <c r="B180" s="1390" t="s">
        <v>623</v>
      </c>
      <c r="C180" s="1393">
        <v>1962</v>
      </c>
      <c r="D180" s="1393"/>
      <c r="E180" s="1383" t="s">
        <v>218</v>
      </c>
      <c r="F180" s="1393">
        <v>2</v>
      </c>
      <c r="G180" s="1393">
        <v>2</v>
      </c>
      <c r="H180" s="1060">
        <v>416.7</v>
      </c>
      <c r="I180" s="1060">
        <v>333.9</v>
      </c>
      <c r="J180" s="1060">
        <v>231.9</v>
      </c>
      <c r="K180" s="995">
        <v>7</v>
      </c>
      <c r="L180" s="1060">
        <v>1895377</v>
      </c>
      <c r="M180" s="1060">
        <v>0</v>
      </c>
      <c r="N180" s="1060">
        <v>0</v>
      </c>
      <c r="O180" s="1060">
        <v>1895377</v>
      </c>
      <c r="P180" s="1060">
        <v>0</v>
      </c>
      <c r="Q180" s="1060">
        <v>0</v>
      </c>
      <c r="R180" s="998">
        <f t="shared" ref="R180" si="26">L180/I180</f>
        <v>5676.4809823300393</v>
      </c>
      <c r="S180" s="1383">
        <v>2020</v>
      </c>
      <c r="T180" s="1383">
        <v>2020</v>
      </c>
    </row>
    <row r="181" spans="1:20" s="1006" customFormat="1" ht="42" customHeight="1">
      <c r="A181" s="1393">
        <v>158</v>
      </c>
      <c r="B181" s="1390" t="s">
        <v>621</v>
      </c>
      <c r="C181" s="1393">
        <v>1971</v>
      </c>
      <c r="D181" s="1393"/>
      <c r="E181" s="1383" t="s">
        <v>218</v>
      </c>
      <c r="F181" s="1393">
        <v>2</v>
      </c>
      <c r="G181" s="1393">
        <v>2</v>
      </c>
      <c r="H181" s="1060">
        <v>520.6</v>
      </c>
      <c r="I181" s="1060">
        <v>466</v>
      </c>
      <c r="J181" s="1060">
        <v>466</v>
      </c>
      <c r="K181" s="995">
        <v>12</v>
      </c>
      <c r="L181" s="1060">
        <v>1963069</v>
      </c>
      <c r="M181" s="1060">
        <v>0</v>
      </c>
      <c r="N181" s="1060">
        <v>0</v>
      </c>
      <c r="O181" s="1060">
        <v>1963069</v>
      </c>
      <c r="P181" s="1060">
        <v>0</v>
      </c>
      <c r="Q181" s="1060">
        <v>0</v>
      </c>
      <c r="R181" s="998">
        <f>L181/I181</f>
        <v>4212.594420600858</v>
      </c>
      <c r="S181" s="1383">
        <v>2020</v>
      </c>
      <c r="T181" s="1383">
        <v>2020</v>
      </c>
    </row>
    <row r="182" spans="1:20" s="1015" customFormat="1" ht="39.6" customHeight="1">
      <c r="A182" s="1383"/>
      <c r="B182" s="1387" t="s">
        <v>41</v>
      </c>
      <c r="C182" s="991"/>
      <c r="D182" s="992"/>
      <c r="E182" s="993"/>
      <c r="F182" s="991"/>
      <c r="G182" s="994"/>
      <c r="H182" s="985">
        <f>H183</f>
        <v>34035.9</v>
      </c>
      <c r="I182" s="985">
        <f t="shared" ref="I182:Q182" si="27">I183</f>
        <v>30098.69</v>
      </c>
      <c r="J182" s="985">
        <f t="shared" si="27"/>
        <v>27221.390000000007</v>
      </c>
      <c r="K182" s="995">
        <f t="shared" si="27"/>
        <v>1299</v>
      </c>
      <c r="L182" s="985">
        <f t="shared" si="27"/>
        <v>59684953.030000001</v>
      </c>
      <c r="M182" s="985">
        <f t="shared" si="27"/>
        <v>0</v>
      </c>
      <c r="N182" s="985">
        <f t="shared" si="27"/>
        <v>0</v>
      </c>
      <c r="O182" s="985">
        <f t="shared" si="27"/>
        <v>59684953.030000001</v>
      </c>
      <c r="P182" s="985">
        <f t="shared" si="27"/>
        <v>0</v>
      </c>
      <c r="Q182" s="985">
        <f t="shared" si="27"/>
        <v>0</v>
      </c>
      <c r="R182" s="996" t="s">
        <v>40</v>
      </c>
      <c r="S182" s="996" t="s">
        <v>40</v>
      </c>
      <c r="T182" s="996" t="s">
        <v>40</v>
      </c>
    </row>
    <row r="183" spans="1:20" s="1015" customFormat="1" ht="39.6" customHeight="1">
      <c r="A183" s="1383"/>
      <c r="B183" s="1387" t="s">
        <v>1075</v>
      </c>
      <c r="C183" s="991"/>
      <c r="D183" s="992"/>
      <c r="E183" s="993"/>
      <c r="F183" s="991"/>
      <c r="G183" s="994"/>
      <c r="H183" s="985">
        <f>SUM(H184:H204)</f>
        <v>34035.9</v>
      </c>
      <c r="I183" s="985">
        <f t="shared" ref="I183:Q183" si="28">SUM(I184:I204)</f>
        <v>30098.69</v>
      </c>
      <c r="J183" s="985">
        <f t="shared" si="28"/>
        <v>27221.390000000007</v>
      </c>
      <c r="K183" s="995">
        <f t="shared" si="28"/>
        <v>1299</v>
      </c>
      <c r="L183" s="985">
        <f t="shared" si="28"/>
        <v>59684953.030000001</v>
      </c>
      <c r="M183" s="985">
        <f t="shared" si="28"/>
        <v>0</v>
      </c>
      <c r="N183" s="985">
        <f t="shared" si="28"/>
        <v>0</v>
      </c>
      <c r="O183" s="985">
        <f t="shared" si="28"/>
        <v>59684953.030000001</v>
      </c>
      <c r="P183" s="985">
        <f t="shared" si="28"/>
        <v>0</v>
      </c>
      <c r="Q183" s="985">
        <f t="shared" si="28"/>
        <v>0</v>
      </c>
      <c r="R183" s="996" t="s">
        <v>40</v>
      </c>
      <c r="S183" s="996" t="s">
        <v>40</v>
      </c>
      <c r="T183" s="996" t="s">
        <v>40</v>
      </c>
    </row>
    <row r="184" spans="1:20" s="1015" customFormat="1" ht="39.6" customHeight="1">
      <c r="A184" s="1383">
        <v>159</v>
      </c>
      <c r="B184" s="1384" t="s">
        <v>1773</v>
      </c>
      <c r="C184" s="1383">
        <v>1976</v>
      </c>
      <c r="D184" s="1383"/>
      <c r="E184" s="1383" t="s">
        <v>219</v>
      </c>
      <c r="F184" s="1383">
        <v>5</v>
      </c>
      <c r="G184" s="1383">
        <v>6</v>
      </c>
      <c r="H184" s="998">
        <v>4451</v>
      </c>
      <c r="I184" s="998">
        <v>4064.82</v>
      </c>
      <c r="J184" s="998">
        <f>I184-53.9</f>
        <v>4010.92</v>
      </c>
      <c r="K184" s="986">
        <v>153</v>
      </c>
      <c r="L184" s="985">
        <v>6088711</v>
      </c>
      <c r="M184" s="998">
        <v>0</v>
      </c>
      <c r="N184" s="998">
        <v>0</v>
      </c>
      <c r="O184" s="985">
        <v>6088711</v>
      </c>
      <c r="P184" s="998">
        <v>0</v>
      </c>
      <c r="Q184" s="998">
        <v>0</v>
      </c>
      <c r="R184" s="998">
        <f t="shared" ref="R184" si="29">L184/I184</f>
        <v>1497.9042122406404</v>
      </c>
      <c r="S184" s="1383">
        <v>2020</v>
      </c>
      <c r="T184" s="1383">
        <v>2020</v>
      </c>
    </row>
    <row r="185" spans="1:20" s="1015" customFormat="1" ht="39.6" customHeight="1">
      <c r="A185" s="1383">
        <v>160</v>
      </c>
      <c r="B185" s="1384" t="s">
        <v>1774</v>
      </c>
      <c r="C185" s="1383">
        <v>1958</v>
      </c>
      <c r="D185" s="1383"/>
      <c r="E185" s="1383" t="s">
        <v>218</v>
      </c>
      <c r="F185" s="1383">
        <v>3</v>
      </c>
      <c r="G185" s="1383">
        <v>2</v>
      </c>
      <c r="H185" s="998">
        <v>1118.5999999999999</v>
      </c>
      <c r="I185" s="998">
        <v>1118.5999999999999</v>
      </c>
      <c r="J185" s="998">
        <v>1118.5999999999999</v>
      </c>
      <c r="K185" s="986">
        <v>41</v>
      </c>
      <c r="L185" s="998">
        <v>1409239</v>
      </c>
      <c r="M185" s="998">
        <v>0</v>
      </c>
      <c r="N185" s="998">
        <v>0</v>
      </c>
      <c r="O185" s="998">
        <v>1409239</v>
      </c>
      <c r="P185" s="998">
        <v>0</v>
      </c>
      <c r="Q185" s="998">
        <v>0</v>
      </c>
      <c r="R185" s="998">
        <f>L185/I185</f>
        <v>1259.8238870016094</v>
      </c>
      <c r="S185" s="1383">
        <v>2020</v>
      </c>
      <c r="T185" s="1383">
        <v>2020</v>
      </c>
    </row>
    <row r="186" spans="1:20" s="1015" customFormat="1" ht="39.6" customHeight="1">
      <c r="A186" s="1026">
        <v>161</v>
      </c>
      <c r="B186" s="1025" t="s">
        <v>1775</v>
      </c>
      <c r="C186" s="1026">
        <v>1963</v>
      </c>
      <c r="D186" s="1026"/>
      <c r="E186" s="1026" t="s">
        <v>218</v>
      </c>
      <c r="F186" s="1026">
        <v>4</v>
      </c>
      <c r="G186" s="1026">
        <v>3</v>
      </c>
      <c r="H186" s="1057">
        <v>2026.6</v>
      </c>
      <c r="I186" s="1057">
        <v>1972.6</v>
      </c>
      <c r="J186" s="1057">
        <f>I186-86.4</f>
        <v>1886.1999999999998</v>
      </c>
      <c r="K186" s="1036">
        <v>85</v>
      </c>
      <c r="L186" s="985">
        <v>5448928</v>
      </c>
      <c r="M186" s="1057">
        <v>0</v>
      </c>
      <c r="N186" s="1057">
        <v>0</v>
      </c>
      <c r="O186" s="985">
        <v>5448928</v>
      </c>
      <c r="P186" s="1057">
        <v>0</v>
      </c>
      <c r="Q186" s="1057">
        <v>0</v>
      </c>
      <c r="R186" s="1057">
        <f t="shared" ref="R186:R187" si="30">L186/I186</f>
        <v>2762.3076143161311</v>
      </c>
      <c r="S186" s="1026">
        <v>2020</v>
      </c>
      <c r="T186" s="1026">
        <v>2020</v>
      </c>
    </row>
    <row r="187" spans="1:20" s="1015" customFormat="1" ht="39.6" customHeight="1">
      <c r="A187" s="1026">
        <v>162</v>
      </c>
      <c r="B187" s="1025" t="s">
        <v>1776</v>
      </c>
      <c r="C187" s="1026">
        <v>1952</v>
      </c>
      <c r="D187" s="1026">
        <v>2017</v>
      </c>
      <c r="E187" s="1026" t="s">
        <v>218</v>
      </c>
      <c r="F187" s="1026">
        <v>2</v>
      </c>
      <c r="G187" s="1026">
        <v>2</v>
      </c>
      <c r="H187" s="1057">
        <v>1216.2</v>
      </c>
      <c r="I187" s="1057">
        <v>693.5</v>
      </c>
      <c r="J187" s="1057">
        <v>693.5</v>
      </c>
      <c r="K187" s="1036">
        <v>27</v>
      </c>
      <c r="L187" s="1057">
        <v>3721587</v>
      </c>
      <c r="M187" s="1057">
        <v>0</v>
      </c>
      <c r="N187" s="1057">
        <v>0</v>
      </c>
      <c r="O187" s="1057">
        <v>3721587</v>
      </c>
      <c r="P187" s="1057">
        <v>0</v>
      </c>
      <c r="Q187" s="1057">
        <v>0</v>
      </c>
      <c r="R187" s="1057">
        <f t="shared" si="30"/>
        <v>5366.3835616438355</v>
      </c>
      <c r="S187" s="1026">
        <v>2020</v>
      </c>
      <c r="T187" s="1026">
        <v>2020</v>
      </c>
    </row>
    <row r="188" spans="1:20" s="1015" customFormat="1" ht="39.6" customHeight="1">
      <c r="A188" s="1026">
        <v>163</v>
      </c>
      <c r="B188" s="1025" t="s">
        <v>1777</v>
      </c>
      <c r="C188" s="1026">
        <v>1956</v>
      </c>
      <c r="D188" s="1026"/>
      <c r="E188" s="1026" t="s">
        <v>218</v>
      </c>
      <c r="F188" s="1026">
        <v>2</v>
      </c>
      <c r="G188" s="1026">
        <v>2</v>
      </c>
      <c r="H188" s="1057">
        <v>717.8</v>
      </c>
      <c r="I188" s="1057">
        <v>576.61</v>
      </c>
      <c r="J188" s="1057">
        <v>576.61</v>
      </c>
      <c r="K188" s="1036">
        <v>33</v>
      </c>
      <c r="L188" s="1057">
        <v>1608909.71</v>
      </c>
      <c r="M188" s="1057">
        <v>0</v>
      </c>
      <c r="N188" s="1057">
        <v>0</v>
      </c>
      <c r="O188" s="1057">
        <v>1608909.71</v>
      </c>
      <c r="P188" s="1057">
        <v>0</v>
      </c>
      <c r="Q188" s="1057">
        <v>0</v>
      </c>
      <c r="R188" s="1057">
        <f>L188/I188</f>
        <v>2790.2910285981857</v>
      </c>
      <c r="S188" s="1026">
        <v>2020</v>
      </c>
      <c r="T188" s="1026">
        <v>2020</v>
      </c>
    </row>
    <row r="189" spans="1:20" s="1015" customFormat="1" ht="39.6" customHeight="1">
      <c r="A189" s="1026">
        <v>164</v>
      </c>
      <c r="B189" s="1025" t="s">
        <v>1778</v>
      </c>
      <c r="C189" s="1026">
        <v>1989</v>
      </c>
      <c r="D189" s="1026">
        <v>2004</v>
      </c>
      <c r="E189" s="1026" t="s">
        <v>219</v>
      </c>
      <c r="F189" s="1026">
        <v>5</v>
      </c>
      <c r="G189" s="1026">
        <v>4</v>
      </c>
      <c r="H189" s="1057">
        <v>2784</v>
      </c>
      <c r="I189" s="1057">
        <v>1565.5</v>
      </c>
      <c r="J189" s="1057">
        <f>I189-245.6</f>
        <v>1319.9</v>
      </c>
      <c r="K189" s="1036">
        <v>141</v>
      </c>
      <c r="L189" s="1057">
        <v>3430773</v>
      </c>
      <c r="M189" s="1057">
        <v>0</v>
      </c>
      <c r="N189" s="1057">
        <v>0</v>
      </c>
      <c r="O189" s="1057">
        <v>3430773</v>
      </c>
      <c r="P189" s="1057">
        <v>0</v>
      </c>
      <c r="Q189" s="1057">
        <v>0</v>
      </c>
      <c r="R189" s="1057">
        <f t="shared" ref="R189:R190" si="31">L189/I189</f>
        <v>2191.4870648355159</v>
      </c>
      <c r="S189" s="1026">
        <v>2020</v>
      </c>
      <c r="T189" s="1026">
        <v>2020</v>
      </c>
    </row>
    <row r="190" spans="1:20" s="1007" customFormat="1" ht="42" customHeight="1">
      <c r="A190" s="1026">
        <v>165</v>
      </c>
      <c r="B190" s="1025" t="s">
        <v>1779</v>
      </c>
      <c r="C190" s="1026">
        <v>1988</v>
      </c>
      <c r="D190" s="1026">
        <v>2003</v>
      </c>
      <c r="E190" s="1026" t="s">
        <v>218</v>
      </c>
      <c r="F190" s="1026">
        <v>5</v>
      </c>
      <c r="G190" s="1026">
        <v>1</v>
      </c>
      <c r="H190" s="1057">
        <v>2379.9</v>
      </c>
      <c r="I190" s="1057">
        <v>2357.3000000000002</v>
      </c>
      <c r="J190" s="1057">
        <f>I190-35</f>
        <v>2322.3000000000002</v>
      </c>
      <c r="K190" s="1036">
        <v>101</v>
      </c>
      <c r="L190" s="1057">
        <v>3167481</v>
      </c>
      <c r="M190" s="1057">
        <v>0</v>
      </c>
      <c r="N190" s="1057">
        <v>0</v>
      </c>
      <c r="O190" s="1057">
        <v>3167481</v>
      </c>
      <c r="P190" s="1057">
        <v>0</v>
      </c>
      <c r="Q190" s="1057">
        <v>0</v>
      </c>
      <c r="R190" s="1057">
        <f t="shared" si="31"/>
        <v>1343.6902388325625</v>
      </c>
      <c r="S190" s="1026">
        <v>2020</v>
      </c>
      <c r="T190" s="1026">
        <v>2020</v>
      </c>
    </row>
    <row r="191" spans="1:20" s="1015" customFormat="1" ht="37.200000000000003" customHeight="1">
      <c r="A191" s="1026">
        <v>166</v>
      </c>
      <c r="B191" s="1025" t="s">
        <v>1780</v>
      </c>
      <c r="C191" s="1026">
        <v>1933</v>
      </c>
      <c r="D191" s="1061"/>
      <c r="E191" s="1026" t="s">
        <v>221</v>
      </c>
      <c r="F191" s="1061">
        <v>2</v>
      </c>
      <c r="G191" s="1061">
        <v>2</v>
      </c>
      <c r="H191" s="1057">
        <v>447.8</v>
      </c>
      <c r="I191" s="1057">
        <v>365.06</v>
      </c>
      <c r="J191" s="1057">
        <f>I191</f>
        <v>365.06</v>
      </c>
      <c r="K191" s="1039">
        <v>18</v>
      </c>
      <c r="L191" s="1057">
        <v>288691</v>
      </c>
      <c r="M191" s="1057">
        <v>0</v>
      </c>
      <c r="N191" s="1057">
        <v>0</v>
      </c>
      <c r="O191" s="1057">
        <v>288691</v>
      </c>
      <c r="P191" s="1057">
        <v>0</v>
      </c>
      <c r="Q191" s="1057">
        <v>0</v>
      </c>
      <c r="R191" s="1057">
        <f>L191/I191</f>
        <v>790.80425135594146</v>
      </c>
      <c r="S191" s="1026">
        <v>2020</v>
      </c>
      <c r="T191" s="1026">
        <v>2020</v>
      </c>
    </row>
    <row r="192" spans="1:20" s="1015" customFormat="1" ht="37.200000000000003" customHeight="1">
      <c r="A192" s="1026">
        <v>167</v>
      </c>
      <c r="B192" s="1025" t="s">
        <v>1781</v>
      </c>
      <c r="C192" s="1026">
        <v>1991</v>
      </c>
      <c r="D192" s="1026"/>
      <c r="E192" s="1026" t="s">
        <v>219</v>
      </c>
      <c r="F192" s="1026">
        <v>3</v>
      </c>
      <c r="G192" s="1026">
        <v>3</v>
      </c>
      <c r="H192" s="1057">
        <v>1469.3</v>
      </c>
      <c r="I192" s="1057">
        <v>1238.8</v>
      </c>
      <c r="J192" s="1057">
        <v>1238.8</v>
      </c>
      <c r="K192" s="1036">
        <v>66</v>
      </c>
      <c r="L192" s="1057">
        <v>2556724</v>
      </c>
      <c r="M192" s="1057">
        <v>0</v>
      </c>
      <c r="N192" s="1057">
        <v>0</v>
      </c>
      <c r="O192" s="1057">
        <v>2556724</v>
      </c>
      <c r="P192" s="1057">
        <v>0</v>
      </c>
      <c r="Q192" s="1057">
        <v>0</v>
      </c>
      <c r="R192" s="1057">
        <f t="shared" ref="R192" si="32">L192/I192</f>
        <v>2063.8714885372942</v>
      </c>
      <c r="S192" s="1026">
        <v>2020</v>
      </c>
      <c r="T192" s="1026">
        <v>2020</v>
      </c>
    </row>
    <row r="193" spans="1:20" s="1015" customFormat="1" ht="37.200000000000003" customHeight="1">
      <c r="A193" s="1026">
        <v>168</v>
      </c>
      <c r="B193" s="1025" t="s">
        <v>2035</v>
      </c>
      <c r="C193" s="1026">
        <v>1973</v>
      </c>
      <c r="D193" s="1026">
        <v>2012</v>
      </c>
      <c r="E193" s="1026" t="s">
        <v>218</v>
      </c>
      <c r="F193" s="1026">
        <v>5</v>
      </c>
      <c r="G193" s="1026">
        <v>4</v>
      </c>
      <c r="H193" s="1057">
        <v>3145.4</v>
      </c>
      <c r="I193" s="1057">
        <v>3145.4</v>
      </c>
      <c r="J193" s="1057">
        <v>3145.4</v>
      </c>
      <c r="K193" s="1036">
        <v>114</v>
      </c>
      <c r="L193" s="1057">
        <v>3718399.32</v>
      </c>
      <c r="M193" s="1057">
        <v>0</v>
      </c>
      <c r="N193" s="1057">
        <v>0</v>
      </c>
      <c r="O193" s="1057">
        <v>3718399.32</v>
      </c>
      <c r="P193" s="1057">
        <v>0</v>
      </c>
      <c r="Q193" s="1057">
        <v>0</v>
      </c>
      <c r="R193" s="1057">
        <v>1103.6500000000001</v>
      </c>
      <c r="S193" s="1026">
        <v>2020</v>
      </c>
      <c r="T193" s="1026">
        <v>2020</v>
      </c>
    </row>
    <row r="194" spans="1:20" s="1015" customFormat="1" ht="37.200000000000003" customHeight="1">
      <c r="A194" s="1026">
        <v>169</v>
      </c>
      <c r="B194" s="1025" t="s">
        <v>1782</v>
      </c>
      <c r="C194" s="1026">
        <v>1962</v>
      </c>
      <c r="D194" s="1026"/>
      <c r="E194" s="1026" t="s">
        <v>218</v>
      </c>
      <c r="F194" s="1026">
        <v>4</v>
      </c>
      <c r="G194" s="1026">
        <v>3</v>
      </c>
      <c r="H194" s="1057">
        <v>3180.3</v>
      </c>
      <c r="I194" s="1057">
        <v>1901.5</v>
      </c>
      <c r="J194" s="1057">
        <v>1901.5</v>
      </c>
      <c r="K194" s="1036">
        <v>88</v>
      </c>
      <c r="L194" s="1057">
        <v>4112925</v>
      </c>
      <c r="M194" s="1057">
        <v>0</v>
      </c>
      <c r="N194" s="1057">
        <v>0</v>
      </c>
      <c r="O194" s="1057">
        <v>4112925</v>
      </c>
      <c r="P194" s="1057">
        <v>0</v>
      </c>
      <c r="Q194" s="1057">
        <v>0</v>
      </c>
      <c r="R194" s="1057">
        <f>L194/I194</f>
        <v>2162.9897449382065</v>
      </c>
      <c r="S194" s="1026">
        <v>2020</v>
      </c>
      <c r="T194" s="1026">
        <v>2020</v>
      </c>
    </row>
    <row r="195" spans="1:20" s="1015" customFormat="1" ht="37.200000000000003" customHeight="1">
      <c r="A195" s="1026">
        <v>170</v>
      </c>
      <c r="B195" s="1025" t="s">
        <v>1783</v>
      </c>
      <c r="C195" s="1026">
        <v>1989</v>
      </c>
      <c r="D195" s="1061"/>
      <c r="E195" s="1026" t="s">
        <v>219</v>
      </c>
      <c r="F195" s="1026">
        <v>5</v>
      </c>
      <c r="G195" s="1026">
        <v>8</v>
      </c>
      <c r="H195" s="1057">
        <v>5073.2</v>
      </c>
      <c r="I195" s="1057">
        <v>5073.2</v>
      </c>
      <c r="J195" s="1057">
        <v>3132.7</v>
      </c>
      <c r="K195" s="1039">
        <v>190</v>
      </c>
      <c r="L195" s="1057">
        <v>5963960</v>
      </c>
      <c r="M195" s="1057">
        <v>0</v>
      </c>
      <c r="N195" s="1057">
        <v>0</v>
      </c>
      <c r="O195" s="1057">
        <v>5963960</v>
      </c>
      <c r="P195" s="1057">
        <v>0</v>
      </c>
      <c r="Q195" s="1057">
        <v>0</v>
      </c>
      <c r="R195" s="1057">
        <f>L195/I195</f>
        <v>1175.5814870298825</v>
      </c>
      <c r="S195" s="1026">
        <v>2020</v>
      </c>
      <c r="T195" s="1026">
        <v>2020</v>
      </c>
    </row>
    <row r="196" spans="1:20" s="1015" customFormat="1" ht="45" customHeight="1">
      <c r="A196" s="1026">
        <v>171</v>
      </c>
      <c r="B196" s="1025" t="s">
        <v>1382</v>
      </c>
      <c r="C196" s="1026">
        <v>1957</v>
      </c>
      <c r="D196" s="1061"/>
      <c r="E196" s="1026" t="s">
        <v>218</v>
      </c>
      <c r="F196" s="1026">
        <v>2</v>
      </c>
      <c r="G196" s="1026">
        <v>1</v>
      </c>
      <c r="H196" s="1057">
        <v>378.4</v>
      </c>
      <c r="I196" s="1057">
        <v>378.4</v>
      </c>
      <c r="J196" s="1057">
        <v>333.9</v>
      </c>
      <c r="K196" s="1039">
        <v>15</v>
      </c>
      <c r="L196" s="1057">
        <v>1445225</v>
      </c>
      <c r="M196" s="1057">
        <v>0</v>
      </c>
      <c r="N196" s="1057">
        <v>0</v>
      </c>
      <c r="O196" s="1057">
        <v>1445225</v>
      </c>
      <c r="P196" s="1057">
        <v>0</v>
      </c>
      <c r="Q196" s="1057">
        <v>0</v>
      </c>
      <c r="R196" s="1057">
        <f t="shared" ref="R196:R204" si="33">L196/I196</f>
        <v>3819.3049682875267</v>
      </c>
      <c r="S196" s="1026">
        <v>2020</v>
      </c>
      <c r="T196" s="1026">
        <v>2020</v>
      </c>
    </row>
    <row r="197" spans="1:20" s="1015" customFormat="1" ht="40.799999999999997" customHeight="1">
      <c r="A197" s="1026">
        <v>172</v>
      </c>
      <c r="B197" s="1025" t="s">
        <v>1046</v>
      </c>
      <c r="C197" s="1026">
        <v>1955</v>
      </c>
      <c r="D197" s="1026">
        <v>2005</v>
      </c>
      <c r="E197" s="1026" t="s">
        <v>218</v>
      </c>
      <c r="F197" s="1026">
        <v>3</v>
      </c>
      <c r="G197" s="1026">
        <v>2</v>
      </c>
      <c r="H197" s="1057">
        <v>1065.8</v>
      </c>
      <c r="I197" s="1057">
        <v>1065.8</v>
      </c>
      <c r="J197" s="1057">
        <f>I197-123.4</f>
        <v>942.4</v>
      </c>
      <c r="K197" s="1039">
        <v>38</v>
      </c>
      <c r="L197" s="1057">
        <v>3937076</v>
      </c>
      <c r="M197" s="1057">
        <v>0</v>
      </c>
      <c r="N197" s="1057">
        <v>0</v>
      </c>
      <c r="O197" s="1057">
        <v>3937076</v>
      </c>
      <c r="P197" s="1057">
        <v>0</v>
      </c>
      <c r="Q197" s="1057">
        <v>0</v>
      </c>
      <c r="R197" s="1057">
        <f t="shared" si="33"/>
        <v>3694.010133233252</v>
      </c>
      <c r="S197" s="1026">
        <v>2020</v>
      </c>
      <c r="T197" s="1026">
        <v>2020</v>
      </c>
    </row>
    <row r="198" spans="1:20" s="1015" customFormat="1" ht="37.200000000000003" customHeight="1">
      <c r="A198" s="1026">
        <v>173</v>
      </c>
      <c r="B198" s="1025" t="s">
        <v>1784</v>
      </c>
      <c r="C198" s="1026">
        <v>1956</v>
      </c>
      <c r="D198" s="1026"/>
      <c r="E198" s="1026" t="s">
        <v>218</v>
      </c>
      <c r="F198" s="1026">
        <v>2</v>
      </c>
      <c r="G198" s="1026">
        <v>2</v>
      </c>
      <c r="H198" s="1057">
        <v>692.3</v>
      </c>
      <c r="I198" s="1057">
        <v>692.3</v>
      </c>
      <c r="J198" s="1057">
        <v>528</v>
      </c>
      <c r="K198" s="1039">
        <v>32</v>
      </c>
      <c r="L198" s="1057">
        <v>1860239</v>
      </c>
      <c r="M198" s="1057">
        <v>0</v>
      </c>
      <c r="N198" s="1057">
        <v>0</v>
      </c>
      <c r="O198" s="1057">
        <v>1860239</v>
      </c>
      <c r="P198" s="1057">
        <v>0</v>
      </c>
      <c r="Q198" s="1057">
        <v>0</v>
      </c>
      <c r="R198" s="1057">
        <f t="shared" si="33"/>
        <v>2687.041744908277</v>
      </c>
      <c r="S198" s="1026">
        <v>2020</v>
      </c>
      <c r="T198" s="1026">
        <v>2020</v>
      </c>
    </row>
    <row r="199" spans="1:20" s="997" customFormat="1" ht="42" customHeight="1">
      <c r="A199" s="1026">
        <v>174</v>
      </c>
      <c r="B199" s="1025" t="s">
        <v>1047</v>
      </c>
      <c r="C199" s="1026">
        <v>1952</v>
      </c>
      <c r="D199" s="1026">
        <v>2011</v>
      </c>
      <c r="E199" s="1026" t="s">
        <v>218</v>
      </c>
      <c r="F199" s="1026">
        <v>3</v>
      </c>
      <c r="G199" s="1026">
        <v>2</v>
      </c>
      <c r="H199" s="1057">
        <v>924.5</v>
      </c>
      <c r="I199" s="1057">
        <v>924.5</v>
      </c>
      <c r="J199" s="1057">
        <f>I199-65.6</f>
        <v>858.9</v>
      </c>
      <c r="K199" s="1039">
        <v>37</v>
      </c>
      <c r="L199" s="1057">
        <v>3321602</v>
      </c>
      <c r="M199" s="1057">
        <v>0</v>
      </c>
      <c r="N199" s="1057">
        <v>0</v>
      </c>
      <c r="O199" s="1057">
        <v>3321602</v>
      </c>
      <c r="P199" s="1057">
        <v>0</v>
      </c>
      <c r="Q199" s="1057">
        <v>0</v>
      </c>
      <c r="R199" s="1057">
        <f t="shared" si="33"/>
        <v>3592.8631692806921</v>
      </c>
      <c r="S199" s="1026">
        <v>2020</v>
      </c>
      <c r="T199" s="1026">
        <v>2020</v>
      </c>
    </row>
    <row r="200" spans="1:20" s="997" customFormat="1" ht="36" customHeight="1">
      <c r="A200" s="1026">
        <v>175</v>
      </c>
      <c r="B200" s="1025" t="s">
        <v>1048</v>
      </c>
      <c r="C200" s="1037">
        <v>1969</v>
      </c>
      <c r="D200" s="1026">
        <v>1996</v>
      </c>
      <c r="E200" s="1026" t="s">
        <v>220</v>
      </c>
      <c r="F200" s="1026">
        <v>2</v>
      </c>
      <c r="G200" s="1026">
        <v>2</v>
      </c>
      <c r="H200" s="1057">
        <v>628.5</v>
      </c>
      <c r="I200" s="1057">
        <v>628.5</v>
      </c>
      <c r="J200" s="1057">
        <f>I200</f>
        <v>628.5</v>
      </c>
      <c r="K200" s="1039">
        <v>30</v>
      </c>
      <c r="L200" s="1057">
        <v>3272755</v>
      </c>
      <c r="M200" s="1057">
        <v>0</v>
      </c>
      <c r="N200" s="1057">
        <v>0</v>
      </c>
      <c r="O200" s="1057">
        <v>3272755</v>
      </c>
      <c r="P200" s="1057">
        <v>0</v>
      </c>
      <c r="Q200" s="1057">
        <v>0</v>
      </c>
      <c r="R200" s="1057">
        <f t="shared" si="33"/>
        <v>5207.2474144789185</v>
      </c>
      <c r="S200" s="1026">
        <v>2020</v>
      </c>
      <c r="T200" s="1026">
        <v>2020</v>
      </c>
    </row>
    <row r="201" spans="1:20" s="1015" customFormat="1" ht="42" customHeight="1">
      <c r="A201" s="1026">
        <v>176</v>
      </c>
      <c r="B201" s="1025" t="s">
        <v>1785</v>
      </c>
      <c r="C201" s="1037">
        <v>1917</v>
      </c>
      <c r="D201" s="1037"/>
      <c r="E201" s="1026" t="s">
        <v>221</v>
      </c>
      <c r="F201" s="1026">
        <v>2</v>
      </c>
      <c r="G201" s="1026">
        <v>2</v>
      </c>
      <c r="H201" s="1038">
        <v>199.4</v>
      </c>
      <c r="I201" s="1038">
        <v>199.4</v>
      </c>
      <c r="J201" s="1038">
        <v>130.4</v>
      </c>
      <c r="K201" s="1039">
        <v>7</v>
      </c>
      <c r="L201" s="1038">
        <v>1993959</v>
      </c>
      <c r="M201" s="1057">
        <v>0</v>
      </c>
      <c r="N201" s="1057">
        <v>0</v>
      </c>
      <c r="O201" s="1038">
        <v>1993959</v>
      </c>
      <c r="P201" s="1057">
        <v>0</v>
      </c>
      <c r="Q201" s="1057">
        <v>0</v>
      </c>
      <c r="R201" s="1057">
        <f t="shared" si="33"/>
        <v>9999.7943831494485</v>
      </c>
      <c r="S201" s="1026">
        <v>2020</v>
      </c>
      <c r="T201" s="1026">
        <v>2020</v>
      </c>
    </row>
    <row r="202" spans="1:20" s="1015" customFormat="1" ht="42" customHeight="1">
      <c r="A202" s="1026">
        <v>177</v>
      </c>
      <c r="B202" s="1025" t="s">
        <v>1786</v>
      </c>
      <c r="C202" s="1037">
        <v>1955</v>
      </c>
      <c r="D202" s="1037"/>
      <c r="E202" s="1026" t="s">
        <v>218</v>
      </c>
      <c r="F202" s="1026">
        <v>2</v>
      </c>
      <c r="G202" s="1026">
        <v>1</v>
      </c>
      <c r="H202" s="1038">
        <v>606</v>
      </c>
      <c r="I202" s="1038">
        <v>606</v>
      </c>
      <c r="J202" s="1038">
        <v>605</v>
      </c>
      <c r="K202" s="1039">
        <v>17</v>
      </c>
      <c r="L202" s="1038">
        <v>1386668</v>
      </c>
      <c r="M202" s="1057">
        <v>0</v>
      </c>
      <c r="N202" s="1057">
        <v>0</v>
      </c>
      <c r="O202" s="1038">
        <v>1386668</v>
      </c>
      <c r="P202" s="1057">
        <v>0</v>
      </c>
      <c r="Q202" s="1057">
        <v>0</v>
      </c>
      <c r="R202" s="1057">
        <f t="shared" si="33"/>
        <v>2288.2310231023102</v>
      </c>
      <c r="S202" s="1026">
        <v>2020</v>
      </c>
      <c r="T202" s="1026">
        <v>2020</v>
      </c>
    </row>
    <row r="203" spans="1:20" s="1015" customFormat="1" ht="44.4" customHeight="1">
      <c r="A203" s="1026">
        <v>178</v>
      </c>
      <c r="B203" s="1025" t="s">
        <v>1787</v>
      </c>
      <c r="C203" s="1037">
        <v>1959</v>
      </c>
      <c r="D203" s="1037"/>
      <c r="E203" s="1026" t="s">
        <v>218</v>
      </c>
      <c r="F203" s="1026">
        <v>2</v>
      </c>
      <c r="G203" s="1026">
        <v>2</v>
      </c>
      <c r="H203" s="1038">
        <v>698.3</v>
      </c>
      <c r="I203" s="1038">
        <v>698.3</v>
      </c>
      <c r="J203" s="1038">
        <v>651.4</v>
      </c>
      <c r="K203" s="1039">
        <v>26</v>
      </c>
      <c r="L203" s="1038">
        <v>418992</v>
      </c>
      <c r="M203" s="1057">
        <v>0</v>
      </c>
      <c r="N203" s="1057">
        <v>0</v>
      </c>
      <c r="O203" s="1038">
        <v>418992</v>
      </c>
      <c r="P203" s="1057">
        <v>0</v>
      </c>
      <c r="Q203" s="1057">
        <v>0</v>
      </c>
      <c r="R203" s="1057">
        <f t="shared" si="33"/>
        <v>600.01718459115</v>
      </c>
      <c r="S203" s="1026">
        <v>2020</v>
      </c>
      <c r="T203" s="1026">
        <v>2020</v>
      </c>
    </row>
    <row r="204" spans="1:20" s="1015" customFormat="1" ht="42" customHeight="1">
      <c r="A204" s="1026">
        <v>179</v>
      </c>
      <c r="B204" s="1025" t="s">
        <v>1788</v>
      </c>
      <c r="C204" s="1037">
        <v>1978</v>
      </c>
      <c r="D204" s="1037"/>
      <c r="E204" s="1026" t="s">
        <v>218</v>
      </c>
      <c r="F204" s="1026">
        <v>2</v>
      </c>
      <c r="G204" s="1026">
        <v>3</v>
      </c>
      <c r="H204" s="1038">
        <v>832.6</v>
      </c>
      <c r="I204" s="1038">
        <v>832.6</v>
      </c>
      <c r="J204" s="1038">
        <v>831.4</v>
      </c>
      <c r="K204" s="1039">
        <v>40</v>
      </c>
      <c r="L204" s="1038">
        <v>532109</v>
      </c>
      <c r="M204" s="1057">
        <v>0</v>
      </c>
      <c r="N204" s="1057">
        <v>0</v>
      </c>
      <c r="O204" s="1038">
        <v>532109</v>
      </c>
      <c r="P204" s="1057">
        <v>0</v>
      </c>
      <c r="Q204" s="1057">
        <v>0</v>
      </c>
      <c r="R204" s="1057">
        <f t="shared" si="33"/>
        <v>639.09320201777564</v>
      </c>
      <c r="S204" s="1026">
        <v>2020</v>
      </c>
      <c r="T204" s="1026">
        <v>2020</v>
      </c>
    </row>
    <row r="205" spans="1:20" s="1015" customFormat="1" ht="42" customHeight="1">
      <c r="A205" s="1026"/>
      <c r="B205" s="1246" t="s">
        <v>68</v>
      </c>
      <c r="C205" s="991"/>
      <c r="D205" s="992"/>
      <c r="E205" s="993"/>
      <c r="F205" s="991"/>
      <c r="G205" s="994"/>
      <c r="H205" s="1038">
        <f>H206</f>
        <v>2562.1000000000004</v>
      </c>
      <c r="I205" s="1038">
        <f t="shared" ref="I205:Q205" si="34">I206</f>
        <v>1843.6</v>
      </c>
      <c r="J205" s="1038">
        <f t="shared" si="34"/>
        <v>1366.8999999999999</v>
      </c>
      <c r="K205" s="1039">
        <f t="shared" si="34"/>
        <v>77</v>
      </c>
      <c r="L205" s="1038">
        <f t="shared" si="34"/>
        <v>1104658</v>
      </c>
      <c r="M205" s="1057">
        <f t="shared" si="34"/>
        <v>0</v>
      </c>
      <c r="N205" s="1057">
        <f t="shared" si="34"/>
        <v>0</v>
      </c>
      <c r="O205" s="1038">
        <f t="shared" si="34"/>
        <v>1104658</v>
      </c>
      <c r="P205" s="1057">
        <f t="shared" si="34"/>
        <v>0</v>
      </c>
      <c r="Q205" s="1057">
        <f t="shared" si="34"/>
        <v>0</v>
      </c>
      <c r="R205" s="996" t="s">
        <v>40</v>
      </c>
      <c r="S205" s="996" t="s">
        <v>40</v>
      </c>
      <c r="T205" s="996" t="s">
        <v>40</v>
      </c>
    </row>
    <row r="206" spans="1:20" s="1015" customFormat="1" ht="38.4" customHeight="1">
      <c r="A206" s="1026"/>
      <c r="B206" s="1246" t="s">
        <v>1076</v>
      </c>
      <c r="C206" s="991"/>
      <c r="D206" s="992"/>
      <c r="E206" s="993"/>
      <c r="F206" s="991"/>
      <c r="G206" s="994"/>
      <c r="H206" s="985">
        <f>SUM(H207:H210)</f>
        <v>2562.1000000000004</v>
      </c>
      <c r="I206" s="985">
        <f t="shared" ref="I206:Q206" si="35">SUM(I207:I210)</f>
        <v>1843.6</v>
      </c>
      <c r="J206" s="985">
        <f t="shared" si="35"/>
        <v>1366.8999999999999</v>
      </c>
      <c r="K206" s="995">
        <f t="shared" si="35"/>
        <v>77</v>
      </c>
      <c r="L206" s="985">
        <f t="shared" si="35"/>
        <v>1104658</v>
      </c>
      <c r="M206" s="1057">
        <f t="shared" si="35"/>
        <v>0</v>
      </c>
      <c r="N206" s="1057">
        <f t="shared" si="35"/>
        <v>0</v>
      </c>
      <c r="O206" s="985">
        <f t="shared" si="35"/>
        <v>1104658</v>
      </c>
      <c r="P206" s="1057">
        <f t="shared" si="35"/>
        <v>0</v>
      </c>
      <c r="Q206" s="985">
        <f t="shared" si="35"/>
        <v>0</v>
      </c>
      <c r="R206" s="996" t="s">
        <v>40</v>
      </c>
      <c r="S206" s="996" t="s">
        <v>40</v>
      </c>
      <c r="T206" s="996" t="s">
        <v>40</v>
      </c>
    </row>
    <row r="207" spans="1:20" s="1041" customFormat="1" ht="42" customHeight="1">
      <c r="A207" s="1026">
        <v>180</v>
      </c>
      <c r="B207" s="1062" t="s">
        <v>1568</v>
      </c>
      <c r="C207" s="1063">
        <v>1970</v>
      </c>
      <c r="D207" s="1064"/>
      <c r="E207" s="1026" t="s">
        <v>218</v>
      </c>
      <c r="F207" s="1063">
        <v>2</v>
      </c>
      <c r="G207" s="1063">
        <v>1</v>
      </c>
      <c r="H207" s="1065">
        <v>661.1</v>
      </c>
      <c r="I207" s="1065">
        <v>539.79999999999995</v>
      </c>
      <c r="J207" s="1065">
        <v>401.1</v>
      </c>
      <c r="K207" s="1066">
        <v>19</v>
      </c>
      <c r="L207" s="1067">
        <v>213657</v>
      </c>
      <c r="M207" s="1067">
        <v>0</v>
      </c>
      <c r="N207" s="1067">
        <v>0</v>
      </c>
      <c r="O207" s="1038">
        <v>213657</v>
      </c>
      <c r="P207" s="1067">
        <v>0</v>
      </c>
      <c r="Q207" s="1067">
        <v>0</v>
      </c>
      <c r="R207" s="1067">
        <f>L207/I207</f>
        <v>395.80770655798449</v>
      </c>
      <c r="S207" s="1068">
        <v>2020</v>
      </c>
      <c r="T207" s="1068">
        <v>2020</v>
      </c>
    </row>
    <row r="208" spans="1:20" s="997" customFormat="1" ht="40.200000000000003" customHeight="1">
      <c r="A208" s="1026">
        <v>181</v>
      </c>
      <c r="B208" s="1062" t="s">
        <v>1569</v>
      </c>
      <c r="C208" s="1063">
        <v>1973</v>
      </c>
      <c r="D208" s="1064"/>
      <c r="E208" s="1026" t="s">
        <v>218</v>
      </c>
      <c r="F208" s="1063">
        <v>2</v>
      </c>
      <c r="G208" s="1063">
        <v>2</v>
      </c>
      <c r="H208" s="1065">
        <v>777.7</v>
      </c>
      <c r="I208" s="1065">
        <v>637.5</v>
      </c>
      <c r="J208" s="1065">
        <v>460.4</v>
      </c>
      <c r="K208" s="1066">
        <v>23</v>
      </c>
      <c r="L208" s="1067">
        <v>364086</v>
      </c>
      <c r="M208" s="1067">
        <v>0</v>
      </c>
      <c r="N208" s="1067">
        <v>0</v>
      </c>
      <c r="O208" s="1038">
        <v>364086</v>
      </c>
      <c r="P208" s="1067">
        <v>0</v>
      </c>
      <c r="Q208" s="1067">
        <v>0</v>
      </c>
      <c r="R208" s="1067">
        <f t="shared" ref="R208:R210" si="36">L208/I208</f>
        <v>571.11529411764707</v>
      </c>
      <c r="S208" s="1068">
        <v>2020</v>
      </c>
      <c r="T208" s="1068">
        <v>2020</v>
      </c>
    </row>
    <row r="209" spans="1:20" s="997" customFormat="1" ht="42" customHeight="1">
      <c r="A209" s="1026">
        <v>182</v>
      </c>
      <c r="B209" s="1062" t="s">
        <v>895</v>
      </c>
      <c r="C209" s="1063">
        <v>1971</v>
      </c>
      <c r="D209" s="1064"/>
      <c r="E209" s="1026" t="s">
        <v>218</v>
      </c>
      <c r="F209" s="1063">
        <v>2</v>
      </c>
      <c r="G209" s="1063">
        <v>1</v>
      </c>
      <c r="H209" s="1065">
        <v>352.3</v>
      </c>
      <c r="I209" s="1065">
        <v>216.6</v>
      </c>
      <c r="J209" s="1065">
        <v>216.6</v>
      </c>
      <c r="K209" s="1066">
        <v>12</v>
      </c>
      <c r="L209" s="1067">
        <v>171289</v>
      </c>
      <c r="M209" s="1067">
        <v>0</v>
      </c>
      <c r="N209" s="1067">
        <v>0</v>
      </c>
      <c r="O209" s="1038">
        <v>171289</v>
      </c>
      <c r="P209" s="1067">
        <v>0</v>
      </c>
      <c r="Q209" s="1067">
        <v>0</v>
      </c>
      <c r="R209" s="1067">
        <f t="shared" si="36"/>
        <v>790.80794090489383</v>
      </c>
      <c r="S209" s="1068">
        <v>2020</v>
      </c>
      <c r="T209" s="1068">
        <v>2020</v>
      </c>
    </row>
    <row r="210" spans="1:20" s="997" customFormat="1" ht="42" customHeight="1">
      <c r="A210" s="1026">
        <v>183</v>
      </c>
      <c r="B210" s="1062" t="s">
        <v>1570</v>
      </c>
      <c r="C210" s="1063">
        <v>1990</v>
      </c>
      <c r="D210" s="1064"/>
      <c r="E210" s="1026" t="s">
        <v>218</v>
      </c>
      <c r="F210" s="1063">
        <v>2</v>
      </c>
      <c r="G210" s="1063">
        <v>2</v>
      </c>
      <c r="H210" s="1065">
        <v>771</v>
      </c>
      <c r="I210" s="1065">
        <v>449.7</v>
      </c>
      <c r="J210" s="1065">
        <v>288.8</v>
      </c>
      <c r="K210" s="1066">
        <v>23</v>
      </c>
      <c r="L210" s="1067">
        <v>355626</v>
      </c>
      <c r="M210" s="1067">
        <v>0</v>
      </c>
      <c r="N210" s="1067">
        <v>0</v>
      </c>
      <c r="O210" s="1038">
        <v>355626</v>
      </c>
      <c r="P210" s="1067">
        <v>0</v>
      </c>
      <c r="Q210" s="1067">
        <v>0</v>
      </c>
      <c r="R210" s="1067">
        <f t="shared" si="36"/>
        <v>790.80720480320213</v>
      </c>
      <c r="S210" s="1068">
        <v>2020</v>
      </c>
      <c r="T210" s="1068">
        <v>2020</v>
      </c>
    </row>
    <row r="211" spans="1:20" s="997" customFormat="1" ht="42" customHeight="1">
      <c r="A211" s="1026"/>
      <c r="B211" s="1513" t="s">
        <v>43</v>
      </c>
      <c r="C211" s="1513"/>
      <c r="D211" s="1513"/>
      <c r="E211" s="1513"/>
      <c r="F211" s="1513"/>
      <c r="G211" s="1513"/>
      <c r="H211" s="1038">
        <f>H212+H220</f>
        <v>15784.300000000001</v>
      </c>
      <c r="I211" s="1038">
        <f t="shared" ref="I211:Q211" si="37">I212+I220</f>
        <v>14219.399999999998</v>
      </c>
      <c r="J211" s="1038">
        <f t="shared" si="37"/>
        <v>13394.799999999997</v>
      </c>
      <c r="K211" s="1038">
        <f t="shared" si="37"/>
        <v>431</v>
      </c>
      <c r="L211" s="1038">
        <f t="shared" si="37"/>
        <v>18118762</v>
      </c>
      <c r="M211" s="1038">
        <f t="shared" si="37"/>
        <v>0</v>
      </c>
      <c r="N211" s="1038">
        <f t="shared" si="37"/>
        <v>0</v>
      </c>
      <c r="O211" s="1038">
        <f t="shared" si="37"/>
        <v>18118762</v>
      </c>
      <c r="P211" s="1038">
        <f t="shared" si="37"/>
        <v>0</v>
      </c>
      <c r="Q211" s="1038">
        <f t="shared" si="37"/>
        <v>0</v>
      </c>
      <c r="R211" s="996" t="s">
        <v>40</v>
      </c>
      <c r="S211" s="996" t="s">
        <v>40</v>
      </c>
      <c r="T211" s="996" t="s">
        <v>40</v>
      </c>
    </row>
    <row r="212" spans="1:20" s="997" customFormat="1" ht="42" customHeight="1">
      <c r="A212" s="1026"/>
      <c r="B212" s="1542" t="s">
        <v>1115</v>
      </c>
      <c r="C212" s="1542"/>
      <c r="D212" s="1542"/>
      <c r="E212" s="1542"/>
      <c r="F212" s="1542"/>
      <c r="G212" s="1542"/>
      <c r="H212" s="985">
        <f>SUM(H213:H219)</f>
        <v>13511.400000000001</v>
      </c>
      <c r="I212" s="985">
        <f t="shared" ref="I212:Q212" si="38">SUM(I213:I219)</f>
        <v>12270.999999999998</v>
      </c>
      <c r="J212" s="985">
        <f t="shared" si="38"/>
        <v>12270.999999999998</v>
      </c>
      <c r="K212" s="995">
        <f t="shared" si="38"/>
        <v>355</v>
      </c>
      <c r="L212" s="985">
        <f t="shared" si="38"/>
        <v>15785038</v>
      </c>
      <c r="M212" s="985">
        <f t="shared" si="38"/>
        <v>0</v>
      </c>
      <c r="N212" s="985">
        <f t="shared" si="38"/>
        <v>0</v>
      </c>
      <c r="O212" s="985">
        <f t="shared" si="38"/>
        <v>15785038</v>
      </c>
      <c r="P212" s="985">
        <f t="shared" si="38"/>
        <v>0</v>
      </c>
      <c r="Q212" s="985">
        <f t="shared" si="38"/>
        <v>0</v>
      </c>
      <c r="R212" s="996" t="s">
        <v>40</v>
      </c>
      <c r="S212" s="996" t="s">
        <v>40</v>
      </c>
      <c r="T212" s="996" t="s">
        <v>40</v>
      </c>
    </row>
    <row r="213" spans="1:20" s="997" customFormat="1" ht="38.4" customHeight="1">
      <c r="A213" s="1048">
        <v>184</v>
      </c>
      <c r="B213" s="1069" t="s">
        <v>1530</v>
      </c>
      <c r="C213" s="1255">
        <v>1976</v>
      </c>
      <c r="D213" s="1249"/>
      <c r="E213" s="1255" t="s">
        <v>219</v>
      </c>
      <c r="F213" s="1255">
        <v>5</v>
      </c>
      <c r="G213" s="1255">
        <v>8</v>
      </c>
      <c r="H213" s="987">
        <v>5834.1</v>
      </c>
      <c r="I213" s="987">
        <v>5248.5</v>
      </c>
      <c r="J213" s="987">
        <v>5248.5</v>
      </c>
      <c r="K213" s="995">
        <v>153</v>
      </c>
      <c r="L213" s="1067">
        <v>3889225</v>
      </c>
      <c r="M213" s="985">
        <v>0</v>
      </c>
      <c r="N213" s="985">
        <v>0</v>
      </c>
      <c r="O213" s="1067">
        <f>L213</f>
        <v>3889225</v>
      </c>
      <c r="P213" s="985">
        <v>0</v>
      </c>
      <c r="Q213" s="985">
        <v>0</v>
      </c>
      <c r="R213" s="1038">
        <f t="shared" ref="R213:R219" si="39">L213/I213</f>
        <v>741.01648089930461</v>
      </c>
      <c r="S213" s="1026">
        <v>2020</v>
      </c>
      <c r="T213" s="1026">
        <v>2020</v>
      </c>
    </row>
    <row r="214" spans="1:20" s="997" customFormat="1" ht="38.4" customHeight="1">
      <c r="A214" s="1048">
        <v>185</v>
      </c>
      <c r="B214" s="1069" t="s">
        <v>1531</v>
      </c>
      <c r="C214" s="1255">
        <v>1980</v>
      </c>
      <c r="D214" s="1249"/>
      <c r="E214" s="1255" t="s">
        <v>219</v>
      </c>
      <c r="F214" s="1255">
        <v>5</v>
      </c>
      <c r="G214" s="1255">
        <v>6</v>
      </c>
      <c r="H214" s="987">
        <v>4410.3999999999996</v>
      </c>
      <c r="I214" s="987">
        <v>3969.4</v>
      </c>
      <c r="J214" s="987">
        <v>3969.4</v>
      </c>
      <c r="K214" s="995">
        <v>115</v>
      </c>
      <c r="L214" s="1067">
        <v>2926049</v>
      </c>
      <c r="M214" s="985">
        <v>0</v>
      </c>
      <c r="N214" s="985">
        <v>0</v>
      </c>
      <c r="O214" s="1067">
        <f t="shared" ref="O214:O219" si="40">L214</f>
        <v>2926049</v>
      </c>
      <c r="P214" s="985">
        <v>0</v>
      </c>
      <c r="Q214" s="985">
        <v>0</v>
      </c>
      <c r="R214" s="1038">
        <f t="shared" si="39"/>
        <v>737.15145865873933</v>
      </c>
      <c r="S214" s="1026">
        <v>2020</v>
      </c>
      <c r="T214" s="1026">
        <v>2020</v>
      </c>
    </row>
    <row r="215" spans="1:20" s="997" customFormat="1" ht="37.799999999999997" customHeight="1">
      <c r="A215" s="1048">
        <v>186</v>
      </c>
      <c r="B215" s="1069" t="s">
        <v>1789</v>
      </c>
      <c r="C215" s="1255">
        <v>1975</v>
      </c>
      <c r="D215" s="1249"/>
      <c r="E215" s="1255" t="s">
        <v>221</v>
      </c>
      <c r="F215" s="1255">
        <v>2</v>
      </c>
      <c r="G215" s="1255">
        <v>2</v>
      </c>
      <c r="H215" s="987">
        <v>539.70000000000005</v>
      </c>
      <c r="I215" s="987">
        <v>498.9</v>
      </c>
      <c r="J215" s="987">
        <v>498.9</v>
      </c>
      <c r="K215" s="995">
        <v>15</v>
      </c>
      <c r="L215" s="1067">
        <v>1421533</v>
      </c>
      <c r="M215" s="985">
        <v>0</v>
      </c>
      <c r="N215" s="985">
        <v>0</v>
      </c>
      <c r="O215" s="1067">
        <f t="shared" si="40"/>
        <v>1421533</v>
      </c>
      <c r="P215" s="985">
        <v>0</v>
      </c>
      <c r="Q215" s="985">
        <v>0</v>
      </c>
      <c r="R215" s="1038">
        <f t="shared" si="39"/>
        <v>2849.3345359791542</v>
      </c>
      <c r="S215" s="1026">
        <v>2020</v>
      </c>
      <c r="T215" s="1026">
        <v>2020</v>
      </c>
    </row>
    <row r="216" spans="1:20" s="997" customFormat="1" ht="42" customHeight="1">
      <c r="A216" s="1048">
        <v>187</v>
      </c>
      <c r="B216" s="1070" t="s">
        <v>1532</v>
      </c>
      <c r="C216" s="1255">
        <v>1960</v>
      </c>
      <c r="D216" s="1249"/>
      <c r="E216" s="1026" t="s">
        <v>218</v>
      </c>
      <c r="F216" s="1255">
        <v>2</v>
      </c>
      <c r="G216" s="1255">
        <v>2</v>
      </c>
      <c r="H216" s="987">
        <v>688.1</v>
      </c>
      <c r="I216" s="987">
        <v>643.29999999999995</v>
      </c>
      <c r="J216" s="987">
        <v>643.29999999999995</v>
      </c>
      <c r="K216" s="995">
        <v>23</v>
      </c>
      <c r="L216" s="1067">
        <v>2661679</v>
      </c>
      <c r="M216" s="985">
        <v>0</v>
      </c>
      <c r="N216" s="985">
        <v>0</v>
      </c>
      <c r="O216" s="1067">
        <f t="shared" si="40"/>
        <v>2661679</v>
      </c>
      <c r="P216" s="985">
        <v>0</v>
      </c>
      <c r="Q216" s="985">
        <v>0</v>
      </c>
      <c r="R216" s="1038">
        <f t="shared" si="39"/>
        <v>4137.5392507383804</v>
      </c>
      <c r="S216" s="1026">
        <v>2020</v>
      </c>
      <c r="T216" s="1026">
        <v>2020</v>
      </c>
    </row>
    <row r="217" spans="1:20" s="997" customFormat="1" ht="42" customHeight="1">
      <c r="A217" s="1048">
        <v>188</v>
      </c>
      <c r="B217" s="1071" t="s">
        <v>1790</v>
      </c>
      <c r="C217" s="1255">
        <v>1989</v>
      </c>
      <c r="D217" s="1249"/>
      <c r="E217" s="1026" t="s">
        <v>218</v>
      </c>
      <c r="F217" s="1255">
        <v>2</v>
      </c>
      <c r="G217" s="1255">
        <v>3</v>
      </c>
      <c r="H217" s="987">
        <v>1100.2</v>
      </c>
      <c r="I217" s="987">
        <v>973</v>
      </c>
      <c r="J217" s="987">
        <v>973</v>
      </c>
      <c r="K217" s="995">
        <v>24</v>
      </c>
      <c r="L217" s="1067">
        <v>1945469</v>
      </c>
      <c r="M217" s="985">
        <v>0</v>
      </c>
      <c r="N217" s="985">
        <v>0</v>
      </c>
      <c r="O217" s="1067">
        <f t="shared" si="40"/>
        <v>1945469</v>
      </c>
      <c r="P217" s="985">
        <v>0</v>
      </c>
      <c r="Q217" s="985">
        <v>0</v>
      </c>
      <c r="R217" s="1038">
        <f t="shared" si="39"/>
        <v>1999.454265159301</v>
      </c>
      <c r="S217" s="1026">
        <v>2020</v>
      </c>
      <c r="T217" s="1026">
        <v>2020</v>
      </c>
    </row>
    <row r="218" spans="1:20" s="997" customFormat="1" ht="42" customHeight="1">
      <c r="A218" s="1048">
        <v>189</v>
      </c>
      <c r="B218" s="1260" t="s">
        <v>1533</v>
      </c>
      <c r="C218" s="1255">
        <v>1965</v>
      </c>
      <c r="D218" s="1249"/>
      <c r="E218" s="1026" t="s">
        <v>218</v>
      </c>
      <c r="F218" s="1255">
        <v>2</v>
      </c>
      <c r="G218" s="1255">
        <v>2</v>
      </c>
      <c r="H218" s="987">
        <v>472.1</v>
      </c>
      <c r="I218" s="987">
        <v>472.1</v>
      </c>
      <c r="J218" s="987">
        <v>472.1</v>
      </c>
      <c r="K218" s="995">
        <v>13</v>
      </c>
      <c r="L218" s="1067">
        <v>1461994</v>
      </c>
      <c r="M218" s="985">
        <v>0</v>
      </c>
      <c r="N218" s="985">
        <v>0</v>
      </c>
      <c r="O218" s="1067">
        <f t="shared" si="40"/>
        <v>1461994</v>
      </c>
      <c r="P218" s="985">
        <v>0</v>
      </c>
      <c r="Q218" s="985">
        <v>0</v>
      </c>
      <c r="R218" s="1038">
        <f t="shared" si="39"/>
        <v>3096.7888159288286</v>
      </c>
      <c r="S218" s="1026">
        <v>2020</v>
      </c>
      <c r="T218" s="1026">
        <v>2020</v>
      </c>
    </row>
    <row r="219" spans="1:20" s="997" customFormat="1" ht="42" customHeight="1">
      <c r="A219" s="1048">
        <v>190</v>
      </c>
      <c r="B219" s="1260" t="s">
        <v>1534</v>
      </c>
      <c r="C219" s="1072">
        <v>1966</v>
      </c>
      <c r="D219" s="1253"/>
      <c r="E219" s="1026" t="s">
        <v>218</v>
      </c>
      <c r="F219" s="1072">
        <v>2</v>
      </c>
      <c r="G219" s="1072">
        <v>2</v>
      </c>
      <c r="H219" s="1073">
        <v>466.8</v>
      </c>
      <c r="I219" s="1073">
        <v>465.8</v>
      </c>
      <c r="J219" s="1073">
        <v>465.8</v>
      </c>
      <c r="K219" s="1074">
        <v>12</v>
      </c>
      <c r="L219" s="1067">
        <v>1479089</v>
      </c>
      <c r="M219" s="1075">
        <v>0</v>
      </c>
      <c r="N219" s="1075">
        <v>0</v>
      </c>
      <c r="O219" s="1067">
        <f t="shared" si="40"/>
        <v>1479089</v>
      </c>
      <c r="P219" s="1075">
        <v>0</v>
      </c>
      <c r="Q219" s="1075">
        <v>0</v>
      </c>
      <c r="R219" s="1038">
        <f t="shared" si="39"/>
        <v>3175.373550880206</v>
      </c>
      <c r="S219" s="1026">
        <v>2020</v>
      </c>
      <c r="T219" s="1026">
        <v>2020</v>
      </c>
    </row>
    <row r="220" spans="1:20" s="997" customFormat="1" ht="42" customHeight="1">
      <c r="A220" s="1048"/>
      <c r="B220" s="1510" t="s">
        <v>2024</v>
      </c>
      <c r="C220" s="1511"/>
      <c r="D220" s="1511"/>
      <c r="E220" s="1511"/>
      <c r="F220" s="1511"/>
      <c r="G220" s="1512"/>
      <c r="H220" s="1073">
        <f>H221</f>
        <v>2272.9</v>
      </c>
      <c r="I220" s="1073">
        <f t="shared" ref="I220:Q220" si="41">I221</f>
        <v>1948.4</v>
      </c>
      <c r="J220" s="1073">
        <f t="shared" si="41"/>
        <v>1123.8</v>
      </c>
      <c r="K220" s="1073">
        <f t="shared" si="41"/>
        <v>76</v>
      </c>
      <c r="L220" s="1073">
        <f t="shared" si="41"/>
        <v>2333724</v>
      </c>
      <c r="M220" s="1073">
        <f t="shared" si="41"/>
        <v>0</v>
      </c>
      <c r="N220" s="1073">
        <f t="shared" si="41"/>
        <v>0</v>
      </c>
      <c r="O220" s="1073">
        <f t="shared" si="41"/>
        <v>2333724</v>
      </c>
      <c r="P220" s="1073">
        <f t="shared" si="41"/>
        <v>0</v>
      </c>
      <c r="Q220" s="1073">
        <f t="shared" si="41"/>
        <v>0</v>
      </c>
      <c r="R220" s="996" t="s">
        <v>40</v>
      </c>
      <c r="S220" s="996" t="s">
        <v>40</v>
      </c>
      <c r="T220" s="996" t="s">
        <v>40</v>
      </c>
    </row>
    <row r="221" spans="1:20" s="997" customFormat="1" ht="42.6" customHeight="1">
      <c r="A221" s="1048">
        <v>191</v>
      </c>
      <c r="B221" s="1260" t="s">
        <v>2025</v>
      </c>
      <c r="C221" s="1072">
        <v>1979</v>
      </c>
      <c r="D221" s="1253"/>
      <c r="E221" s="1026" t="s">
        <v>218</v>
      </c>
      <c r="F221" s="1072">
        <v>5</v>
      </c>
      <c r="G221" s="1072">
        <v>1</v>
      </c>
      <c r="H221" s="1073">
        <v>2272.9</v>
      </c>
      <c r="I221" s="1073">
        <v>1948.4</v>
      </c>
      <c r="J221" s="1073">
        <v>1123.8</v>
      </c>
      <c r="K221" s="1074">
        <v>76</v>
      </c>
      <c r="L221" s="1067">
        <v>2333724</v>
      </c>
      <c r="M221" s="1075">
        <v>0</v>
      </c>
      <c r="N221" s="1075">
        <v>0</v>
      </c>
      <c r="O221" s="1067">
        <v>2333724</v>
      </c>
      <c r="P221" s="1075">
        <v>0</v>
      </c>
      <c r="Q221" s="1075">
        <v>0</v>
      </c>
      <c r="R221" s="1038">
        <f t="shared" ref="R221" si="42">L221/I221</f>
        <v>1197.764319441593</v>
      </c>
      <c r="S221" s="1026">
        <v>2020</v>
      </c>
      <c r="T221" s="1026">
        <v>2020</v>
      </c>
    </row>
    <row r="222" spans="1:20" s="997" customFormat="1" ht="42" customHeight="1">
      <c r="A222" s="1026"/>
      <c r="B222" s="1513" t="s">
        <v>1588</v>
      </c>
      <c r="C222" s="1513"/>
      <c r="D222" s="1513"/>
      <c r="E222" s="1513"/>
      <c r="F222" s="1513"/>
      <c r="G222" s="1513"/>
      <c r="H222" s="1038">
        <f>H223+H224</f>
        <v>1993</v>
      </c>
      <c r="I222" s="1038">
        <f t="shared" ref="I222:Q222" si="43">I223+I224</f>
        <v>1993</v>
      </c>
      <c r="J222" s="1038">
        <f t="shared" si="43"/>
        <v>1818</v>
      </c>
      <c r="K222" s="1039">
        <f t="shared" si="43"/>
        <v>39</v>
      </c>
      <c r="L222" s="1038">
        <f t="shared" si="43"/>
        <v>3350144</v>
      </c>
      <c r="M222" s="1038">
        <f t="shared" si="43"/>
        <v>0</v>
      </c>
      <c r="N222" s="1038">
        <f t="shared" si="43"/>
        <v>114142.98</v>
      </c>
      <c r="O222" s="1038">
        <f t="shared" si="43"/>
        <v>3236001.02</v>
      </c>
      <c r="P222" s="1038">
        <f t="shared" si="43"/>
        <v>0</v>
      </c>
      <c r="Q222" s="1038">
        <f t="shared" si="43"/>
        <v>0</v>
      </c>
      <c r="R222" s="996" t="s">
        <v>40</v>
      </c>
      <c r="S222" s="996" t="s">
        <v>40</v>
      </c>
      <c r="T222" s="996" t="s">
        <v>40</v>
      </c>
    </row>
    <row r="223" spans="1:20" s="997" customFormat="1" ht="42.6" customHeight="1">
      <c r="A223" s="1026">
        <v>192</v>
      </c>
      <c r="B223" s="1025" t="s">
        <v>1290</v>
      </c>
      <c r="C223" s="1037">
        <v>1971</v>
      </c>
      <c r="D223" s="1037"/>
      <c r="E223" s="1026" t="s">
        <v>218</v>
      </c>
      <c r="F223" s="1037">
        <v>2</v>
      </c>
      <c r="G223" s="1037">
        <v>2</v>
      </c>
      <c r="H223" s="1038">
        <v>555</v>
      </c>
      <c r="I223" s="1038">
        <v>555</v>
      </c>
      <c r="J223" s="1038">
        <v>510</v>
      </c>
      <c r="K223" s="1039">
        <v>12</v>
      </c>
      <c r="L223" s="1038">
        <f>N223+O223</f>
        <v>1583994</v>
      </c>
      <c r="M223" s="1038">
        <v>0</v>
      </c>
      <c r="N223" s="1038">
        <v>114142.98</v>
      </c>
      <c r="O223" s="1038">
        <v>1469851.02</v>
      </c>
      <c r="P223" s="1038">
        <v>0</v>
      </c>
      <c r="Q223" s="1038">
        <v>0</v>
      </c>
      <c r="R223" s="1038">
        <f t="shared" ref="R223:R224" si="44">L223/I223</f>
        <v>2854.0432432432431</v>
      </c>
      <c r="S223" s="1026">
        <v>2020</v>
      </c>
      <c r="T223" s="1026">
        <v>2020</v>
      </c>
    </row>
    <row r="224" spans="1:20" s="997" customFormat="1" ht="36" customHeight="1">
      <c r="A224" s="1026">
        <v>193</v>
      </c>
      <c r="B224" s="1025" t="s">
        <v>1291</v>
      </c>
      <c r="C224" s="1037">
        <v>1981</v>
      </c>
      <c r="D224" s="1037"/>
      <c r="E224" s="1026" t="s">
        <v>220</v>
      </c>
      <c r="F224" s="1037">
        <v>3</v>
      </c>
      <c r="G224" s="1037">
        <v>3</v>
      </c>
      <c r="H224" s="1038">
        <v>1438</v>
      </c>
      <c r="I224" s="1038">
        <v>1438</v>
      </c>
      <c r="J224" s="1038">
        <v>1308</v>
      </c>
      <c r="K224" s="1039">
        <v>27</v>
      </c>
      <c r="L224" s="1038">
        <v>1766150</v>
      </c>
      <c r="M224" s="1038">
        <v>0</v>
      </c>
      <c r="N224" s="1038">
        <v>0</v>
      </c>
      <c r="O224" s="1038">
        <v>1766150</v>
      </c>
      <c r="P224" s="1038">
        <v>0</v>
      </c>
      <c r="Q224" s="1038">
        <v>0</v>
      </c>
      <c r="R224" s="1038">
        <f t="shared" si="44"/>
        <v>1228.1988873435328</v>
      </c>
      <c r="S224" s="1026">
        <v>2020</v>
      </c>
      <c r="T224" s="1026">
        <v>2020</v>
      </c>
    </row>
    <row r="225" spans="1:20" s="997" customFormat="1" ht="36" customHeight="1">
      <c r="A225" s="1026"/>
      <c r="B225" s="1513" t="s">
        <v>46</v>
      </c>
      <c r="C225" s="1513"/>
      <c r="D225" s="1513"/>
      <c r="E225" s="1513"/>
      <c r="F225" s="1513"/>
      <c r="G225" s="1513"/>
      <c r="H225" s="1038">
        <f>H226</f>
        <v>571.1</v>
      </c>
      <c r="I225" s="1038">
        <f t="shared" ref="I225:Q225" si="45">I226</f>
        <v>522.70000000000005</v>
      </c>
      <c r="J225" s="1038">
        <f t="shared" si="45"/>
        <v>455.2</v>
      </c>
      <c r="K225" s="1039">
        <f t="shared" si="45"/>
        <v>23</v>
      </c>
      <c r="L225" s="1038">
        <f t="shared" si="45"/>
        <v>1688916</v>
      </c>
      <c r="M225" s="1038">
        <f t="shared" si="45"/>
        <v>0</v>
      </c>
      <c r="N225" s="1038">
        <f t="shared" si="45"/>
        <v>0</v>
      </c>
      <c r="O225" s="1038">
        <f t="shared" si="45"/>
        <v>1688916</v>
      </c>
      <c r="P225" s="1038">
        <f t="shared" si="45"/>
        <v>0</v>
      </c>
      <c r="Q225" s="1038">
        <f t="shared" si="45"/>
        <v>0</v>
      </c>
      <c r="R225" s="996" t="s">
        <v>40</v>
      </c>
      <c r="S225" s="996" t="s">
        <v>40</v>
      </c>
      <c r="T225" s="996" t="s">
        <v>40</v>
      </c>
    </row>
    <row r="226" spans="1:20" s="997" customFormat="1" ht="36" customHeight="1">
      <c r="A226" s="1026"/>
      <c r="B226" s="1513" t="s">
        <v>1077</v>
      </c>
      <c r="C226" s="1513"/>
      <c r="D226" s="1513"/>
      <c r="E226" s="1513"/>
      <c r="F226" s="1513"/>
      <c r="G226" s="1513"/>
      <c r="H226" s="1038">
        <f>H227</f>
        <v>571.1</v>
      </c>
      <c r="I226" s="1038">
        <f t="shared" ref="I226:Q226" si="46">I227</f>
        <v>522.70000000000005</v>
      </c>
      <c r="J226" s="1038">
        <f t="shared" si="46"/>
        <v>455.2</v>
      </c>
      <c r="K226" s="1039">
        <f t="shared" si="46"/>
        <v>23</v>
      </c>
      <c r="L226" s="1038">
        <f t="shared" si="46"/>
        <v>1688916</v>
      </c>
      <c r="M226" s="1038">
        <f t="shared" si="46"/>
        <v>0</v>
      </c>
      <c r="N226" s="1038">
        <f t="shared" si="46"/>
        <v>0</v>
      </c>
      <c r="O226" s="1038">
        <f t="shared" si="46"/>
        <v>1688916</v>
      </c>
      <c r="P226" s="1038">
        <f t="shared" si="46"/>
        <v>0</v>
      </c>
      <c r="Q226" s="1038">
        <f t="shared" si="46"/>
        <v>0</v>
      </c>
      <c r="R226" s="996" t="s">
        <v>40</v>
      </c>
      <c r="S226" s="996" t="s">
        <v>40</v>
      </c>
      <c r="T226" s="996" t="s">
        <v>40</v>
      </c>
    </row>
    <row r="227" spans="1:20" s="997" customFormat="1" ht="39.6" customHeight="1">
      <c r="A227" s="1026">
        <v>194</v>
      </c>
      <c r="B227" s="1260" t="s">
        <v>1282</v>
      </c>
      <c r="C227" s="1245">
        <v>1970</v>
      </c>
      <c r="D227" s="1245"/>
      <c r="E227" s="1026" t="s">
        <v>218</v>
      </c>
      <c r="F227" s="1255">
        <v>2</v>
      </c>
      <c r="G227" s="1255">
        <v>2</v>
      </c>
      <c r="H227" s="1038">
        <v>571.1</v>
      </c>
      <c r="I227" s="1038">
        <v>522.70000000000005</v>
      </c>
      <c r="J227" s="1038">
        <v>455.2</v>
      </c>
      <c r="K227" s="1039">
        <v>23</v>
      </c>
      <c r="L227" s="1038">
        <v>1688916</v>
      </c>
      <c r="M227" s="1038">
        <v>0</v>
      </c>
      <c r="N227" s="1038">
        <v>0</v>
      </c>
      <c r="O227" s="1038">
        <v>1688916</v>
      </c>
      <c r="P227" s="1038">
        <v>0</v>
      </c>
      <c r="Q227" s="1038">
        <v>0</v>
      </c>
      <c r="R227" s="1038">
        <f t="shared" ref="R227" si="47">L227/I227</f>
        <v>3231.1383202601874</v>
      </c>
      <c r="S227" s="1026">
        <v>2020</v>
      </c>
      <c r="T227" s="1026">
        <v>2020</v>
      </c>
    </row>
    <row r="228" spans="1:20" s="997" customFormat="1" ht="36" customHeight="1">
      <c r="A228" s="1026"/>
      <c r="B228" s="1513" t="s">
        <v>2012</v>
      </c>
      <c r="C228" s="1513"/>
      <c r="D228" s="1513"/>
      <c r="E228" s="1513"/>
      <c r="F228" s="1513"/>
      <c r="G228" s="1513"/>
      <c r="H228" s="1038">
        <f>H229+H230+H231</f>
        <v>1789.9</v>
      </c>
      <c r="I228" s="1038">
        <f t="shared" ref="I228:Q228" si="48">I229+I230+I231</f>
        <v>1619.3</v>
      </c>
      <c r="J228" s="1038">
        <f t="shared" si="48"/>
        <v>1619.3</v>
      </c>
      <c r="K228" s="1038">
        <f t="shared" si="48"/>
        <v>43</v>
      </c>
      <c r="L228" s="1038">
        <f t="shared" si="48"/>
        <v>6549572</v>
      </c>
      <c r="M228" s="1038">
        <f t="shared" si="48"/>
        <v>0</v>
      </c>
      <c r="N228" s="1038">
        <f t="shared" si="48"/>
        <v>0</v>
      </c>
      <c r="O228" s="1038">
        <f t="shared" si="48"/>
        <v>6549572</v>
      </c>
      <c r="P228" s="1038">
        <f t="shared" si="48"/>
        <v>0</v>
      </c>
      <c r="Q228" s="1038">
        <f t="shared" si="48"/>
        <v>0</v>
      </c>
      <c r="R228" s="996" t="s">
        <v>40</v>
      </c>
      <c r="S228" s="996" t="s">
        <v>40</v>
      </c>
      <c r="T228" s="996" t="s">
        <v>40</v>
      </c>
    </row>
    <row r="229" spans="1:20" s="997" customFormat="1" ht="46.2" customHeight="1">
      <c r="A229" s="1249">
        <v>195</v>
      </c>
      <c r="B229" s="1076" t="s">
        <v>1258</v>
      </c>
      <c r="C229" s="1048">
        <v>1963</v>
      </c>
      <c r="D229" s="1048"/>
      <c r="E229" s="1026" t="s">
        <v>218</v>
      </c>
      <c r="F229" s="1048">
        <v>2</v>
      </c>
      <c r="G229" s="1048">
        <v>2</v>
      </c>
      <c r="H229" s="1067">
        <v>517.29999999999995</v>
      </c>
      <c r="I229" s="1067">
        <v>463.3</v>
      </c>
      <c r="J229" s="1067">
        <v>463.3</v>
      </c>
      <c r="K229" s="1077">
        <v>10</v>
      </c>
      <c r="L229" s="1067">
        <v>1556917</v>
      </c>
      <c r="M229" s="1067">
        <v>0</v>
      </c>
      <c r="N229" s="1067">
        <v>0</v>
      </c>
      <c r="O229" s="1067">
        <v>1556917</v>
      </c>
      <c r="P229" s="1067">
        <v>0</v>
      </c>
      <c r="Q229" s="1067">
        <v>0</v>
      </c>
      <c r="R229" s="1078">
        <f>L229/I229</f>
        <v>3360.4942801640404</v>
      </c>
      <c r="S229" s="1026">
        <v>2020</v>
      </c>
      <c r="T229" s="1026">
        <v>2020</v>
      </c>
    </row>
    <row r="230" spans="1:20" s="997" customFormat="1" ht="42" customHeight="1">
      <c r="A230" s="1249">
        <v>196</v>
      </c>
      <c r="B230" s="1076" t="s">
        <v>1259</v>
      </c>
      <c r="C230" s="1048">
        <v>1977</v>
      </c>
      <c r="D230" s="1048"/>
      <c r="E230" s="1026" t="s">
        <v>218</v>
      </c>
      <c r="F230" s="1048">
        <v>2</v>
      </c>
      <c r="G230" s="1048">
        <v>3</v>
      </c>
      <c r="H230" s="1067">
        <v>937</v>
      </c>
      <c r="I230" s="1067">
        <v>850.7</v>
      </c>
      <c r="J230" s="1067">
        <v>850.7</v>
      </c>
      <c r="K230" s="1077">
        <v>27</v>
      </c>
      <c r="L230" s="1067">
        <v>2944604</v>
      </c>
      <c r="M230" s="1067">
        <v>0</v>
      </c>
      <c r="N230" s="1067">
        <v>0</v>
      </c>
      <c r="O230" s="1067">
        <v>2944604</v>
      </c>
      <c r="P230" s="1067">
        <v>0</v>
      </c>
      <c r="Q230" s="1067">
        <v>0</v>
      </c>
      <c r="R230" s="1078">
        <f>L230/I230</f>
        <v>3461.3894439873043</v>
      </c>
      <c r="S230" s="1026">
        <v>2020</v>
      </c>
      <c r="T230" s="1026">
        <v>2020</v>
      </c>
    </row>
    <row r="231" spans="1:20" s="997" customFormat="1" ht="42" customHeight="1">
      <c r="A231" s="1249">
        <v>197</v>
      </c>
      <c r="B231" s="1076" t="s">
        <v>1260</v>
      </c>
      <c r="C231" s="1048">
        <v>1960</v>
      </c>
      <c r="D231" s="1048"/>
      <c r="E231" s="1026" t="s">
        <v>218</v>
      </c>
      <c r="F231" s="1048">
        <v>2</v>
      </c>
      <c r="G231" s="1048">
        <v>1</v>
      </c>
      <c r="H231" s="1067">
        <v>335.6</v>
      </c>
      <c r="I231" s="1067">
        <v>305.3</v>
      </c>
      <c r="J231" s="1067">
        <v>305.3</v>
      </c>
      <c r="K231" s="1077">
        <v>6</v>
      </c>
      <c r="L231" s="1067">
        <v>2048051</v>
      </c>
      <c r="M231" s="1067">
        <v>0</v>
      </c>
      <c r="N231" s="1067">
        <v>0</v>
      </c>
      <c r="O231" s="1067">
        <v>2048051</v>
      </c>
      <c r="P231" s="1067">
        <v>0</v>
      </c>
      <c r="Q231" s="1067">
        <v>0</v>
      </c>
      <c r="R231" s="1078">
        <f>L231/I231</f>
        <v>6708.322961021945</v>
      </c>
      <c r="S231" s="1026">
        <v>2020</v>
      </c>
      <c r="T231" s="1026">
        <v>2020</v>
      </c>
    </row>
    <row r="232" spans="1:20" s="997" customFormat="1" ht="36" customHeight="1">
      <c r="A232" s="1249"/>
      <c r="B232" s="1518" t="s">
        <v>48</v>
      </c>
      <c r="C232" s="1519"/>
      <c r="D232" s="1519"/>
      <c r="E232" s="1519"/>
      <c r="F232" s="1519"/>
      <c r="G232" s="1520"/>
      <c r="H232" s="998">
        <f>H233</f>
        <v>257</v>
      </c>
      <c r="I232" s="998">
        <f t="shared" ref="I232:Q232" si="49">I233</f>
        <v>257</v>
      </c>
      <c r="J232" s="998">
        <f t="shared" si="49"/>
        <v>235.4</v>
      </c>
      <c r="K232" s="986">
        <f t="shared" si="49"/>
        <v>7</v>
      </c>
      <c r="L232" s="998">
        <f t="shared" si="49"/>
        <v>831360</v>
      </c>
      <c r="M232" s="998">
        <f t="shared" si="49"/>
        <v>0</v>
      </c>
      <c r="N232" s="998">
        <f t="shared" si="49"/>
        <v>0</v>
      </c>
      <c r="O232" s="998">
        <f t="shared" si="49"/>
        <v>831360</v>
      </c>
      <c r="P232" s="998">
        <f t="shared" si="49"/>
        <v>0</v>
      </c>
      <c r="Q232" s="998">
        <f t="shared" si="49"/>
        <v>0</v>
      </c>
      <c r="R232" s="996" t="s">
        <v>40</v>
      </c>
      <c r="S232" s="996" t="s">
        <v>40</v>
      </c>
      <c r="T232" s="996" t="s">
        <v>40</v>
      </c>
    </row>
    <row r="233" spans="1:20" s="997" customFormat="1" ht="36" customHeight="1">
      <c r="A233" s="1249"/>
      <c r="B233" s="1513" t="s">
        <v>1199</v>
      </c>
      <c r="C233" s="1513"/>
      <c r="D233" s="1513"/>
      <c r="E233" s="1513"/>
      <c r="F233" s="1513"/>
      <c r="G233" s="1513"/>
      <c r="H233" s="985">
        <f>H234</f>
        <v>257</v>
      </c>
      <c r="I233" s="985">
        <f t="shared" ref="I233:Q233" si="50">I234</f>
        <v>257</v>
      </c>
      <c r="J233" s="985">
        <f t="shared" si="50"/>
        <v>235.4</v>
      </c>
      <c r="K233" s="995">
        <f t="shared" si="50"/>
        <v>7</v>
      </c>
      <c r="L233" s="985">
        <f t="shared" si="50"/>
        <v>831360</v>
      </c>
      <c r="M233" s="985">
        <f t="shared" si="50"/>
        <v>0</v>
      </c>
      <c r="N233" s="985">
        <f t="shared" si="50"/>
        <v>0</v>
      </c>
      <c r="O233" s="985">
        <f t="shared" si="50"/>
        <v>831360</v>
      </c>
      <c r="P233" s="985">
        <f t="shared" si="50"/>
        <v>0</v>
      </c>
      <c r="Q233" s="985">
        <f t="shared" si="50"/>
        <v>0</v>
      </c>
      <c r="R233" s="996" t="s">
        <v>40</v>
      </c>
      <c r="S233" s="996" t="s">
        <v>40</v>
      </c>
      <c r="T233" s="996" t="s">
        <v>40</v>
      </c>
    </row>
    <row r="234" spans="1:20" s="997" customFormat="1" ht="39.6" customHeight="1">
      <c r="A234" s="1249">
        <v>198</v>
      </c>
      <c r="B234" s="1260" t="s">
        <v>1256</v>
      </c>
      <c r="C234" s="1255">
        <v>1959</v>
      </c>
      <c r="D234" s="1255"/>
      <c r="E234" s="1249" t="s">
        <v>218</v>
      </c>
      <c r="F234" s="1255">
        <v>2</v>
      </c>
      <c r="G234" s="1255">
        <v>1</v>
      </c>
      <c r="H234" s="985">
        <v>257</v>
      </c>
      <c r="I234" s="985">
        <v>257</v>
      </c>
      <c r="J234" s="985">
        <v>235.4</v>
      </c>
      <c r="K234" s="995">
        <v>7</v>
      </c>
      <c r="L234" s="987">
        <v>831360</v>
      </c>
      <c r="M234" s="987">
        <v>0</v>
      </c>
      <c r="N234" s="987">
        <v>0</v>
      </c>
      <c r="O234" s="987">
        <v>831360</v>
      </c>
      <c r="P234" s="998">
        <v>0</v>
      </c>
      <c r="Q234" s="987">
        <v>0</v>
      </c>
      <c r="R234" s="985">
        <f t="shared" ref="R234" si="51">L234/I234</f>
        <v>3234.8638132295719</v>
      </c>
      <c r="S234" s="988">
        <v>2020</v>
      </c>
      <c r="T234" s="988">
        <v>2020</v>
      </c>
    </row>
    <row r="235" spans="1:20" s="997" customFormat="1" ht="36" customHeight="1">
      <c r="A235" s="1249"/>
      <c r="B235" s="1543" t="s">
        <v>49</v>
      </c>
      <c r="C235" s="1544"/>
      <c r="D235" s="1544"/>
      <c r="E235" s="1544"/>
      <c r="F235" s="1544"/>
      <c r="G235" s="1545"/>
      <c r="H235" s="985">
        <f t="shared" ref="H235:Q235" si="52">H244+H250+H238+H254+H256+H258+H241+H236+H247</f>
        <v>19868.82</v>
      </c>
      <c r="I235" s="985">
        <f t="shared" si="52"/>
        <v>17305.82</v>
      </c>
      <c r="J235" s="985">
        <f t="shared" si="52"/>
        <v>15420.150000000001</v>
      </c>
      <c r="K235" s="995">
        <f t="shared" si="52"/>
        <v>944</v>
      </c>
      <c r="L235" s="985">
        <f t="shared" si="52"/>
        <v>30992161</v>
      </c>
      <c r="M235" s="985">
        <f t="shared" si="52"/>
        <v>0</v>
      </c>
      <c r="N235" s="985">
        <f t="shared" si="52"/>
        <v>0</v>
      </c>
      <c r="O235" s="985">
        <f t="shared" si="52"/>
        <v>30992161</v>
      </c>
      <c r="P235" s="985">
        <f t="shared" si="52"/>
        <v>0</v>
      </c>
      <c r="Q235" s="985">
        <f t="shared" si="52"/>
        <v>0</v>
      </c>
      <c r="R235" s="996" t="s">
        <v>40</v>
      </c>
      <c r="S235" s="996" t="s">
        <v>40</v>
      </c>
      <c r="T235" s="996" t="s">
        <v>40</v>
      </c>
    </row>
    <row r="236" spans="1:20" s="997" customFormat="1" ht="36" customHeight="1">
      <c r="A236" s="1249"/>
      <c r="B236" s="1261" t="s">
        <v>1546</v>
      </c>
      <c r="C236" s="1262"/>
      <c r="D236" s="1262"/>
      <c r="E236" s="1262"/>
      <c r="F236" s="1262"/>
      <c r="G236" s="1263"/>
      <c r="H236" s="985">
        <f>H237</f>
        <v>976.7</v>
      </c>
      <c r="I236" s="985">
        <f t="shared" ref="I236:Q236" si="53">I237</f>
        <v>878.7</v>
      </c>
      <c r="J236" s="985">
        <f t="shared" si="53"/>
        <v>878.7</v>
      </c>
      <c r="K236" s="995">
        <f t="shared" si="53"/>
        <v>29</v>
      </c>
      <c r="L236" s="985">
        <f t="shared" si="53"/>
        <v>3012296</v>
      </c>
      <c r="M236" s="985">
        <f t="shared" si="53"/>
        <v>0</v>
      </c>
      <c r="N236" s="985">
        <f t="shared" si="53"/>
        <v>0</v>
      </c>
      <c r="O236" s="985">
        <f t="shared" si="53"/>
        <v>3012296</v>
      </c>
      <c r="P236" s="985">
        <f t="shared" si="53"/>
        <v>0</v>
      </c>
      <c r="Q236" s="985">
        <f t="shared" si="53"/>
        <v>0</v>
      </c>
      <c r="R236" s="996" t="s">
        <v>40</v>
      </c>
      <c r="S236" s="996" t="s">
        <v>40</v>
      </c>
      <c r="T236" s="996" t="s">
        <v>40</v>
      </c>
    </row>
    <row r="237" spans="1:20" s="997" customFormat="1" ht="42.6" customHeight="1">
      <c r="A237" s="1249">
        <v>199</v>
      </c>
      <c r="B237" s="1245" t="s">
        <v>1791</v>
      </c>
      <c r="C237" s="1255">
        <v>1987</v>
      </c>
      <c r="D237" s="1255"/>
      <c r="E237" s="1249" t="s">
        <v>218</v>
      </c>
      <c r="F237" s="1255">
        <v>2</v>
      </c>
      <c r="G237" s="1255">
        <v>3</v>
      </c>
      <c r="H237" s="985">
        <v>976.7</v>
      </c>
      <c r="I237" s="985">
        <v>878.7</v>
      </c>
      <c r="J237" s="985">
        <v>878.7</v>
      </c>
      <c r="K237" s="995">
        <v>29</v>
      </c>
      <c r="L237" s="985">
        <v>3012296</v>
      </c>
      <c r="M237" s="985">
        <v>0</v>
      </c>
      <c r="N237" s="985">
        <v>0</v>
      </c>
      <c r="O237" s="985">
        <v>3012296</v>
      </c>
      <c r="P237" s="985">
        <v>0</v>
      </c>
      <c r="Q237" s="985">
        <v>0</v>
      </c>
      <c r="R237" s="985">
        <f t="shared" ref="R237" si="54">L237/I237</f>
        <v>3428.1279162398996</v>
      </c>
      <c r="S237" s="988">
        <v>2020</v>
      </c>
      <c r="T237" s="988">
        <v>2020</v>
      </c>
    </row>
    <row r="238" spans="1:20" s="997" customFormat="1" ht="36" customHeight="1">
      <c r="A238" s="1249"/>
      <c r="B238" s="1510" t="s">
        <v>1165</v>
      </c>
      <c r="C238" s="1511"/>
      <c r="D238" s="1511"/>
      <c r="E238" s="1511"/>
      <c r="F238" s="1511"/>
      <c r="G238" s="1512"/>
      <c r="H238" s="985">
        <f>H239+H240</f>
        <v>1996.8000000000002</v>
      </c>
      <c r="I238" s="985">
        <f t="shared" ref="I238:Q238" si="55">I239+I240</f>
        <v>1818.9</v>
      </c>
      <c r="J238" s="985">
        <f t="shared" si="55"/>
        <v>1643.8</v>
      </c>
      <c r="K238" s="995">
        <f t="shared" si="55"/>
        <v>82</v>
      </c>
      <c r="L238" s="985">
        <f t="shared" si="55"/>
        <v>3043212</v>
      </c>
      <c r="M238" s="985">
        <f t="shared" si="55"/>
        <v>0</v>
      </c>
      <c r="N238" s="985">
        <f t="shared" si="55"/>
        <v>0</v>
      </c>
      <c r="O238" s="985">
        <f t="shared" si="55"/>
        <v>3043212</v>
      </c>
      <c r="P238" s="985">
        <f t="shared" si="55"/>
        <v>0</v>
      </c>
      <c r="Q238" s="985">
        <f t="shared" si="55"/>
        <v>0</v>
      </c>
      <c r="R238" s="996" t="s">
        <v>40</v>
      </c>
      <c r="S238" s="996" t="s">
        <v>40</v>
      </c>
      <c r="T238" s="996" t="s">
        <v>40</v>
      </c>
    </row>
    <row r="239" spans="1:20" s="997" customFormat="1" ht="42" customHeight="1">
      <c r="A239" s="1249">
        <v>200</v>
      </c>
      <c r="B239" s="1245" t="s">
        <v>1319</v>
      </c>
      <c r="C239" s="1255">
        <v>1966</v>
      </c>
      <c r="D239" s="1255"/>
      <c r="E239" s="1249" t="s">
        <v>218</v>
      </c>
      <c r="F239" s="1255">
        <v>2</v>
      </c>
      <c r="G239" s="1255">
        <v>2</v>
      </c>
      <c r="H239" s="985">
        <v>592.6</v>
      </c>
      <c r="I239" s="985">
        <v>545.20000000000005</v>
      </c>
      <c r="J239" s="985">
        <v>469.5</v>
      </c>
      <c r="K239" s="995">
        <v>23</v>
      </c>
      <c r="L239" s="985">
        <v>1032519</v>
      </c>
      <c r="M239" s="985">
        <v>0</v>
      </c>
      <c r="N239" s="985">
        <v>0</v>
      </c>
      <c r="O239" s="985">
        <v>1032519</v>
      </c>
      <c r="P239" s="985">
        <v>0</v>
      </c>
      <c r="Q239" s="985">
        <v>0</v>
      </c>
      <c r="R239" s="985">
        <f t="shared" ref="R239:R240" si="56">L239/I239</f>
        <v>1893.8352898019075</v>
      </c>
      <c r="S239" s="988">
        <v>2020</v>
      </c>
      <c r="T239" s="988">
        <v>2020</v>
      </c>
    </row>
    <row r="240" spans="1:20" s="997" customFormat="1" ht="36" customHeight="1">
      <c r="A240" s="1249">
        <v>201</v>
      </c>
      <c r="B240" s="1245" t="s">
        <v>1320</v>
      </c>
      <c r="C240" s="1255">
        <v>1980</v>
      </c>
      <c r="D240" s="1255"/>
      <c r="E240" s="1249" t="s">
        <v>219</v>
      </c>
      <c r="F240" s="1255">
        <v>3</v>
      </c>
      <c r="G240" s="1255">
        <v>3</v>
      </c>
      <c r="H240" s="985">
        <v>1404.2</v>
      </c>
      <c r="I240" s="985">
        <v>1273.7</v>
      </c>
      <c r="J240" s="985">
        <v>1174.3</v>
      </c>
      <c r="K240" s="995">
        <v>59</v>
      </c>
      <c r="L240" s="985">
        <v>2010693</v>
      </c>
      <c r="M240" s="985">
        <v>0</v>
      </c>
      <c r="N240" s="985">
        <v>0</v>
      </c>
      <c r="O240" s="985">
        <v>2010693</v>
      </c>
      <c r="P240" s="985">
        <v>0</v>
      </c>
      <c r="Q240" s="985">
        <v>0</v>
      </c>
      <c r="R240" s="985">
        <f t="shared" si="56"/>
        <v>1578.6236947475857</v>
      </c>
      <c r="S240" s="988">
        <v>2020</v>
      </c>
      <c r="T240" s="988">
        <v>2020</v>
      </c>
    </row>
    <row r="241" spans="1:20" s="997" customFormat="1" ht="32.4" customHeight="1">
      <c r="A241" s="1249"/>
      <c r="B241" s="1510" t="s">
        <v>1510</v>
      </c>
      <c r="C241" s="1511"/>
      <c r="D241" s="1511"/>
      <c r="E241" s="1511"/>
      <c r="F241" s="1511"/>
      <c r="G241" s="1512"/>
      <c r="H241" s="985">
        <f>H242+H243</f>
        <v>5273.4</v>
      </c>
      <c r="I241" s="985">
        <f t="shared" ref="I241:Q241" si="57">I242+I243</f>
        <v>5273.4</v>
      </c>
      <c r="J241" s="985">
        <f t="shared" si="57"/>
        <v>5048.7</v>
      </c>
      <c r="K241" s="995">
        <f t="shared" si="57"/>
        <v>253</v>
      </c>
      <c r="L241" s="985">
        <f t="shared" si="57"/>
        <v>5123904</v>
      </c>
      <c r="M241" s="985">
        <f t="shared" si="57"/>
        <v>0</v>
      </c>
      <c r="N241" s="985">
        <f t="shared" si="57"/>
        <v>0</v>
      </c>
      <c r="O241" s="985">
        <f t="shared" si="57"/>
        <v>5123904</v>
      </c>
      <c r="P241" s="985">
        <f t="shared" si="57"/>
        <v>0</v>
      </c>
      <c r="Q241" s="985">
        <f t="shared" si="57"/>
        <v>0</v>
      </c>
      <c r="R241" s="996" t="s">
        <v>40</v>
      </c>
      <c r="S241" s="996" t="s">
        <v>40</v>
      </c>
      <c r="T241" s="996" t="s">
        <v>40</v>
      </c>
    </row>
    <row r="242" spans="1:20" s="997" customFormat="1" ht="46.95" customHeight="1">
      <c r="A242" s="1249">
        <v>202</v>
      </c>
      <c r="B242" s="1260" t="s">
        <v>1792</v>
      </c>
      <c r="C242" s="1255">
        <v>1980</v>
      </c>
      <c r="D242" s="1255"/>
      <c r="E242" s="1249" t="s">
        <v>218</v>
      </c>
      <c r="F242" s="1255">
        <v>2</v>
      </c>
      <c r="G242" s="1255">
        <v>2</v>
      </c>
      <c r="H242" s="985">
        <v>777.4</v>
      </c>
      <c r="I242" s="985">
        <v>777.4</v>
      </c>
      <c r="J242" s="985">
        <v>777.4</v>
      </c>
      <c r="K242" s="995">
        <v>27</v>
      </c>
      <c r="L242" s="985">
        <v>1855440</v>
      </c>
      <c r="M242" s="985">
        <v>0</v>
      </c>
      <c r="N242" s="985">
        <v>0</v>
      </c>
      <c r="O242" s="985">
        <v>1855440</v>
      </c>
      <c r="P242" s="985">
        <v>0</v>
      </c>
      <c r="Q242" s="985">
        <v>0</v>
      </c>
      <c r="R242" s="985">
        <f t="shared" ref="R242:R243" si="58">L242/I242</f>
        <v>2386.7249807049138</v>
      </c>
      <c r="S242" s="988">
        <v>2020</v>
      </c>
      <c r="T242" s="988">
        <v>2020</v>
      </c>
    </row>
    <row r="243" spans="1:20" s="997" customFormat="1" ht="40.200000000000003" customHeight="1">
      <c r="A243" s="1249">
        <v>203</v>
      </c>
      <c r="B243" s="1260" t="s">
        <v>1793</v>
      </c>
      <c r="C243" s="1255">
        <v>1977</v>
      </c>
      <c r="D243" s="1255"/>
      <c r="E243" s="1249" t="s">
        <v>219</v>
      </c>
      <c r="F243" s="1255">
        <v>5</v>
      </c>
      <c r="G243" s="1255">
        <v>6</v>
      </c>
      <c r="H243" s="985">
        <v>4496</v>
      </c>
      <c r="I243" s="985">
        <v>4496</v>
      </c>
      <c r="J243" s="985">
        <v>4271.3</v>
      </c>
      <c r="K243" s="995">
        <v>226</v>
      </c>
      <c r="L243" s="985">
        <v>3268464</v>
      </c>
      <c r="M243" s="985">
        <v>0</v>
      </c>
      <c r="N243" s="985">
        <v>0</v>
      </c>
      <c r="O243" s="985">
        <v>3268464</v>
      </c>
      <c r="P243" s="985">
        <v>0</v>
      </c>
      <c r="Q243" s="985">
        <v>0</v>
      </c>
      <c r="R243" s="985">
        <f t="shared" si="58"/>
        <v>726.97153024911029</v>
      </c>
      <c r="S243" s="988">
        <v>2020</v>
      </c>
      <c r="T243" s="988">
        <v>2020</v>
      </c>
    </row>
    <row r="244" spans="1:20" s="997" customFormat="1" ht="39.6" customHeight="1">
      <c r="A244" s="1249"/>
      <c r="B244" s="1510" t="s">
        <v>1181</v>
      </c>
      <c r="C244" s="1511"/>
      <c r="D244" s="1511"/>
      <c r="E244" s="1511"/>
      <c r="F244" s="1511"/>
      <c r="G244" s="1512"/>
      <c r="H244" s="985">
        <f>H245+H246</f>
        <v>1931.82</v>
      </c>
      <c r="I244" s="985">
        <f t="shared" ref="I244:Q244" si="59">I245+I246</f>
        <v>1872.52</v>
      </c>
      <c r="J244" s="985">
        <f t="shared" si="59"/>
        <v>1662.05</v>
      </c>
      <c r="K244" s="995">
        <f t="shared" si="59"/>
        <v>116</v>
      </c>
      <c r="L244" s="985">
        <f t="shared" si="59"/>
        <v>3393794</v>
      </c>
      <c r="M244" s="985">
        <f t="shared" si="59"/>
        <v>0</v>
      </c>
      <c r="N244" s="985">
        <f t="shared" si="59"/>
        <v>0</v>
      </c>
      <c r="O244" s="985">
        <f t="shared" si="59"/>
        <v>3393794</v>
      </c>
      <c r="P244" s="985">
        <f t="shared" si="59"/>
        <v>0</v>
      </c>
      <c r="Q244" s="985">
        <f t="shared" si="59"/>
        <v>0</v>
      </c>
      <c r="R244" s="996" t="s">
        <v>40</v>
      </c>
      <c r="S244" s="996" t="s">
        <v>40</v>
      </c>
      <c r="T244" s="996" t="s">
        <v>40</v>
      </c>
    </row>
    <row r="245" spans="1:20" s="997" customFormat="1" ht="39.6" customHeight="1">
      <c r="A245" s="1249">
        <v>204</v>
      </c>
      <c r="B245" s="1245" t="s">
        <v>1794</v>
      </c>
      <c r="C245" s="1255">
        <v>1960</v>
      </c>
      <c r="D245" s="1255"/>
      <c r="E245" s="1249" t="s">
        <v>218</v>
      </c>
      <c r="F245" s="1255">
        <v>2</v>
      </c>
      <c r="G245" s="1255">
        <v>3</v>
      </c>
      <c r="H245" s="985">
        <v>480</v>
      </c>
      <c r="I245" s="985">
        <v>420.7</v>
      </c>
      <c r="J245" s="985">
        <v>320.3</v>
      </c>
      <c r="K245" s="995">
        <v>38</v>
      </c>
      <c r="L245" s="987">
        <v>250248</v>
      </c>
      <c r="M245" s="987">
        <v>0</v>
      </c>
      <c r="N245" s="987">
        <v>0</v>
      </c>
      <c r="O245" s="987">
        <v>250248</v>
      </c>
      <c r="P245" s="998">
        <v>0</v>
      </c>
      <c r="Q245" s="987">
        <v>0</v>
      </c>
      <c r="R245" s="985">
        <f t="shared" ref="R245:R246" si="60">L245/I245</f>
        <v>594.83717613501312</v>
      </c>
      <c r="S245" s="988">
        <v>2020</v>
      </c>
      <c r="T245" s="988">
        <v>2020</v>
      </c>
    </row>
    <row r="246" spans="1:20" s="997" customFormat="1" ht="36" customHeight="1">
      <c r="A246" s="1249">
        <v>205</v>
      </c>
      <c r="B246" s="1245" t="s">
        <v>1795</v>
      </c>
      <c r="C246" s="1255">
        <v>1982</v>
      </c>
      <c r="D246" s="1255"/>
      <c r="E246" s="1249" t="s">
        <v>219</v>
      </c>
      <c r="F246" s="1255">
        <v>3</v>
      </c>
      <c r="G246" s="1255">
        <v>3</v>
      </c>
      <c r="H246" s="985">
        <v>1451.82</v>
      </c>
      <c r="I246" s="985">
        <v>1451.82</v>
      </c>
      <c r="J246" s="985">
        <v>1341.75</v>
      </c>
      <c r="K246" s="995">
        <v>78</v>
      </c>
      <c r="L246" s="987">
        <v>3143546</v>
      </c>
      <c r="M246" s="987">
        <v>0</v>
      </c>
      <c r="N246" s="987">
        <v>0</v>
      </c>
      <c r="O246" s="987">
        <v>3143546</v>
      </c>
      <c r="P246" s="998">
        <v>0</v>
      </c>
      <c r="Q246" s="987">
        <v>0</v>
      </c>
      <c r="R246" s="985">
        <f t="shared" si="60"/>
        <v>2165.2450028240414</v>
      </c>
      <c r="S246" s="988">
        <v>2020</v>
      </c>
      <c r="T246" s="988">
        <v>2020</v>
      </c>
    </row>
    <row r="247" spans="1:20" s="2" customFormat="1" ht="36.6" customHeight="1">
      <c r="A247" s="1249"/>
      <c r="B247" s="1510" t="s">
        <v>1563</v>
      </c>
      <c r="C247" s="1511"/>
      <c r="D247" s="1511"/>
      <c r="E247" s="1511"/>
      <c r="F247" s="1511"/>
      <c r="G247" s="1512"/>
      <c r="H247" s="985">
        <f>H248+H249</f>
        <v>2536.8999999999996</v>
      </c>
      <c r="I247" s="985">
        <f t="shared" ref="I247:Q247" si="61">I248+I249</f>
        <v>1561.8</v>
      </c>
      <c r="J247" s="985">
        <f t="shared" si="61"/>
        <v>1222.8</v>
      </c>
      <c r="K247" s="995">
        <f t="shared" si="61"/>
        <v>159</v>
      </c>
      <c r="L247" s="985">
        <f t="shared" si="61"/>
        <v>3357505</v>
      </c>
      <c r="M247" s="985">
        <f t="shared" si="61"/>
        <v>0</v>
      </c>
      <c r="N247" s="985">
        <f t="shared" si="61"/>
        <v>0</v>
      </c>
      <c r="O247" s="985">
        <f t="shared" si="61"/>
        <v>3357505</v>
      </c>
      <c r="P247" s="985">
        <f t="shared" si="61"/>
        <v>0</v>
      </c>
      <c r="Q247" s="985">
        <f t="shared" si="61"/>
        <v>0</v>
      </c>
      <c r="R247" s="996" t="s">
        <v>40</v>
      </c>
      <c r="S247" s="996" t="s">
        <v>40</v>
      </c>
      <c r="T247" s="996" t="s">
        <v>40</v>
      </c>
    </row>
    <row r="248" spans="1:20" s="2" customFormat="1" ht="36.6" customHeight="1">
      <c r="A248" s="1249">
        <v>206</v>
      </c>
      <c r="B248" s="1245" t="s">
        <v>1564</v>
      </c>
      <c r="C248" s="1255">
        <v>1983</v>
      </c>
      <c r="D248" s="1255"/>
      <c r="E248" s="1370" t="s">
        <v>219</v>
      </c>
      <c r="F248" s="1255">
        <v>2</v>
      </c>
      <c r="G248" s="1255">
        <v>3</v>
      </c>
      <c r="H248" s="985">
        <v>964.3</v>
      </c>
      <c r="I248" s="985">
        <v>509.5</v>
      </c>
      <c r="J248" s="985">
        <v>509.5</v>
      </c>
      <c r="K248" s="995">
        <v>54</v>
      </c>
      <c r="L248" s="987">
        <v>1686347</v>
      </c>
      <c r="M248" s="987">
        <v>0</v>
      </c>
      <c r="N248" s="987">
        <v>0</v>
      </c>
      <c r="O248" s="987">
        <v>1686347</v>
      </c>
      <c r="P248" s="998">
        <v>0</v>
      </c>
      <c r="Q248" s="987">
        <v>0</v>
      </c>
      <c r="R248" s="985">
        <f t="shared" ref="R248:R249" si="62">L248/I248</f>
        <v>3309.8076545632975</v>
      </c>
      <c r="S248" s="988">
        <v>2020</v>
      </c>
      <c r="T248" s="988">
        <v>2020</v>
      </c>
    </row>
    <row r="249" spans="1:20" s="2" customFormat="1" ht="43.2" customHeight="1">
      <c r="A249" s="1249">
        <v>207</v>
      </c>
      <c r="B249" s="1245" t="s">
        <v>1565</v>
      </c>
      <c r="C249" s="1255">
        <v>1977</v>
      </c>
      <c r="D249" s="1255"/>
      <c r="E249" s="1249" t="s">
        <v>218</v>
      </c>
      <c r="F249" s="1255">
        <v>3</v>
      </c>
      <c r="G249" s="1255">
        <v>2</v>
      </c>
      <c r="H249" s="985">
        <v>1572.6</v>
      </c>
      <c r="I249" s="985">
        <v>1052.3</v>
      </c>
      <c r="J249" s="985">
        <v>713.3</v>
      </c>
      <c r="K249" s="995">
        <v>105</v>
      </c>
      <c r="L249" s="987">
        <v>1671158</v>
      </c>
      <c r="M249" s="987">
        <v>0</v>
      </c>
      <c r="N249" s="987">
        <v>0</v>
      </c>
      <c r="O249" s="987">
        <v>1671158</v>
      </c>
      <c r="P249" s="998">
        <v>0</v>
      </c>
      <c r="Q249" s="987">
        <v>0</v>
      </c>
      <c r="R249" s="985">
        <f t="shared" si="62"/>
        <v>1588.1003516107576</v>
      </c>
      <c r="S249" s="988">
        <v>2020</v>
      </c>
      <c r="T249" s="988">
        <v>2020</v>
      </c>
    </row>
    <row r="250" spans="1:20" s="2" customFormat="1" ht="36.6" customHeight="1">
      <c r="A250" s="1249"/>
      <c r="B250" s="1261" t="s">
        <v>1079</v>
      </c>
      <c r="C250" s="991"/>
      <c r="D250" s="992"/>
      <c r="E250" s="991"/>
      <c r="F250" s="991"/>
      <c r="G250" s="994"/>
      <c r="H250" s="985">
        <f>H251+H252+H253</f>
        <v>2332.1</v>
      </c>
      <c r="I250" s="985">
        <f t="shared" ref="I250:Q250" si="63">I251+I252+I253</f>
        <v>1458.3999999999999</v>
      </c>
      <c r="J250" s="985">
        <f t="shared" si="63"/>
        <v>1458.3999999999999</v>
      </c>
      <c r="K250" s="995">
        <f t="shared" si="63"/>
        <v>95</v>
      </c>
      <c r="L250" s="985">
        <f t="shared" si="63"/>
        <v>5771424</v>
      </c>
      <c r="M250" s="985">
        <f t="shared" si="63"/>
        <v>0</v>
      </c>
      <c r="N250" s="985">
        <f t="shared" si="63"/>
        <v>0</v>
      </c>
      <c r="O250" s="985">
        <f t="shared" si="63"/>
        <v>5771424</v>
      </c>
      <c r="P250" s="985">
        <f t="shared" si="63"/>
        <v>0</v>
      </c>
      <c r="Q250" s="985">
        <f t="shared" si="63"/>
        <v>0</v>
      </c>
      <c r="R250" s="996" t="s">
        <v>40</v>
      </c>
      <c r="S250" s="996" t="s">
        <v>40</v>
      </c>
      <c r="T250" s="996" t="s">
        <v>40</v>
      </c>
    </row>
    <row r="251" spans="1:20" s="2" customFormat="1" ht="39" customHeight="1">
      <c r="A251" s="1249">
        <v>208</v>
      </c>
      <c r="B251" s="1245" t="s">
        <v>1252</v>
      </c>
      <c r="C251" s="1255">
        <v>1968</v>
      </c>
      <c r="D251" s="1255"/>
      <c r="E251" s="1249" t="s">
        <v>218</v>
      </c>
      <c r="F251" s="1255">
        <v>2</v>
      </c>
      <c r="G251" s="1255">
        <v>2</v>
      </c>
      <c r="H251" s="985">
        <v>735</v>
      </c>
      <c r="I251" s="985">
        <v>480.2</v>
      </c>
      <c r="J251" s="985">
        <v>480.2</v>
      </c>
      <c r="K251" s="995">
        <v>30</v>
      </c>
      <c r="L251" s="987">
        <v>1823624</v>
      </c>
      <c r="M251" s="987">
        <v>0</v>
      </c>
      <c r="N251" s="987">
        <v>0</v>
      </c>
      <c r="O251" s="987">
        <f>L251</f>
        <v>1823624</v>
      </c>
      <c r="P251" s="998">
        <f t="shared" ref="P251" si="64">Q251</f>
        <v>0</v>
      </c>
      <c r="Q251" s="987">
        <v>0</v>
      </c>
      <c r="R251" s="985">
        <f>L251/I251</f>
        <v>3797.6343190337361</v>
      </c>
      <c r="S251" s="988">
        <v>2020</v>
      </c>
      <c r="T251" s="988">
        <v>2020</v>
      </c>
    </row>
    <row r="252" spans="1:20" s="2" customFormat="1" ht="40.799999999999997" customHeight="1">
      <c r="A252" s="1249">
        <v>209</v>
      </c>
      <c r="B252" s="1245" t="s">
        <v>1253</v>
      </c>
      <c r="C252" s="1255">
        <v>1967</v>
      </c>
      <c r="D252" s="1255"/>
      <c r="E252" s="1249" t="s">
        <v>218</v>
      </c>
      <c r="F252" s="1255">
        <v>2</v>
      </c>
      <c r="G252" s="1255">
        <v>2</v>
      </c>
      <c r="H252" s="985">
        <v>738.8</v>
      </c>
      <c r="I252" s="985">
        <v>482.9</v>
      </c>
      <c r="J252" s="985">
        <v>482.9</v>
      </c>
      <c r="K252" s="995">
        <v>29</v>
      </c>
      <c r="L252" s="987">
        <v>1829039</v>
      </c>
      <c r="M252" s="987">
        <v>0</v>
      </c>
      <c r="N252" s="987">
        <v>0</v>
      </c>
      <c r="O252" s="987">
        <f t="shared" ref="O252:O253" si="65">L252</f>
        <v>1829039</v>
      </c>
      <c r="P252" s="998">
        <v>0</v>
      </c>
      <c r="Q252" s="987">
        <v>0</v>
      </c>
      <c r="R252" s="985">
        <f>L252/I252</f>
        <v>3787.6144129219301</v>
      </c>
      <c r="S252" s="988">
        <v>2020</v>
      </c>
      <c r="T252" s="988">
        <v>2020</v>
      </c>
    </row>
    <row r="253" spans="1:20" s="2" customFormat="1" ht="40.799999999999997" customHeight="1">
      <c r="A253" s="1249">
        <v>210</v>
      </c>
      <c r="B253" s="1245" t="s">
        <v>1796</v>
      </c>
      <c r="C253" s="1255">
        <v>1978</v>
      </c>
      <c r="D253" s="1255"/>
      <c r="E253" s="1249" t="s">
        <v>218</v>
      </c>
      <c r="F253" s="1255">
        <v>2</v>
      </c>
      <c r="G253" s="1255">
        <v>3</v>
      </c>
      <c r="H253" s="985">
        <v>858.3</v>
      </c>
      <c r="I253" s="985">
        <v>495.3</v>
      </c>
      <c r="J253" s="985">
        <v>495.3</v>
      </c>
      <c r="K253" s="995">
        <v>36</v>
      </c>
      <c r="L253" s="987">
        <v>2118761</v>
      </c>
      <c r="M253" s="987">
        <v>0</v>
      </c>
      <c r="N253" s="987">
        <v>0</v>
      </c>
      <c r="O253" s="987">
        <f t="shared" si="65"/>
        <v>2118761</v>
      </c>
      <c r="P253" s="998">
        <v>0</v>
      </c>
      <c r="Q253" s="987">
        <v>0</v>
      </c>
      <c r="R253" s="985">
        <f>L253/I253</f>
        <v>4277.7326872602462</v>
      </c>
      <c r="S253" s="988">
        <v>2020</v>
      </c>
      <c r="T253" s="988">
        <v>2020</v>
      </c>
    </row>
    <row r="254" spans="1:20" s="2" customFormat="1" ht="36.6" customHeight="1">
      <c r="A254" s="1249"/>
      <c r="B254" s="1510" t="s">
        <v>1384</v>
      </c>
      <c r="C254" s="1511"/>
      <c r="D254" s="1511"/>
      <c r="E254" s="1511"/>
      <c r="F254" s="1511"/>
      <c r="G254" s="1512"/>
      <c r="H254" s="985">
        <f>H255</f>
        <v>1237.5</v>
      </c>
      <c r="I254" s="985">
        <f t="shared" ref="I254:Q254" si="66">I255</f>
        <v>863.3</v>
      </c>
      <c r="J254" s="985">
        <f t="shared" si="66"/>
        <v>778.1</v>
      </c>
      <c r="K254" s="995">
        <f t="shared" si="66"/>
        <v>58</v>
      </c>
      <c r="L254" s="985">
        <f t="shared" si="66"/>
        <v>2788912</v>
      </c>
      <c r="M254" s="985">
        <f t="shared" si="66"/>
        <v>0</v>
      </c>
      <c r="N254" s="985">
        <f t="shared" si="66"/>
        <v>0</v>
      </c>
      <c r="O254" s="985">
        <f t="shared" si="66"/>
        <v>2788912</v>
      </c>
      <c r="P254" s="985">
        <f t="shared" si="66"/>
        <v>0</v>
      </c>
      <c r="Q254" s="985">
        <f t="shared" si="66"/>
        <v>0</v>
      </c>
      <c r="R254" s="996" t="s">
        <v>40</v>
      </c>
      <c r="S254" s="996" t="s">
        <v>40</v>
      </c>
      <c r="T254" s="996" t="s">
        <v>40</v>
      </c>
    </row>
    <row r="255" spans="1:20" s="2" customFormat="1" ht="39" customHeight="1">
      <c r="A255" s="1249">
        <v>211</v>
      </c>
      <c r="B255" s="1245" t="s">
        <v>1385</v>
      </c>
      <c r="C255" s="1255">
        <v>1976</v>
      </c>
      <c r="D255" s="1255"/>
      <c r="E255" s="1249" t="s">
        <v>218</v>
      </c>
      <c r="F255" s="1255">
        <v>2</v>
      </c>
      <c r="G255" s="1255">
        <v>3</v>
      </c>
      <c r="H255" s="985">
        <v>1237.5</v>
      </c>
      <c r="I255" s="985">
        <v>863.3</v>
      </c>
      <c r="J255" s="985">
        <v>778.1</v>
      </c>
      <c r="K255" s="995">
        <v>58</v>
      </c>
      <c r="L255" s="987">
        <v>2788912</v>
      </c>
      <c r="M255" s="987">
        <v>0</v>
      </c>
      <c r="N255" s="987">
        <v>0</v>
      </c>
      <c r="O255" s="987">
        <v>2788912</v>
      </c>
      <c r="P255" s="998">
        <v>0</v>
      </c>
      <c r="Q255" s="987">
        <v>0</v>
      </c>
      <c r="R255" s="985">
        <f>L255/I255</f>
        <v>3230.5247306845827</v>
      </c>
      <c r="S255" s="988">
        <v>2020</v>
      </c>
      <c r="T255" s="988">
        <v>2020</v>
      </c>
    </row>
    <row r="256" spans="1:20" s="2" customFormat="1" ht="36.6" customHeight="1">
      <c r="A256" s="1249"/>
      <c r="B256" s="1510" t="s">
        <v>1168</v>
      </c>
      <c r="C256" s="1511"/>
      <c r="D256" s="1511"/>
      <c r="E256" s="1511"/>
      <c r="F256" s="1511"/>
      <c r="G256" s="1512"/>
      <c r="H256" s="985">
        <f>H257</f>
        <v>864.2</v>
      </c>
      <c r="I256" s="985">
        <f t="shared" ref="I256:Q256" si="67">I257</f>
        <v>859.4</v>
      </c>
      <c r="J256" s="985">
        <f t="shared" si="67"/>
        <v>798.7</v>
      </c>
      <c r="K256" s="985">
        <f t="shared" si="67"/>
        <v>32</v>
      </c>
      <c r="L256" s="985">
        <f t="shared" si="67"/>
        <v>1723365</v>
      </c>
      <c r="M256" s="985">
        <f t="shared" si="67"/>
        <v>0</v>
      </c>
      <c r="N256" s="985">
        <f t="shared" si="67"/>
        <v>0</v>
      </c>
      <c r="O256" s="985">
        <f t="shared" si="67"/>
        <v>1723365</v>
      </c>
      <c r="P256" s="985">
        <f t="shared" si="67"/>
        <v>0</v>
      </c>
      <c r="Q256" s="985">
        <f t="shared" si="67"/>
        <v>0</v>
      </c>
      <c r="R256" s="996" t="s">
        <v>40</v>
      </c>
      <c r="S256" s="996" t="s">
        <v>40</v>
      </c>
      <c r="T256" s="996" t="s">
        <v>40</v>
      </c>
    </row>
    <row r="257" spans="1:20" s="2" customFormat="1" ht="36.6" customHeight="1">
      <c r="A257" s="1249">
        <v>212</v>
      </c>
      <c r="B257" s="1260" t="s">
        <v>1412</v>
      </c>
      <c r="C257" s="1255">
        <v>1978</v>
      </c>
      <c r="D257" s="1255"/>
      <c r="E257" s="1249" t="s">
        <v>220</v>
      </c>
      <c r="F257" s="1255">
        <v>3</v>
      </c>
      <c r="G257" s="1255">
        <v>2</v>
      </c>
      <c r="H257" s="985">
        <v>864.2</v>
      </c>
      <c r="I257" s="985">
        <v>859.4</v>
      </c>
      <c r="J257" s="985">
        <v>798.7</v>
      </c>
      <c r="K257" s="995">
        <v>32</v>
      </c>
      <c r="L257" s="987">
        <v>1723365</v>
      </c>
      <c r="M257" s="987">
        <v>0</v>
      </c>
      <c r="N257" s="987">
        <v>0</v>
      </c>
      <c r="O257" s="987">
        <v>1723365</v>
      </c>
      <c r="P257" s="998">
        <v>0</v>
      </c>
      <c r="Q257" s="987">
        <v>0</v>
      </c>
      <c r="R257" s="985">
        <f>L257/I257</f>
        <v>2005.3118454735863</v>
      </c>
      <c r="S257" s="988">
        <v>2020</v>
      </c>
      <c r="T257" s="988">
        <v>2020</v>
      </c>
    </row>
    <row r="258" spans="1:20" s="2" customFormat="1" ht="36.6" customHeight="1">
      <c r="A258" s="1249"/>
      <c r="B258" s="1510" t="s">
        <v>1194</v>
      </c>
      <c r="C258" s="1511"/>
      <c r="D258" s="1511"/>
      <c r="E258" s="1511"/>
      <c r="F258" s="1511"/>
      <c r="G258" s="1512"/>
      <c r="H258" s="985">
        <f>H259+H260</f>
        <v>2719.4</v>
      </c>
      <c r="I258" s="985">
        <f t="shared" ref="I258:Q258" si="68">I259+I260</f>
        <v>2719.4</v>
      </c>
      <c r="J258" s="985">
        <f t="shared" si="68"/>
        <v>1928.9</v>
      </c>
      <c r="K258" s="995">
        <f t="shared" si="68"/>
        <v>120</v>
      </c>
      <c r="L258" s="985">
        <f t="shared" si="68"/>
        <v>2777749</v>
      </c>
      <c r="M258" s="985">
        <f t="shared" si="68"/>
        <v>0</v>
      </c>
      <c r="N258" s="985">
        <f t="shared" si="68"/>
        <v>0</v>
      </c>
      <c r="O258" s="985">
        <f t="shared" si="68"/>
        <v>2777749</v>
      </c>
      <c r="P258" s="985">
        <f t="shared" si="68"/>
        <v>0</v>
      </c>
      <c r="Q258" s="985">
        <f t="shared" si="68"/>
        <v>0</v>
      </c>
      <c r="R258" s="996" t="s">
        <v>40</v>
      </c>
      <c r="S258" s="996" t="s">
        <v>40</v>
      </c>
      <c r="T258" s="996" t="s">
        <v>40</v>
      </c>
    </row>
    <row r="259" spans="1:20" s="997" customFormat="1" ht="42" customHeight="1">
      <c r="A259" s="1249">
        <v>213</v>
      </c>
      <c r="B259" s="1248" t="s">
        <v>1797</v>
      </c>
      <c r="C259" s="1255">
        <v>1972</v>
      </c>
      <c r="D259" s="1255"/>
      <c r="E259" s="1249" t="s">
        <v>218</v>
      </c>
      <c r="F259" s="1255">
        <v>2</v>
      </c>
      <c r="G259" s="1255">
        <v>2</v>
      </c>
      <c r="H259" s="985">
        <v>796.2</v>
      </c>
      <c r="I259" s="985">
        <v>796.2</v>
      </c>
      <c r="J259" s="985">
        <v>566.5</v>
      </c>
      <c r="K259" s="995">
        <v>30</v>
      </c>
      <c r="L259" s="987">
        <v>1985460</v>
      </c>
      <c r="M259" s="987">
        <v>0</v>
      </c>
      <c r="N259" s="987">
        <v>0</v>
      </c>
      <c r="O259" s="987">
        <v>1985460</v>
      </c>
      <c r="P259" s="998">
        <v>0</v>
      </c>
      <c r="Q259" s="987">
        <v>0</v>
      </c>
      <c r="R259" s="985">
        <f>L259/I259</f>
        <v>2493.6699321778447</v>
      </c>
      <c r="S259" s="988">
        <v>2020</v>
      </c>
      <c r="T259" s="988">
        <v>2020</v>
      </c>
    </row>
    <row r="260" spans="1:20" s="997" customFormat="1" ht="36" customHeight="1">
      <c r="A260" s="1249">
        <v>214</v>
      </c>
      <c r="B260" s="1248" t="s">
        <v>1798</v>
      </c>
      <c r="C260" s="1255">
        <v>1964</v>
      </c>
      <c r="D260" s="1255"/>
      <c r="E260" s="1249" t="s">
        <v>219</v>
      </c>
      <c r="F260" s="1255">
        <v>4</v>
      </c>
      <c r="G260" s="1255">
        <v>4</v>
      </c>
      <c r="H260" s="985">
        <v>1923.2</v>
      </c>
      <c r="I260" s="985">
        <v>1923.2</v>
      </c>
      <c r="J260" s="985">
        <v>1362.4</v>
      </c>
      <c r="K260" s="995">
        <v>90</v>
      </c>
      <c r="L260" s="987">
        <v>792289</v>
      </c>
      <c r="M260" s="987">
        <v>0</v>
      </c>
      <c r="N260" s="987">
        <v>0</v>
      </c>
      <c r="O260" s="987">
        <v>792289</v>
      </c>
      <c r="P260" s="998">
        <v>0</v>
      </c>
      <c r="Q260" s="987">
        <v>0</v>
      </c>
      <c r="R260" s="985">
        <f>L260/I260</f>
        <v>411.96391430948421</v>
      </c>
      <c r="S260" s="988">
        <v>2020</v>
      </c>
      <c r="T260" s="988">
        <v>2020</v>
      </c>
    </row>
    <row r="261" spans="1:20" s="997" customFormat="1" ht="36" customHeight="1">
      <c r="A261" s="1249"/>
      <c r="B261" s="1513" t="s">
        <v>50</v>
      </c>
      <c r="C261" s="1513"/>
      <c r="D261" s="1513"/>
      <c r="E261" s="1513"/>
      <c r="F261" s="1513"/>
      <c r="G261" s="1513"/>
      <c r="H261" s="985">
        <f>H262</f>
        <v>29928.080000000002</v>
      </c>
      <c r="I261" s="985">
        <f t="shared" ref="I261:O261" si="69">I262</f>
        <v>26891.98</v>
      </c>
      <c r="J261" s="985">
        <f t="shared" si="69"/>
        <v>25264.58</v>
      </c>
      <c r="K261" s="995">
        <f t="shared" si="69"/>
        <v>992</v>
      </c>
      <c r="L261" s="987">
        <f t="shared" si="69"/>
        <v>23576771</v>
      </c>
      <c r="M261" s="987">
        <f t="shared" si="69"/>
        <v>0</v>
      </c>
      <c r="N261" s="987">
        <v>0</v>
      </c>
      <c r="O261" s="987">
        <f t="shared" si="69"/>
        <v>23576771</v>
      </c>
      <c r="P261" s="998">
        <v>0</v>
      </c>
      <c r="Q261" s="987">
        <v>0</v>
      </c>
      <c r="R261" s="996" t="s">
        <v>40</v>
      </c>
      <c r="S261" s="996" t="s">
        <v>40</v>
      </c>
      <c r="T261" s="996" t="s">
        <v>40</v>
      </c>
    </row>
    <row r="262" spans="1:20" s="997" customFormat="1" ht="36" customHeight="1">
      <c r="A262" s="1249"/>
      <c r="B262" s="1513" t="s">
        <v>1081</v>
      </c>
      <c r="C262" s="1513"/>
      <c r="D262" s="1513"/>
      <c r="E262" s="1513"/>
      <c r="F262" s="1513"/>
      <c r="G262" s="1513"/>
      <c r="H262" s="985">
        <f>SUM(H263:H270)</f>
        <v>29928.080000000002</v>
      </c>
      <c r="I262" s="985">
        <f t="shared" ref="I262:Q262" si="70">SUM(I263:I270)</f>
        <v>26891.98</v>
      </c>
      <c r="J262" s="985">
        <f t="shared" si="70"/>
        <v>25264.58</v>
      </c>
      <c r="K262" s="995">
        <f t="shared" si="70"/>
        <v>992</v>
      </c>
      <c r="L262" s="985">
        <f t="shared" si="70"/>
        <v>23576771</v>
      </c>
      <c r="M262" s="985">
        <f t="shared" si="70"/>
        <v>0</v>
      </c>
      <c r="N262" s="985">
        <f t="shared" si="70"/>
        <v>0</v>
      </c>
      <c r="O262" s="985">
        <f t="shared" si="70"/>
        <v>23576771</v>
      </c>
      <c r="P262" s="985">
        <f t="shared" si="70"/>
        <v>0</v>
      </c>
      <c r="Q262" s="985">
        <f t="shared" si="70"/>
        <v>0</v>
      </c>
      <c r="R262" s="996" t="s">
        <v>40</v>
      </c>
      <c r="S262" s="996" t="s">
        <v>40</v>
      </c>
      <c r="T262" s="996" t="s">
        <v>40</v>
      </c>
    </row>
    <row r="263" spans="1:20" s="997" customFormat="1" ht="40.799999999999997" customHeight="1">
      <c r="A263" s="1046">
        <v>215</v>
      </c>
      <c r="B263" s="1265" t="s">
        <v>1367</v>
      </c>
      <c r="C263" s="1079">
        <v>1985</v>
      </c>
      <c r="D263" s="1079"/>
      <c r="E263" s="1249" t="s">
        <v>218</v>
      </c>
      <c r="F263" s="1037">
        <v>5</v>
      </c>
      <c r="G263" s="1037">
        <v>8</v>
      </c>
      <c r="H263" s="1080">
        <v>5886.4</v>
      </c>
      <c r="I263" s="1080">
        <v>5280.1</v>
      </c>
      <c r="J263" s="1080">
        <v>5079.6000000000004</v>
      </c>
      <c r="K263" s="1039">
        <v>176</v>
      </c>
      <c r="L263" s="1081">
        <v>4293103</v>
      </c>
      <c r="M263" s="1081">
        <v>0</v>
      </c>
      <c r="N263" s="1081">
        <v>0</v>
      </c>
      <c r="O263" s="1081">
        <v>4293103</v>
      </c>
      <c r="P263" s="1038">
        <v>0</v>
      </c>
      <c r="Q263" s="1038">
        <v>0</v>
      </c>
      <c r="R263" s="1082">
        <f>L263/I263</f>
        <v>813.07229029753216</v>
      </c>
      <c r="S263" s="1048">
        <v>2020</v>
      </c>
      <c r="T263" s="1048">
        <v>2020</v>
      </c>
    </row>
    <row r="264" spans="1:20" s="997" customFormat="1" ht="44.4" customHeight="1">
      <c r="A264" s="1046">
        <v>216</v>
      </c>
      <c r="B264" s="1265" t="s">
        <v>1368</v>
      </c>
      <c r="C264" s="1079">
        <v>1985</v>
      </c>
      <c r="D264" s="1079"/>
      <c r="E264" s="1249" t="s">
        <v>218</v>
      </c>
      <c r="F264" s="1037">
        <v>5</v>
      </c>
      <c r="G264" s="1037">
        <v>6</v>
      </c>
      <c r="H264" s="1080">
        <v>4600.8</v>
      </c>
      <c r="I264" s="1080">
        <v>4163.3999999999996</v>
      </c>
      <c r="J264" s="1080">
        <v>3901.8</v>
      </c>
      <c r="K264" s="1039">
        <v>169</v>
      </c>
      <c r="L264" s="1081">
        <v>3619249</v>
      </c>
      <c r="M264" s="1081">
        <v>0</v>
      </c>
      <c r="N264" s="1081">
        <v>0</v>
      </c>
      <c r="O264" s="1081">
        <v>3619249</v>
      </c>
      <c r="P264" s="1038">
        <v>0</v>
      </c>
      <c r="Q264" s="1038">
        <v>0</v>
      </c>
      <c r="R264" s="1082">
        <f>L264/I264</f>
        <v>869.30129221309517</v>
      </c>
      <c r="S264" s="1048">
        <v>2020</v>
      </c>
      <c r="T264" s="1048">
        <v>2020</v>
      </c>
    </row>
    <row r="265" spans="1:20" s="997" customFormat="1" ht="42" customHeight="1">
      <c r="A265" s="1046">
        <v>217</v>
      </c>
      <c r="B265" s="1265" t="s">
        <v>1369</v>
      </c>
      <c r="C265" s="1079">
        <v>1985</v>
      </c>
      <c r="D265" s="1079"/>
      <c r="E265" s="1249" t="s">
        <v>218</v>
      </c>
      <c r="F265" s="1037">
        <v>5</v>
      </c>
      <c r="G265" s="1037">
        <v>6</v>
      </c>
      <c r="H265" s="1080">
        <v>4561.1000000000004</v>
      </c>
      <c r="I265" s="1080">
        <v>4119.2</v>
      </c>
      <c r="J265" s="1080">
        <v>3977.3</v>
      </c>
      <c r="K265" s="1039">
        <v>156</v>
      </c>
      <c r="L265" s="1081">
        <v>3260585</v>
      </c>
      <c r="M265" s="1081">
        <v>0</v>
      </c>
      <c r="N265" s="1081">
        <v>0</v>
      </c>
      <c r="O265" s="1081">
        <v>3260585</v>
      </c>
      <c r="P265" s="1038">
        <v>0</v>
      </c>
      <c r="Q265" s="1038">
        <v>0</v>
      </c>
      <c r="R265" s="1082">
        <f t="shared" ref="R265:R270" si="71">L265/I265</f>
        <v>791.55782676247816</v>
      </c>
      <c r="S265" s="1048">
        <v>2020</v>
      </c>
      <c r="T265" s="1048">
        <v>2020</v>
      </c>
    </row>
    <row r="266" spans="1:20" s="997" customFormat="1" ht="39.6" customHeight="1">
      <c r="A266" s="1046">
        <v>218</v>
      </c>
      <c r="B266" s="1265" t="s">
        <v>1370</v>
      </c>
      <c r="C266" s="1079">
        <v>1984</v>
      </c>
      <c r="D266" s="1079"/>
      <c r="E266" s="1249" t="s">
        <v>218</v>
      </c>
      <c r="F266" s="1037">
        <v>5</v>
      </c>
      <c r="G266" s="1037">
        <v>4</v>
      </c>
      <c r="H266" s="1080">
        <v>3168.2</v>
      </c>
      <c r="I266" s="1080">
        <v>2811.3</v>
      </c>
      <c r="J266" s="1080">
        <v>2377.1</v>
      </c>
      <c r="K266" s="1039">
        <v>99</v>
      </c>
      <c r="L266" s="1081">
        <v>2253607</v>
      </c>
      <c r="M266" s="1081">
        <v>0</v>
      </c>
      <c r="N266" s="1081">
        <v>0</v>
      </c>
      <c r="O266" s="1081">
        <v>2253607</v>
      </c>
      <c r="P266" s="1038">
        <v>0</v>
      </c>
      <c r="Q266" s="1038">
        <v>0</v>
      </c>
      <c r="R266" s="1082">
        <f t="shared" si="71"/>
        <v>801.62451534877096</v>
      </c>
      <c r="S266" s="1048">
        <v>2020</v>
      </c>
      <c r="T266" s="1048">
        <v>2020</v>
      </c>
    </row>
    <row r="267" spans="1:20" s="997" customFormat="1" ht="42" customHeight="1">
      <c r="A267" s="1046">
        <v>219</v>
      </c>
      <c r="B267" s="1265" t="s">
        <v>1366</v>
      </c>
      <c r="C267" s="1079">
        <v>1984</v>
      </c>
      <c r="D267" s="1079"/>
      <c r="E267" s="1249" t="s">
        <v>218</v>
      </c>
      <c r="F267" s="1037">
        <v>5</v>
      </c>
      <c r="G267" s="1037">
        <v>6</v>
      </c>
      <c r="H267" s="1080">
        <v>4190.8999999999996</v>
      </c>
      <c r="I267" s="1080">
        <v>3742.9</v>
      </c>
      <c r="J267" s="1080">
        <v>3606.8</v>
      </c>
      <c r="K267" s="1039">
        <v>130</v>
      </c>
      <c r="L267" s="1081">
        <v>3380139</v>
      </c>
      <c r="M267" s="1081">
        <v>0</v>
      </c>
      <c r="N267" s="1081">
        <v>0</v>
      </c>
      <c r="O267" s="1081">
        <v>3380139</v>
      </c>
      <c r="P267" s="1038">
        <v>0</v>
      </c>
      <c r="Q267" s="1038">
        <v>0</v>
      </c>
      <c r="R267" s="1082">
        <f t="shared" si="71"/>
        <v>903.08023190574147</v>
      </c>
      <c r="S267" s="1048">
        <v>2020</v>
      </c>
      <c r="T267" s="1048">
        <v>2020</v>
      </c>
    </row>
    <row r="268" spans="1:20" s="997" customFormat="1" ht="36" customHeight="1">
      <c r="A268" s="1046">
        <v>220</v>
      </c>
      <c r="B268" s="1265" t="s">
        <v>1371</v>
      </c>
      <c r="C268" s="1079">
        <v>1980</v>
      </c>
      <c r="D268" s="1079"/>
      <c r="E268" s="1083" t="s">
        <v>220</v>
      </c>
      <c r="F268" s="1037">
        <v>5</v>
      </c>
      <c r="G268" s="1037">
        <v>4</v>
      </c>
      <c r="H268" s="1084">
        <v>3179.38</v>
      </c>
      <c r="I268" s="1080">
        <v>2868.48</v>
      </c>
      <c r="J268" s="1080">
        <v>2694.38</v>
      </c>
      <c r="K268" s="1039">
        <v>102</v>
      </c>
      <c r="L268" s="1081">
        <v>2119380</v>
      </c>
      <c r="M268" s="1081">
        <v>0</v>
      </c>
      <c r="N268" s="1081">
        <v>0</v>
      </c>
      <c r="O268" s="1081">
        <v>2119380</v>
      </c>
      <c r="P268" s="1038">
        <v>0</v>
      </c>
      <c r="Q268" s="1038">
        <v>0</v>
      </c>
      <c r="R268" s="1082">
        <f t="shared" si="71"/>
        <v>738.8512382864792</v>
      </c>
      <c r="S268" s="1048">
        <v>2020</v>
      </c>
      <c r="T268" s="1048">
        <v>2020</v>
      </c>
    </row>
    <row r="269" spans="1:20" s="997" customFormat="1" ht="40.200000000000003" customHeight="1">
      <c r="A269" s="1046">
        <v>221</v>
      </c>
      <c r="B269" s="1265" t="s">
        <v>1372</v>
      </c>
      <c r="C269" s="1085">
        <v>1983</v>
      </c>
      <c r="D269" s="1086"/>
      <c r="E269" s="1249" t="s">
        <v>218</v>
      </c>
      <c r="F269" s="1085">
        <v>5</v>
      </c>
      <c r="G269" s="1085">
        <v>5</v>
      </c>
      <c r="H269" s="1087">
        <v>4054</v>
      </c>
      <c r="I269" s="1088">
        <v>3640.8</v>
      </c>
      <c r="J269" s="1088">
        <v>3361.8</v>
      </c>
      <c r="K269" s="1089">
        <v>150</v>
      </c>
      <c r="L269" s="1090">
        <v>2988869</v>
      </c>
      <c r="M269" s="1081">
        <v>0</v>
      </c>
      <c r="N269" s="1081">
        <v>0</v>
      </c>
      <c r="O269" s="1090">
        <v>2988869</v>
      </c>
      <c r="P269" s="1038">
        <v>0</v>
      </c>
      <c r="Q269" s="1038">
        <v>0</v>
      </c>
      <c r="R269" s="1082">
        <f t="shared" si="71"/>
        <v>820.93743133377279</v>
      </c>
      <c r="S269" s="1048">
        <v>2020</v>
      </c>
      <c r="T269" s="1048">
        <v>2020</v>
      </c>
    </row>
    <row r="270" spans="1:20" s="997" customFormat="1" ht="42" customHeight="1">
      <c r="A270" s="1046">
        <v>222</v>
      </c>
      <c r="B270" s="1265" t="s">
        <v>1373</v>
      </c>
      <c r="C270" s="1091">
        <v>1950</v>
      </c>
      <c r="D270" s="1048"/>
      <c r="E270" s="1249" t="s">
        <v>218</v>
      </c>
      <c r="F270" s="1092">
        <v>1</v>
      </c>
      <c r="G270" s="1048">
        <v>2</v>
      </c>
      <c r="H270" s="1093">
        <v>287.3</v>
      </c>
      <c r="I270" s="1093">
        <v>265.8</v>
      </c>
      <c r="J270" s="1093">
        <v>265.8</v>
      </c>
      <c r="K270" s="1077">
        <v>10</v>
      </c>
      <c r="L270" s="1067">
        <v>1661839</v>
      </c>
      <c r="M270" s="1038">
        <v>0</v>
      </c>
      <c r="N270" s="1038">
        <v>0</v>
      </c>
      <c r="O270" s="1067">
        <v>1661839</v>
      </c>
      <c r="P270" s="1038">
        <v>0</v>
      </c>
      <c r="Q270" s="1038">
        <v>0</v>
      </c>
      <c r="R270" s="1082">
        <f t="shared" si="71"/>
        <v>6252.215951843491</v>
      </c>
      <c r="S270" s="1048">
        <v>2020</v>
      </c>
      <c r="T270" s="1048">
        <v>2020</v>
      </c>
    </row>
    <row r="271" spans="1:20" s="997" customFormat="1" ht="36" customHeight="1">
      <c r="A271" s="1249"/>
      <c r="B271" s="1513" t="s">
        <v>1221</v>
      </c>
      <c r="C271" s="1513"/>
      <c r="D271" s="1513"/>
      <c r="E271" s="1513"/>
      <c r="F271" s="1513"/>
      <c r="G271" s="1513"/>
      <c r="H271" s="985">
        <f>SUM(H272:H279)</f>
        <v>11762.699999999999</v>
      </c>
      <c r="I271" s="985">
        <f t="shared" ref="I271:Q271" si="72">SUM(I272:I279)</f>
        <v>11762.699999999999</v>
      </c>
      <c r="J271" s="985">
        <f t="shared" si="72"/>
        <v>8099.4</v>
      </c>
      <c r="K271" s="995">
        <f t="shared" si="72"/>
        <v>522</v>
      </c>
      <c r="L271" s="985">
        <f t="shared" si="72"/>
        <v>13183897</v>
      </c>
      <c r="M271" s="985">
        <f t="shared" si="72"/>
        <v>0</v>
      </c>
      <c r="N271" s="985">
        <f t="shared" si="72"/>
        <v>0</v>
      </c>
      <c r="O271" s="985">
        <f t="shared" si="72"/>
        <v>13183897</v>
      </c>
      <c r="P271" s="985">
        <f t="shared" si="72"/>
        <v>0</v>
      </c>
      <c r="Q271" s="985">
        <f t="shared" si="72"/>
        <v>0</v>
      </c>
      <c r="R271" s="996" t="s">
        <v>40</v>
      </c>
      <c r="S271" s="996" t="s">
        <v>40</v>
      </c>
      <c r="T271" s="996" t="s">
        <v>40</v>
      </c>
    </row>
    <row r="272" spans="1:20" s="997" customFormat="1" ht="42" customHeight="1">
      <c r="A272" s="1046">
        <v>223</v>
      </c>
      <c r="B272" s="1070" t="s">
        <v>2332</v>
      </c>
      <c r="C272" s="1046">
        <v>1966</v>
      </c>
      <c r="D272" s="1048"/>
      <c r="E272" s="1249" t="s">
        <v>218</v>
      </c>
      <c r="F272" s="1048">
        <v>2</v>
      </c>
      <c r="G272" s="1048">
        <v>1</v>
      </c>
      <c r="H272" s="1067">
        <v>381.7</v>
      </c>
      <c r="I272" s="1067">
        <v>381.7</v>
      </c>
      <c r="J272" s="1067">
        <v>350.1</v>
      </c>
      <c r="K272" s="1077">
        <v>11</v>
      </c>
      <c r="L272" s="985">
        <v>685130</v>
      </c>
      <c r="M272" s="985">
        <v>0</v>
      </c>
      <c r="N272" s="985">
        <v>0</v>
      </c>
      <c r="O272" s="985">
        <v>685130</v>
      </c>
      <c r="P272" s="1067">
        <v>0</v>
      </c>
      <c r="Q272" s="1067">
        <v>0</v>
      </c>
      <c r="R272" s="1067">
        <f>L272/I272</f>
        <v>1794.9436730416558</v>
      </c>
      <c r="S272" s="1048">
        <v>2020</v>
      </c>
      <c r="T272" s="1048">
        <v>2020</v>
      </c>
    </row>
    <row r="273" spans="1:20" s="997" customFormat="1" ht="40.799999999999997" customHeight="1">
      <c r="A273" s="1046">
        <v>224</v>
      </c>
      <c r="B273" s="1070" t="s">
        <v>1799</v>
      </c>
      <c r="C273" s="1026" t="s">
        <v>190</v>
      </c>
      <c r="D273" s="1037"/>
      <c r="E273" s="1249" t="s">
        <v>218</v>
      </c>
      <c r="F273" s="1037">
        <v>2</v>
      </c>
      <c r="G273" s="1037">
        <v>4</v>
      </c>
      <c r="H273" s="1038">
        <v>410.9</v>
      </c>
      <c r="I273" s="1038">
        <v>410.9</v>
      </c>
      <c r="J273" s="1038">
        <v>216</v>
      </c>
      <c r="K273" s="1039">
        <v>16</v>
      </c>
      <c r="L273" s="985">
        <v>1294611</v>
      </c>
      <c r="M273" s="985">
        <v>0</v>
      </c>
      <c r="N273" s="985">
        <v>0</v>
      </c>
      <c r="O273" s="985">
        <v>1294611</v>
      </c>
      <c r="P273" s="1038">
        <v>0</v>
      </c>
      <c r="Q273" s="1038">
        <v>0</v>
      </c>
      <c r="R273" s="1067">
        <f t="shared" ref="R273:R279" si="73">L273/I273</f>
        <v>3150.6716962764663</v>
      </c>
      <c r="S273" s="1048">
        <v>2020</v>
      </c>
      <c r="T273" s="1048">
        <v>2020</v>
      </c>
    </row>
    <row r="274" spans="1:20" s="997" customFormat="1" ht="39.6" customHeight="1">
      <c r="A274" s="1046">
        <v>225</v>
      </c>
      <c r="B274" s="1028" t="s">
        <v>1127</v>
      </c>
      <c r="C274" s="1046">
        <v>1978</v>
      </c>
      <c r="D274" s="1048"/>
      <c r="E274" s="1249" t="s">
        <v>218</v>
      </c>
      <c r="F274" s="1048">
        <v>2</v>
      </c>
      <c r="G274" s="1048">
        <v>2</v>
      </c>
      <c r="H274" s="1067">
        <v>190.7</v>
      </c>
      <c r="I274" s="1067">
        <v>190.7</v>
      </c>
      <c r="J274" s="1067">
        <v>124.3</v>
      </c>
      <c r="K274" s="1077">
        <v>127</v>
      </c>
      <c r="L274" s="985">
        <v>2416147</v>
      </c>
      <c r="M274" s="985">
        <v>0</v>
      </c>
      <c r="N274" s="985">
        <v>0</v>
      </c>
      <c r="O274" s="985">
        <v>2416147</v>
      </c>
      <c r="P274" s="1067">
        <v>0</v>
      </c>
      <c r="Q274" s="1067">
        <v>0</v>
      </c>
      <c r="R274" s="1067">
        <f t="shared" si="73"/>
        <v>12669.884635553226</v>
      </c>
      <c r="S274" s="1048">
        <v>2020</v>
      </c>
      <c r="T274" s="1048">
        <v>2020</v>
      </c>
    </row>
    <row r="275" spans="1:20" s="997" customFormat="1" ht="39.6" customHeight="1">
      <c r="A275" s="1046">
        <v>226</v>
      </c>
      <c r="B275" s="1070" t="s">
        <v>1800</v>
      </c>
      <c r="C275" s="1026" t="s">
        <v>190</v>
      </c>
      <c r="D275" s="1026"/>
      <c r="E275" s="1249" t="s">
        <v>218</v>
      </c>
      <c r="F275" s="1026">
        <v>2</v>
      </c>
      <c r="G275" s="1026">
        <v>3</v>
      </c>
      <c r="H275" s="1057">
        <v>256.89999999999998</v>
      </c>
      <c r="I275" s="1057">
        <v>256.89999999999998</v>
      </c>
      <c r="J275" s="1057">
        <v>169.9</v>
      </c>
      <c r="K275" s="1036">
        <v>14</v>
      </c>
      <c r="L275" s="985">
        <v>981535</v>
      </c>
      <c r="M275" s="998">
        <v>0</v>
      </c>
      <c r="N275" s="998">
        <v>0</v>
      </c>
      <c r="O275" s="985">
        <v>981535</v>
      </c>
      <c r="P275" s="1057">
        <v>0</v>
      </c>
      <c r="Q275" s="1057">
        <v>0</v>
      </c>
      <c r="R275" s="1067">
        <f t="shared" si="73"/>
        <v>3820.6889840404829</v>
      </c>
      <c r="S275" s="1048">
        <v>2020</v>
      </c>
      <c r="T275" s="1048">
        <v>2020</v>
      </c>
    </row>
    <row r="276" spans="1:20" s="997" customFormat="1" ht="36" customHeight="1">
      <c r="A276" s="1046">
        <v>227</v>
      </c>
      <c r="B276" s="1070" t="s">
        <v>1801</v>
      </c>
      <c r="C276" s="1048">
        <v>1978</v>
      </c>
      <c r="D276" s="1048"/>
      <c r="E276" s="1046" t="s">
        <v>219</v>
      </c>
      <c r="F276" s="1048">
        <v>5</v>
      </c>
      <c r="G276" s="1048">
        <v>6</v>
      </c>
      <c r="H276" s="1067">
        <v>4393.5</v>
      </c>
      <c r="I276" s="1067">
        <v>4393.5</v>
      </c>
      <c r="J276" s="1067">
        <v>2915.9</v>
      </c>
      <c r="K276" s="1077">
        <v>145</v>
      </c>
      <c r="L276" s="985">
        <v>3253520</v>
      </c>
      <c r="M276" s="985">
        <v>0</v>
      </c>
      <c r="N276" s="985">
        <v>0</v>
      </c>
      <c r="O276" s="985">
        <v>3253520</v>
      </c>
      <c r="P276" s="1067">
        <v>0</v>
      </c>
      <c r="Q276" s="1067">
        <v>0</v>
      </c>
      <c r="R276" s="1067">
        <f t="shared" si="73"/>
        <v>740.53032889495842</v>
      </c>
      <c r="S276" s="1048">
        <v>2020</v>
      </c>
      <c r="T276" s="1048">
        <v>2020</v>
      </c>
    </row>
    <row r="277" spans="1:20" s="997" customFormat="1" ht="42" customHeight="1">
      <c r="A277" s="1046">
        <v>228</v>
      </c>
      <c r="B277" s="1070" t="s">
        <v>1802</v>
      </c>
      <c r="C277" s="1026">
        <v>1962</v>
      </c>
      <c r="D277" s="1048"/>
      <c r="E277" s="1249" t="s">
        <v>218</v>
      </c>
      <c r="F277" s="1026">
        <v>2</v>
      </c>
      <c r="G277" s="1026">
        <v>1</v>
      </c>
      <c r="H277" s="1057">
        <v>305.89999999999998</v>
      </c>
      <c r="I277" s="1057">
        <v>305.89999999999998</v>
      </c>
      <c r="J277" s="1057">
        <v>184</v>
      </c>
      <c r="K277" s="1036">
        <v>13</v>
      </c>
      <c r="L277" s="985">
        <v>730396</v>
      </c>
      <c r="M277" s="998">
        <v>0</v>
      </c>
      <c r="N277" s="998">
        <v>0</v>
      </c>
      <c r="O277" s="985">
        <v>730396</v>
      </c>
      <c r="P277" s="1057">
        <v>0</v>
      </c>
      <c r="Q277" s="1057">
        <v>0</v>
      </c>
      <c r="R277" s="1067">
        <f t="shared" si="73"/>
        <v>2387.6953252696962</v>
      </c>
      <c r="S277" s="1048">
        <v>2020</v>
      </c>
      <c r="T277" s="1048">
        <v>2020</v>
      </c>
    </row>
    <row r="278" spans="1:20" s="997" customFormat="1" ht="42" customHeight="1">
      <c r="A278" s="1046">
        <v>229</v>
      </c>
      <c r="B278" s="1070" t="s">
        <v>1803</v>
      </c>
      <c r="C278" s="1046">
        <v>1975</v>
      </c>
      <c r="D278" s="1048"/>
      <c r="E278" s="1249" t="s">
        <v>218</v>
      </c>
      <c r="F278" s="1048">
        <v>4</v>
      </c>
      <c r="G278" s="1048">
        <v>3</v>
      </c>
      <c r="H278" s="1067">
        <v>3129.1</v>
      </c>
      <c r="I278" s="1067">
        <v>3129.1</v>
      </c>
      <c r="J278" s="1067">
        <v>2134.1</v>
      </c>
      <c r="K278" s="1077">
        <v>114</v>
      </c>
      <c r="L278" s="998">
        <v>1962666</v>
      </c>
      <c r="M278" s="985">
        <v>0</v>
      </c>
      <c r="N278" s="985">
        <v>0</v>
      </c>
      <c r="O278" s="998">
        <v>1962666</v>
      </c>
      <c r="P278" s="1067">
        <v>0</v>
      </c>
      <c r="Q278" s="1067">
        <v>0</v>
      </c>
      <c r="R278" s="1067">
        <f t="shared" si="73"/>
        <v>627.23019398549104</v>
      </c>
      <c r="S278" s="1048">
        <v>2020</v>
      </c>
      <c r="T278" s="1048">
        <v>2020</v>
      </c>
    </row>
    <row r="279" spans="1:20" s="997" customFormat="1" ht="42" customHeight="1">
      <c r="A279" s="1046">
        <v>230</v>
      </c>
      <c r="B279" s="1070" t="s">
        <v>429</v>
      </c>
      <c r="C279" s="1094">
        <v>1969</v>
      </c>
      <c r="D279" s="1026"/>
      <c r="E279" s="1249" t="s">
        <v>218</v>
      </c>
      <c r="F279" s="1026">
        <v>4</v>
      </c>
      <c r="G279" s="1026">
        <v>3</v>
      </c>
      <c r="H279" s="1057">
        <v>2694</v>
      </c>
      <c r="I279" s="1057">
        <v>2694</v>
      </c>
      <c r="J279" s="1057">
        <v>2005.1</v>
      </c>
      <c r="K279" s="1036">
        <v>82</v>
      </c>
      <c r="L279" s="985">
        <v>1859892</v>
      </c>
      <c r="M279" s="998">
        <v>0</v>
      </c>
      <c r="N279" s="998">
        <v>0</v>
      </c>
      <c r="O279" s="985">
        <v>1859892</v>
      </c>
      <c r="P279" s="1057">
        <v>0</v>
      </c>
      <c r="Q279" s="1057">
        <v>0</v>
      </c>
      <c r="R279" s="1067">
        <f t="shared" si="73"/>
        <v>690.38307349665922</v>
      </c>
      <c r="S279" s="1048">
        <v>2020</v>
      </c>
      <c r="T279" s="1048">
        <v>2020</v>
      </c>
    </row>
    <row r="280" spans="1:20" s="997" customFormat="1" ht="36" customHeight="1">
      <c r="A280" s="1249"/>
      <c r="B280" s="1261" t="s">
        <v>52</v>
      </c>
      <c r="C280" s="991"/>
      <c r="D280" s="992"/>
      <c r="E280" s="993"/>
      <c r="F280" s="991"/>
      <c r="G280" s="994"/>
      <c r="H280" s="1095">
        <f>H281+H285+H287</f>
        <v>5831.1</v>
      </c>
      <c r="I280" s="1095">
        <f t="shared" ref="I280:Q280" si="74">I281+I285+I287</f>
        <v>5385.2999999999993</v>
      </c>
      <c r="J280" s="1095">
        <f t="shared" si="74"/>
        <v>5193.8999999999996</v>
      </c>
      <c r="K280" s="1096">
        <f t="shared" si="74"/>
        <v>197</v>
      </c>
      <c r="L280" s="1095">
        <f t="shared" si="74"/>
        <v>11240406</v>
      </c>
      <c r="M280" s="1095">
        <f t="shared" si="74"/>
        <v>0</v>
      </c>
      <c r="N280" s="1095">
        <f t="shared" si="74"/>
        <v>0</v>
      </c>
      <c r="O280" s="1095">
        <f t="shared" si="74"/>
        <v>11240406</v>
      </c>
      <c r="P280" s="1095">
        <f t="shared" si="74"/>
        <v>0</v>
      </c>
      <c r="Q280" s="1095">
        <f t="shared" si="74"/>
        <v>0</v>
      </c>
      <c r="R280" s="996" t="s">
        <v>40</v>
      </c>
      <c r="S280" s="996" t="s">
        <v>40</v>
      </c>
      <c r="T280" s="996" t="s">
        <v>40</v>
      </c>
    </row>
    <row r="281" spans="1:20" s="997" customFormat="1" ht="36" customHeight="1">
      <c r="A281" s="1249"/>
      <c r="B281" s="1261" t="s">
        <v>1082</v>
      </c>
      <c r="C281" s="991"/>
      <c r="D281" s="992"/>
      <c r="E281" s="993"/>
      <c r="F281" s="991"/>
      <c r="G281" s="994"/>
      <c r="H281" s="1095">
        <f>H282+H283+H284</f>
        <v>3482.2</v>
      </c>
      <c r="I281" s="1095">
        <f t="shared" ref="I281:Q281" si="75">I282+I283+I284</f>
        <v>3036.3999999999996</v>
      </c>
      <c r="J281" s="1095">
        <f t="shared" si="75"/>
        <v>2845</v>
      </c>
      <c r="K281" s="1096">
        <f t="shared" si="75"/>
        <v>107</v>
      </c>
      <c r="L281" s="1095">
        <f t="shared" si="75"/>
        <v>6219510</v>
      </c>
      <c r="M281" s="1095">
        <f t="shared" si="75"/>
        <v>0</v>
      </c>
      <c r="N281" s="1095">
        <f t="shared" si="75"/>
        <v>0</v>
      </c>
      <c r="O281" s="1095">
        <f t="shared" si="75"/>
        <v>6219510</v>
      </c>
      <c r="P281" s="1095">
        <f t="shared" si="75"/>
        <v>0</v>
      </c>
      <c r="Q281" s="1095">
        <f t="shared" si="75"/>
        <v>0</v>
      </c>
      <c r="R281" s="996" t="s">
        <v>40</v>
      </c>
      <c r="S281" s="996" t="s">
        <v>40</v>
      </c>
      <c r="T281" s="996" t="s">
        <v>40</v>
      </c>
    </row>
    <row r="282" spans="1:20" s="997" customFormat="1" ht="39.6" customHeight="1">
      <c r="A282" s="1046">
        <v>231</v>
      </c>
      <c r="B282" s="1097" t="s">
        <v>1804</v>
      </c>
      <c r="C282" s="1042">
        <v>1990</v>
      </c>
      <c r="D282" s="1042"/>
      <c r="E282" s="1249" t="s">
        <v>218</v>
      </c>
      <c r="F282" s="1042" t="s">
        <v>1191</v>
      </c>
      <c r="G282" s="1042" t="s">
        <v>1267</v>
      </c>
      <c r="H282" s="1038">
        <v>1110</v>
      </c>
      <c r="I282" s="1038">
        <v>1090</v>
      </c>
      <c r="J282" s="1038">
        <f>I282-49.5</f>
        <v>1040.5</v>
      </c>
      <c r="K282" s="1039">
        <v>47</v>
      </c>
      <c r="L282" s="1047">
        <v>1480020</v>
      </c>
      <c r="M282" s="1038">
        <v>0</v>
      </c>
      <c r="N282" s="1038">
        <v>0</v>
      </c>
      <c r="O282" s="1038">
        <v>1480020</v>
      </c>
      <c r="P282" s="1038">
        <v>0</v>
      </c>
      <c r="Q282" s="1038">
        <v>0</v>
      </c>
      <c r="R282" s="1038">
        <f>L282/I282</f>
        <v>1357.8165137614678</v>
      </c>
      <c r="S282" s="1098" t="s">
        <v>1269</v>
      </c>
      <c r="T282" s="1098">
        <v>2020</v>
      </c>
    </row>
    <row r="283" spans="1:20" s="997" customFormat="1" ht="42" customHeight="1">
      <c r="A283" s="1046">
        <v>232</v>
      </c>
      <c r="B283" s="1097" t="s">
        <v>2333</v>
      </c>
      <c r="C283" s="1099" t="s">
        <v>1268</v>
      </c>
      <c r="D283" s="1099"/>
      <c r="E283" s="1249" t="s">
        <v>218</v>
      </c>
      <c r="F283" s="1099" t="s">
        <v>1191</v>
      </c>
      <c r="G283" s="1099" t="s">
        <v>1267</v>
      </c>
      <c r="H283" s="1050">
        <v>1624.5</v>
      </c>
      <c r="I283" s="1050">
        <v>1198.7</v>
      </c>
      <c r="J283" s="1050">
        <f>I283-44.2-44.9</f>
        <v>1109.5999999999999</v>
      </c>
      <c r="K283" s="1051">
        <v>42</v>
      </c>
      <c r="L283" s="1047">
        <v>1405620</v>
      </c>
      <c r="M283" s="1038">
        <v>0</v>
      </c>
      <c r="N283" s="1038">
        <v>0</v>
      </c>
      <c r="O283" s="1038">
        <v>1405620</v>
      </c>
      <c r="P283" s="1038">
        <v>0</v>
      </c>
      <c r="Q283" s="1038">
        <v>0</v>
      </c>
      <c r="R283" s="1038">
        <f>L283/I283</f>
        <v>1172.6203387002586</v>
      </c>
      <c r="S283" s="1098" t="s">
        <v>1269</v>
      </c>
      <c r="T283" s="1098" t="s">
        <v>1269</v>
      </c>
    </row>
    <row r="284" spans="1:20" s="997" customFormat="1" ht="40.799999999999997" customHeight="1">
      <c r="A284" s="1249">
        <v>233</v>
      </c>
      <c r="B284" s="1097" t="s">
        <v>2334</v>
      </c>
      <c r="C284" s="1100" t="s">
        <v>1270</v>
      </c>
      <c r="D284" s="1100"/>
      <c r="E284" s="1249" t="s">
        <v>218</v>
      </c>
      <c r="F284" s="1100" t="s">
        <v>1271</v>
      </c>
      <c r="G284" s="1100" t="s">
        <v>1271</v>
      </c>
      <c r="H284" s="1065">
        <v>747.7</v>
      </c>
      <c r="I284" s="1065">
        <v>747.7</v>
      </c>
      <c r="J284" s="1065">
        <f>I284-52.8</f>
        <v>694.90000000000009</v>
      </c>
      <c r="K284" s="1066">
        <v>18</v>
      </c>
      <c r="L284" s="1067">
        <v>3333870</v>
      </c>
      <c r="M284" s="1067">
        <v>0</v>
      </c>
      <c r="N284" s="1067">
        <v>0</v>
      </c>
      <c r="O284" s="1038">
        <v>3333870</v>
      </c>
      <c r="P284" s="1067">
        <v>0</v>
      </c>
      <c r="Q284" s="1067">
        <v>0</v>
      </c>
      <c r="R284" s="1038">
        <f>L284/I284</f>
        <v>4458.8337568543529</v>
      </c>
      <c r="S284" s="1098" t="s">
        <v>1269</v>
      </c>
      <c r="T284" s="1098" t="s">
        <v>1269</v>
      </c>
    </row>
    <row r="285" spans="1:20" s="997" customFormat="1" ht="36" customHeight="1">
      <c r="A285" s="1249"/>
      <c r="B285" s="1261" t="s">
        <v>1104</v>
      </c>
      <c r="C285" s="991"/>
      <c r="D285" s="992"/>
      <c r="E285" s="993"/>
      <c r="F285" s="991"/>
      <c r="G285" s="994"/>
      <c r="H285" s="1065">
        <f>H286</f>
        <v>529.9</v>
      </c>
      <c r="I285" s="1065">
        <f t="shared" ref="I285:Q285" si="76">I286</f>
        <v>529.9</v>
      </c>
      <c r="J285" s="1065">
        <f t="shared" si="76"/>
        <v>529.9</v>
      </c>
      <c r="K285" s="1066">
        <f t="shared" si="76"/>
        <v>9</v>
      </c>
      <c r="L285" s="1065">
        <f t="shared" si="76"/>
        <v>1531880</v>
      </c>
      <c r="M285" s="1065">
        <f t="shared" si="76"/>
        <v>0</v>
      </c>
      <c r="N285" s="1065">
        <f t="shared" si="76"/>
        <v>0</v>
      </c>
      <c r="O285" s="1065">
        <f t="shared" si="76"/>
        <v>1531880</v>
      </c>
      <c r="P285" s="1065">
        <f t="shared" si="76"/>
        <v>0</v>
      </c>
      <c r="Q285" s="1065">
        <f t="shared" si="76"/>
        <v>0</v>
      </c>
      <c r="R285" s="996" t="s">
        <v>40</v>
      </c>
      <c r="S285" s="996" t="s">
        <v>40</v>
      </c>
      <c r="T285" s="996" t="s">
        <v>40</v>
      </c>
    </row>
    <row r="286" spans="1:20" s="1101" customFormat="1" ht="40.200000000000003" customHeight="1">
      <c r="A286" s="1249">
        <v>234</v>
      </c>
      <c r="B286" s="1097" t="s">
        <v>1805</v>
      </c>
      <c r="C286" s="1100" t="s">
        <v>600</v>
      </c>
      <c r="D286" s="1100"/>
      <c r="E286" s="1249" t="s">
        <v>218</v>
      </c>
      <c r="F286" s="1100" t="s">
        <v>1271</v>
      </c>
      <c r="G286" s="1100" t="s">
        <v>1271</v>
      </c>
      <c r="H286" s="1065">
        <v>529.9</v>
      </c>
      <c r="I286" s="1065">
        <v>529.9</v>
      </c>
      <c r="J286" s="1065">
        <v>529.9</v>
      </c>
      <c r="K286" s="1066">
        <v>9</v>
      </c>
      <c r="L286" s="1067">
        <v>1531880</v>
      </c>
      <c r="M286" s="1067">
        <v>0</v>
      </c>
      <c r="N286" s="1067">
        <v>0</v>
      </c>
      <c r="O286" s="1038">
        <v>1531880</v>
      </c>
      <c r="P286" s="1067">
        <v>0</v>
      </c>
      <c r="Q286" s="1067">
        <v>0</v>
      </c>
      <c r="R286" s="1038">
        <f>L286/I286</f>
        <v>2890.8850726552182</v>
      </c>
      <c r="S286" s="1098" t="s">
        <v>1269</v>
      </c>
      <c r="T286" s="1098" t="s">
        <v>1269</v>
      </c>
    </row>
    <row r="287" spans="1:20" s="1101" customFormat="1" ht="36.6" customHeight="1">
      <c r="A287" s="1249"/>
      <c r="B287" s="1510" t="s">
        <v>1512</v>
      </c>
      <c r="C287" s="1511"/>
      <c r="D287" s="1511"/>
      <c r="E287" s="1511"/>
      <c r="F287" s="1511"/>
      <c r="G287" s="1512"/>
      <c r="H287" s="1065">
        <f>H288</f>
        <v>1819</v>
      </c>
      <c r="I287" s="1065">
        <f t="shared" ref="I287:Q287" si="77">I288</f>
        <v>1819</v>
      </c>
      <c r="J287" s="1065">
        <f t="shared" si="77"/>
        <v>1819</v>
      </c>
      <c r="K287" s="1066">
        <f t="shared" si="77"/>
        <v>81</v>
      </c>
      <c r="L287" s="1065">
        <f t="shared" si="77"/>
        <v>3489016</v>
      </c>
      <c r="M287" s="1065">
        <f t="shared" si="77"/>
        <v>0</v>
      </c>
      <c r="N287" s="1065">
        <f t="shared" si="77"/>
        <v>0</v>
      </c>
      <c r="O287" s="1065">
        <f t="shared" si="77"/>
        <v>3489016</v>
      </c>
      <c r="P287" s="1065">
        <f t="shared" si="77"/>
        <v>0</v>
      </c>
      <c r="Q287" s="1065">
        <f t="shared" si="77"/>
        <v>0</v>
      </c>
      <c r="R287" s="996" t="s">
        <v>40</v>
      </c>
      <c r="S287" s="996" t="s">
        <v>40</v>
      </c>
      <c r="T287" s="996" t="s">
        <v>40</v>
      </c>
    </row>
    <row r="288" spans="1:20" s="1101" customFormat="1" ht="39" customHeight="1">
      <c r="A288" s="1249">
        <v>235</v>
      </c>
      <c r="B288" s="1248" t="s">
        <v>1513</v>
      </c>
      <c r="C288" s="1100" t="s">
        <v>876</v>
      </c>
      <c r="D288" s="1100"/>
      <c r="E288" s="1249" t="s">
        <v>218</v>
      </c>
      <c r="F288" s="1100" t="s">
        <v>73</v>
      </c>
      <c r="G288" s="1100" t="s">
        <v>73</v>
      </c>
      <c r="H288" s="1065">
        <v>1819</v>
      </c>
      <c r="I288" s="1065">
        <v>1819</v>
      </c>
      <c r="J288" s="1065">
        <v>1819</v>
      </c>
      <c r="K288" s="1066">
        <v>81</v>
      </c>
      <c r="L288" s="1067">
        <v>3489016</v>
      </c>
      <c r="M288" s="1067">
        <v>0</v>
      </c>
      <c r="N288" s="1067">
        <v>0</v>
      </c>
      <c r="O288" s="1038">
        <v>3489016</v>
      </c>
      <c r="P288" s="1067">
        <v>0</v>
      </c>
      <c r="Q288" s="1067">
        <v>0</v>
      </c>
      <c r="R288" s="1038">
        <f>L288/I288</f>
        <v>1918.0956569543705</v>
      </c>
      <c r="S288" s="1098" t="s">
        <v>1269</v>
      </c>
      <c r="T288" s="1098" t="s">
        <v>1269</v>
      </c>
    </row>
    <row r="289" spans="1:20" s="1101" customFormat="1" ht="36.6" customHeight="1">
      <c r="A289" s="1249"/>
      <c r="B289" s="1513" t="s">
        <v>53</v>
      </c>
      <c r="C289" s="1513"/>
      <c r="D289" s="1513"/>
      <c r="E289" s="1513"/>
      <c r="F289" s="1513"/>
      <c r="G289" s="1513"/>
      <c r="H289" s="985">
        <f>H290+H297+H300+H302+H304+H306</f>
        <v>56745.8</v>
      </c>
      <c r="I289" s="985">
        <f t="shared" ref="I289:Q289" si="78">I290+I297+I300+I302+I304+I306</f>
        <v>48575.899999999994</v>
      </c>
      <c r="J289" s="985">
        <f t="shared" si="78"/>
        <v>44618.099999999991</v>
      </c>
      <c r="K289" s="985">
        <f t="shared" si="78"/>
        <v>1746</v>
      </c>
      <c r="L289" s="985">
        <f t="shared" si="78"/>
        <v>96297423</v>
      </c>
      <c r="M289" s="985">
        <f t="shared" si="78"/>
        <v>0</v>
      </c>
      <c r="N289" s="985">
        <f t="shared" si="78"/>
        <v>0</v>
      </c>
      <c r="O289" s="985">
        <f t="shared" si="78"/>
        <v>96297423</v>
      </c>
      <c r="P289" s="985">
        <f t="shared" si="78"/>
        <v>0</v>
      </c>
      <c r="Q289" s="985">
        <f t="shared" si="78"/>
        <v>0</v>
      </c>
      <c r="R289" s="996" t="s">
        <v>40</v>
      </c>
      <c r="S289" s="996" t="s">
        <v>40</v>
      </c>
      <c r="T289" s="996" t="s">
        <v>40</v>
      </c>
    </row>
    <row r="290" spans="1:20" s="1101" customFormat="1" ht="36.6" customHeight="1">
      <c r="A290" s="1249"/>
      <c r="B290" s="1513" t="s">
        <v>1083</v>
      </c>
      <c r="C290" s="1513"/>
      <c r="D290" s="1513"/>
      <c r="E290" s="1513"/>
      <c r="F290" s="1513"/>
      <c r="G290" s="1513"/>
      <c r="H290" s="985">
        <f>SUM(H291:H296)</f>
        <v>34481.800000000003</v>
      </c>
      <c r="I290" s="985">
        <f t="shared" ref="I290:Q290" si="79">SUM(I291:I296)</f>
        <v>27376.699999999997</v>
      </c>
      <c r="J290" s="985">
        <f t="shared" si="79"/>
        <v>26287.999999999996</v>
      </c>
      <c r="K290" s="995">
        <f t="shared" si="79"/>
        <v>976</v>
      </c>
      <c r="L290" s="985">
        <f t="shared" si="79"/>
        <v>71463619</v>
      </c>
      <c r="M290" s="985">
        <f t="shared" si="79"/>
        <v>0</v>
      </c>
      <c r="N290" s="985">
        <f t="shared" si="79"/>
        <v>0</v>
      </c>
      <c r="O290" s="985">
        <f t="shared" si="79"/>
        <v>71463619</v>
      </c>
      <c r="P290" s="985">
        <f t="shared" si="79"/>
        <v>0</v>
      </c>
      <c r="Q290" s="985">
        <f t="shared" si="79"/>
        <v>0</v>
      </c>
      <c r="R290" s="996" t="s">
        <v>40</v>
      </c>
      <c r="S290" s="996" t="s">
        <v>40</v>
      </c>
      <c r="T290" s="996" t="s">
        <v>40</v>
      </c>
    </row>
    <row r="291" spans="1:20" s="1101" customFormat="1" ht="36.6" customHeight="1">
      <c r="A291" s="1407">
        <v>236</v>
      </c>
      <c r="B291" s="1260" t="s">
        <v>1439</v>
      </c>
      <c r="C291" s="1255">
        <v>1987</v>
      </c>
      <c r="D291" s="1255"/>
      <c r="E291" s="1249" t="s">
        <v>219</v>
      </c>
      <c r="F291" s="1255">
        <v>5</v>
      </c>
      <c r="G291" s="1255">
        <v>8</v>
      </c>
      <c r="H291" s="985">
        <v>8618.2999999999993</v>
      </c>
      <c r="I291" s="985">
        <v>6341.9</v>
      </c>
      <c r="J291" s="985">
        <f>I291-467.2</f>
        <v>5874.7</v>
      </c>
      <c r="K291" s="995">
        <v>117</v>
      </c>
      <c r="L291" s="985">
        <v>22347352</v>
      </c>
      <c r="M291" s="985">
        <v>0</v>
      </c>
      <c r="N291" s="985">
        <v>0</v>
      </c>
      <c r="O291" s="985">
        <v>22347352</v>
      </c>
      <c r="P291" s="985">
        <v>0</v>
      </c>
      <c r="Q291" s="985">
        <v>0</v>
      </c>
      <c r="R291" s="985">
        <f>L291/I291</f>
        <v>3523.7629101688772</v>
      </c>
      <c r="S291" s="1255">
        <v>2020</v>
      </c>
      <c r="T291" s="1255">
        <v>2020</v>
      </c>
    </row>
    <row r="292" spans="1:20" s="1101" customFormat="1" ht="36.6" customHeight="1">
      <c r="A292" s="1407">
        <v>237</v>
      </c>
      <c r="B292" s="1260" t="s">
        <v>1440</v>
      </c>
      <c r="C292" s="1255">
        <v>1991</v>
      </c>
      <c r="D292" s="1255"/>
      <c r="E292" s="1249" t="s">
        <v>219</v>
      </c>
      <c r="F292" s="1255">
        <v>9</v>
      </c>
      <c r="G292" s="1255">
        <v>3</v>
      </c>
      <c r="H292" s="985">
        <v>7653.6</v>
      </c>
      <c r="I292" s="985">
        <v>5982.9</v>
      </c>
      <c r="J292" s="985">
        <f>I292-186.7</f>
        <v>5796.2</v>
      </c>
      <c r="K292" s="995">
        <v>233</v>
      </c>
      <c r="L292" s="985">
        <v>7294573</v>
      </c>
      <c r="M292" s="985">
        <v>0</v>
      </c>
      <c r="N292" s="985">
        <v>0</v>
      </c>
      <c r="O292" s="985">
        <v>7294573</v>
      </c>
      <c r="P292" s="985">
        <v>0</v>
      </c>
      <c r="Q292" s="985">
        <v>0</v>
      </c>
      <c r="R292" s="985">
        <f t="shared" ref="R292:R296" si="80">L292/I292</f>
        <v>1219.2369920941351</v>
      </c>
      <c r="S292" s="1255">
        <v>2020</v>
      </c>
      <c r="T292" s="1255">
        <v>2020</v>
      </c>
    </row>
    <row r="293" spans="1:20" s="1101" customFormat="1" ht="36.6" customHeight="1">
      <c r="A293" s="1407">
        <v>238</v>
      </c>
      <c r="B293" s="1260" t="s">
        <v>1806</v>
      </c>
      <c r="C293" s="1255">
        <v>1994</v>
      </c>
      <c r="D293" s="1255"/>
      <c r="E293" s="1249" t="s">
        <v>219</v>
      </c>
      <c r="F293" s="1255">
        <v>9</v>
      </c>
      <c r="G293" s="1255">
        <v>2</v>
      </c>
      <c r="H293" s="985">
        <v>4965.5</v>
      </c>
      <c r="I293" s="985">
        <v>4114.3999999999996</v>
      </c>
      <c r="J293" s="985">
        <f>I293-183</f>
        <v>3931.3999999999996</v>
      </c>
      <c r="K293" s="995">
        <v>186</v>
      </c>
      <c r="L293" s="985">
        <v>4863049</v>
      </c>
      <c r="M293" s="985">
        <v>0</v>
      </c>
      <c r="N293" s="985">
        <v>0</v>
      </c>
      <c r="O293" s="985">
        <v>4863049</v>
      </c>
      <c r="P293" s="985">
        <v>0</v>
      </c>
      <c r="Q293" s="985">
        <v>0</v>
      </c>
      <c r="R293" s="985">
        <f t="shared" si="80"/>
        <v>1181.9582442154385</v>
      </c>
      <c r="S293" s="1255">
        <v>2020</v>
      </c>
      <c r="T293" s="1255">
        <v>2020</v>
      </c>
    </row>
    <row r="294" spans="1:20" s="1101" customFormat="1" ht="36.6" customHeight="1">
      <c r="A294" s="1407">
        <v>239</v>
      </c>
      <c r="B294" s="1260" t="s">
        <v>1807</v>
      </c>
      <c r="C294" s="1255">
        <v>1994</v>
      </c>
      <c r="D294" s="1255"/>
      <c r="E294" s="1249" t="s">
        <v>219</v>
      </c>
      <c r="F294" s="1255">
        <v>9</v>
      </c>
      <c r="G294" s="1255">
        <v>2</v>
      </c>
      <c r="H294" s="985">
        <v>5047.3999999999996</v>
      </c>
      <c r="I294" s="985">
        <v>4263.2</v>
      </c>
      <c r="J294" s="985">
        <f>I294-119.6</f>
        <v>4143.5999999999995</v>
      </c>
      <c r="K294" s="995">
        <v>170</v>
      </c>
      <c r="L294" s="985">
        <v>4863049</v>
      </c>
      <c r="M294" s="985">
        <v>0</v>
      </c>
      <c r="N294" s="985">
        <v>0</v>
      </c>
      <c r="O294" s="985">
        <v>4863049</v>
      </c>
      <c r="P294" s="985">
        <v>0</v>
      </c>
      <c r="Q294" s="985">
        <v>0</v>
      </c>
      <c r="R294" s="985">
        <f t="shared" si="80"/>
        <v>1140.703931319197</v>
      </c>
      <c r="S294" s="1255">
        <v>2020</v>
      </c>
      <c r="T294" s="1255">
        <v>2020</v>
      </c>
    </row>
    <row r="295" spans="1:20" s="1101" customFormat="1" ht="36.6" customHeight="1">
      <c r="A295" s="1407">
        <v>240</v>
      </c>
      <c r="B295" s="1260" t="s">
        <v>1808</v>
      </c>
      <c r="C295" s="1255">
        <v>1994</v>
      </c>
      <c r="D295" s="1255"/>
      <c r="E295" s="1249" t="s">
        <v>219</v>
      </c>
      <c r="F295" s="1255">
        <v>9</v>
      </c>
      <c r="G295" s="1255">
        <v>2</v>
      </c>
      <c r="H295" s="985">
        <v>4362.8999999999996</v>
      </c>
      <c r="I295" s="985">
        <v>3902.7</v>
      </c>
      <c r="J295" s="985">
        <f>I295-132.2</f>
        <v>3770.5</v>
      </c>
      <c r="K295" s="995">
        <v>151</v>
      </c>
      <c r="L295" s="985">
        <v>20465026</v>
      </c>
      <c r="M295" s="985">
        <v>0</v>
      </c>
      <c r="N295" s="985">
        <v>0</v>
      </c>
      <c r="O295" s="985">
        <v>20465026</v>
      </c>
      <c r="P295" s="985">
        <v>0</v>
      </c>
      <c r="Q295" s="985">
        <v>0</v>
      </c>
      <c r="R295" s="985">
        <f t="shared" si="80"/>
        <v>5243.8122325569484</v>
      </c>
      <c r="S295" s="1255">
        <v>2020</v>
      </c>
      <c r="T295" s="1255">
        <v>2020</v>
      </c>
    </row>
    <row r="296" spans="1:20" s="1101" customFormat="1" ht="36.6" customHeight="1">
      <c r="A296" s="1407">
        <v>241</v>
      </c>
      <c r="B296" s="1406" t="s">
        <v>2389</v>
      </c>
      <c r="C296" s="1255">
        <v>1973</v>
      </c>
      <c r="D296" s="1255"/>
      <c r="E296" s="1249" t="s">
        <v>219</v>
      </c>
      <c r="F296" s="1255">
        <v>9</v>
      </c>
      <c r="G296" s="1255">
        <v>1</v>
      </c>
      <c r="H296" s="998">
        <v>3834.1</v>
      </c>
      <c r="I296" s="998">
        <v>2771.6</v>
      </c>
      <c r="J296" s="998">
        <f>I296</f>
        <v>2771.6</v>
      </c>
      <c r="K296" s="986">
        <v>119</v>
      </c>
      <c r="L296" s="985">
        <v>11630570</v>
      </c>
      <c r="M296" s="985">
        <v>0</v>
      </c>
      <c r="N296" s="985">
        <v>0</v>
      </c>
      <c r="O296" s="985">
        <v>11630570</v>
      </c>
      <c r="P296" s="985">
        <v>0</v>
      </c>
      <c r="Q296" s="985">
        <v>0</v>
      </c>
      <c r="R296" s="985">
        <f t="shared" si="80"/>
        <v>4196.3378553903885</v>
      </c>
      <c r="S296" s="1255">
        <v>2020</v>
      </c>
      <c r="T296" s="1255">
        <v>2020</v>
      </c>
    </row>
    <row r="297" spans="1:20" s="997" customFormat="1" ht="36" customHeight="1">
      <c r="A297" s="1407"/>
      <c r="B297" s="1517" t="s">
        <v>1084</v>
      </c>
      <c r="C297" s="1513"/>
      <c r="D297" s="1513"/>
      <c r="E297" s="1513"/>
      <c r="F297" s="1513"/>
      <c r="G297" s="1513"/>
      <c r="H297" s="998">
        <f>H298+H299</f>
        <v>1430</v>
      </c>
      <c r="I297" s="998">
        <f t="shared" ref="I297:Q297" si="81">I298+I299</f>
        <v>1294.8</v>
      </c>
      <c r="J297" s="998">
        <f t="shared" si="81"/>
        <v>1294.8</v>
      </c>
      <c r="K297" s="986">
        <f t="shared" si="81"/>
        <v>48</v>
      </c>
      <c r="L297" s="998">
        <f t="shared" si="81"/>
        <v>5964228</v>
      </c>
      <c r="M297" s="998">
        <f t="shared" si="81"/>
        <v>0</v>
      </c>
      <c r="N297" s="998">
        <f t="shared" si="81"/>
        <v>0</v>
      </c>
      <c r="O297" s="998">
        <f t="shared" si="81"/>
        <v>5964228</v>
      </c>
      <c r="P297" s="998">
        <f t="shared" si="81"/>
        <v>0</v>
      </c>
      <c r="Q297" s="998">
        <f t="shared" si="81"/>
        <v>0</v>
      </c>
      <c r="R297" s="996" t="s">
        <v>40</v>
      </c>
      <c r="S297" s="996" t="s">
        <v>40</v>
      </c>
      <c r="T297" s="996" t="s">
        <v>40</v>
      </c>
    </row>
    <row r="298" spans="1:20" s="997" customFormat="1" ht="40.200000000000003" customHeight="1">
      <c r="A298" s="1407">
        <v>242</v>
      </c>
      <c r="B298" s="1260" t="s">
        <v>1508</v>
      </c>
      <c r="C298" s="1255">
        <v>1962</v>
      </c>
      <c r="D298" s="1255"/>
      <c r="E298" s="1249" t="s">
        <v>218</v>
      </c>
      <c r="F298" s="1255">
        <v>2</v>
      </c>
      <c r="G298" s="1255">
        <v>2</v>
      </c>
      <c r="H298" s="998">
        <v>696.1</v>
      </c>
      <c r="I298" s="998">
        <v>640.5</v>
      </c>
      <c r="J298" s="998">
        <v>640.5</v>
      </c>
      <c r="K298" s="986">
        <v>37</v>
      </c>
      <c r="L298" s="985">
        <v>2823361</v>
      </c>
      <c r="M298" s="985">
        <v>0</v>
      </c>
      <c r="N298" s="985">
        <v>0</v>
      </c>
      <c r="O298" s="985">
        <v>2823361</v>
      </c>
      <c r="P298" s="985">
        <v>0</v>
      </c>
      <c r="Q298" s="985">
        <v>0</v>
      </c>
      <c r="R298" s="985">
        <f t="shared" ref="R298:R299" si="82">L298/I298</f>
        <v>4408.0577673692424</v>
      </c>
      <c r="S298" s="1255">
        <v>2020</v>
      </c>
      <c r="T298" s="1255">
        <v>2020</v>
      </c>
    </row>
    <row r="299" spans="1:20" s="997" customFormat="1" ht="36" customHeight="1">
      <c r="A299" s="1407">
        <v>243</v>
      </c>
      <c r="B299" s="1260" t="s">
        <v>1509</v>
      </c>
      <c r="C299" s="1255">
        <v>1958</v>
      </c>
      <c r="D299" s="1255"/>
      <c r="E299" s="1249" t="s">
        <v>823</v>
      </c>
      <c r="F299" s="1255">
        <v>2</v>
      </c>
      <c r="G299" s="1255">
        <v>2</v>
      </c>
      <c r="H299" s="998">
        <v>733.9</v>
      </c>
      <c r="I299" s="998">
        <v>654.29999999999995</v>
      </c>
      <c r="J299" s="998">
        <v>654.29999999999995</v>
      </c>
      <c r="K299" s="986">
        <v>11</v>
      </c>
      <c r="L299" s="985">
        <v>3140867</v>
      </c>
      <c r="M299" s="985">
        <v>0</v>
      </c>
      <c r="N299" s="985">
        <v>0</v>
      </c>
      <c r="O299" s="985">
        <v>3140867</v>
      </c>
      <c r="P299" s="985">
        <v>0</v>
      </c>
      <c r="Q299" s="985">
        <v>0</v>
      </c>
      <c r="R299" s="985">
        <f t="shared" si="82"/>
        <v>4800.3469356564274</v>
      </c>
      <c r="S299" s="1255">
        <v>2020</v>
      </c>
      <c r="T299" s="1255">
        <v>2020</v>
      </c>
    </row>
    <row r="300" spans="1:20" s="997" customFormat="1" ht="36" customHeight="1">
      <c r="A300" s="1407"/>
      <c r="B300" s="1517" t="s">
        <v>1086</v>
      </c>
      <c r="C300" s="1513"/>
      <c r="D300" s="1513"/>
      <c r="E300" s="1513"/>
      <c r="F300" s="1513"/>
      <c r="G300" s="1513"/>
      <c r="H300" s="985">
        <f>H301</f>
        <v>758.9</v>
      </c>
      <c r="I300" s="985">
        <f t="shared" ref="I300:Q300" si="83">I301</f>
        <v>706.7</v>
      </c>
      <c r="J300" s="985">
        <f t="shared" si="83"/>
        <v>431.1</v>
      </c>
      <c r="K300" s="995">
        <f t="shared" si="83"/>
        <v>19</v>
      </c>
      <c r="L300" s="985">
        <f t="shared" si="83"/>
        <v>1668609</v>
      </c>
      <c r="M300" s="985">
        <f t="shared" si="83"/>
        <v>0</v>
      </c>
      <c r="N300" s="985">
        <f t="shared" si="83"/>
        <v>0</v>
      </c>
      <c r="O300" s="985">
        <f t="shared" si="83"/>
        <v>1668609</v>
      </c>
      <c r="P300" s="985">
        <f t="shared" si="83"/>
        <v>0</v>
      </c>
      <c r="Q300" s="985">
        <f t="shared" si="83"/>
        <v>0</v>
      </c>
      <c r="R300" s="996" t="s">
        <v>40</v>
      </c>
      <c r="S300" s="996" t="s">
        <v>40</v>
      </c>
      <c r="T300" s="996" t="s">
        <v>40</v>
      </c>
    </row>
    <row r="301" spans="1:20" s="997" customFormat="1" ht="36" customHeight="1">
      <c r="A301" s="1249">
        <v>244</v>
      </c>
      <c r="B301" s="1260" t="s">
        <v>1541</v>
      </c>
      <c r="C301" s="1249">
        <v>1958</v>
      </c>
      <c r="D301" s="1249"/>
      <c r="E301" s="1249" t="s">
        <v>221</v>
      </c>
      <c r="F301" s="1249">
        <v>2</v>
      </c>
      <c r="G301" s="1249">
        <v>2</v>
      </c>
      <c r="H301" s="985">
        <v>758.9</v>
      </c>
      <c r="I301" s="985">
        <v>706.7</v>
      </c>
      <c r="J301" s="985">
        <v>431.1</v>
      </c>
      <c r="K301" s="995">
        <v>19</v>
      </c>
      <c r="L301" s="987">
        <v>1668609</v>
      </c>
      <c r="M301" s="987">
        <v>0</v>
      </c>
      <c r="N301" s="987">
        <v>0</v>
      </c>
      <c r="O301" s="987">
        <v>1668609</v>
      </c>
      <c r="P301" s="998">
        <f t="shared" ref="P301:P380" si="84">Q301</f>
        <v>0</v>
      </c>
      <c r="Q301" s="987">
        <v>0</v>
      </c>
      <c r="R301" s="985">
        <f t="shared" ref="R301" si="85">L301/I301</f>
        <v>2361.127776991651</v>
      </c>
      <c r="S301" s="988">
        <v>2020</v>
      </c>
      <c r="T301" s="988">
        <v>2020</v>
      </c>
    </row>
    <row r="302" spans="1:20" s="997" customFormat="1" ht="36" customHeight="1">
      <c r="A302" s="1249"/>
      <c r="B302" s="1510" t="s">
        <v>1558</v>
      </c>
      <c r="C302" s="1511"/>
      <c r="D302" s="1511"/>
      <c r="E302" s="1511"/>
      <c r="F302" s="1511"/>
      <c r="G302" s="1512"/>
      <c r="H302" s="985">
        <f>H303</f>
        <v>1531.1</v>
      </c>
      <c r="I302" s="985">
        <f t="shared" ref="I302:Q302" si="86">I303</f>
        <v>1531.1</v>
      </c>
      <c r="J302" s="985">
        <f t="shared" si="86"/>
        <v>776.7</v>
      </c>
      <c r="K302" s="995">
        <f t="shared" si="86"/>
        <v>56</v>
      </c>
      <c r="L302" s="985">
        <f t="shared" si="86"/>
        <v>2119380</v>
      </c>
      <c r="M302" s="985">
        <f t="shared" si="86"/>
        <v>0</v>
      </c>
      <c r="N302" s="985">
        <f t="shared" si="86"/>
        <v>0</v>
      </c>
      <c r="O302" s="985">
        <f t="shared" si="86"/>
        <v>2119380</v>
      </c>
      <c r="P302" s="985">
        <f t="shared" si="86"/>
        <v>0</v>
      </c>
      <c r="Q302" s="985">
        <f t="shared" si="86"/>
        <v>0</v>
      </c>
      <c r="R302" s="996" t="s">
        <v>40</v>
      </c>
      <c r="S302" s="996" t="s">
        <v>40</v>
      </c>
      <c r="T302" s="996" t="s">
        <v>40</v>
      </c>
    </row>
    <row r="303" spans="1:20" s="997" customFormat="1" ht="40.200000000000003" customHeight="1">
      <c r="A303" s="1249">
        <v>245</v>
      </c>
      <c r="B303" s="1260" t="s">
        <v>1559</v>
      </c>
      <c r="C303" s="1249">
        <v>1980</v>
      </c>
      <c r="D303" s="1249">
        <v>2009</v>
      </c>
      <c r="E303" s="1249" t="s">
        <v>218</v>
      </c>
      <c r="F303" s="1249">
        <v>3</v>
      </c>
      <c r="G303" s="1249">
        <v>3</v>
      </c>
      <c r="H303" s="985">
        <v>1531.1</v>
      </c>
      <c r="I303" s="985">
        <v>1531.1</v>
      </c>
      <c r="J303" s="985">
        <v>776.7</v>
      </c>
      <c r="K303" s="995">
        <v>56</v>
      </c>
      <c r="L303" s="987">
        <v>2119380</v>
      </c>
      <c r="M303" s="987">
        <v>0</v>
      </c>
      <c r="N303" s="987">
        <v>0</v>
      </c>
      <c r="O303" s="987">
        <v>2119380</v>
      </c>
      <c r="P303" s="998">
        <v>0</v>
      </c>
      <c r="Q303" s="987">
        <v>0</v>
      </c>
      <c r="R303" s="985">
        <f t="shared" ref="R303" si="87">L303/I303</f>
        <v>1384.2204950689047</v>
      </c>
      <c r="S303" s="988">
        <v>2020</v>
      </c>
      <c r="T303" s="988">
        <v>2020</v>
      </c>
    </row>
    <row r="304" spans="1:20" s="997" customFormat="1" ht="36" customHeight="1">
      <c r="A304" s="1249"/>
      <c r="B304" s="1517" t="s">
        <v>1088</v>
      </c>
      <c r="C304" s="1513"/>
      <c r="D304" s="1513"/>
      <c r="E304" s="1513"/>
      <c r="F304" s="1513"/>
      <c r="G304" s="1513"/>
      <c r="H304" s="985">
        <f>H305</f>
        <v>432.6</v>
      </c>
      <c r="I304" s="985">
        <f t="shared" ref="I304:Q304" si="88">I305</f>
        <v>392</v>
      </c>
      <c r="J304" s="985">
        <f t="shared" si="88"/>
        <v>392</v>
      </c>
      <c r="K304" s="995">
        <f t="shared" si="88"/>
        <v>9</v>
      </c>
      <c r="L304" s="985">
        <f t="shared" si="88"/>
        <v>255847</v>
      </c>
      <c r="M304" s="985">
        <f t="shared" si="88"/>
        <v>0</v>
      </c>
      <c r="N304" s="985">
        <f t="shared" si="88"/>
        <v>0</v>
      </c>
      <c r="O304" s="985">
        <f t="shared" si="88"/>
        <v>255847</v>
      </c>
      <c r="P304" s="985">
        <f t="shared" si="88"/>
        <v>0</v>
      </c>
      <c r="Q304" s="985">
        <f t="shared" si="88"/>
        <v>0</v>
      </c>
      <c r="R304" s="996" t="s">
        <v>40</v>
      </c>
      <c r="S304" s="996" t="s">
        <v>40</v>
      </c>
      <c r="T304" s="996" t="s">
        <v>40</v>
      </c>
    </row>
    <row r="305" spans="1:20" s="997" customFormat="1" ht="39.6" customHeight="1">
      <c r="A305" s="1249">
        <v>246</v>
      </c>
      <c r="B305" s="1260" t="s">
        <v>1560</v>
      </c>
      <c r="C305" s="1249">
        <v>1957</v>
      </c>
      <c r="D305" s="1249"/>
      <c r="E305" s="1249" t="s">
        <v>218</v>
      </c>
      <c r="F305" s="1249">
        <v>2</v>
      </c>
      <c r="G305" s="1249">
        <v>1</v>
      </c>
      <c r="H305" s="985">
        <v>432.6</v>
      </c>
      <c r="I305" s="985">
        <v>392</v>
      </c>
      <c r="J305" s="985">
        <v>392</v>
      </c>
      <c r="K305" s="995">
        <v>9</v>
      </c>
      <c r="L305" s="987">
        <v>255847</v>
      </c>
      <c r="M305" s="987">
        <v>0</v>
      </c>
      <c r="N305" s="987">
        <v>0</v>
      </c>
      <c r="O305" s="987">
        <v>255847</v>
      </c>
      <c r="P305" s="998">
        <v>0</v>
      </c>
      <c r="Q305" s="987">
        <v>0</v>
      </c>
      <c r="R305" s="985">
        <f t="shared" ref="R305" si="89">L305/I305</f>
        <v>652.67091836734699</v>
      </c>
      <c r="S305" s="988">
        <v>2020</v>
      </c>
      <c r="T305" s="988">
        <v>2020</v>
      </c>
    </row>
    <row r="306" spans="1:20" s="997" customFormat="1" ht="36" customHeight="1">
      <c r="A306" s="1249"/>
      <c r="B306" s="1517" t="s">
        <v>1087</v>
      </c>
      <c r="C306" s="1513"/>
      <c r="D306" s="1513"/>
      <c r="E306" s="1513"/>
      <c r="F306" s="1513"/>
      <c r="G306" s="1513"/>
      <c r="H306" s="985">
        <f>SUM(H307:H311)</f>
        <v>18111.399999999998</v>
      </c>
      <c r="I306" s="985">
        <f t="shared" ref="I306:Q306" si="90">SUM(I307:I311)</f>
        <v>17274.599999999999</v>
      </c>
      <c r="J306" s="985">
        <f t="shared" si="90"/>
        <v>15435.5</v>
      </c>
      <c r="K306" s="995">
        <f t="shared" si="90"/>
        <v>638</v>
      </c>
      <c r="L306" s="985">
        <f t="shared" si="90"/>
        <v>14825740</v>
      </c>
      <c r="M306" s="985">
        <f t="shared" si="90"/>
        <v>0</v>
      </c>
      <c r="N306" s="985">
        <f t="shared" si="90"/>
        <v>0</v>
      </c>
      <c r="O306" s="985">
        <f t="shared" si="90"/>
        <v>14825740</v>
      </c>
      <c r="P306" s="985">
        <f t="shared" si="90"/>
        <v>0</v>
      </c>
      <c r="Q306" s="985">
        <f t="shared" si="90"/>
        <v>0</v>
      </c>
      <c r="R306" s="996" t="s">
        <v>40</v>
      </c>
      <c r="S306" s="996" t="s">
        <v>40</v>
      </c>
      <c r="T306" s="996" t="s">
        <v>40</v>
      </c>
    </row>
    <row r="307" spans="1:20" s="997" customFormat="1" ht="36" customHeight="1">
      <c r="A307" s="1249">
        <v>247</v>
      </c>
      <c r="B307" s="1260" t="s">
        <v>1579</v>
      </c>
      <c r="C307" s="1249">
        <v>1981</v>
      </c>
      <c r="D307" s="1249">
        <v>2008</v>
      </c>
      <c r="E307" s="1249" t="s">
        <v>219</v>
      </c>
      <c r="F307" s="1249">
        <v>5</v>
      </c>
      <c r="G307" s="1249">
        <v>6</v>
      </c>
      <c r="H307" s="985">
        <v>4981.3999999999996</v>
      </c>
      <c r="I307" s="985">
        <v>4981.3999999999996</v>
      </c>
      <c r="J307" s="985">
        <v>4537.1000000000004</v>
      </c>
      <c r="K307" s="995">
        <v>156</v>
      </c>
      <c r="L307" s="987">
        <v>3315471</v>
      </c>
      <c r="M307" s="987">
        <v>0</v>
      </c>
      <c r="N307" s="987">
        <v>0</v>
      </c>
      <c r="O307" s="987">
        <f>L307</f>
        <v>3315471</v>
      </c>
      <c r="P307" s="998">
        <v>0</v>
      </c>
      <c r="Q307" s="987">
        <v>0</v>
      </c>
      <c r="R307" s="985">
        <f t="shared" ref="R307" si="91">L307/I307</f>
        <v>665.57012084956045</v>
      </c>
      <c r="S307" s="988">
        <v>2020</v>
      </c>
      <c r="T307" s="988">
        <v>2020</v>
      </c>
    </row>
    <row r="308" spans="1:20" s="997" customFormat="1" ht="36" customHeight="1">
      <c r="A308" s="1249">
        <v>248</v>
      </c>
      <c r="B308" s="1260" t="s">
        <v>724</v>
      </c>
      <c r="C308" s="1249">
        <v>1980</v>
      </c>
      <c r="D308" s="1249"/>
      <c r="E308" s="1249" t="s">
        <v>219</v>
      </c>
      <c r="F308" s="1249">
        <v>5</v>
      </c>
      <c r="G308" s="1249">
        <v>2</v>
      </c>
      <c r="H308" s="985">
        <v>4194.2</v>
      </c>
      <c r="I308" s="985">
        <v>3357.4</v>
      </c>
      <c r="J308" s="985">
        <v>2729.6</v>
      </c>
      <c r="K308" s="995">
        <v>188</v>
      </c>
      <c r="L308" s="987">
        <v>2655049</v>
      </c>
      <c r="M308" s="987">
        <v>0</v>
      </c>
      <c r="N308" s="987">
        <v>0</v>
      </c>
      <c r="O308" s="987">
        <f t="shared" ref="O308:O311" si="92">L308</f>
        <v>2655049</v>
      </c>
      <c r="P308" s="998">
        <v>0</v>
      </c>
      <c r="Q308" s="987">
        <v>0</v>
      </c>
      <c r="R308" s="985">
        <f t="shared" ref="R308:R311" si="93">L308/I308</f>
        <v>790.80508726991127</v>
      </c>
      <c r="S308" s="988">
        <v>2020</v>
      </c>
      <c r="T308" s="988">
        <v>2020</v>
      </c>
    </row>
    <row r="309" spans="1:20" s="997" customFormat="1" ht="36" customHeight="1">
      <c r="A309" s="1249">
        <v>249</v>
      </c>
      <c r="B309" s="1260" t="s">
        <v>1580</v>
      </c>
      <c r="C309" s="1249">
        <v>1974</v>
      </c>
      <c r="D309" s="1249">
        <v>2005</v>
      </c>
      <c r="E309" s="1249" t="s">
        <v>219</v>
      </c>
      <c r="F309" s="1249">
        <v>5</v>
      </c>
      <c r="G309" s="1249">
        <v>6</v>
      </c>
      <c r="H309" s="985">
        <v>4867</v>
      </c>
      <c r="I309" s="985">
        <v>4867</v>
      </c>
      <c r="J309" s="985">
        <v>4453</v>
      </c>
      <c r="K309" s="995">
        <v>163</v>
      </c>
      <c r="L309" s="987">
        <v>4033887</v>
      </c>
      <c r="M309" s="987">
        <v>0</v>
      </c>
      <c r="N309" s="987">
        <v>0</v>
      </c>
      <c r="O309" s="987">
        <f t="shared" si="92"/>
        <v>4033887</v>
      </c>
      <c r="P309" s="998">
        <v>0</v>
      </c>
      <c r="Q309" s="987">
        <v>0</v>
      </c>
      <c r="R309" s="985">
        <f t="shared" si="93"/>
        <v>828.82412163550441</v>
      </c>
      <c r="S309" s="988">
        <v>2020</v>
      </c>
      <c r="T309" s="988">
        <v>2020</v>
      </c>
    </row>
    <row r="310" spans="1:20" s="997" customFormat="1" ht="42" customHeight="1">
      <c r="A310" s="1249">
        <v>250</v>
      </c>
      <c r="B310" s="1260" t="s">
        <v>1581</v>
      </c>
      <c r="C310" s="1249">
        <v>1957</v>
      </c>
      <c r="D310" s="1249"/>
      <c r="E310" s="1249" t="s">
        <v>218</v>
      </c>
      <c r="F310" s="1249">
        <v>2</v>
      </c>
      <c r="G310" s="1249">
        <v>2</v>
      </c>
      <c r="H310" s="985">
        <v>782.3</v>
      </c>
      <c r="I310" s="985">
        <v>782.3</v>
      </c>
      <c r="J310" s="985">
        <v>719.1</v>
      </c>
      <c r="K310" s="995">
        <v>24</v>
      </c>
      <c r="L310" s="987">
        <v>2403067</v>
      </c>
      <c r="M310" s="987">
        <v>0</v>
      </c>
      <c r="N310" s="987">
        <v>0</v>
      </c>
      <c r="O310" s="987">
        <f t="shared" si="92"/>
        <v>2403067</v>
      </c>
      <c r="P310" s="998">
        <v>0</v>
      </c>
      <c r="Q310" s="987">
        <v>0</v>
      </c>
      <c r="R310" s="985">
        <f t="shared" si="93"/>
        <v>3071.7972644765437</v>
      </c>
      <c r="S310" s="988">
        <v>2020</v>
      </c>
      <c r="T310" s="988">
        <v>2020</v>
      </c>
    </row>
    <row r="311" spans="1:20" s="997" customFormat="1" ht="36" customHeight="1">
      <c r="A311" s="1249">
        <v>251</v>
      </c>
      <c r="B311" s="1260" t="s">
        <v>1175</v>
      </c>
      <c r="C311" s="1249">
        <v>1979</v>
      </c>
      <c r="D311" s="1249">
        <v>2007</v>
      </c>
      <c r="E311" s="1249" t="s">
        <v>219</v>
      </c>
      <c r="F311" s="1249">
        <v>5</v>
      </c>
      <c r="G311" s="1249">
        <v>4</v>
      </c>
      <c r="H311" s="985">
        <v>3286.5</v>
      </c>
      <c r="I311" s="985">
        <v>3286.5</v>
      </c>
      <c r="J311" s="985">
        <v>2996.7</v>
      </c>
      <c r="K311" s="995">
        <v>107</v>
      </c>
      <c r="L311" s="987">
        <v>2418266</v>
      </c>
      <c r="M311" s="987">
        <v>0</v>
      </c>
      <c r="N311" s="987">
        <v>0</v>
      </c>
      <c r="O311" s="987">
        <f t="shared" si="92"/>
        <v>2418266</v>
      </c>
      <c r="P311" s="998">
        <v>0</v>
      </c>
      <c r="Q311" s="987">
        <v>0</v>
      </c>
      <c r="R311" s="985">
        <f t="shared" si="93"/>
        <v>735.81804351133428</v>
      </c>
      <c r="S311" s="988">
        <v>2020</v>
      </c>
      <c r="T311" s="988">
        <v>2020</v>
      </c>
    </row>
    <row r="312" spans="1:20" s="997" customFormat="1" ht="36" customHeight="1">
      <c r="A312" s="1249"/>
      <c r="B312" s="1513" t="s">
        <v>2015</v>
      </c>
      <c r="C312" s="1513"/>
      <c r="D312" s="1513"/>
      <c r="E312" s="1513"/>
      <c r="F312" s="1513"/>
      <c r="G312" s="1513"/>
      <c r="H312" s="985">
        <f>H313+H314+H315</f>
        <v>1162.2</v>
      </c>
      <c r="I312" s="985">
        <f t="shared" ref="I312:Q312" si="94">I313+I314+I315</f>
        <v>1056.9000000000001</v>
      </c>
      <c r="J312" s="985">
        <f t="shared" si="94"/>
        <v>580.79999999999995</v>
      </c>
      <c r="K312" s="985">
        <f t="shared" si="94"/>
        <v>44</v>
      </c>
      <c r="L312" s="985">
        <f t="shared" si="94"/>
        <v>2833131</v>
      </c>
      <c r="M312" s="985">
        <f t="shared" si="94"/>
        <v>0</v>
      </c>
      <c r="N312" s="985">
        <f t="shared" si="94"/>
        <v>0</v>
      </c>
      <c r="O312" s="985">
        <f t="shared" si="94"/>
        <v>2833131</v>
      </c>
      <c r="P312" s="985">
        <f t="shared" si="94"/>
        <v>0</v>
      </c>
      <c r="Q312" s="985">
        <f t="shared" si="94"/>
        <v>0</v>
      </c>
      <c r="R312" s="996" t="s">
        <v>40</v>
      </c>
      <c r="S312" s="996" t="s">
        <v>40</v>
      </c>
      <c r="T312" s="996" t="s">
        <v>40</v>
      </c>
    </row>
    <row r="313" spans="1:20" s="997" customFormat="1" ht="39.6" customHeight="1">
      <c r="A313" s="1249">
        <v>252</v>
      </c>
      <c r="B313" s="1102" t="s">
        <v>1312</v>
      </c>
      <c r="C313" s="1026">
        <v>1965</v>
      </c>
      <c r="D313" s="1026"/>
      <c r="E313" s="1026" t="s">
        <v>218</v>
      </c>
      <c r="F313" s="1026">
        <v>2</v>
      </c>
      <c r="G313" s="1026">
        <v>2</v>
      </c>
      <c r="H313" s="985">
        <v>458.1</v>
      </c>
      <c r="I313" s="985">
        <v>457.2</v>
      </c>
      <c r="J313" s="985">
        <v>352.4</v>
      </c>
      <c r="K313" s="995">
        <v>25</v>
      </c>
      <c r="L313" s="987">
        <v>1221177</v>
      </c>
      <c r="M313" s="987">
        <v>0</v>
      </c>
      <c r="N313" s="987">
        <v>0</v>
      </c>
      <c r="O313" s="987">
        <v>1221177</v>
      </c>
      <c r="P313" s="998">
        <v>0</v>
      </c>
      <c r="Q313" s="987">
        <v>0</v>
      </c>
      <c r="R313" s="1057">
        <f>L313/I313</f>
        <v>2670.9908136482941</v>
      </c>
      <c r="S313" s="1098" t="s">
        <v>1269</v>
      </c>
      <c r="T313" s="1098" t="s">
        <v>1269</v>
      </c>
    </row>
    <row r="314" spans="1:20" s="997" customFormat="1" ht="36" customHeight="1">
      <c r="A314" s="1249">
        <v>253</v>
      </c>
      <c r="B314" s="1102" t="s">
        <v>1313</v>
      </c>
      <c r="C314" s="1026">
        <v>1964</v>
      </c>
      <c r="D314" s="1026"/>
      <c r="E314" s="1026" t="s">
        <v>221</v>
      </c>
      <c r="F314" s="1026">
        <v>2</v>
      </c>
      <c r="G314" s="1026">
        <v>2</v>
      </c>
      <c r="H314" s="985">
        <v>140.9</v>
      </c>
      <c r="I314" s="985">
        <v>124.7</v>
      </c>
      <c r="J314" s="985">
        <v>0</v>
      </c>
      <c r="K314" s="995">
        <v>5</v>
      </c>
      <c r="L314" s="987">
        <v>390777</v>
      </c>
      <c r="M314" s="987">
        <v>0</v>
      </c>
      <c r="N314" s="987">
        <v>0</v>
      </c>
      <c r="O314" s="987">
        <v>390777</v>
      </c>
      <c r="P314" s="998">
        <v>0</v>
      </c>
      <c r="Q314" s="987">
        <v>0</v>
      </c>
      <c r="R314" s="1057">
        <f>L314/I314</f>
        <v>3133.7369687249397</v>
      </c>
      <c r="S314" s="1098" t="s">
        <v>1269</v>
      </c>
      <c r="T314" s="1098" t="s">
        <v>1269</v>
      </c>
    </row>
    <row r="315" spans="1:20" s="997" customFormat="1" ht="40.200000000000003" customHeight="1">
      <c r="A315" s="1249">
        <v>254</v>
      </c>
      <c r="B315" s="997" t="s">
        <v>1314</v>
      </c>
      <c r="C315" s="1026">
        <v>1917</v>
      </c>
      <c r="D315" s="1026"/>
      <c r="E315" s="1026" t="s">
        <v>218</v>
      </c>
      <c r="F315" s="1026">
        <v>2</v>
      </c>
      <c r="G315" s="1026">
        <v>2</v>
      </c>
      <c r="H315" s="985">
        <v>563.20000000000005</v>
      </c>
      <c r="I315" s="985">
        <v>475</v>
      </c>
      <c r="J315" s="985">
        <v>228.4</v>
      </c>
      <c r="K315" s="995">
        <v>14</v>
      </c>
      <c r="L315" s="987">
        <v>1221177</v>
      </c>
      <c r="M315" s="987">
        <v>0</v>
      </c>
      <c r="N315" s="987">
        <v>0</v>
      </c>
      <c r="O315" s="987">
        <v>1221177</v>
      </c>
      <c r="P315" s="998">
        <v>0</v>
      </c>
      <c r="Q315" s="987">
        <v>0</v>
      </c>
      <c r="R315" s="1057">
        <f>L315/I315</f>
        <v>2570.898947368421</v>
      </c>
      <c r="S315" s="1098" t="s">
        <v>1269</v>
      </c>
      <c r="T315" s="1098" t="s">
        <v>1269</v>
      </c>
    </row>
    <row r="316" spans="1:20" s="997" customFormat="1" ht="36" customHeight="1">
      <c r="A316" s="1249"/>
      <c r="B316" s="1261" t="s">
        <v>55</v>
      </c>
      <c r="C316" s="991"/>
      <c r="D316" s="992"/>
      <c r="E316" s="993"/>
      <c r="F316" s="991"/>
      <c r="G316" s="994"/>
      <c r="H316" s="985">
        <f>H317</f>
        <v>1415.1</v>
      </c>
      <c r="I316" s="985">
        <f t="shared" ref="I316:Q316" si="95">I317</f>
        <v>882.2</v>
      </c>
      <c r="J316" s="985">
        <f t="shared" si="95"/>
        <v>855.2</v>
      </c>
      <c r="K316" s="995">
        <f t="shared" si="95"/>
        <v>49</v>
      </c>
      <c r="L316" s="985">
        <f t="shared" si="95"/>
        <v>2914163</v>
      </c>
      <c r="M316" s="985">
        <f t="shared" si="95"/>
        <v>0</v>
      </c>
      <c r="N316" s="985">
        <f t="shared" si="95"/>
        <v>0</v>
      </c>
      <c r="O316" s="985">
        <f t="shared" si="95"/>
        <v>2914163</v>
      </c>
      <c r="P316" s="985">
        <f t="shared" si="95"/>
        <v>0</v>
      </c>
      <c r="Q316" s="985">
        <f t="shared" si="95"/>
        <v>0</v>
      </c>
      <c r="R316" s="996" t="s">
        <v>40</v>
      </c>
      <c r="S316" s="996" t="s">
        <v>40</v>
      </c>
      <c r="T316" s="996" t="s">
        <v>40</v>
      </c>
    </row>
    <row r="317" spans="1:20" s="997" customFormat="1" ht="36" customHeight="1">
      <c r="A317" s="1249"/>
      <c r="B317" s="1261" t="s">
        <v>1090</v>
      </c>
      <c r="C317" s="991"/>
      <c r="D317" s="992"/>
      <c r="E317" s="993"/>
      <c r="F317" s="991"/>
      <c r="G317" s="994"/>
      <c r="H317" s="985">
        <f>H318</f>
        <v>1415.1</v>
      </c>
      <c r="I317" s="985">
        <f t="shared" ref="I317:Q317" si="96">I318</f>
        <v>882.2</v>
      </c>
      <c r="J317" s="985">
        <f t="shared" si="96"/>
        <v>855.2</v>
      </c>
      <c r="K317" s="995">
        <f t="shared" si="96"/>
        <v>49</v>
      </c>
      <c r="L317" s="985">
        <f t="shared" si="96"/>
        <v>2914163</v>
      </c>
      <c r="M317" s="985">
        <f t="shared" si="96"/>
        <v>0</v>
      </c>
      <c r="N317" s="985">
        <f t="shared" si="96"/>
        <v>0</v>
      </c>
      <c r="O317" s="985">
        <f t="shared" si="96"/>
        <v>2914163</v>
      </c>
      <c r="P317" s="985">
        <f t="shared" si="96"/>
        <v>0</v>
      </c>
      <c r="Q317" s="985">
        <f t="shared" si="96"/>
        <v>0</v>
      </c>
      <c r="R317" s="996" t="s">
        <v>40</v>
      </c>
      <c r="S317" s="996" t="s">
        <v>40</v>
      </c>
      <c r="T317" s="996" t="s">
        <v>40</v>
      </c>
    </row>
    <row r="318" spans="1:20" s="997" customFormat="1" ht="36" customHeight="1">
      <c r="A318" s="1249">
        <v>255</v>
      </c>
      <c r="B318" s="997" t="s">
        <v>1516</v>
      </c>
      <c r="C318" s="1026">
        <v>1990</v>
      </c>
      <c r="D318" s="1026"/>
      <c r="E318" s="1026" t="s">
        <v>219</v>
      </c>
      <c r="F318" s="1026">
        <v>3</v>
      </c>
      <c r="G318" s="1026">
        <v>3</v>
      </c>
      <c r="H318" s="985">
        <v>1415.1</v>
      </c>
      <c r="I318" s="985">
        <v>882.2</v>
      </c>
      <c r="J318" s="985">
        <v>855.2</v>
      </c>
      <c r="K318" s="995">
        <v>49</v>
      </c>
      <c r="L318" s="987">
        <v>2914163</v>
      </c>
      <c r="M318" s="987">
        <v>0</v>
      </c>
      <c r="N318" s="987">
        <v>0</v>
      </c>
      <c r="O318" s="987">
        <v>2914163</v>
      </c>
      <c r="P318" s="998">
        <v>0</v>
      </c>
      <c r="Q318" s="987">
        <v>0</v>
      </c>
      <c r="R318" s="1057">
        <f>L318/I318</f>
        <v>3303.290637043754</v>
      </c>
      <c r="S318" s="1098" t="s">
        <v>1269</v>
      </c>
      <c r="T318" s="1098" t="s">
        <v>1269</v>
      </c>
    </row>
    <row r="319" spans="1:20" s="997" customFormat="1" ht="36" customHeight="1">
      <c r="A319" s="1249"/>
      <c r="B319" s="1513" t="s">
        <v>2021</v>
      </c>
      <c r="C319" s="1513"/>
      <c r="D319" s="1513"/>
      <c r="E319" s="1513"/>
      <c r="F319" s="1513"/>
      <c r="G319" s="1513"/>
      <c r="H319" s="985">
        <f>H320+H321</f>
        <v>814.6</v>
      </c>
      <c r="I319" s="985">
        <f t="shared" ref="I319:Q319" si="97">I320+I321</f>
        <v>814.6</v>
      </c>
      <c r="J319" s="985">
        <f t="shared" si="97"/>
        <v>631.5</v>
      </c>
      <c r="K319" s="985">
        <f t="shared" si="97"/>
        <v>38</v>
      </c>
      <c r="L319" s="985">
        <f t="shared" si="97"/>
        <v>2447067</v>
      </c>
      <c r="M319" s="985">
        <f t="shared" si="97"/>
        <v>0</v>
      </c>
      <c r="N319" s="985">
        <f t="shared" si="97"/>
        <v>298374.21999999997</v>
      </c>
      <c r="O319" s="985">
        <f t="shared" si="97"/>
        <v>2148692.7800000003</v>
      </c>
      <c r="P319" s="985">
        <f t="shared" si="97"/>
        <v>0</v>
      </c>
      <c r="Q319" s="985">
        <f t="shared" si="97"/>
        <v>0</v>
      </c>
      <c r="R319" s="996" t="s">
        <v>40</v>
      </c>
      <c r="S319" s="996" t="s">
        <v>40</v>
      </c>
      <c r="T319" s="996" t="s">
        <v>40</v>
      </c>
    </row>
    <row r="320" spans="1:20" s="1015" customFormat="1" ht="39.6" customHeight="1">
      <c r="A320" s="1249">
        <v>256</v>
      </c>
      <c r="B320" s="997" t="s">
        <v>1809</v>
      </c>
      <c r="C320" s="1026">
        <v>1970</v>
      </c>
      <c r="D320" s="1260"/>
      <c r="E320" s="1249" t="s">
        <v>218</v>
      </c>
      <c r="F320" s="1249">
        <v>2</v>
      </c>
      <c r="G320" s="1249">
        <v>2</v>
      </c>
      <c r="H320" s="985">
        <v>433.6</v>
      </c>
      <c r="I320" s="985">
        <v>433.6</v>
      </c>
      <c r="J320" s="985">
        <v>384.5</v>
      </c>
      <c r="K320" s="995">
        <v>20</v>
      </c>
      <c r="L320" s="987">
        <v>1198149</v>
      </c>
      <c r="M320" s="987">
        <v>0</v>
      </c>
      <c r="N320" s="987">
        <v>0</v>
      </c>
      <c r="O320" s="987">
        <v>1198149</v>
      </c>
      <c r="P320" s="998">
        <v>0</v>
      </c>
      <c r="Q320" s="987">
        <v>0</v>
      </c>
      <c r="R320" s="1057">
        <f>L320/I320</f>
        <v>2763.2587638376381</v>
      </c>
      <c r="S320" s="1098" t="s">
        <v>1269</v>
      </c>
      <c r="T320" s="1098" t="s">
        <v>1269</v>
      </c>
    </row>
    <row r="321" spans="1:20" s="1015" customFormat="1" ht="39.6" customHeight="1">
      <c r="A321" s="1249">
        <v>257</v>
      </c>
      <c r="B321" s="1245" t="s">
        <v>1326</v>
      </c>
      <c r="C321" s="1026">
        <v>1970</v>
      </c>
      <c r="D321" s="1026"/>
      <c r="E321" s="1026" t="s">
        <v>218</v>
      </c>
      <c r="F321" s="1026">
        <v>2</v>
      </c>
      <c r="G321" s="1026">
        <v>2</v>
      </c>
      <c r="H321" s="985">
        <v>381</v>
      </c>
      <c r="I321" s="985">
        <v>381</v>
      </c>
      <c r="J321" s="985">
        <v>247</v>
      </c>
      <c r="K321" s="995">
        <v>18</v>
      </c>
      <c r="L321" s="987">
        <f>N321+O321</f>
        <v>1248918</v>
      </c>
      <c r="M321" s="987">
        <v>0</v>
      </c>
      <c r="N321" s="987">
        <v>298374.21999999997</v>
      </c>
      <c r="O321" s="987">
        <v>950543.78</v>
      </c>
      <c r="P321" s="998">
        <v>0</v>
      </c>
      <c r="Q321" s="987">
        <v>0</v>
      </c>
      <c r="R321" s="1057">
        <f>L321/I321</f>
        <v>3278</v>
      </c>
      <c r="S321" s="1098" t="s">
        <v>1269</v>
      </c>
      <c r="T321" s="1098" t="s">
        <v>1269</v>
      </c>
    </row>
    <row r="322" spans="1:20" s="1015" customFormat="1" ht="39.6" customHeight="1">
      <c r="A322" s="1249"/>
      <c r="B322" s="1543" t="s">
        <v>56</v>
      </c>
      <c r="C322" s="1544"/>
      <c r="D322" s="1544"/>
      <c r="E322" s="1544"/>
      <c r="F322" s="1544"/>
      <c r="G322" s="1545"/>
      <c r="H322" s="985">
        <f>H337+H341+H323+H344</f>
        <v>25906.5</v>
      </c>
      <c r="I322" s="985">
        <f t="shared" ref="I322:Q322" si="98">I337+I341+I323+I344</f>
        <v>18567.599999999999</v>
      </c>
      <c r="J322" s="985">
        <f t="shared" si="98"/>
        <v>15746.3</v>
      </c>
      <c r="K322" s="995">
        <f t="shared" si="98"/>
        <v>1014</v>
      </c>
      <c r="L322" s="985">
        <f t="shared" si="98"/>
        <v>49604796.799999997</v>
      </c>
      <c r="M322" s="985">
        <f t="shared" si="98"/>
        <v>0</v>
      </c>
      <c r="N322" s="985">
        <f t="shared" si="98"/>
        <v>0</v>
      </c>
      <c r="O322" s="985">
        <f t="shared" si="98"/>
        <v>49604796.799999997</v>
      </c>
      <c r="P322" s="985">
        <f t="shared" si="98"/>
        <v>0</v>
      </c>
      <c r="Q322" s="985">
        <f t="shared" si="98"/>
        <v>0</v>
      </c>
      <c r="R322" s="996" t="s">
        <v>40</v>
      </c>
      <c r="S322" s="996" t="s">
        <v>40</v>
      </c>
      <c r="T322" s="996" t="s">
        <v>40</v>
      </c>
    </row>
    <row r="323" spans="1:20" s="1015" customFormat="1" ht="39.6" customHeight="1">
      <c r="A323" s="1249"/>
      <c r="B323" s="1514" t="s">
        <v>1091</v>
      </c>
      <c r="C323" s="1515"/>
      <c r="D323" s="1515"/>
      <c r="E323" s="1515"/>
      <c r="F323" s="1515"/>
      <c r="G323" s="1516"/>
      <c r="H323" s="985">
        <f>SUM(H324:H336)</f>
        <v>16289.699999999999</v>
      </c>
      <c r="I323" s="985">
        <f t="shared" ref="I323:Q323" si="99">SUM(I324:I336)</f>
        <v>11292.299999999997</v>
      </c>
      <c r="J323" s="985">
        <f t="shared" si="99"/>
        <v>9929.9</v>
      </c>
      <c r="K323" s="995">
        <f t="shared" si="99"/>
        <v>629</v>
      </c>
      <c r="L323" s="985">
        <f t="shared" si="99"/>
        <v>41606571.799999997</v>
      </c>
      <c r="M323" s="985">
        <f t="shared" si="99"/>
        <v>0</v>
      </c>
      <c r="N323" s="985">
        <f t="shared" si="99"/>
        <v>0</v>
      </c>
      <c r="O323" s="985">
        <f t="shared" si="99"/>
        <v>41606571.799999997</v>
      </c>
      <c r="P323" s="985">
        <f t="shared" si="99"/>
        <v>0</v>
      </c>
      <c r="Q323" s="985">
        <f t="shared" si="99"/>
        <v>0</v>
      </c>
      <c r="R323" s="996" t="s">
        <v>40</v>
      </c>
      <c r="S323" s="996" t="s">
        <v>40</v>
      </c>
      <c r="T323" s="996" t="s">
        <v>40</v>
      </c>
    </row>
    <row r="324" spans="1:20" s="1015" customFormat="1" ht="39.6" customHeight="1">
      <c r="A324" s="1249">
        <v>258</v>
      </c>
      <c r="B324" s="1102" t="s">
        <v>2009</v>
      </c>
      <c r="C324" s="1026">
        <v>1976</v>
      </c>
      <c r="D324" s="1026"/>
      <c r="E324" s="1026" t="s">
        <v>218</v>
      </c>
      <c r="F324" s="1026">
        <v>2</v>
      </c>
      <c r="G324" s="1026">
        <v>2</v>
      </c>
      <c r="H324" s="1057">
        <v>1011.9</v>
      </c>
      <c r="I324" s="1057">
        <v>686.6</v>
      </c>
      <c r="J324" s="1057">
        <v>603</v>
      </c>
      <c r="K324" s="1036">
        <v>62</v>
      </c>
      <c r="L324" s="1103">
        <v>1768400.29</v>
      </c>
      <c r="M324" s="1057">
        <v>0</v>
      </c>
      <c r="N324" s="1057">
        <v>0</v>
      </c>
      <c r="O324" s="1057">
        <f>L324</f>
        <v>1768400.29</v>
      </c>
      <c r="P324" s="1057">
        <v>0</v>
      </c>
      <c r="Q324" s="1057">
        <v>0</v>
      </c>
      <c r="R324" s="1057">
        <f>L324/I324</f>
        <v>2575.5902854646083</v>
      </c>
      <c r="S324" s="1098" t="s">
        <v>1269</v>
      </c>
      <c r="T324" s="1098" t="s">
        <v>1269</v>
      </c>
    </row>
    <row r="325" spans="1:20" s="1015" customFormat="1" ht="39.6" customHeight="1">
      <c r="A325" s="1046">
        <v>259</v>
      </c>
      <c r="B325" s="1104" t="s">
        <v>1296</v>
      </c>
      <c r="C325" s="1053">
        <v>1966</v>
      </c>
      <c r="D325" s="1053"/>
      <c r="E325" s="1026" t="s">
        <v>218</v>
      </c>
      <c r="F325" s="1053">
        <v>3</v>
      </c>
      <c r="G325" s="1053">
        <v>2</v>
      </c>
      <c r="H325" s="1054">
        <v>892.3</v>
      </c>
      <c r="I325" s="1054">
        <v>581.6</v>
      </c>
      <c r="J325" s="1054">
        <v>427.1</v>
      </c>
      <c r="K325" s="1055">
        <v>50</v>
      </c>
      <c r="L325" s="1103">
        <v>5329529.21</v>
      </c>
      <c r="M325" s="1057">
        <v>0</v>
      </c>
      <c r="N325" s="1057">
        <v>0</v>
      </c>
      <c r="O325" s="1057">
        <f t="shared" ref="O325:O332" si="100">L325</f>
        <v>5329529.21</v>
      </c>
      <c r="P325" s="1057">
        <v>0</v>
      </c>
      <c r="Q325" s="1057">
        <v>0</v>
      </c>
      <c r="R325" s="1057">
        <f t="shared" ref="R325:R336" si="101">L325/I325</f>
        <v>9163.5646664374144</v>
      </c>
      <c r="S325" s="1098" t="s">
        <v>1269</v>
      </c>
      <c r="T325" s="1098" t="s">
        <v>1269</v>
      </c>
    </row>
    <row r="326" spans="1:20" s="1015" customFormat="1" ht="39.6" customHeight="1">
      <c r="A326" s="1249">
        <v>260</v>
      </c>
      <c r="B326" s="1104" t="s">
        <v>1810</v>
      </c>
      <c r="C326" s="1026">
        <v>1974</v>
      </c>
      <c r="D326" s="1026"/>
      <c r="E326" s="1026" t="s">
        <v>218</v>
      </c>
      <c r="F326" s="1026">
        <v>5</v>
      </c>
      <c r="G326" s="1026">
        <v>1</v>
      </c>
      <c r="H326" s="1057">
        <v>3213.2</v>
      </c>
      <c r="I326" s="1057">
        <v>2128.6999999999998</v>
      </c>
      <c r="J326" s="1057">
        <v>1608.8</v>
      </c>
      <c r="K326" s="1036">
        <v>124</v>
      </c>
      <c r="L326" s="1103">
        <v>10334122.189999999</v>
      </c>
      <c r="M326" s="1057">
        <v>0</v>
      </c>
      <c r="N326" s="1057">
        <v>0</v>
      </c>
      <c r="O326" s="1057">
        <f t="shared" si="100"/>
        <v>10334122.189999999</v>
      </c>
      <c r="P326" s="1057">
        <v>0</v>
      </c>
      <c r="Q326" s="1057">
        <v>0</v>
      </c>
      <c r="R326" s="1057">
        <f t="shared" si="101"/>
        <v>4854.6634988490632</v>
      </c>
      <c r="S326" s="1098" t="s">
        <v>1269</v>
      </c>
      <c r="T326" s="1098" t="s">
        <v>1269</v>
      </c>
    </row>
    <row r="327" spans="1:20" s="1015" customFormat="1" ht="39.6" customHeight="1">
      <c r="A327" s="1046">
        <v>261</v>
      </c>
      <c r="B327" s="1104" t="s">
        <v>1297</v>
      </c>
      <c r="C327" s="1053">
        <v>1970</v>
      </c>
      <c r="D327" s="1053"/>
      <c r="E327" s="1026" t="s">
        <v>218</v>
      </c>
      <c r="F327" s="1053">
        <v>2</v>
      </c>
      <c r="G327" s="1053">
        <v>2</v>
      </c>
      <c r="H327" s="1054">
        <v>541.9</v>
      </c>
      <c r="I327" s="1054">
        <v>493.7</v>
      </c>
      <c r="J327" s="1054">
        <v>452.5</v>
      </c>
      <c r="K327" s="1055">
        <v>21</v>
      </c>
      <c r="L327" s="1057">
        <v>3324865.21</v>
      </c>
      <c r="M327" s="1057">
        <v>0</v>
      </c>
      <c r="N327" s="1057">
        <v>0</v>
      </c>
      <c r="O327" s="1057">
        <f t="shared" si="100"/>
        <v>3324865.21</v>
      </c>
      <c r="P327" s="1057">
        <v>0</v>
      </c>
      <c r="Q327" s="1057">
        <v>0</v>
      </c>
      <c r="R327" s="1057">
        <f t="shared" si="101"/>
        <v>6734.5862061980961</v>
      </c>
      <c r="S327" s="1098" t="s">
        <v>1269</v>
      </c>
      <c r="T327" s="1098" t="s">
        <v>1269</v>
      </c>
    </row>
    <row r="328" spans="1:20" s="1015" customFormat="1" ht="39.6" customHeight="1">
      <c r="A328" s="1249">
        <v>262</v>
      </c>
      <c r="B328" s="1104" t="s">
        <v>1298</v>
      </c>
      <c r="C328" s="1053">
        <v>1964</v>
      </c>
      <c r="D328" s="1053"/>
      <c r="E328" s="1053" t="s">
        <v>218</v>
      </c>
      <c r="F328" s="1053">
        <v>2</v>
      </c>
      <c r="G328" s="1053">
        <v>3</v>
      </c>
      <c r="H328" s="1054">
        <v>550.20000000000005</v>
      </c>
      <c r="I328" s="1054">
        <v>485.7</v>
      </c>
      <c r="J328" s="1054">
        <v>434.5</v>
      </c>
      <c r="K328" s="1055">
        <v>16</v>
      </c>
      <c r="L328" s="1057">
        <v>1863219.88</v>
      </c>
      <c r="M328" s="1057">
        <v>0</v>
      </c>
      <c r="N328" s="1057">
        <v>0</v>
      </c>
      <c r="O328" s="1057">
        <f t="shared" si="100"/>
        <v>1863219.88</v>
      </c>
      <c r="P328" s="1057">
        <v>0</v>
      </c>
      <c r="Q328" s="1057">
        <v>0</v>
      </c>
      <c r="R328" s="1057">
        <f t="shared" si="101"/>
        <v>3836.1537574634549</v>
      </c>
      <c r="S328" s="1098" t="s">
        <v>1269</v>
      </c>
      <c r="T328" s="1098" t="s">
        <v>1269</v>
      </c>
    </row>
    <row r="329" spans="1:20" s="1015" customFormat="1" ht="39.6" customHeight="1">
      <c r="A329" s="1046">
        <v>263</v>
      </c>
      <c r="B329" s="1104" t="s">
        <v>1299</v>
      </c>
      <c r="C329" s="1053">
        <v>1975</v>
      </c>
      <c r="D329" s="1053"/>
      <c r="E329" s="1053" t="s">
        <v>218</v>
      </c>
      <c r="F329" s="1053">
        <v>2</v>
      </c>
      <c r="G329" s="1053">
        <v>2</v>
      </c>
      <c r="H329" s="1054">
        <v>842.6</v>
      </c>
      <c r="I329" s="1054">
        <v>779.4</v>
      </c>
      <c r="J329" s="1054">
        <v>727.7</v>
      </c>
      <c r="K329" s="1055">
        <v>29</v>
      </c>
      <c r="L329" s="1057">
        <v>2200898.5499999998</v>
      </c>
      <c r="M329" s="1057">
        <v>0</v>
      </c>
      <c r="N329" s="1057">
        <v>0</v>
      </c>
      <c r="O329" s="1057">
        <f t="shared" si="100"/>
        <v>2200898.5499999998</v>
      </c>
      <c r="P329" s="1057">
        <v>0</v>
      </c>
      <c r="Q329" s="1057">
        <v>0</v>
      </c>
      <c r="R329" s="1057">
        <f t="shared" si="101"/>
        <v>2823.8369899923018</v>
      </c>
      <c r="S329" s="1098" t="s">
        <v>1269</v>
      </c>
      <c r="T329" s="1098" t="s">
        <v>1269</v>
      </c>
    </row>
    <row r="330" spans="1:20" s="1015" customFormat="1" ht="36" customHeight="1">
      <c r="A330" s="1249">
        <v>264</v>
      </c>
      <c r="B330" s="1104" t="s">
        <v>1300</v>
      </c>
      <c r="C330" s="1053">
        <v>1975</v>
      </c>
      <c r="D330" s="1053"/>
      <c r="E330" s="1053" t="s">
        <v>220</v>
      </c>
      <c r="F330" s="1053">
        <v>2</v>
      </c>
      <c r="G330" s="1053">
        <v>2</v>
      </c>
      <c r="H330" s="1054">
        <v>891.6</v>
      </c>
      <c r="I330" s="1054">
        <v>821.8</v>
      </c>
      <c r="J330" s="1054">
        <v>782</v>
      </c>
      <c r="K330" s="1055">
        <v>16</v>
      </c>
      <c r="L330" s="1057">
        <v>2089137.28</v>
      </c>
      <c r="M330" s="1057">
        <v>0</v>
      </c>
      <c r="N330" s="1057">
        <v>0</v>
      </c>
      <c r="O330" s="1057">
        <f t="shared" si="100"/>
        <v>2089137.28</v>
      </c>
      <c r="P330" s="1057">
        <v>0</v>
      </c>
      <c r="Q330" s="1057">
        <v>0</v>
      </c>
      <c r="R330" s="1057">
        <f t="shared" si="101"/>
        <v>2542.1480652226819</v>
      </c>
      <c r="S330" s="1098" t="s">
        <v>1269</v>
      </c>
      <c r="T330" s="1098" t="s">
        <v>1269</v>
      </c>
    </row>
    <row r="331" spans="1:20" s="1015" customFormat="1" ht="39.6" customHeight="1">
      <c r="A331" s="1046">
        <v>265</v>
      </c>
      <c r="B331" s="1025" t="s">
        <v>1301</v>
      </c>
      <c r="C331" s="1026">
        <v>1962</v>
      </c>
      <c r="D331" s="1026"/>
      <c r="E331" s="1026" t="s">
        <v>218</v>
      </c>
      <c r="F331" s="1026">
        <v>2</v>
      </c>
      <c r="G331" s="1026">
        <v>2</v>
      </c>
      <c r="H331" s="1057">
        <v>522.5</v>
      </c>
      <c r="I331" s="1057">
        <v>458.9</v>
      </c>
      <c r="J331" s="1057">
        <v>381</v>
      </c>
      <c r="K331" s="1036">
        <v>21</v>
      </c>
      <c r="L331" s="1057">
        <v>2973953.43</v>
      </c>
      <c r="M331" s="1057">
        <v>0</v>
      </c>
      <c r="N331" s="1057">
        <v>0</v>
      </c>
      <c r="O331" s="1057">
        <f t="shared" si="100"/>
        <v>2973953.43</v>
      </c>
      <c r="P331" s="1057">
        <v>0</v>
      </c>
      <c r="Q331" s="1057">
        <v>0</v>
      </c>
      <c r="R331" s="1057">
        <f t="shared" si="101"/>
        <v>6480.613270865113</v>
      </c>
      <c r="S331" s="1098" t="s">
        <v>1269</v>
      </c>
      <c r="T331" s="1098" t="s">
        <v>1269</v>
      </c>
    </row>
    <row r="332" spans="1:20" s="1015" customFormat="1" ht="39.6" customHeight="1">
      <c r="A332" s="1249">
        <v>266</v>
      </c>
      <c r="B332" s="1025" t="s">
        <v>1302</v>
      </c>
      <c r="C332" s="1026">
        <v>1918</v>
      </c>
      <c r="D332" s="1105"/>
      <c r="E332" s="1026" t="s">
        <v>218</v>
      </c>
      <c r="F332" s="1026">
        <v>2</v>
      </c>
      <c r="G332" s="1026">
        <v>1</v>
      </c>
      <c r="H332" s="1057">
        <v>496.4</v>
      </c>
      <c r="I332" s="1057">
        <v>286.2</v>
      </c>
      <c r="J332" s="1057">
        <v>286.2</v>
      </c>
      <c r="K332" s="1036">
        <v>10</v>
      </c>
      <c r="L332" s="1057">
        <v>1245871.96</v>
      </c>
      <c r="M332" s="1057">
        <v>0</v>
      </c>
      <c r="N332" s="1057">
        <v>0</v>
      </c>
      <c r="O332" s="1057">
        <f t="shared" si="100"/>
        <v>1245871.96</v>
      </c>
      <c r="P332" s="1057">
        <v>0</v>
      </c>
      <c r="Q332" s="1057">
        <v>0</v>
      </c>
      <c r="R332" s="1057">
        <f t="shared" si="101"/>
        <v>4353.1515024458422</v>
      </c>
      <c r="S332" s="1098" t="s">
        <v>1269</v>
      </c>
      <c r="T332" s="1098" t="s">
        <v>1269</v>
      </c>
    </row>
    <row r="333" spans="1:20" s="1015" customFormat="1" ht="33.6" customHeight="1">
      <c r="A333" s="1046">
        <v>267</v>
      </c>
      <c r="B333" s="1025" t="s">
        <v>1303</v>
      </c>
      <c r="C333" s="1026">
        <v>1962</v>
      </c>
      <c r="D333" s="1026"/>
      <c r="E333" s="1026" t="s">
        <v>220</v>
      </c>
      <c r="F333" s="1026">
        <v>4</v>
      </c>
      <c r="G333" s="1026">
        <v>2</v>
      </c>
      <c r="H333" s="1057">
        <v>1706.4</v>
      </c>
      <c r="I333" s="1057">
        <v>1263</v>
      </c>
      <c r="J333" s="1057">
        <v>1207.3</v>
      </c>
      <c r="K333" s="1036">
        <v>48</v>
      </c>
      <c r="L333" s="1057">
        <v>3114413.8</v>
      </c>
      <c r="M333" s="1057">
        <v>0</v>
      </c>
      <c r="N333" s="1057">
        <v>0</v>
      </c>
      <c r="O333" s="1057">
        <f>L333</f>
        <v>3114413.8</v>
      </c>
      <c r="P333" s="1057">
        <v>0</v>
      </c>
      <c r="Q333" s="1057">
        <v>0</v>
      </c>
      <c r="R333" s="1057">
        <f t="shared" si="101"/>
        <v>2465.8858273950909</v>
      </c>
      <c r="S333" s="1098" t="s">
        <v>1269</v>
      </c>
      <c r="T333" s="1098" t="s">
        <v>1269</v>
      </c>
    </row>
    <row r="334" spans="1:20" s="1015" customFormat="1" ht="39.6" customHeight="1">
      <c r="A334" s="1249">
        <v>268</v>
      </c>
      <c r="B334" s="1106" t="s">
        <v>1811</v>
      </c>
      <c r="C334" s="1046">
        <v>1993</v>
      </c>
      <c r="D334" s="1046"/>
      <c r="E334" s="1026" t="s">
        <v>218</v>
      </c>
      <c r="F334" s="1046">
        <v>3</v>
      </c>
      <c r="G334" s="1046">
        <v>2</v>
      </c>
      <c r="H334" s="1107">
        <v>1245.8</v>
      </c>
      <c r="I334" s="1107">
        <v>692.4</v>
      </c>
      <c r="J334" s="1107">
        <v>643.4</v>
      </c>
      <c r="K334" s="1108">
        <v>59</v>
      </c>
      <c r="L334" s="1057">
        <v>1646867</v>
      </c>
      <c r="M334" s="1057">
        <v>0</v>
      </c>
      <c r="N334" s="1057">
        <v>0</v>
      </c>
      <c r="O334" s="1107">
        <f>L334</f>
        <v>1646867</v>
      </c>
      <c r="P334" s="1057">
        <v>0</v>
      </c>
      <c r="Q334" s="1057">
        <v>0</v>
      </c>
      <c r="R334" s="1057">
        <f t="shared" si="101"/>
        <v>2378.4907567879841</v>
      </c>
      <c r="S334" s="1098" t="s">
        <v>1269</v>
      </c>
      <c r="T334" s="1098" t="s">
        <v>1269</v>
      </c>
    </row>
    <row r="335" spans="1:20" s="997" customFormat="1" ht="36" customHeight="1">
      <c r="A335" s="1046">
        <v>269</v>
      </c>
      <c r="B335" s="1025" t="s">
        <v>1304</v>
      </c>
      <c r="C335" s="1026">
        <v>1978</v>
      </c>
      <c r="D335" s="1026"/>
      <c r="E335" s="1026" t="s">
        <v>219</v>
      </c>
      <c r="F335" s="1026">
        <v>5</v>
      </c>
      <c r="G335" s="1026">
        <v>4</v>
      </c>
      <c r="H335" s="1057">
        <v>3049.3</v>
      </c>
      <c r="I335" s="1057">
        <v>1832.9</v>
      </c>
      <c r="J335" s="1057">
        <v>1682.3</v>
      </c>
      <c r="K335" s="1036">
        <v>122</v>
      </c>
      <c r="L335" s="1057">
        <v>5260879</v>
      </c>
      <c r="M335" s="1057">
        <v>0</v>
      </c>
      <c r="N335" s="1057">
        <v>0</v>
      </c>
      <c r="O335" s="1057">
        <f>L335</f>
        <v>5260879</v>
      </c>
      <c r="P335" s="1057">
        <v>0</v>
      </c>
      <c r="Q335" s="1057">
        <v>0</v>
      </c>
      <c r="R335" s="1057">
        <f t="shared" si="101"/>
        <v>2870.2487860767087</v>
      </c>
      <c r="S335" s="1098" t="s">
        <v>1269</v>
      </c>
      <c r="T335" s="1098" t="s">
        <v>1269</v>
      </c>
    </row>
    <row r="336" spans="1:20" s="997" customFormat="1" ht="40.200000000000003" customHeight="1">
      <c r="A336" s="1249">
        <v>270</v>
      </c>
      <c r="B336" s="1025" t="s">
        <v>1305</v>
      </c>
      <c r="C336" s="1046">
        <v>1983</v>
      </c>
      <c r="D336" s="1070"/>
      <c r="E336" s="1026" t="s">
        <v>218</v>
      </c>
      <c r="F336" s="1046">
        <v>2</v>
      </c>
      <c r="G336" s="1070">
        <v>2</v>
      </c>
      <c r="H336" s="1107">
        <v>1325.6</v>
      </c>
      <c r="I336" s="1107">
        <v>781.4</v>
      </c>
      <c r="J336" s="1107">
        <v>694.1</v>
      </c>
      <c r="K336" s="1108">
        <v>51</v>
      </c>
      <c r="L336" s="1107">
        <v>454414</v>
      </c>
      <c r="M336" s="1057">
        <v>0</v>
      </c>
      <c r="N336" s="1057">
        <v>0</v>
      </c>
      <c r="O336" s="1057">
        <f>L336</f>
        <v>454414</v>
      </c>
      <c r="P336" s="1057">
        <v>0</v>
      </c>
      <c r="Q336" s="1057">
        <v>0</v>
      </c>
      <c r="R336" s="1057">
        <f t="shared" si="101"/>
        <v>581.53826465318662</v>
      </c>
      <c r="S336" s="1098" t="s">
        <v>1269</v>
      </c>
      <c r="T336" s="1098" t="s">
        <v>1269</v>
      </c>
    </row>
    <row r="337" spans="1:20" s="997" customFormat="1" ht="36" customHeight="1">
      <c r="A337" s="1249"/>
      <c r="B337" s="1514" t="s">
        <v>1092</v>
      </c>
      <c r="C337" s="1515"/>
      <c r="D337" s="1515"/>
      <c r="E337" s="1515"/>
      <c r="F337" s="1515"/>
      <c r="G337" s="1516"/>
      <c r="H337" s="985">
        <f>H338+H339+H340</f>
        <v>5121.1000000000004</v>
      </c>
      <c r="I337" s="985">
        <f t="shared" ref="I337:Q337" si="102">I338+I339+I340</f>
        <v>3686.3</v>
      </c>
      <c r="J337" s="985">
        <f t="shared" si="102"/>
        <v>2260.6999999999998</v>
      </c>
      <c r="K337" s="995">
        <f t="shared" si="102"/>
        <v>177</v>
      </c>
      <c r="L337" s="985">
        <f t="shared" si="102"/>
        <v>4455042</v>
      </c>
      <c r="M337" s="985">
        <f t="shared" si="102"/>
        <v>0</v>
      </c>
      <c r="N337" s="985">
        <f t="shared" si="102"/>
        <v>0</v>
      </c>
      <c r="O337" s="985">
        <f t="shared" si="102"/>
        <v>4455042</v>
      </c>
      <c r="P337" s="985">
        <f t="shared" si="102"/>
        <v>0</v>
      </c>
      <c r="Q337" s="985">
        <f t="shared" si="102"/>
        <v>0</v>
      </c>
      <c r="R337" s="996" t="s">
        <v>40</v>
      </c>
      <c r="S337" s="996" t="s">
        <v>40</v>
      </c>
      <c r="T337" s="996" t="s">
        <v>40</v>
      </c>
    </row>
    <row r="338" spans="1:20" s="997" customFormat="1" ht="40.200000000000003" customHeight="1">
      <c r="A338" s="1249">
        <v>271</v>
      </c>
      <c r="B338" s="1260" t="s">
        <v>1348</v>
      </c>
      <c r="C338" s="1249">
        <v>1967</v>
      </c>
      <c r="D338" s="1255"/>
      <c r="E338" s="1249" t="s">
        <v>218</v>
      </c>
      <c r="F338" s="1255">
        <v>2</v>
      </c>
      <c r="G338" s="1255">
        <v>2</v>
      </c>
      <c r="H338" s="985">
        <v>401.8</v>
      </c>
      <c r="I338" s="985">
        <v>227.9</v>
      </c>
      <c r="J338" s="985">
        <v>177.6</v>
      </c>
      <c r="K338" s="995">
        <v>3</v>
      </c>
      <c r="L338" s="987">
        <v>1218456</v>
      </c>
      <c r="M338" s="987">
        <v>0</v>
      </c>
      <c r="N338" s="987">
        <v>0</v>
      </c>
      <c r="O338" s="987">
        <f>L338</f>
        <v>1218456</v>
      </c>
      <c r="P338" s="998">
        <f t="shared" si="84"/>
        <v>0</v>
      </c>
      <c r="Q338" s="987">
        <v>0</v>
      </c>
      <c r="R338" s="985">
        <f>L338/I338</f>
        <v>5346.450197455024</v>
      </c>
      <c r="S338" s="988">
        <v>2020</v>
      </c>
      <c r="T338" s="988">
        <v>2020</v>
      </c>
    </row>
    <row r="339" spans="1:20" s="997" customFormat="1" ht="36" customHeight="1">
      <c r="A339" s="1249">
        <v>272</v>
      </c>
      <c r="B339" s="1260" t="s">
        <v>1349</v>
      </c>
      <c r="C339" s="1249">
        <v>1982</v>
      </c>
      <c r="D339" s="1255"/>
      <c r="E339" s="1249" t="s">
        <v>220</v>
      </c>
      <c r="F339" s="1255">
        <v>4</v>
      </c>
      <c r="G339" s="1255">
        <v>1</v>
      </c>
      <c r="H339" s="985">
        <v>770.5</v>
      </c>
      <c r="I339" s="985">
        <v>770.5</v>
      </c>
      <c r="J339" s="985">
        <v>416</v>
      </c>
      <c r="K339" s="995">
        <v>24</v>
      </c>
      <c r="L339" s="987">
        <v>764607</v>
      </c>
      <c r="M339" s="987">
        <v>0</v>
      </c>
      <c r="N339" s="987">
        <v>0</v>
      </c>
      <c r="O339" s="987">
        <v>764607</v>
      </c>
      <c r="P339" s="998">
        <v>0</v>
      </c>
      <c r="Q339" s="987">
        <v>0</v>
      </c>
      <c r="R339" s="985">
        <f>L339/I339</f>
        <v>992.35171966255677</v>
      </c>
      <c r="S339" s="988">
        <v>2020</v>
      </c>
      <c r="T339" s="988">
        <v>2020</v>
      </c>
    </row>
    <row r="340" spans="1:20" s="1109" customFormat="1" ht="37.799999999999997" customHeight="1">
      <c r="A340" s="1249">
        <v>273</v>
      </c>
      <c r="B340" s="997" t="s">
        <v>1171</v>
      </c>
      <c r="C340" s="1249">
        <v>1984</v>
      </c>
      <c r="D340" s="1255">
        <v>2018</v>
      </c>
      <c r="E340" s="1249" t="s">
        <v>218</v>
      </c>
      <c r="F340" s="1255">
        <v>5</v>
      </c>
      <c r="G340" s="1255">
        <v>1</v>
      </c>
      <c r="H340" s="985">
        <v>3948.8</v>
      </c>
      <c r="I340" s="985">
        <v>2687.9</v>
      </c>
      <c r="J340" s="985">
        <v>1667.1</v>
      </c>
      <c r="K340" s="995">
        <v>150</v>
      </c>
      <c r="L340" s="987">
        <v>2471979</v>
      </c>
      <c r="M340" s="987">
        <v>0</v>
      </c>
      <c r="N340" s="987">
        <v>0</v>
      </c>
      <c r="O340" s="987">
        <f>L340</f>
        <v>2471979</v>
      </c>
      <c r="P340" s="998">
        <f t="shared" ref="P340" si="103">Q340</f>
        <v>0</v>
      </c>
      <c r="Q340" s="987">
        <v>0</v>
      </c>
      <c r="R340" s="985">
        <f>L340/I340</f>
        <v>919.66925852896316</v>
      </c>
      <c r="S340" s="988">
        <v>2020</v>
      </c>
      <c r="T340" s="988">
        <v>2020</v>
      </c>
    </row>
    <row r="341" spans="1:20" s="1109" customFormat="1" ht="37.200000000000003" customHeight="1">
      <c r="A341" s="1249"/>
      <c r="B341" s="1514" t="s">
        <v>1093</v>
      </c>
      <c r="C341" s="1515"/>
      <c r="D341" s="1515"/>
      <c r="E341" s="1515"/>
      <c r="F341" s="1515"/>
      <c r="G341" s="1516"/>
      <c r="H341" s="985">
        <f>H342+H343</f>
        <v>3109</v>
      </c>
      <c r="I341" s="985">
        <f t="shared" ref="I341:Q341" si="104">I342+I343</f>
        <v>2757.3</v>
      </c>
      <c r="J341" s="985">
        <f t="shared" si="104"/>
        <v>2757.3</v>
      </c>
      <c r="K341" s="995">
        <f t="shared" si="104"/>
        <v>135</v>
      </c>
      <c r="L341" s="985">
        <f t="shared" si="104"/>
        <v>3059516</v>
      </c>
      <c r="M341" s="985">
        <f t="shared" si="104"/>
        <v>0</v>
      </c>
      <c r="N341" s="985">
        <f t="shared" si="104"/>
        <v>0</v>
      </c>
      <c r="O341" s="985">
        <f t="shared" si="104"/>
        <v>3059516</v>
      </c>
      <c r="P341" s="985">
        <f t="shared" si="104"/>
        <v>0</v>
      </c>
      <c r="Q341" s="985">
        <f t="shared" si="104"/>
        <v>0</v>
      </c>
      <c r="R341" s="996" t="s">
        <v>40</v>
      </c>
      <c r="S341" s="996" t="s">
        <v>40</v>
      </c>
      <c r="T341" s="996" t="s">
        <v>40</v>
      </c>
    </row>
    <row r="342" spans="1:20" s="1109" customFormat="1" ht="37.200000000000003" customHeight="1">
      <c r="A342" s="1249">
        <v>274</v>
      </c>
      <c r="B342" s="1260" t="s">
        <v>1283</v>
      </c>
      <c r="C342" s="1249">
        <v>1979</v>
      </c>
      <c r="D342" s="1255"/>
      <c r="E342" s="1249" t="s">
        <v>219</v>
      </c>
      <c r="F342" s="1255">
        <v>3</v>
      </c>
      <c r="G342" s="1255">
        <v>3</v>
      </c>
      <c r="H342" s="985">
        <v>1554.5</v>
      </c>
      <c r="I342" s="985">
        <v>1381.3</v>
      </c>
      <c r="J342" s="985">
        <v>1381.3</v>
      </c>
      <c r="K342" s="995">
        <v>63</v>
      </c>
      <c r="L342" s="987">
        <v>1529758</v>
      </c>
      <c r="M342" s="987">
        <v>0</v>
      </c>
      <c r="N342" s="987">
        <v>0</v>
      </c>
      <c r="O342" s="987">
        <v>1529758</v>
      </c>
      <c r="P342" s="998">
        <v>0</v>
      </c>
      <c r="Q342" s="987">
        <v>0</v>
      </c>
      <c r="R342" s="985">
        <f>L342/I342</f>
        <v>1107.4770144067184</v>
      </c>
      <c r="S342" s="988">
        <v>2020</v>
      </c>
      <c r="T342" s="988">
        <v>2020</v>
      </c>
    </row>
    <row r="343" spans="1:20" s="1109" customFormat="1" ht="37.200000000000003" customHeight="1">
      <c r="A343" s="1249">
        <v>275</v>
      </c>
      <c r="B343" s="1260" t="s">
        <v>1285</v>
      </c>
      <c r="C343" s="1249">
        <v>1980</v>
      </c>
      <c r="D343" s="1255"/>
      <c r="E343" s="1249" t="s">
        <v>219</v>
      </c>
      <c r="F343" s="1255">
        <v>3</v>
      </c>
      <c r="G343" s="1255">
        <v>3</v>
      </c>
      <c r="H343" s="985">
        <v>1554.5</v>
      </c>
      <c r="I343" s="985">
        <v>1376</v>
      </c>
      <c r="J343" s="985">
        <v>1376</v>
      </c>
      <c r="K343" s="995">
        <v>72</v>
      </c>
      <c r="L343" s="987">
        <v>1529758</v>
      </c>
      <c r="M343" s="987">
        <v>0</v>
      </c>
      <c r="N343" s="987">
        <v>0</v>
      </c>
      <c r="O343" s="987">
        <v>1529758</v>
      </c>
      <c r="P343" s="998">
        <v>0</v>
      </c>
      <c r="Q343" s="987">
        <v>0</v>
      </c>
      <c r="R343" s="985">
        <f>L343/I343</f>
        <v>1111.7427325581396</v>
      </c>
      <c r="S343" s="988">
        <v>2020</v>
      </c>
      <c r="T343" s="988">
        <v>2020</v>
      </c>
    </row>
    <row r="344" spans="1:20" s="1109" customFormat="1" ht="37.200000000000003" customHeight="1">
      <c r="A344" s="1249"/>
      <c r="B344" s="1514" t="s">
        <v>1342</v>
      </c>
      <c r="C344" s="1515"/>
      <c r="D344" s="1515"/>
      <c r="E344" s="1515"/>
      <c r="F344" s="1515"/>
      <c r="G344" s="1516"/>
      <c r="H344" s="985">
        <f>H345</f>
        <v>1386.7</v>
      </c>
      <c r="I344" s="985">
        <f t="shared" ref="I344:Q344" si="105">I345</f>
        <v>831.7</v>
      </c>
      <c r="J344" s="985">
        <f t="shared" si="105"/>
        <v>798.4</v>
      </c>
      <c r="K344" s="995">
        <f t="shared" si="105"/>
        <v>73</v>
      </c>
      <c r="L344" s="985">
        <f t="shared" si="105"/>
        <v>483667</v>
      </c>
      <c r="M344" s="985">
        <f t="shared" si="105"/>
        <v>0</v>
      </c>
      <c r="N344" s="985">
        <f t="shared" si="105"/>
        <v>0</v>
      </c>
      <c r="O344" s="985">
        <f t="shared" si="105"/>
        <v>483667</v>
      </c>
      <c r="P344" s="985">
        <f t="shared" si="105"/>
        <v>0</v>
      </c>
      <c r="Q344" s="985">
        <f t="shared" si="105"/>
        <v>0</v>
      </c>
      <c r="R344" s="996" t="s">
        <v>40</v>
      </c>
      <c r="S344" s="996" t="s">
        <v>40</v>
      </c>
      <c r="T344" s="996" t="s">
        <v>40</v>
      </c>
    </row>
    <row r="345" spans="1:20" s="1109" customFormat="1" ht="37.200000000000003" customHeight="1">
      <c r="A345" s="1249">
        <v>276</v>
      </c>
      <c r="B345" s="1260" t="s">
        <v>1343</v>
      </c>
      <c r="C345" s="1249">
        <v>1980</v>
      </c>
      <c r="D345" s="1255"/>
      <c r="E345" s="1249" t="s">
        <v>219</v>
      </c>
      <c r="F345" s="1255">
        <v>3</v>
      </c>
      <c r="G345" s="1255">
        <v>3</v>
      </c>
      <c r="H345" s="985">
        <v>1386.7</v>
      </c>
      <c r="I345" s="985">
        <v>831.7</v>
      </c>
      <c r="J345" s="985">
        <v>798.4</v>
      </c>
      <c r="K345" s="995">
        <v>73</v>
      </c>
      <c r="L345" s="987">
        <v>483667</v>
      </c>
      <c r="M345" s="987">
        <v>0</v>
      </c>
      <c r="N345" s="987">
        <v>0</v>
      </c>
      <c r="O345" s="987">
        <v>483667</v>
      </c>
      <c r="P345" s="998">
        <v>0</v>
      </c>
      <c r="Q345" s="987">
        <v>0</v>
      </c>
      <c r="R345" s="985">
        <f>L345/I345</f>
        <v>581.54021882890459</v>
      </c>
      <c r="S345" s="988">
        <v>2020</v>
      </c>
      <c r="T345" s="988">
        <v>2020</v>
      </c>
    </row>
    <row r="346" spans="1:20" s="1109" customFormat="1" ht="37.200000000000003" customHeight="1">
      <c r="A346" s="1249"/>
      <c r="B346" s="1513" t="s">
        <v>57</v>
      </c>
      <c r="C346" s="1513"/>
      <c r="D346" s="1513"/>
      <c r="E346" s="1513"/>
      <c r="F346" s="1513"/>
      <c r="G346" s="1513"/>
      <c r="H346" s="985">
        <f t="shared" ref="H346:Q346" si="106">H347+H354+H352</f>
        <v>12754</v>
      </c>
      <c r="I346" s="985">
        <f t="shared" si="106"/>
        <v>11679.2</v>
      </c>
      <c r="J346" s="985">
        <f t="shared" si="106"/>
        <v>9940.9</v>
      </c>
      <c r="K346" s="995">
        <f t="shared" si="106"/>
        <v>352</v>
      </c>
      <c r="L346" s="985">
        <f t="shared" si="106"/>
        <v>20227099</v>
      </c>
      <c r="M346" s="985">
        <f t="shared" si="106"/>
        <v>0</v>
      </c>
      <c r="N346" s="985">
        <f t="shared" si="106"/>
        <v>150000</v>
      </c>
      <c r="O346" s="985">
        <f t="shared" si="106"/>
        <v>20077099</v>
      </c>
      <c r="P346" s="985">
        <f t="shared" si="106"/>
        <v>0</v>
      </c>
      <c r="Q346" s="985">
        <f t="shared" si="106"/>
        <v>0</v>
      </c>
      <c r="R346" s="996" t="s">
        <v>40</v>
      </c>
      <c r="S346" s="996" t="s">
        <v>40</v>
      </c>
      <c r="T346" s="996" t="s">
        <v>40</v>
      </c>
    </row>
    <row r="347" spans="1:20" s="997" customFormat="1" ht="36" customHeight="1">
      <c r="A347" s="1249"/>
      <c r="B347" s="1542" t="s">
        <v>1112</v>
      </c>
      <c r="C347" s="1513"/>
      <c r="D347" s="1513"/>
      <c r="E347" s="1513"/>
      <c r="F347" s="1513"/>
      <c r="G347" s="1513"/>
      <c r="H347" s="985">
        <f>H349+H351+H348+H350</f>
        <v>9021.7999999999993</v>
      </c>
      <c r="I347" s="985">
        <f t="shared" ref="I347:Q347" si="107">I349+I351+I348+I350</f>
        <v>7947</v>
      </c>
      <c r="J347" s="985">
        <f t="shared" si="107"/>
        <v>7651</v>
      </c>
      <c r="K347" s="995">
        <f t="shared" si="107"/>
        <v>236</v>
      </c>
      <c r="L347" s="985">
        <f t="shared" si="107"/>
        <v>17060256</v>
      </c>
      <c r="M347" s="985">
        <f t="shared" si="107"/>
        <v>0</v>
      </c>
      <c r="N347" s="985">
        <f t="shared" si="107"/>
        <v>0</v>
      </c>
      <c r="O347" s="985">
        <f t="shared" si="107"/>
        <v>17060256</v>
      </c>
      <c r="P347" s="985">
        <f t="shared" si="107"/>
        <v>0</v>
      </c>
      <c r="Q347" s="985">
        <f t="shared" si="107"/>
        <v>0</v>
      </c>
      <c r="R347" s="996" t="s">
        <v>40</v>
      </c>
      <c r="S347" s="996" t="s">
        <v>40</v>
      </c>
      <c r="T347" s="996" t="s">
        <v>40</v>
      </c>
    </row>
    <row r="348" spans="1:20" s="997" customFormat="1" ht="36" customHeight="1">
      <c r="A348" s="1249">
        <v>277</v>
      </c>
      <c r="B348" s="1023" t="s">
        <v>1678</v>
      </c>
      <c r="C348" s="1249">
        <v>1977</v>
      </c>
      <c r="D348" s="1048"/>
      <c r="E348" s="1048" t="s">
        <v>220</v>
      </c>
      <c r="F348" s="1048">
        <v>2</v>
      </c>
      <c r="G348" s="1048">
        <v>2</v>
      </c>
      <c r="H348" s="1067">
        <v>806.8</v>
      </c>
      <c r="I348" s="1067">
        <v>745</v>
      </c>
      <c r="J348" s="1067">
        <v>745</v>
      </c>
      <c r="K348" s="1077">
        <v>31</v>
      </c>
      <c r="L348" s="1103">
        <v>2881978</v>
      </c>
      <c r="M348" s="1038">
        <v>0</v>
      </c>
      <c r="N348" s="1038">
        <v>0</v>
      </c>
      <c r="O348" s="1103">
        <v>2881978</v>
      </c>
      <c r="P348" s="1038">
        <v>0</v>
      </c>
      <c r="Q348" s="1038">
        <v>0</v>
      </c>
      <c r="R348" s="985">
        <f>L348/I348</f>
        <v>3868.4268456375839</v>
      </c>
      <c r="S348" s="988">
        <v>2020</v>
      </c>
      <c r="T348" s="988">
        <v>2020</v>
      </c>
    </row>
    <row r="349" spans="1:20" s="997" customFormat="1" ht="36" customHeight="1">
      <c r="A349" s="1249">
        <v>278</v>
      </c>
      <c r="B349" s="1260" t="s">
        <v>980</v>
      </c>
      <c r="C349" s="1249">
        <v>1985</v>
      </c>
      <c r="D349" s="1255"/>
      <c r="E349" s="1249" t="s">
        <v>219</v>
      </c>
      <c r="F349" s="1255">
        <v>5</v>
      </c>
      <c r="G349" s="1255">
        <v>8</v>
      </c>
      <c r="H349" s="985">
        <v>6276</v>
      </c>
      <c r="I349" s="985">
        <v>5558</v>
      </c>
      <c r="J349" s="985">
        <v>5416</v>
      </c>
      <c r="K349" s="995">
        <v>157</v>
      </c>
      <c r="L349" s="987">
        <f>O349+Q349</f>
        <v>9314012</v>
      </c>
      <c r="M349" s="987">
        <v>0</v>
      </c>
      <c r="N349" s="987">
        <v>0</v>
      </c>
      <c r="O349" s="987">
        <v>9314012</v>
      </c>
      <c r="P349" s="998">
        <v>0</v>
      </c>
      <c r="Q349" s="987">
        <v>0</v>
      </c>
      <c r="R349" s="985">
        <f>L349/I349</f>
        <v>1675.7848146815402</v>
      </c>
      <c r="S349" s="988">
        <v>2020</v>
      </c>
      <c r="T349" s="988">
        <v>2020</v>
      </c>
    </row>
    <row r="350" spans="1:20" s="997" customFormat="1" ht="36" customHeight="1">
      <c r="A350" s="1249">
        <v>279</v>
      </c>
      <c r="B350" s="1260" t="s">
        <v>1679</v>
      </c>
      <c r="C350" s="1249">
        <v>1995</v>
      </c>
      <c r="D350" s="1255"/>
      <c r="E350" s="1249" t="s">
        <v>219</v>
      </c>
      <c r="F350" s="1255">
        <v>3</v>
      </c>
      <c r="G350" s="1255">
        <v>3</v>
      </c>
      <c r="H350" s="985">
        <v>1413</v>
      </c>
      <c r="I350" s="985">
        <v>1249</v>
      </c>
      <c r="J350" s="985">
        <v>1188</v>
      </c>
      <c r="K350" s="995">
        <v>25</v>
      </c>
      <c r="L350" s="987">
        <v>2470759</v>
      </c>
      <c r="M350" s="987">
        <v>0</v>
      </c>
      <c r="N350" s="987">
        <v>0</v>
      </c>
      <c r="O350" s="987">
        <v>2470759</v>
      </c>
      <c r="P350" s="998">
        <v>0</v>
      </c>
      <c r="Q350" s="987">
        <v>0</v>
      </c>
      <c r="R350" s="985">
        <f>L350/I350</f>
        <v>1978.1897518014412</v>
      </c>
      <c r="S350" s="988">
        <v>2020</v>
      </c>
      <c r="T350" s="988">
        <v>2020</v>
      </c>
    </row>
    <row r="351" spans="1:20" s="997" customFormat="1" ht="40.200000000000003" customHeight="1">
      <c r="A351" s="1249">
        <v>280</v>
      </c>
      <c r="B351" s="1260" t="s">
        <v>1356</v>
      </c>
      <c r="C351" s="1249">
        <v>1975</v>
      </c>
      <c r="D351" s="1255"/>
      <c r="E351" s="1249" t="s">
        <v>218</v>
      </c>
      <c r="F351" s="1255">
        <v>2</v>
      </c>
      <c r="G351" s="1255">
        <v>2</v>
      </c>
      <c r="H351" s="985">
        <v>526</v>
      </c>
      <c r="I351" s="985">
        <v>395</v>
      </c>
      <c r="J351" s="985">
        <v>302</v>
      </c>
      <c r="K351" s="995">
        <v>23</v>
      </c>
      <c r="L351" s="987">
        <v>2393507</v>
      </c>
      <c r="M351" s="987">
        <v>0</v>
      </c>
      <c r="N351" s="987">
        <v>0</v>
      </c>
      <c r="O351" s="987">
        <v>2393507</v>
      </c>
      <c r="P351" s="998">
        <v>0</v>
      </c>
      <c r="Q351" s="987">
        <v>0</v>
      </c>
      <c r="R351" s="985">
        <f t="shared" ref="R351" si="108">L351/I351</f>
        <v>6059.5113924050629</v>
      </c>
      <c r="S351" s="988">
        <v>2020</v>
      </c>
      <c r="T351" s="988">
        <v>2020</v>
      </c>
    </row>
    <row r="352" spans="1:20" s="997" customFormat="1" ht="36" customHeight="1">
      <c r="A352" s="1249"/>
      <c r="B352" s="1514" t="s">
        <v>1365</v>
      </c>
      <c r="C352" s="1515"/>
      <c r="D352" s="1515"/>
      <c r="E352" s="1515"/>
      <c r="F352" s="1515"/>
      <c r="G352" s="1516"/>
      <c r="H352" s="985">
        <f>H353</f>
        <v>1362.1</v>
      </c>
      <c r="I352" s="985">
        <f t="shared" ref="I352:Q352" si="109">I353</f>
        <v>1362.1</v>
      </c>
      <c r="J352" s="985">
        <f t="shared" si="109"/>
        <v>480.1</v>
      </c>
      <c r="K352" s="995">
        <f t="shared" si="109"/>
        <v>47</v>
      </c>
      <c r="L352" s="985">
        <f t="shared" si="109"/>
        <v>1630292</v>
      </c>
      <c r="M352" s="985">
        <f t="shared" si="109"/>
        <v>0</v>
      </c>
      <c r="N352" s="985">
        <f t="shared" si="109"/>
        <v>0</v>
      </c>
      <c r="O352" s="985">
        <f t="shared" si="109"/>
        <v>1630292</v>
      </c>
      <c r="P352" s="985">
        <f t="shared" si="109"/>
        <v>0</v>
      </c>
      <c r="Q352" s="985">
        <f t="shared" si="109"/>
        <v>0</v>
      </c>
      <c r="R352" s="996" t="s">
        <v>40</v>
      </c>
      <c r="S352" s="996" t="s">
        <v>40</v>
      </c>
      <c r="T352" s="996" t="s">
        <v>40</v>
      </c>
    </row>
    <row r="353" spans="1:20" s="997" customFormat="1" ht="36" customHeight="1">
      <c r="A353" s="1249">
        <v>281</v>
      </c>
      <c r="B353" s="1248" t="s">
        <v>1812</v>
      </c>
      <c r="C353" s="1249">
        <v>1987</v>
      </c>
      <c r="D353" s="1255"/>
      <c r="E353" s="1249" t="s">
        <v>219</v>
      </c>
      <c r="F353" s="1255">
        <v>3</v>
      </c>
      <c r="G353" s="1255">
        <v>3</v>
      </c>
      <c r="H353" s="985">
        <v>1362.1</v>
      </c>
      <c r="I353" s="985">
        <v>1362.1</v>
      </c>
      <c r="J353" s="985">
        <v>480.1</v>
      </c>
      <c r="K353" s="995">
        <v>47</v>
      </c>
      <c r="L353" s="987">
        <v>1630292</v>
      </c>
      <c r="M353" s="987">
        <v>0</v>
      </c>
      <c r="N353" s="987">
        <v>0</v>
      </c>
      <c r="O353" s="987">
        <v>1630292</v>
      </c>
      <c r="P353" s="998">
        <v>0</v>
      </c>
      <c r="Q353" s="987">
        <v>0</v>
      </c>
      <c r="R353" s="985">
        <f t="shared" ref="R353" si="110">L353/I353</f>
        <v>1196.8959694589239</v>
      </c>
      <c r="S353" s="988">
        <v>2020</v>
      </c>
      <c r="T353" s="988">
        <v>2020</v>
      </c>
    </row>
    <row r="354" spans="1:20" s="997" customFormat="1" ht="36" customHeight="1">
      <c r="A354" s="1249"/>
      <c r="B354" s="1514" t="s">
        <v>1363</v>
      </c>
      <c r="C354" s="1515"/>
      <c r="D354" s="1515"/>
      <c r="E354" s="1515"/>
      <c r="F354" s="1515"/>
      <c r="G354" s="1516"/>
      <c r="H354" s="985">
        <f>H355</f>
        <v>2370.1</v>
      </c>
      <c r="I354" s="985">
        <f t="shared" ref="I354:Q354" si="111">I355</f>
        <v>2370.1</v>
      </c>
      <c r="J354" s="985">
        <f t="shared" si="111"/>
        <v>1809.8</v>
      </c>
      <c r="K354" s="995">
        <f t="shared" si="111"/>
        <v>69</v>
      </c>
      <c r="L354" s="985">
        <f t="shared" si="111"/>
        <v>1536551</v>
      </c>
      <c r="M354" s="985">
        <f t="shared" si="111"/>
        <v>0</v>
      </c>
      <c r="N354" s="985">
        <f t="shared" si="111"/>
        <v>150000</v>
      </c>
      <c r="O354" s="985">
        <f t="shared" si="111"/>
        <v>1386551</v>
      </c>
      <c r="P354" s="985">
        <f t="shared" si="111"/>
        <v>0</v>
      </c>
      <c r="Q354" s="985">
        <f t="shared" si="111"/>
        <v>0</v>
      </c>
      <c r="R354" s="996" t="s">
        <v>40</v>
      </c>
      <c r="S354" s="996" t="s">
        <v>40</v>
      </c>
      <c r="T354" s="996" t="s">
        <v>40</v>
      </c>
    </row>
    <row r="355" spans="1:20" s="997" customFormat="1" ht="36" customHeight="1">
      <c r="A355" s="1249">
        <v>282</v>
      </c>
      <c r="B355" s="1248" t="s">
        <v>1364</v>
      </c>
      <c r="C355" s="1249">
        <v>1980</v>
      </c>
      <c r="D355" s="1255"/>
      <c r="E355" s="1249" t="s">
        <v>219</v>
      </c>
      <c r="F355" s="1255">
        <v>5</v>
      </c>
      <c r="G355" s="1255">
        <v>2</v>
      </c>
      <c r="H355" s="985">
        <v>2370.1</v>
      </c>
      <c r="I355" s="985">
        <v>2370.1</v>
      </c>
      <c r="J355" s="985">
        <v>1809.8</v>
      </c>
      <c r="K355" s="995">
        <v>69</v>
      </c>
      <c r="L355" s="987">
        <v>1536551</v>
      </c>
      <c r="M355" s="987">
        <v>0</v>
      </c>
      <c r="N355" s="987">
        <v>150000</v>
      </c>
      <c r="O355" s="987">
        <v>1386551</v>
      </c>
      <c r="P355" s="998">
        <v>0</v>
      </c>
      <c r="Q355" s="987">
        <v>0</v>
      </c>
      <c r="R355" s="985">
        <f t="shared" ref="R355" si="112">L355/I355</f>
        <v>648.30640057381549</v>
      </c>
      <c r="S355" s="988">
        <v>2020</v>
      </c>
      <c r="T355" s="988">
        <v>2020</v>
      </c>
    </row>
    <row r="356" spans="1:20" s="997" customFormat="1" ht="36" customHeight="1">
      <c r="A356" s="1249"/>
      <c r="B356" s="1513" t="s">
        <v>1339</v>
      </c>
      <c r="C356" s="1513"/>
      <c r="D356" s="1513"/>
      <c r="E356" s="1513"/>
      <c r="F356" s="1513"/>
      <c r="G356" s="1513"/>
      <c r="H356" s="985">
        <f>H357</f>
        <v>845.64</v>
      </c>
      <c r="I356" s="985">
        <f t="shared" ref="I356:Q356" si="113">I357</f>
        <v>799.5</v>
      </c>
      <c r="J356" s="985">
        <f t="shared" si="113"/>
        <v>596.79999999999995</v>
      </c>
      <c r="K356" s="995">
        <f t="shared" si="113"/>
        <v>30</v>
      </c>
      <c r="L356" s="985">
        <f t="shared" si="113"/>
        <v>1584101</v>
      </c>
      <c r="M356" s="985">
        <f t="shared" si="113"/>
        <v>0</v>
      </c>
      <c r="N356" s="985">
        <f t="shared" si="113"/>
        <v>0</v>
      </c>
      <c r="O356" s="985">
        <f t="shared" si="113"/>
        <v>1584101</v>
      </c>
      <c r="P356" s="985">
        <f t="shared" si="113"/>
        <v>0</v>
      </c>
      <c r="Q356" s="985">
        <f t="shared" si="113"/>
        <v>0</v>
      </c>
      <c r="R356" s="996" t="s">
        <v>40</v>
      </c>
      <c r="S356" s="996" t="s">
        <v>40</v>
      </c>
      <c r="T356" s="996" t="s">
        <v>40</v>
      </c>
    </row>
    <row r="357" spans="1:20" s="997" customFormat="1" ht="36" customHeight="1">
      <c r="A357" s="1249"/>
      <c r="B357" s="1542" t="s">
        <v>1340</v>
      </c>
      <c r="C357" s="1513"/>
      <c r="D357" s="1513"/>
      <c r="E357" s="1513"/>
      <c r="F357" s="1513"/>
      <c r="G357" s="1513"/>
      <c r="H357" s="985">
        <f>H358</f>
        <v>845.64</v>
      </c>
      <c r="I357" s="985">
        <f t="shared" ref="I357:Q357" si="114">I358</f>
        <v>799.5</v>
      </c>
      <c r="J357" s="985">
        <f t="shared" si="114"/>
        <v>596.79999999999995</v>
      </c>
      <c r="K357" s="995">
        <f t="shared" si="114"/>
        <v>30</v>
      </c>
      <c r="L357" s="985">
        <f t="shared" si="114"/>
        <v>1584101</v>
      </c>
      <c r="M357" s="985">
        <f t="shared" si="114"/>
        <v>0</v>
      </c>
      <c r="N357" s="985">
        <f t="shared" si="114"/>
        <v>0</v>
      </c>
      <c r="O357" s="985">
        <f t="shared" si="114"/>
        <v>1584101</v>
      </c>
      <c r="P357" s="985">
        <f t="shared" si="114"/>
        <v>0</v>
      </c>
      <c r="Q357" s="985">
        <f t="shared" si="114"/>
        <v>0</v>
      </c>
      <c r="R357" s="996" t="s">
        <v>40</v>
      </c>
      <c r="S357" s="996" t="s">
        <v>40</v>
      </c>
      <c r="T357" s="996" t="s">
        <v>40</v>
      </c>
    </row>
    <row r="358" spans="1:20" s="997" customFormat="1" ht="36" customHeight="1">
      <c r="A358" s="1249">
        <v>283</v>
      </c>
      <c r="B358" s="1260" t="s">
        <v>1341</v>
      </c>
      <c r="C358" s="1249">
        <v>1975</v>
      </c>
      <c r="D358" s="1255"/>
      <c r="E358" s="1249" t="s">
        <v>219</v>
      </c>
      <c r="F358" s="1255">
        <v>2</v>
      </c>
      <c r="G358" s="1255">
        <v>2</v>
      </c>
      <c r="H358" s="985">
        <v>845.64</v>
      </c>
      <c r="I358" s="985">
        <v>799.5</v>
      </c>
      <c r="J358" s="985">
        <v>596.79999999999995</v>
      </c>
      <c r="K358" s="995">
        <v>30</v>
      </c>
      <c r="L358" s="987">
        <v>1584101</v>
      </c>
      <c r="M358" s="987">
        <v>0</v>
      </c>
      <c r="N358" s="987">
        <v>0</v>
      </c>
      <c r="O358" s="987">
        <v>1584101</v>
      </c>
      <c r="P358" s="998">
        <v>0</v>
      </c>
      <c r="Q358" s="987">
        <v>0</v>
      </c>
      <c r="R358" s="985">
        <f>L358/I358</f>
        <v>1981.364602876798</v>
      </c>
      <c r="S358" s="988">
        <v>2020</v>
      </c>
      <c r="T358" s="988">
        <v>2020</v>
      </c>
    </row>
    <row r="359" spans="1:20" s="997" customFormat="1" ht="36" customHeight="1">
      <c r="A359" s="1249"/>
      <c r="B359" s="1513" t="s">
        <v>1220</v>
      </c>
      <c r="C359" s="1513"/>
      <c r="D359" s="1513"/>
      <c r="E359" s="1513"/>
      <c r="F359" s="1513"/>
      <c r="G359" s="1513"/>
      <c r="H359" s="985">
        <f>H360+H361+H362</f>
        <v>2540.6999999999998</v>
      </c>
      <c r="I359" s="985">
        <f t="shared" ref="I359:Q359" si="115">I360+I361+I362</f>
        <v>2342.1</v>
      </c>
      <c r="J359" s="985">
        <f t="shared" si="115"/>
        <v>1960.4999999999998</v>
      </c>
      <c r="K359" s="995">
        <f t="shared" si="115"/>
        <v>78</v>
      </c>
      <c r="L359" s="985">
        <f t="shared" si="115"/>
        <v>6684613</v>
      </c>
      <c r="M359" s="985">
        <f t="shared" si="115"/>
        <v>0</v>
      </c>
      <c r="N359" s="985">
        <f t="shared" si="115"/>
        <v>0</v>
      </c>
      <c r="O359" s="985">
        <f t="shared" si="115"/>
        <v>6684613</v>
      </c>
      <c r="P359" s="985">
        <f t="shared" si="115"/>
        <v>0</v>
      </c>
      <c r="Q359" s="985">
        <f t="shared" si="115"/>
        <v>0</v>
      </c>
      <c r="R359" s="996" t="s">
        <v>40</v>
      </c>
      <c r="S359" s="996" t="s">
        <v>40</v>
      </c>
      <c r="T359" s="996" t="s">
        <v>40</v>
      </c>
    </row>
    <row r="360" spans="1:20" s="997" customFormat="1" ht="40.799999999999997" customHeight="1">
      <c r="A360" s="1249">
        <v>284</v>
      </c>
      <c r="B360" s="1260" t="s">
        <v>1573</v>
      </c>
      <c r="C360" s="1249">
        <v>1955</v>
      </c>
      <c r="D360" s="1260"/>
      <c r="E360" s="1249" t="s">
        <v>218</v>
      </c>
      <c r="F360" s="1255">
        <v>2</v>
      </c>
      <c r="G360" s="1255">
        <v>2</v>
      </c>
      <c r="H360" s="1067">
        <v>794.4</v>
      </c>
      <c r="I360" s="1067">
        <v>725.9</v>
      </c>
      <c r="J360" s="1067">
        <v>725.9</v>
      </c>
      <c r="K360" s="1077">
        <v>30</v>
      </c>
      <c r="L360" s="1067">
        <v>2416606</v>
      </c>
      <c r="M360" s="1067">
        <v>0</v>
      </c>
      <c r="N360" s="1067">
        <v>0</v>
      </c>
      <c r="O360" s="1067">
        <f>L360</f>
        <v>2416606</v>
      </c>
      <c r="P360" s="1067">
        <v>0</v>
      </c>
      <c r="Q360" s="1067">
        <v>0</v>
      </c>
      <c r="R360" s="985">
        <f t="shared" ref="R360:R362" si="116">L360/I360</f>
        <v>3329.1169582587136</v>
      </c>
      <c r="S360" s="988">
        <v>2020</v>
      </c>
      <c r="T360" s="988">
        <v>2020</v>
      </c>
    </row>
    <row r="361" spans="1:20" s="997" customFormat="1" ht="40.799999999999997" customHeight="1">
      <c r="A361" s="1249">
        <v>285</v>
      </c>
      <c r="B361" s="1260" t="s">
        <v>1574</v>
      </c>
      <c r="C361" s="1249">
        <v>1955</v>
      </c>
      <c r="D361" s="1260"/>
      <c r="E361" s="1249" t="s">
        <v>218</v>
      </c>
      <c r="F361" s="1255">
        <v>3</v>
      </c>
      <c r="G361" s="1255">
        <v>2</v>
      </c>
      <c r="H361" s="1067">
        <v>1059.7</v>
      </c>
      <c r="I361" s="1067">
        <v>978.7</v>
      </c>
      <c r="J361" s="1067">
        <v>640.29999999999995</v>
      </c>
      <c r="K361" s="1077">
        <v>16</v>
      </c>
      <c r="L361" s="1067">
        <v>2064607</v>
      </c>
      <c r="M361" s="1067">
        <v>0</v>
      </c>
      <c r="N361" s="1067">
        <v>0</v>
      </c>
      <c r="O361" s="1067">
        <f t="shared" ref="O361:O362" si="117">L361</f>
        <v>2064607</v>
      </c>
      <c r="P361" s="1067">
        <v>0</v>
      </c>
      <c r="Q361" s="1067">
        <v>0</v>
      </c>
      <c r="R361" s="985">
        <f t="shared" si="116"/>
        <v>2109.5402063962397</v>
      </c>
      <c r="S361" s="988">
        <v>2020</v>
      </c>
      <c r="T361" s="988">
        <v>2020</v>
      </c>
    </row>
    <row r="362" spans="1:20" s="997" customFormat="1" ht="40.200000000000003" customHeight="1">
      <c r="A362" s="1249">
        <v>286</v>
      </c>
      <c r="B362" s="1260" t="s">
        <v>1575</v>
      </c>
      <c r="C362" s="1249">
        <v>1959</v>
      </c>
      <c r="D362" s="1260"/>
      <c r="E362" s="1249" t="s">
        <v>218</v>
      </c>
      <c r="F362" s="1255">
        <v>2</v>
      </c>
      <c r="G362" s="1255">
        <v>2</v>
      </c>
      <c r="H362" s="1067">
        <v>686.6</v>
      </c>
      <c r="I362" s="1067">
        <v>637.5</v>
      </c>
      <c r="J362" s="1067">
        <v>594.29999999999995</v>
      </c>
      <c r="K362" s="1077">
        <v>32</v>
      </c>
      <c r="L362" s="1067">
        <v>2203400</v>
      </c>
      <c r="M362" s="1067">
        <v>0</v>
      </c>
      <c r="N362" s="1067">
        <v>0</v>
      </c>
      <c r="O362" s="1067">
        <f t="shared" si="117"/>
        <v>2203400</v>
      </c>
      <c r="P362" s="1067">
        <v>0</v>
      </c>
      <c r="Q362" s="1067">
        <v>0</v>
      </c>
      <c r="R362" s="985">
        <f t="shared" si="116"/>
        <v>3456.3137254901962</v>
      </c>
      <c r="S362" s="988">
        <v>2020</v>
      </c>
      <c r="T362" s="988">
        <v>2020</v>
      </c>
    </row>
    <row r="363" spans="1:20" ht="36" customHeight="1">
      <c r="A363" s="1249"/>
      <c r="B363" s="1513" t="s">
        <v>1158</v>
      </c>
      <c r="C363" s="1513"/>
      <c r="D363" s="1513"/>
      <c r="E363" s="1513"/>
      <c r="F363" s="1513"/>
      <c r="G363" s="1513"/>
      <c r="H363" s="985">
        <f>SUM(H364:H371)</f>
        <v>26605.250000000004</v>
      </c>
      <c r="I363" s="985">
        <f t="shared" ref="I363:Q363" si="118">SUM(I364:I371)</f>
        <v>26605.250000000004</v>
      </c>
      <c r="J363" s="985">
        <f t="shared" si="118"/>
        <v>20510.149999999998</v>
      </c>
      <c r="K363" s="995">
        <f t="shared" si="118"/>
        <v>989</v>
      </c>
      <c r="L363" s="985">
        <f t="shared" si="118"/>
        <v>33753455</v>
      </c>
      <c r="M363" s="985">
        <f t="shared" si="118"/>
        <v>0</v>
      </c>
      <c r="N363" s="985">
        <f t="shared" si="118"/>
        <v>0</v>
      </c>
      <c r="O363" s="985">
        <f t="shared" si="118"/>
        <v>33753455</v>
      </c>
      <c r="P363" s="985">
        <f t="shared" si="118"/>
        <v>0</v>
      </c>
      <c r="Q363" s="985">
        <f t="shared" si="118"/>
        <v>0</v>
      </c>
      <c r="R363" s="996" t="s">
        <v>40</v>
      </c>
      <c r="S363" s="996" t="s">
        <v>40</v>
      </c>
      <c r="T363" s="996" t="s">
        <v>40</v>
      </c>
    </row>
    <row r="364" spans="1:20" s="997" customFormat="1" ht="40.799999999999997" customHeight="1">
      <c r="A364" s="1249">
        <v>287</v>
      </c>
      <c r="B364" s="1265" t="s">
        <v>1392</v>
      </c>
      <c r="C364" s="1255">
        <v>1937</v>
      </c>
      <c r="D364" s="1255"/>
      <c r="E364" s="1249" t="s">
        <v>218</v>
      </c>
      <c r="F364" s="1255">
        <v>4</v>
      </c>
      <c r="G364" s="1255">
        <v>3</v>
      </c>
      <c r="H364" s="985">
        <v>1985.8</v>
      </c>
      <c r="I364" s="985">
        <v>1985.8</v>
      </c>
      <c r="J364" s="985">
        <v>1327.8</v>
      </c>
      <c r="K364" s="995">
        <v>42</v>
      </c>
      <c r="L364" s="998">
        <v>5976862</v>
      </c>
      <c r="M364" s="985">
        <v>0</v>
      </c>
      <c r="N364" s="985">
        <v>0</v>
      </c>
      <c r="O364" s="998">
        <v>5976862</v>
      </c>
      <c r="P364" s="1060">
        <v>0</v>
      </c>
      <c r="Q364" s="985">
        <v>0</v>
      </c>
      <c r="R364" s="985">
        <f>L364/I364</f>
        <v>3009.8005841474469</v>
      </c>
      <c r="S364" s="1255">
        <v>2020</v>
      </c>
      <c r="T364" s="1255">
        <v>2020</v>
      </c>
    </row>
    <row r="365" spans="1:20" s="997" customFormat="1" ht="42" customHeight="1">
      <c r="A365" s="1249">
        <v>288</v>
      </c>
      <c r="B365" s="1265" t="s">
        <v>1393</v>
      </c>
      <c r="C365" s="1110">
        <v>1984</v>
      </c>
      <c r="D365" s="1110">
        <v>2013</v>
      </c>
      <c r="E365" s="1249" t="s">
        <v>218</v>
      </c>
      <c r="F365" s="1110">
        <v>5</v>
      </c>
      <c r="G365" s="1110">
        <v>12</v>
      </c>
      <c r="H365" s="1111">
        <v>9023.4</v>
      </c>
      <c r="I365" s="1111">
        <v>9023.4</v>
      </c>
      <c r="J365" s="1111">
        <v>8242.4</v>
      </c>
      <c r="K365" s="1112">
        <v>340</v>
      </c>
      <c r="L365" s="998">
        <v>13814493</v>
      </c>
      <c r="M365" s="985">
        <v>0</v>
      </c>
      <c r="N365" s="985">
        <v>0</v>
      </c>
      <c r="O365" s="998">
        <v>13814493</v>
      </c>
      <c r="P365" s="1060">
        <v>0</v>
      </c>
      <c r="Q365" s="985">
        <v>0</v>
      </c>
      <c r="R365" s="985">
        <f t="shared" ref="R365:R369" si="119">L365/I365</f>
        <v>1530.9631624443116</v>
      </c>
      <c r="S365" s="1255">
        <v>2020</v>
      </c>
      <c r="T365" s="1255">
        <v>2020</v>
      </c>
    </row>
    <row r="366" spans="1:20" s="997" customFormat="1" ht="42" customHeight="1">
      <c r="A366" s="1249">
        <v>289</v>
      </c>
      <c r="B366" s="1265" t="s">
        <v>1394</v>
      </c>
      <c r="C366" s="1110">
        <v>1995</v>
      </c>
      <c r="D366" s="1110"/>
      <c r="E366" s="1249" t="s">
        <v>218</v>
      </c>
      <c r="F366" s="1110">
        <v>4</v>
      </c>
      <c r="G366" s="1110">
        <v>3</v>
      </c>
      <c r="H366" s="1111">
        <v>2673.8</v>
      </c>
      <c r="I366" s="1111">
        <v>2673.8</v>
      </c>
      <c r="J366" s="1111">
        <v>2294.6999999999998</v>
      </c>
      <c r="K366" s="1112">
        <v>87</v>
      </c>
      <c r="L366" s="1113">
        <v>1543343</v>
      </c>
      <c r="M366" s="985">
        <v>0</v>
      </c>
      <c r="N366" s="985">
        <v>0</v>
      </c>
      <c r="O366" s="1113">
        <v>1543343</v>
      </c>
      <c r="P366" s="1060">
        <v>0</v>
      </c>
      <c r="Q366" s="985">
        <v>0</v>
      </c>
      <c r="R366" s="985">
        <f t="shared" si="119"/>
        <v>577.20958934849273</v>
      </c>
      <c r="S366" s="1255">
        <v>2020</v>
      </c>
      <c r="T366" s="1255">
        <v>2020</v>
      </c>
    </row>
    <row r="367" spans="1:20" s="997" customFormat="1" ht="40.200000000000003" customHeight="1">
      <c r="A367" s="1249">
        <v>290</v>
      </c>
      <c r="B367" s="1265" t="s">
        <v>1395</v>
      </c>
      <c r="C367" s="1110">
        <v>1981</v>
      </c>
      <c r="D367" s="1110"/>
      <c r="E367" s="1249" t="s">
        <v>218</v>
      </c>
      <c r="F367" s="1110">
        <v>5</v>
      </c>
      <c r="G367" s="1110">
        <v>1</v>
      </c>
      <c r="H367" s="1111">
        <v>3240.4</v>
      </c>
      <c r="I367" s="1111">
        <v>3240.4</v>
      </c>
      <c r="J367" s="1111">
        <v>2485.4</v>
      </c>
      <c r="K367" s="1112">
        <v>186</v>
      </c>
      <c r="L367" s="1060">
        <v>2445438</v>
      </c>
      <c r="M367" s="985">
        <v>0</v>
      </c>
      <c r="N367" s="985">
        <v>0</v>
      </c>
      <c r="O367" s="1060">
        <v>2445438</v>
      </c>
      <c r="P367" s="1060">
        <v>0</v>
      </c>
      <c r="Q367" s="985">
        <v>0</v>
      </c>
      <c r="R367" s="985">
        <f t="shared" si="119"/>
        <v>754.67164547586719</v>
      </c>
      <c r="S367" s="1255">
        <v>2020</v>
      </c>
      <c r="T367" s="1255">
        <v>2020</v>
      </c>
    </row>
    <row r="368" spans="1:20" s="997" customFormat="1" ht="40.200000000000003" customHeight="1">
      <c r="A368" s="1249">
        <v>291</v>
      </c>
      <c r="B368" s="1265" t="s">
        <v>1396</v>
      </c>
      <c r="C368" s="1110">
        <v>1917</v>
      </c>
      <c r="D368" s="1110"/>
      <c r="E368" s="1249" t="s">
        <v>218</v>
      </c>
      <c r="F368" s="1110">
        <v>2</v>
      </c>
      <c r="G368" s="1110">
        <v>1</v>
      </c>
      <c r="H368" s="1111">
        <v>323</v>
      </c>
      <c r="I368" s="1111">
        <v>323</v>
      </c>
      <c r="J368" s="1111">
        <v>320.8</v>
      </c>
      <c r="K368" s="1112">
        <v>9</v>
      </c>
      <c r="L368" s="1114">
        <v>710766</v>
      </c>
      <c r="M368" s="985">
        <v>0</v>
      </c>
      <c r="N368" s="985">
        <v>0</v>
      </c>
      <c r="O368" s="1114">
        <v>710766</v>
      </c>
      <c r="P368" s="1060">
        <v>0</v>
      </c>
      <c r="Q368" s="985">
        <v>0</v>
      </c>
      <c r="R368" s="985">
        <f t="shared" si="119"/>
        <v>2200.5139318885449</v>
      </c>
      <c r="S368" s="1255">
        <v>2020</v>
      </c>
      <c r="T368" s="1255">
        <v>2020</v>
      </c>
    </row>
    <row r="369" spans="1:20" s="997" customFormat="1" ht="42" customHeight="1">
      <c r="A369" s="1249">
        <v>292</v>
      </c>
      <c r="B369" s="1265" t="s">
        <v>1397</v>
      </c>
      <c r="C369" s="1255">
        <v>1991</v>
      </c>
      <c r="D369" s="1255"/>
      <c r="E369" s="1249" t="s">
        <v>218</v>
      </c>
      <c r="F369" s="1255">
        <v>5</v>
      </c>
      <c r="G369" s="1255">
        <v>8</v>
      </c>
      <c r="H369" s="985">
        <v>6367.2</v>
      </c>
      <c r="I369" s="985">
        <v>6367.2</v>
      </c>
      <c r="J369" s="985">
        <v>3538.3</v>
      </c>
      <c r="K369" s="995">
        <v>236</v>
      </c>
      <c r="L369" s="985">
        <v>5434850</v>
      </c>
      <c r="M369" s="985">
        <v>0</v>
      </c>
      <c r="N369" s="985">
        <v>0</v>
      </c>
      <c r="O369" s="985">
        <v>5434850</v>
      </c>
      <c r="P369" s="985">
        <v>0</v>
      </c>
      <c r="Q369" s="985">
        <v>0</v>
      </c>
      <c r="R369" s="985">
        <f t="shared" si="119"/>
        <v>853.56985802236466</v>
      </c>
      <c r="S369" s="1255">
        <v>2020</v>
      </c>
      <c r="T369" s="1255">
        <v>2020</v>
      </c>
    </row>
    <row r="370" spans="1:20" s="997" customFormat="1" ht="36" customHeight="1">
      <c r="A370" s="1249">
        <v>293</v>
      </c>
      <c r="B370" s="1265" t="s">
        <v>1399</v>
      </c>
      <c r="C370" s="1255">
        <v>1983</v>
      </c>
      <c r="D370" s="1255"/>
      <c r="E370" s="1249" t="s">
        <v>219</v>
      </c>
      <c r="F370" s="1255">
        <v>5</v>
      </c>
      <c r="G370" s="1255">
        <v>3</v>
      </c>
      <c r="H370" s="985">
        <v>2505.6999999999998</v>
      </c>
      <c r="I370" s="985">
        <v>2505.6999999999998</v>
      </c>
      <c r="J370" s="985">
        <v>1923.8</v>
      </c>
      <c r="K370" s="995">
        <v>73</v>
      </c>
      <c r="L370" s="985">
        <v>2079438</v>
      </c>
      <c r="M370" s="985">
        <v>0</v>
      </c>
      <c r="N370" s="985">
        <v>0</v>
      </c>
      <c r="O370" s="985">
        <v>2079438</v>
      </c>
      <c r="P370" s="985">
        <v>0</v>
      </c>
      <c r="Q370" s="985">
        <v>0</v>
      </c>
      <c r="R370" s="985">
        <f t="shared" ref="R370:R371" si="120">L370/I370</f>
        <v>829.8830666081335</v>
      </c>
      <c r="S370" s="1255">
        <v>2020</v>
      </c>
      <c r="T370" s="1255">
        <v>2020</v>
      </c>
    </row>
    <row r="371" spans="1:20" s="997" customFormat="1" ht="42" customHeight="1">
      <c r="A371" s="1249">
        <v>294</v>
      </c>
      <c r="B371" s="1265" t="s">
        <v>77</v>
      </c>
      <c r="C371" s="1255">
        <v>1925</v>
      </c>
      <c r="D371" s="1255">
        <v>2017</v>
      </c>
      <c r="E371" s="1249" t="s">
        <v>218</v>
      </c>
      <c r="F371" s="1255">
        <v>2</v>
      </c>
      <c r="G371" s="1255">
        <v>2</v>
      </c>
      <c r="H371" s="985">
        <v>485.95</v>
      </c>
      <c r="I371" s="985">
        <v>485.95</v>
      </c>
      <c r="J371" s="985">
        <v>376.95</v>
      </c>
      <c r="K371" s="995">
        <v>16</v>
      </c>
      <c r="L371" s="985">
        <v>1748265</v>
      </c>
      <c r="M371" s="985">
        <v>0</v>
      </c>
      <c r="N371" s="985">
        <v>0</v>
      </c>
      <c r="O371" s="985">
        <v>1748265</v>
      </c>
      <c r="P371" s="985">
        <v>0</v>
      </c>
      <c r="Q371" s="985">
        <v>0</v>
      </c>
      <c r="R371" s="985">
        <f t="shared" si="120"/>
        <v>3597.6232122646365</v>
      </c>
      <c r="S371" s="1255">
        <v>2020</v>
      </c>
      <c r="T371" s="1255">
        <v>2020</v>
      </c>
    </row>
    <row r="372" spans="1:20" s="997" customFormat="1" ht="36" customHeight="1">
      <c r="A372" s="1249"/>
      <c r="B372" s="1539" t="s">
        <v>2013</v>
      </c>
      <c r="C372" s="1540"/>
      <c r="D372" s="1540"/>
      <c r="E372" s="1540"/>
      <c r="F372" s="1540"/>
      <c r="G372" s="1541"/>
      <c r="H372" s="985">
        <f>H373</f>
        <v>413.7</v>
      </c>
      <c r="I372" s="985">
        <f t="shared" ref="I372:Q372" si="121">I373</f>
        <v>371.1</v>
      </c>
      <c r="J372" s="985">
        <f t="shared" si="121"/>
        <v>277.8</v>
      </c>
      <c r="K372" s="995">
        <f t="shared" si="121"/>
        <v>20</v>
      </c>
      <c r="L372" s="985">
        <f t="shared" si="121"/>
        <v>4069317</v>
      </c>
      <c r="M372" s="985">
        <f t="shared" si="121"/>
        <v>0</v>
      </c>
      <c r="N372" s="985">
        <f t="shared" si="121"/>
        <v>0</v>
      </c>
      <c r="O372" s="985">
        <f t="shared" si="121"/>
        <v>4069317</v>
      </c>
      <c r="P372" s="985">
        <f t="shared" si="121"/>
        <v>0</v>
      </c>
      <c r="Q372" s="985">
        <f t="shared" si="121"/>
        <v>0</v>
      </c>
      <c r="R372" s="996" t="s">
        <v>40</v>
      </c>
      <c r="S372" s="996" t="s">
        <v>40</v>
      </c>
      <c r="T372" s="996" t="s">
        <v>40</v>
      </c>
    </row>
    <row r="373" spans="1:20" s="997" customFormat="1" ht="40.200000000000003" customHeight="1">
      <c r="A373" s="1249">
        <v>295</v>
      </c>
      <c r="B373" s="1265" t="s">
        <v>1413</v>
      </c>
      <c r="C373" s="1255">
        <v>1954</v>
      </c>
      <c r="D373" s="1255"/>
      <c r="E373" s="1249" t="s">
        <v>218</v>
      </c>
      <c r="F373" s="1255">
        <v>2</v>
      </c>
      <c r="G373" s="1255">
        <v>2</v>
      </c>
      <c r="H373" s="985">
        <v>413.7</v>
      </c>
      <c r="I373" s="985">
        <v>371.1</v>
      </c>
      <c r="J373" s="985">
        <v>277.8</v>
      </c>
      <c r="K373" s="995">
        <v>20</v>
      </c>
      <c r="L373" s="985">
        <v>4069317</v>
      </c>
      <c r="M373" s="985">
        <v>0</v>
      </c>
      <c r="N373" s="985">
        <v>0</v>
      </c>
      <c r="O373" s="985">
        <v>4069317</v>
      </c>
      <c r="P373" s="985">
        <v>0</v>
      </c>
      <c r="Q373" s="985">
        <v>0</v>
      </c>
      <c r="R373" s="985">
        <f t="shared" ref="R373" si="122">L373/I373</f>
        <v>10965.553759094582</v>
      </c>
      <c r="S373" s="1255">
        <v>2020</v>
      </c>
      <c r="T373" s="1255">
        <v>2020</v>
      </c>
    </row>
    <row r="374" spans="1:20" s="997" customFormat="1" ht="36" customHeight="1">
      <c r="A374" s="1249"/>
      <c r="B374" s="1513" t="s">
        <v>61</v>
      </c>
      <c r="C374" s="1513"/>
      <c r="D374" s="1513"/>
      <c r="E374" s="1513"/>
      <c r="F374" s="1513"/>
      <c r="G374" s="1513"/>
      <c r="H374" s="985">
        <f>H375</f>
        <v>1710.6999999999998</v>
      </c>
      <c r="I374" s="985">
        <f t="shared" ref="I374:Q374" si="123">I375</f>
        <v>1622.3</v>
      </c>
      <c r="J374" s="985">
        <f t="shared" si="123"/>
        <v>1622.3</v>
      </c>
      <c r="K374" s="995">
        <f t="shared" si="123"/>
        <v>77</v>
      </c>
      <c r="L374" s="987">
        <f t="shared" si="123"/>
        <v>3369601</v>
      </c>
      <c r="M374" s="987">
        <f t="shared" si="123"/>
        <v>0</v>
      </c>
      <c r="N374" s="987">
        <f t="shared" si="123"/>
        <v>0</v>
      </c>
      <c r="O374" s="987">
        <f t="shared" si="123"/>
        <v>3369601</v>
      </c>
      <c r="P374" s="998">
        <f t="shared" si="84"/>
        <v>0</v>
      </c>
      <c r="Q374" s="987">
        <f t="shared" si="123"/>
        <v>0</v>
      </c>
      <c r="R374" s="996" t="s">
        <v>40</v>
      </c>
      <c r="S374" s="996" t="s">
        <v>40</v>
      </c>
      <c r="T374" s="996" t="s">
        <v>40</v>
      </c>
    </row>
    <row r="375" spans="1:20" s="997" customFormat="1" ht="36" customHeight="1">
      <c r="A375" s="1249"/>
      <c r="B375" s="1513" t="s">
        <v>1095</v>
      </c>
      <c r="C375" s="1513"/>
      <c r="D375" s="1513"/>
      <c r="E375" s="1513"/>
      <c r="F375" s="1513"/>
      <c r="G375" s="1513"/>
      <c r="H375" s="985">
        <f>H376+H377</f>
        <v>1710.6999999999998</v>
      </c>
      <c r="I375" s="985">
        <f t="shared" ref="I375:Q375" si="124">I376+I377</f>
        <v>1622.3</v>
      </c>
      <c r="J375" s="985">
        <f t="shared" si="124"/>
        <v>1622.3</v>
      </c>
      <c r="K375" s="995">
        <f t="shared" si="124"/>
        <v>77</v>
      </c>
      <c r="L375" s="985">
        <f t="shared" si="124"/>
        <v>3369601</v>
      </c>
      <c r="M375" s="985">
        <f t="shared" si="124"/>
        <v>0</v>
      </c>
      <c r="N375" s="985">
        <f t="shared" si="124"/>
        <v>0</v>
      </c>
      <c r="O375" s="985">
        <f t="shared" si="124"/>
        <v>3369601</v>
      </c>
      <c r="P375" s="998">
        <f t="shared" si="84"/>
        <v>0</v>
      </c>
      <c r="Q375" s="985">
        <f t="shared" si="124"/>
        <v>0</v>
      </c>
      <c r="R375" s="996" t="s">
        <v>40</v>
      </c>
      <c r="S375" s="996" t="s">
        <v>40</v>
      </c>
      <c r="T375" s="996" t="s">
        <v>40</v>
      </c>
    </row>
    <row r="376" spans="1:20" s="997" customFormat="1" ht="40.799999999999997" customHeight="1">
      <c r="A376" s="1249">
        <v>296</v>
      </c>
      <c r="B376" s="1245" t="s">
        <v>489</v>
      </c>
      <c r="C376" s="1255">
        <v>1973</v>
      </c>
      <c r="D376" s="1245"/>
      <c r="E376" s="1249" t="s">
        <v>218</v>
      </c>
      <c r="F376" s="1255">
        <v>2</v>
      </c>
      <c r="G376" s="1255">
        <v>2</v>
      </c>
      <c r="H376" s="985">
        <v>366.6</v>
      </c>
      <c r="I376" s="985">
        <v>338.2</v>
      </c>
      <c r="J376" s="985">
        <v>338.2</v>
      </c>
      <c r="K376" s="995">
        <v>16</v>
      </c>
      <c r="L376" s="987">
        <v>1299688</v>
      </c>
      <c r="M376" s="987">
        <v>0</v>
      </c>
      <c r="N376" s="987">
        <v>0</v>
      </c>
      <c r="O376" s="987">
        <v>1299688</v>
      </c>
      <c r="P376" s="998">
        <v>0</v>
      </c>
      <c r="Q376" s="987">
        <v>0</v>
      </c>
      <c r="R376" s="985">
        <f t="shared" ref="R376" si="125">L376/I376</f>
        <v>3842.9568302779421</v>
      </c>
      <c r="S376" s="988">
        <v>2020</v>
      </c>
      <c r="T376" s="988">
        <v>2020</v>
      </c>
    </row>
    <row r="377" spans="1:20" s="997" customFormat="1" ht="36" customHeight="1">
      <c r="A377" s="1249">
        <v>297</v>
      </c>
      <c r="B377" s="1245" t="s">
        <v>225</v>
      </c>
      <c r="C377" s="1255">
        <v>1990</v>
      </c>
      <c r="D377" s="1255"/>
      <c r="E377" s="1249" t="s">
        <v>219</v>
      </c>
      <c r="F377" s="1255">
        <v>3</v>
      </c>
      <c r="G377" s="1255">
        <v>3</v>
      </c>
      <c r="H377" s="985">
        <v>1344.1</v>
      </c>
      <c r="I377" s="985">
        <v>1284.0999999999999</v>
      </c>
      <c r="J377" s="985">
        <v>1284.0999999999999</v>
      </c>
      <c r="K377" s="995">
        <v>61</v>
      </c>
      <c r="L377" s="987">
        <v>2069913</v>
      </c>
      <c r="M377" s="987">
        <v>0</v>
      </c>
      <c r="N377" s="987">
        <v>0</v>
      </c>
      <c r="O377" s="987">
        <v>2069913</v>
      </c>
      <c r="P377" s="998">
        <f t="shared" si="84"/>
        <v>0</v>
      </c>
      <c r="Q377" s="987">
        <v>0</v>
      </c>
      <c r="R377" s="985">
        <f>L377/I377</f>
        <v>1611.9562339381669</v>
      </c>
      <c r="S377" s="988">
        <v>2020</v>
      </c>
      <c r="T377" s="988">
        <v>2020</v>
      </c>
    </row>
    <row r="378" spans="1:20" s="997" customFormat="1" ht="36" customHeight="1">
      <c r="A378" s="1249"/>
      <c r="B378" s="1261" t="s">
        <v>649</v>
      </c>
      <c r="C378" s="991"/>
      <c r="D378" s="992"/>
      <c r="E378" s="993"/>
      <c r="F378" s="991"/>
      <c r="G378" s="994"/>
      <c r="H378" s="985">
        <f>H379+H381</f>
        <v>1789.7</v>
      </c>
      <c r="I378" s="985">
        <f t="shared" ref="I378:Q378" si="126">I379+I381</f>
        <v>1789.7</v>
      </c>
      <c r="J378" s="985">
        <f t="shared" si="126"/>
        <v>1043.8</v>
      </c>
      <c r="K378" s="995">
        <f t="shared" si="126"/>
        <v>71</v>
      </c>
      <c r="L378" s="985">
        <f t="shared" si="126"/>
        <v>7588151</v>
      </c>
      <c r="M378" s="985">
        <f t="shared" si="126"/>
        <v>0</v>
      </c>
      <c r="N378" s="985">
        <f t="shared" si="126"/>
        <v>0</v>
      </c>
      <c r="O378" s="985">
        <f t="shared" si="126"/>
        <v>7588151</v>
      </c>
      <c r="P378" s="985">
        <f t="shared" si="126"/>
        <v>0</v>
      </c>
      <c r="Q378" s="985">
        <f t="shared" si="126"/>
        <v>0</v>
      </c>
      <c r="R378" s="996" t="s">
        <v>40</v>
      </c>
      <c r="S378" s="996" t="s">
        <v>40</v>
      </c>
      <c r="T378" s="996" t="s">
        <v>40</v>
      </c>
    </row>
    <row r="379" spans="1:20" s="997" customFormat="1" ht="36" customHeight="1">
      <c r="A379" s="1249"/>
      <c r="B379" s="1245" t="s">
        <v>1157</v>
      </c>
      <c r="C379" s="991"/>
      <c r="D379" s="992"/>
      <c r="E379" s="993"/>
      <c r="F379" s="991"/>
      <c r="G379" s="994"/>
      <c r="H379" s="985">
        <f>H380</f>
        <v>726.2</v>
      </c>
      <c r="I379" s="985">
        <f t="shared" ref="I379:Q379" si="127">I380</f>
        <v>726.2</v>
      </c>
      <c r="J379" s="985">
        <f t="shared" si="127"/>
        <v>445.2</v>
      </c>
      <c r="K379" s="995">
        <f t="shared" si="127"/>
        <v>26</v>
      </c>
      <c r="L379" s="985">
        <f t="shared" si="127"/>
        <v>1420529</v>
      </c>
      <c r="M379" s="985">
        <f t="shared" si="127"/>
        <v>0</v>
      </c>
      <c r="N379" s="985">
        <f t="shared" si="127"/>
        <v>0</v>
      </c>
      <c r="O379" s="985">
        <f t="shared" si="127"/>
        <v>1420529</v>
      </c>
      <c r="P379" s="985">
        <f t="shared" si="84"/>
        <v>0</v>
      </c>
      <c r="Q379" s="985">
        <f t="shared" si="127"/>
        <v>0</v>
      </c>
      <c r="R379" s="996" t="s">
        <v>40</v>
      </c>
      <c r="S379" s="996" t="s">
        <v>40</v>
      </c>
      <c r="T379" s="996" t="s">
        <v>40</v>
      </c>
    </row>
    <row r="380" spans="1:20" s="997" customFormat="1" ht="42.6" customHeight="1">
      <c r="A380" s="1249">
        <v>298</v>
      </c>
      <c r="B380" s="1245" t="s">
        <v>1251</v>
      </c>
      <c r="C380" s="1255">
        <v>1981</v>
      </c>
      <c r="D380" s="1255"/>
      <c r="E380" s="1249" t="s">
        <v>218</v>
      </c>
      <c r="F380" s="1255">
        <v>2</v>
      </c>
      <c r="G380" s="1255">
        <v>2</v>
      </c>
      <c r="H380" s="985">
        <v>726.2</v>
      </c>
      <c r="I380" s="985">
        <v>726.2</v>
      </c>
      <c r="J380" s="985">
        <v>445.2</v>
      </c>
      <c r="K380" s="995">
        <v>26</v>
      </c>
      <c r="L380" s="987">
        <v>1420529</v>
      </c>
      <c r="M380" s="987">
        <v>0</v>
      </c>
      <c r="N380" s="987">
        <v>0</v>
      </c>
      <c r="O380" s="987">
        <v>1420529</v>
      </c>
      <c r="P380" s="998">
        <f t="shared" si="84"/>
        <v>0</v>
      </c>
      <c r="Q380" s="987">
        <v>0</v>
      </c>
      <c r="R380" s="985">
        <f t="shared" ref="R380" si="128">L380/I380</f>
        <v>1956.1126411456898</v>
      </c>
      <c r="S380" s="988">
        <v>2020</v>
      </c>
      <c r="T380" s="988">
        <v>2020</v>
      </c>
    </row>
    <row r="381" spans="1:20" s="997" customFormat="1" ht="36" customHeight="1">
      <c r="A381" s="1249"/>
      <c r="B381" s="1542" t="s">
        <v>1360</v>
      </c>
      <c r="C381" s="1513"/>
      <c r="D381" s="1513"/>
      <c r="E381" s="1513"/>
      <c r="F381" s="1513"/>
      <c r="G381" s="1513"/>
      <c r="H381" s="985">
        <f>H382+H383</f>
        <v>1063.5</v>
      </c>
      <c r="I381" s="985">
        <f t="shared" ref="I381:Q381" si="129">I382+I383</f>
        <v>1063.5</v>
      </c>
      <c r="J381" s="985">
        <f t="shared" si="129"/>
        <v>598.6</v>
      </c>
      <c r="K381" s="995">
        <f t="shared" si="129"/>
        <v>45</v>
      </c>
      <c r="L381" s="985">
        <f t="shared" si="129"/>
        <v>6167622</v>
      </c>
      <c r="M381" s="985">
        <f t="shared" si="129"/>
        <v>0</v>
      </c>
      <c r="N381" s="985">
        <f t="shared" si="129"/>
        <v>0</v>
      </c>
      <c r="O381" s="985">
        <f t="shared" si="129"/>
        <v>6167622</v>
      </c>
      <c r="P381" s="985">
        <f t="shared" si="129"/>
        <v>0</v>
      </c>
      <c r="Q381" s="985">
        <f t="shared" si="129"/>
        <v>0</v>
      </c>
      <c r="R381" s="996" t="s">
        <v>40</v>
      </c>
      <c r="S381" s="996" t="s">
        <v>40</v>
      </c>
      <c r="T381" s="996" t="s">
        <v>40</v>
      </c>
    </row>
    <row r="382" spans="1:20" s="997" customFormat="1" ht="36" customHeight="1">
      <c r="A382" s="1249">
        <v>299</v>
      </c>
      <c r="B382" s="1245" t="s">
        <v>1361</v>
      </c>
      <c r="C382" s="1255">
        <v>1972</v>
      </c>
      <c r="D382" s="1255">
        <v>2009</v>
      </c>
      <c r="E382" s="1249" t="s">
        <v>220</v>
      </c>
      <c r="F382" s="1255">
        <v>2</v>
      </c>
      <c r="G382" s="1255">
        <v>2</v>
      </c>
      <c r="H382" s="985">
        <v>531.6</v>
      </c>
      <c r="I382" s="985">
        <v>531.6</v>
      </c>
      <c r="J382" s="985">
        <v>298.10000000000002</v>
      </c>
      <c r="K382" s="995">
        <v>18</v>
      </c>
      <c r="L382" s="987">
        <v>3083811</v>
      </c>
      <c r="M382" s="987">
        <v>0</v>
      </c>
      <c r="N382" s="987">
        <v>0</v>
      </c>
      <c r="O382" s="987">
        <v>3083811</v>
      </c>
      <c r="P382" s="998">
        <v>0</v>
      </c>
      <c r="Q382" s="987">
        <v>0</v>
      </c>
      <c r="R382" s="985">
        <f t="shared" ref="R382" si="130">L382/I382</f>
        <v>5800.998871331828</v>
      </c>
      <c r="S382" s="988">
        <v>2020</v>
      </c>
      <c r="T382" s="988">
        <v>2020</v>
      </c>
    </row>
    <row r="383" spans="1:20" s="997" customFormat="1" ht="36" customHeight="1">
      <c r="A383" s="1249">
        <v>300</v>
      </c>
      <c r="B383" s="1245" t="s">
        <v>1362</v>
      </c>
      <c r="C383" s="1255">
        <v>1972</v>
      </c>
      <c r="D383" s="1255">
        <v>2009</v>
      </c>
      <c r="E383" s="1249" t="s">
        <v>220</v>
      </c>
      <c r="F383" s="1255">
        <v>2</v>
      </c>
      <c r="G383" s="1255">
        <v>2</v>
      </c>
      <c r="H383" s="985">
        <v>531.9</v>
      </c>
      <c r="I383" s="985">
        <v>531.9</v>
      </c>
      <c r="J383" s="985">
        <v>300.5</v>
      </c>
      <c r="K383" s="995">
        <v>27</v>
      </c>
      <c r="L383" s="987">
        <v>3083811</v>
      </c>
      <c r="M383" s="987">
        <v>0</v>
      </c>
      <c r="N383" s="987">
        <v>0</v>
      </c>
      <c r="O383" s="987">
        <v>3083811</v>
      </c>
      <c r="P383" s="998">
        <v>0</v>
      </c>
      <c r="Q383" s="987">
        <v>0</v>
      </c>
      <c r="R383" s="985">
        <f t="shared" ref="R383" si="131">L383/I383</f>
        <v>5797.7270163564581</v>
      </c>
      <c r="S383" s="988">
        <v>2020</v>
      </c>
      <c r="T383" s="988">
        <v>2020</v>
      </c>
    </row>
    <row r="384" spans="1:20" s="1009" customFormat="1" ht="36" customHeight="1">
      <c r="A384" s="1249"/>
      <c r="B384" s="1261" t="s">
        <v>2014</v>
      </c>
      <c r="C384" s="991"/>
      <c r="D384" s="992"/>
      <c r="E384" s="993"/>
      <c r="F384" s="991"/>
      <c r="G384" s="994"/>
      <c r="H384" s="985">
        <f>H385</f>
        <v>345.2</v>
      </c>
      <c r="I384" s="985">
        <f t="shared" ref="I384:Q384" si="132">I385</f>
        <v>320.39999999999998</v>
      </c>
      <c r="J384" s="985">
        <f t="shared" si="132"/>
        <v>320.39999999999998</v>
      </c>
      <c r="K384" s="995">
        <f t="shared" si="132"/>
        <v>9</v>
      </c>
      <c r="L384" s="985">
        <f t="shared" si="132"/>
        <v>1252303</v>
      </c>
      <c r="M384" s="985">
        <f t="shared" si="132"/>
        <v>0</v>
      </c>
      <c r="N384" s="985">
        <f t="shared" si="132"/>
        <v>0</v>
      </c>
      <c r="O384" s="985">
        <f t="shared" si="132"/>
        <v>1252303</v>
      </c>
      <c r="P384" s="985">
        <f t="shared" si="132"/>
        <v>0</v>
      </c>
      <c r="Q384" s="985">
        <f t="shared" si="132"/>
        <v>0</v>
      </c>
      <c r="R384" s="996" t="s">
        <v>40</v>
      </c>
      <c r="S384" s="996" t="s">
        <v>40</v>
      </c>
      <c r="T384" s="996" t="s">
        <v>40</v>
      </c>
    </row>
    <row r="385" spans="1:20" s="1251" customFormat="1" ht="39.6" customHeight="1">
      <c r="A385" s="1249">
        <v>301</v>
      </c>
      <c r="B385" s="1245" t="s">
        <v>1813</v>
      </c>
      <c r="C385" s="1255">
        <v>1970</v>
      </c>
      <c r="D385" s="1255"/>
      <c r="E385" s="1249" t="s">
        <v>218</v>
      </c>
      <c r="F385" s="1255">
        <v>2</v>
      </c>
      <c r="G385" s="1255">
        <v>2</v>
      </c>
      <c r="H385" s="985">
        <v>345.2</v>
      </c>
      <c r="I385" s="985">
        <v>320.39999999999998</v>
      </c>
      <c r="J385" s="985">
        <v>320.39999999999998</v>
      </c>
      <c r="K385" s="995">
        <v>9</v>
      </c>
      <c r="L385" s="987">
        <v>1252303</v>
      </c>
      <c r="M385" s="987">
        <v>0</v>
      </c>
      <c r="N385" s="987">
        <v>0</v>
      </c>
      <c r="O385" s="987">
        <v>1252303</v>
      </c>
      <c r="P385" s="998">
        <v>0</v>
      </c>
      <c r="Q385" s="987">
        <v>0</v>
      </c>
      <c r="R385" s="998">
        <f>L385/I385</f>
        <v>3908.561173533084</v>
      </c>
      <c r="S385" s="988">
        <v>2020</v>
      </c>
      <c r="T385" s="988">
        <v>2020</v>
      </c>
    </row>
    <row r="386" spans="1:20" s="1251" customFormat="1" ht="36" customHeight="1">
      <c r="A386" s="1249"/>
      <c r="B386" s="1513" t="s">
        <v>2016</v>
      </c>
      <c r="C386" s="1513"/>
      <c r="D386" s="1513"/>
      <c r="E386" s="1513"/>
      <c r="F386" s="1513"/>
      <c r="G386" s="1513"/>
      <c r="H386" s="985">
        <f>H387+H388</f>
        <v>1495.6</v>
      </c>
      <c r="I386" s="985">
        <f t="shared" ref="I386:Q386" si="133">I387+I388</f>
        <v>1367.4</v>
      </c>
      <c r="J386" s="985">
        <f t="shared" si="133"/>
        <v>1367.4</v>
      </c>
      <c r="K386" s="985">
        <f t="shared" si="133"/>
        <v>63</v>
      </c>
      <c r="L386" s="985">
        <f t="shared" si="133"/>
        <v>4399305</v>
      </c>
      <c r="M386" s="985">
        <f t="shared" si="133"/>
        <v>0</v>
      </c>
      <c r="N386" s="985">
        <f t="shared" si="133"/>
        <v>0</v>
      </c>
      <c r="O386" s="985">
        <f t="shared" si="133"/>
        <v>4399305</v>
      </c>
      <c r="P386" s="985">
        <f t="shared" si="133"/>
        <v>0</v>
      </c>
      <c r="Q386" s="985">
        <f t="shared" si="133"/>
        <v>0</v>
      </c>
      <c r="R386" s="996" t="s">
        <v>40</v>
      </c>
      <c r="S386" s="996" t="s">
        <v>40</v>
      </c>
      <c r="T386" s="996" t="s">
        <v>40</v>
      </c>
    </row>
    <row r="387" spans="1:20" s="1041" customFormat="1" ht="36" customHeight="1">
      <c r="A387" s="1249">
        <v>302</v>
      </c>
      <c r="B387" s="1115" t="s">
        <v>1244</v>
      </c>
      <c r="C387" s="1116">
        <v>1981</v>
      </c>
      <c r="D387" s="1117"/>
      <c r="E387" s="1249" t="s">
        <v>220</v>
      </c>
      <c r="F387" s="988">
        <v>2</v>
      </c>
      <c r="G387" s="988">
        <v>3</v>
      </c>
      <c r="H387" s="998">
        <v>925.3</v>
      </c>
      <c r="I387" s="998">
        <v>846.3</v>
      </c>
      <c r="J387" s="998">
        <v>846.3</v>
      </c>
      <c r="K387" s="986">
        <v>36</v>
      </c>
      <c r="L387" s="987">
        <v>2625774</v>
      </c>
      <c r="M387" s="987">
        <v>0</v>
      </c>
      <c r="N387" s="987">
        <v>0</v>
      </c>
      <c r="O387" s="987">
        <v>2625774</v>
      </c>
      <c r="P387" s="998">
        <v>0</v>
      </c>
      <c r="Q387" s="987">
        <v>0</v>
      </c>
      <c r="R387" s="998">
        <f>L387/I387</f>
        <v>3102.6515420063811</v>
      </c>
      <c r="S387" s="988">
        <v>2020</v>
      </c>
      <c r="T387" s="988">
        <v>2020</v>
      </c>
    </row>
    <row r="388" spans="1:20" s="1041" customFormat="1" ht="40.200000000000003" customHeight="1">
      <c r="A388" s="1249">
        <v>303</v>
      </c>
      <c r="B388" s="1404" t="s">
        <v>2391</v>
      </c>
      <c r="C388" s="1255">
        <v>1967</v>
      </c>
      <c r="D388" s="1255"/>
      <c r="E388" s="1249" t="s">
        <v>218</v>
      </c>
      <c r="F388" s="1255">
        <v>2</v>
      </c>
      <c r="G388" s="1255">
        <v>2</v>
      </c>
      <c r="H388" s="985">
        <v>570.29999999999995</v>
      </c>
      <c r="I388" s="985">
        <v>521.1</v>
      </c>
      <c r="J388" s="985">
        <v>521.1</v>
      </c>
      <c r="K388" s="995">
        <v>27</v>
      </c>
      <c r="L388" s="987">
        <v>1773531</v>
      </c>
      <c r="M388" s="987">
        <v>0</v>
      </c>
      <c r="N388" s="987">
        <v>0</v>
      </c>
      <c r="O388" s="987">
        <v>1773531</v>
      </c>
      <c r="P388" s="998">
        <v>0</v>
      </c>
      <c r="Q388" s="987">
        <v>0</v>
      </c>
      <c r="R388" s="998">
        <f>L388/I388</f>
        <v>3403.4369602763381</v>
      </c>
      <c r="S388" s="988">
        <v>2020</v>
      </c>
      <c r="T388" s="988">
        <v>2020</v>
      </c>
    </row>
    <row r="389" spans="1:20" s="1041" customFormat="1" ht="36" customHeight="1">
      <c r="A389" s="1249"/>
      <c r="B389" s="1118" t="s">
        <v>663</v>
      </c>
      <c r="C389" s="1119"/>
      <c r="D389" s="1120"/>
      <c r="E389" s="993"/>
      <c r="F389" s="1121"/>
      <c r="G389" s="1122"/>
      <c r="H389" s="985">
        <f>H390</f>
        <v>583.29999999999995</v>
      </c>
      <c r="I389" s="985">
        <f t="shared" ref="I389:Q389" si="134">I390</f>
        <v>534.70000000000005</v>
      </c>
      <c r="J389" s="985">
        <f t="shared" si="134"/>
        <v>534.70000000000005</v>
      </c>
      <c r="K389" s="995">
        <f t="shared" si="134"/>
        <v>24</v>
      </c>
      <c r="L389" s="985">
        <f t="shared" si="134"/>
        <v>981300</v>
      </c>
      <c r="M389" s="985">
        <f t="shared" si="134"/>
        <v>0</v>
      </c>
      <c r="N389" s="985">
        <f t="shared" si="134"/>
        <v>0</v>
      </c>
      <c r="O389" s="985">
        <f t="shared" si="134"/>
        <v>981300</v>
      </c>
      <c r="P389" s="985">
        <f t="shared" si="134"/>
        <v>0</v>
      </c>
      <c r="Q389" s="985">
        <f t="shared" si="134"/>
        <v>0</v>
      </c>
      <c r="R389" s="996" t="s">
        <v>40</v>
      </c>
      <c r="S389" s="996" t="s">
        <v>40</v>
      </c>
      <c r="T389" s="996" t="s">
        <v>40</v>
      </c>
    </row>
    <row r="390" spans="1:20" s="1041" customFormat="1" ht="36" customHeight="1">
      <c r="A390" s="1249"/>
      <c r="B390" s="1513" t="s">
        <v>1105</v>
      </c>
      <c r="C390" s="1513"/>
      <c r="D390" s="1513"/>
      <c r="E390" s="1513"/>
      <c r="F390" s="1513"/>
      <c r="G390" s="1513"/>
      <c r="H390" s="985">
        <f>H391</f>
        <v>583.29999999999995</v>
      </c>
      <c r="I390" s="985">
        <f t="shared" ref="I390:Q390" si="135">I391</f>
        <v>534.70000000000005</v>
      </c>
      <c r="J390" s="985">
        <f t="shared" si="135"/>
        <v>534.70000000000005</v>
      </c>
      <c r="K390" s="995">
        <f t="shared" si="135"/>
        <v>24</v>
      </c>
      <c r="L390" s="985">
        <f t="shared" si="135"/>
        <v>981300</v>
      </c>
      <c r="M390" s="985">
        <f t="shared" si="135"/>
        <v>0</v>
      </c>
      <c r="N390" s="985">
        <f t="shared" si="135"/>
        <v>0</v>
      </c>
      <c r="O390" s="985">
        <f t="shared" si="135"/>
        <v>981300</v>
      </c>
      <c r="P390" s="985">
        <f t="shared" si="135"/>
        <v>0</v>
      </c>
      <c r="Q390" s="985">
        <f t="shared" si="135"/>
        <v>0</v>
      </c>
      <c r="R390" s="996" t="s">
        <v>40</v>
      </c>
      <c r="S390" s="996" t="s">
        <v>40</v>
      </c>
      <c r="T390" s="996" t="s">
        <v>40</v>
      </c>
    </row>
    <row r="391" spans="1:20" s="1041" customFormat="1" ht="36" customHeight="1">
      <c r="A391" s="1249">
        <v>304</v>
      </c>
      <c r="B391" s="1245" t="s">
        <v>1544</v>
      </c>
      <c r="C391" s="1255">
        <v>1973</v>
      </c>
      <c r="D391" s="1255"/>
      <c r="E391" s="1249" t="s">
        <v>219</v>
      </c>
      <c r="F391" s="1255">
        <v>2</v>
      </c>
      <c r="G391" s="1255">
        <v>2</v>
      </c>
      <c r="H391" s="985">
        <v>583.29999999999995</v>
      </c>
      <c r="I391" s="985">
        <v>534.70000000000005</v>
      </c>
      <c r="J391" s="985">
        <v>534.70000000000005</v>
      </c>
      <c r="K391" s="995">
        <v>24</v>
      </c>
      <c r="L391" s="987">
        <v>981300</v>
      </c>
      <c r="M391" s="987">
        <v>0</v>
      </c>
      <c r="N391" s="987">
        <v>0</v>
      </c>
      <c r="O391" s="987">
        <v>981300</v>
      </c>
      <c r="P391" s="998">
        <v>0</v>
      </c>
      <c r="Q391" s="987">
        <v>0</v>
      </c>
      <c r="R391" s="998">
        <f>L391/I391</f>
        <v>1835.2347110529267</v>
      </c>
      <c r="S391" s="988">
        <v>2020</v>
      </c>
      <c r="T391" s="988">
        <v>2020</v>
      </c>
    </row>
    <row r="392" spans="1:20" s="1041" customFormat="1" ht="36" customHeight="1">
      <c r="A392" s="1249"/>
      <c r="B392" s="1118" t="s">
        <v>1036</v>
      </c>
      <c r="C392" s="1119"/>
      <c r="D392" s="1120"/>
      <c r="E392" s="993"/>
      <c r="F392" s="1121"/>
      <c r="G392" s="1122"/>
      <c r="H392" s="985">
        <f>H393</f>
        <v>3901</v>
      </c>
      <c r="I392" s="985">
        <f t="shared" ref="I392:Q392" si="136">I393</f>
        <v>3406.5</v>
      </c>
      <c r="J392" s="985">
        <f t="shared" si="136"/>
        <v>3341.2</v>
      </c>
      <c r="K392" s="995">
        <f t="shared" si="136"/>
        <v>110</v>
      </c>
      <c r="L392" s="985">
        <f t="shared" si="136"/>
        <v>3423970</v>
      </c>
      <c r="M392" s="985">
        <f t="shared" si="136"/>
        <v>0</v>
      </c>
      <c r="N392" s="985">
        <f t="shared" si="136"/>
        <v>0</v>
      </c>
      <c r="O392" s="985">
        <f t="shared" si="136"/>
        <v>3423970</v>
      </c>
      <c r="P392" s="985">
        <f t="shared" si="136"/>
        <v>0</v>
      </c>
      <c r="Q392" s="985">
        <f t="shared" si="136"/>
        <v>0</v>
      </c>
      <c r="R392" s="996" t="s">
        <v>40</v>
      </c>
      <c r="S392" s="996" t="s">
        <v>40</v>
      </c>
      <c r="T392" s="996" t="s">
        <v>40</v>
      </c>
    </row>
    <row r="393" spans="1:20" s="1041" customFormat="1" ht="36" customHeight="1">
      <c r="A393" s="1249"/>
      <c r="B393" s="1513" t="s">
        <v>1096</v>
      </c>
      <c r="C393" s="1513"/>
      <c r="D393" s="1513"/>
      <c r="E393" s="1513"/>
      <c r="F393" s="1513"/>
      <c r="G393" s="1513"/>
      <c r="H393" s="985">
        <f>H394+H395</f>
        <v>3901</v>
      </c>
      <c r="I393" s="985">
        <f t="shared" ref="I393:Q393" si="137">I394+I395</f>
        <v>3406.5</v>
      </c>
      <c r="J393" s="985">
        <f t="shared" si="137"/>
        <v>3341.2</v>
      </c>
      <c r="K393" s="995">
        <f t="shared" si="137"/>
        <v>110</v>
      </c>
      <c r="L393" s="985">
        <f t="shared" si="137"/>
        <v>3423970</v>
      </c>
      <c r="M393" s="985">
        <f t="shared" si="137"/>
        <v>0</v>
      </c>
      <c r="N393" s="985">
        <f t="shared" si="137"/>
        <v>0</v>
      </c>
      <c r="O393" s="985">
        <f t="shared" si="137"/>
        <v>3423970</v>
      </c>
      <c r="P393" s="985">
        <f t="shared" si="137"/>
        <v>0</v>
      </c>
      <c r="Q393" s="985">
        <f t="shared" si="137"/>
        <v>0</v>
      </c>
      <c r="R393" s="996" t="s">
        <v>40</v>
      </c>
      <c r="S393" s="996" t="s">
        <v>40</v>
      </c>
      <c r="T393" s="996" t="s">
        <v>40</v>
      </c>
    </row>
    <row r="394" spans="1:20" s="1041" customFormat="1" ht="42" customHeight="1">
      <c r="A394" s="1249">
        <v>305</v>
      </c>
      <c r="B394" s="1245" t="s">
        <v>1286</v>
      </c>
      <c r="C394" s="1255">
        <v>1971</v>
      </c>
      <c r="D394" s="1255"/>
      <c r="E394" s="1249" t="s">
        <v>218</v>
      </c>
      <c r="F394" s="1255">
        <v>2</v>
      </c>
      <c r="G394" s="1255">
        <v>2</v>
      </c>
      <c r="H394" s="985">
        <v>377.1</v>
      </c>
      <c r="I394" s="985">
        <v>377.1</v>
      </c>
      <c r="J394" s="985">
        <v>377.1</v>
      </c>
      <c r="K394" s="995">
        <v>18</v>
      </c>
      <c r="L394" s="987">
        <v>1218456</v>
      </c>
      <c r="M394" s="987">
        <v>0</v>
      </c>
      <c r="N394" s="987">
        <v>0</v>
      </c>
      <c r="O394" s="987">
        <v>1218456</v>
      </c>
      <c r="P394" s="998">
        <v>0</v>
      </c>
      <c r="Q394" s="987">
        <v>0</v>
      </c>
      <c r="R394" s="998">
        <f>L394/I394</f>
        <v>3231.1217183770882</v>
      </c>
      <c r="S394" s="988">
        <v>2020</v>
      </c>
      <c r="T394" s="988">
        <v>2020</v>
      </c>
    </row>
    <row r="395" spans="1:20" s="1041" customFormat="1" ht="36" customHeight="1">
      <c r="A395" s="1249">
        <v>306</v>
      </c>
      <c r="B395" s="1245" t="s">
        <v>1287</v>
      </c>
      <c r="C395" s="1255">
        <v>1983</v>
      </c>
      <c r="D395" s="1255"/>
      <c r="E395" s="1249" t="s">
        <v>222</v>
      </c>
      <c r="F395" s="1255">
        <v>5</v>
      </c>
      <c r="G395" s="1255">
        <v>4</v>
      </c>
      <c r="H395" s="985">
        <v>3523.9</v>
      </c>
      <c r="I395" s="985">
        <v>3029.4</v>
      </c>
      <c r="J395" s="985">
        <v>2964.1</v>
      </c>
      <c r="K395" s="995">
        <v>92</v>
      </c>
      <c r="L395" s="987">
        <v>2205514</v>
      </c>
      <c r="M395" s="987">
        <v>0</v>
      </c>
      <c r="N395" s="987">
        <v>0</v>
      </c>
      <c r="O395" s="987">
        <v>2205514</v>
      </c>
      <c r="P395" s="998">
        <v>0</v>
      </c>
      <c r="Q395" s="987">
        <v>0</v>
      </c>
      <c r="R395" s="998">
        <f>L395/I395</f>
        <v>728.03657489931993</v>
      </c>
      <c r="S395" s="988">
        <v>2020</v>
      </c>
      <c r="T395" s="988">
        <v>2020</v>
      </c>
    </row>
    <row r="396" spans="1:20" s="1041" customFormat="1" ht="36" customHeight="1">
      <c r="A396" s="1249"/>
      <c r="B396" s="1513" t="s">
        <v>64</v>
      </c>
      <c r="C396" s="1513"/>
      <c r="D396" s="1513"/>
      <c r="E396" s="1513"/>
      <c r="F396" s="1513"/>
      <c r="G396" s="1513"/>
      <c r="H396" s="985">
        <f>H397+H403</f>
        <v>11702.09</v>
      </c>
      <c r="I396" s="985">
        <f t="shared" ref="I396:Q396" si="138">I397+I403</f>
        <v>9377.4</v>
      </c>
      <c r="J396" s="985">
        <f t="shared" si="138"/>
        <v>9377.4</v>
      </c>
      <c r="K396" s="985">
        <f t="shared" si="138"/>
        <v>419</v>
      </c>
      <c r="L396" s="985">
        <f t="shared" si="138"/>
        <v>26517509</v>
      </c>
      <c r="M396" s="985">
        <f t="shared" si="138"/>
        <v>0</v>
      </c>
      <c r="N396" s="985">
        <f t="shared" si="138"/>
        <v>0</v>
      </c>
      <c r="O396" s="985">
        <f t="shared" si="138"/>
        <v>26517509</v>
      </c>
      <c r="P396" s="985">
        <f t="shared" si="138"/>
        <v>0</v>
      </c>
      <c r="Q396" s="985">
        <f t="shared" si="138"/>
        <v>0</v>
      </c>
      <c r="R396" s="996" t="s">
        <v>40</v>
      </c>
      <c r="S396" s="996" t="s">
        <v>40</v>
      </c>
      <c r="T396" s="996" t="s">
        <v>40</v>
      </c>
    </row>
    <row r="397" spans="1:20" s="1041" customFormat="1" ht="36" customHeight="1">
      <c r="A397" s="1249"/>
      <c r="B397" s="1513" t="s">
        <v>1097</v>
      </c>
      <c r="C397" s="1513"/>
      <c r="D397" s="1513"/>
      <c r="E397" s="1513"/>
      <c r="F397" s="1513"/>
      <c r="G397" s="1513"/>
      <c r="H397" s="985">
        <f>SUM(H398:H402)</f>
        <v>7201.99</v>
      </c>
      <c r="I397" s="985">
        <f t="shared" ref="I397:Q397" si="139">SUM(I398:I402)</f>
        <v>6077.5</v>
      </c>
      <c r="J397" s="985">
        <f t="shared" si="139"/>
        <v>6077.5</v>
      </c>
      <c r="K397" s="995">
        <f t="shared" si="139"/>
        <v>258</v>
      </c>
      <c r="L397" s="985">
        <f t="shared" si="139"/>
        <v>15947258</v>
      </c>
      <c r="M397" s="985">
        <f t="shared" si="139"/>
        <v>0</v>
      </c>
      <c r="N397" s="985">
        <f t="shared" si="139"/>
        <v>0</v>
      </c>
      <c r="O397" s="985">
        <f t="shared" si="139"/>
        <v>15947258</v>
      </c>
      <c r="P397" s="985">
        <f t="shared" si="139"/>
        <v>0</v>
      </c>
      <c r="Q397" s="985">
        <f t="shared" si="139"/>
        <v>0</v>
      </c>
      <c r="R397" s="996" t="s">
        <v>40</v>
      </c>
      <c r="S397" s="996" t="s">
        <v>40</v>
      </c>
      <c r="T397" s="996" t="s">
        <v>40</v>
      </c>
    </row>
    <row r="398" spans="1:20" s="1041" customFormat="1" ht="40.799999999999997" customHeight="1">
      <c r="A398" s="1046">
        <v>307</v>
      </c>
      <c r="B398" s="1023" t="s">
        <v>1329</v>
      </c>
      <c r="C398" s="1037">
        <v>1961</v>
      </c>
      <c r="D398" s="1061"/>
      <c r="E398" s="1249" t="s">
        <v>218</v>
      </c>
      <c r="F398" s="1037">
        <v>2</v>
      </c>
      <c r="G398" s="1037">
        <v>1</v>
      </c>
      <c r="H398" s="1057">
        <v>335.2</v>
      </c>
      <c r="I398" s="1038">
        <v>310</v>
      </c>
      <c r="J398" s="1038">
        <v>310</v>
      </c>
      <c r="K398" s="1039">
        <v>12</v>
      </c>
      <c r="L398" s="1038">
        <v>1032303</v>
      </c>
      <c r="M398" s="1038">
        <v>0</v>
      </c>
      <c r="N398" s="1038">
        <v>0</v>
      </c>
      <c r="O398" s="1038">
        <v>1032303</v>
      </c>
      <c r="P398" s="1038">
        <v>0</v>
      </c>
      <c r="Q398" s="1038">
        <v>0</v>
      </c>
      <c r="R398" s="1038">
        <f>L398/I398</f>
        <v>3330.0096774193548</v>
      </c>
      <c r="S398" s="1048">
        <v>2020</v>
      </c>
      <c r="T398" s="1048">
        <v>2020</v>
      </c>
    </row>
    <row r="399" spans="1:20" s="1041" customFormat="1" ht="43.8" customHeight="1">
      <c r="A399" s="1046">
        <v>308</v>
      </c>
      <c r="B399" s="1023" t="s">
        <v>1327</v>
      </c>
      <c r="C399" s="1037" t="s">
        <v>190</v>
      </c>
      <c r="D399" s="1061"/>
      <c r="E399" s="1249" t="s">
        <v>218</v>
      </c>
      <c r="F399" s="1037">
        <v>1</v>
      </c>
      <c r="G399" s="1037">
        <v>3</v>
      </c>
      <c r="H399" s="1057">
        <v>657.7</v>
      </c>
      <c r="I399" s="1038">
        <v>438.5</v>
      </c>
      <c r="J399" s="1038">
        <v>438.5</v>
      </c>
      <c r="K399" s="1039">
        <v>38</v>
      </c>
      <c r="L399" s="1038">
        <v>3638885</v>
      </c>
      <c r="M399" s="1038">
        <v>0</v>
      </c>
      <c r="N399" s="1038">
        <v>0</v>
      </c>
      <c r="O399" s="1038">
        <v>3638885</v>
      </c>
      <c r="P399" s="1038">
        <v>0</v>
      </c>
      <c r="Q399" s="1038">
        <v>0</v>
      </c>
      <c r="R399" s="1038">
        <f>L399/I399</f>
        <v>8298.4834663626007</v>
      </c>
      <c r="S399" s="1048">
        <v>2020</v>
      </c>
      <c r="T399" s="1048">
        <v>2020</v>
      </c>
    </row>
    <row r="400" spans="1:20" s="1041" customFormat="1" ht="42" customHeight="1">
      <c r="A400" s="1046">
        <v>309</v>
      </c>
      <c r="B400" s="1023" t="s">
        <v>1328</v>
      </c>
      <c r="C400" s="1037">
        <v>1960</v>
      </c>
      <c r="D400" s="1061"/>
      <c r="E400" s="1249" t="s">
        <v>218</v>
      </c>
      <c r="F400" s="1037">
        <v>2</v>
      </c>
      <c r="G400" s="1037">
        <v>1</v>
      </c>
      <c r="H400" s="1057">
        <v>345.3</v>
      </c>
      <c r="I400" s="1038">
        <v>313.89999999999998</v>
      </c>
      <c r="J400" s="1038">
        <v>313.89999999999998</v>
      </c>
      <c r="K400" s="1039">
        <v>13</v>
      </c>
      <c r="L400" s="1038">
        <v>1001843</v>
      </c>
      <c r="M400" s="1038">
        <v>0</v>
      </c>
      <c r="N400" s="1038">
        <v>0</v>
      </c>
      <c r="O400" s="1038">
        <v>1001843</v>
      </c>
      <c r="P400" s="1038">
        <v>0</v>
      </c>
      <c r="Q400" s="1038">
        <v>0</v>
      </c>
      <c r="R400" s="1038">
        <f>L400/I400</f>
        <v>3191.5992354252949</v>
      </c>
      <c r="S400" s="1048">
        <v>2020</v>
      </c>
      <c r="T400" s="1048">
        <v>2020</v>
      </c>
    </row>
    <row r="401" spans="1:20" s="1041" customFormat="1" ht="39.6" customHeight="1">
      <c r="A401" s="1046">
        <v>310</v>
      </c>
      <c r="B401" s="1023" t="s">
        <v>1330</v>
      </c>
      <c r="C401" s="1037">
        <v>1961</v>
      </c>
      <c r="D401" s="1061"/>
      <c r="E401" s="1249" t="s">
        <v>218</v>
      </c>
      <c r="F401" s="1037">
        <v>2</v>
      </c>
      <c r="G401" s="1037">
        <v>4</v>
      </c>
      <c r="H401" s="1057">
        <v>1260.8900000000001</v>
      </c>
      <c r="I401" s="1038">
        <v>887</v>
      </c>
      <c r="J401" s="1038">
        <v>887</v>
      </c>
      <c r="K401" s="1039">
        <v>39</v>
      </c>
      <c r="L401" s="1038">
        <v>6942997</v>
      </c>
      <c r="M401" s="1038">
        <v>0</v>
      </c>
      <c r="N401" s="1038">
        <v>0</v>
      </c>
      <c r="O401" s="1038">
        <v>6942997</v>
      </c>
      <c r="P401" s="1038">
        <v>0</v>
      </c>
      <c r="Q401" s="1038">
        <v>0</v>
      </c>
      <c r="R401" s="1038">
        <f>L401/I401</f>
        <v>7827.5050732807213</v>
      </c>
      <c r="S401" s="1048">
        <v>2020</v>
      </c>
      <c r="T401" s="1048">
        <v>2020</v>
      </c>
    </row>
    <row r="402" spans="1:20" s="1041" customFormat="1" ht="40.200000000000003" customHeight="1">
      <c r="A402" s="1249">
        <v>311</v>
      </c>
      <c r="B402" s="1076" t="s">
        <v>1331</v>
      </c>
      <c r="C402" s="1098" t="s">
        <v>1268</v>
      </c>
      <c r="D402" s="1048"/>
      <c r="E402" s="1249" t="s">
        <v>218</v>
      </c>
      <c r="F402" s="1048">
        <v>5</v>
      </c>
      <c r="G402" s="1048">
        <v>6</v>
      </c>
      <c r="H402" s="1107">
        <v>4602.8999999999996</v>
      </c>
      <c r="I402" s="1067">
        <v>4128.1000000000004</v>
      </c>
      <c r="J402" s="1067">
        <v>4128.1000000000004</v>
      </c>
      <c r="K402" s="1077">
        <v>156</v>
      </c>
      <c r="L402" s="1067">
        <v>3331230</v>
      </c>
      <c r="M402" s="1038">
        <v>0</v>
      </c>
      <c r="N402" s="1038">
        <v>0</v>
      </c>
      <c r="O402" s="1067">
        <v>3331230</v>
      </c>
      <c r="P402" s="1038">
        <v>0</v>
      </c>
      <c r="Q402" s="1038">
        <v>0</v>
      </c>
      <c r="R402" s="1038">
        <f>L402/I402</f>
        <v>806.96446307017754</v>
      </c>
      <c r="S402" s="1048">
        <v>2020</v>
      </c>
      <c r="T402" s="1048">
        <v>2020</v>
      </c>
    </row>
    <row r="403" spans="1:20" s="1041" customFormat="1" ht="35.4" customHeight="1">
      <c r="A403" s="1249"/>
      <c r="B403" s="1542" t="s">
        <v>1351</v>
      </c>
      <c r="C403" s="1513"/>
      <c r="D403" s="1513"/>
      <c r="E403" s="1513"/>
      <c r="F403" s="1513"/>
      <c r="G403" s="1513"/>
      <c r="H403" s="985">
        <f>SUM(H404:H407)</f>
        <v>4500.0999999999995</v>
      </c>
      <c r="I403" s="985">
        <f t="shared" ref="I403:Q403" si="140">SUM(I404:I407)</f>
        <v>3299.9</v>
      </c>
      <c r="J403" s="985">
        <f t="shared" si="140"/>
        <v>3299.9</v>
      </c>
      <c r="K403" s="995">
        <f t="shared" si="140"/>
        <v>161</v>
      </c>
      <c r="L403" s="985">
        <f t="shared" si="140"/>
        <v>10570251</v>
      </c>
      <c r="M403" s="985">
        <f t="shared" si="140"/>
        <v>0</v>
      </c>
      <c r="N403" s="985">
        <f t="shared" si="140"/>
        <v>0</v>
      </c>
      <c r="O403" s="985">
        <f t="shared" si="140"/>
        <v>10570251</v>
      </c>
      <c r="P403" s="985">
        <f t="shared" si="140"/>
        <v>0</v>
      </c>
      <c r="Q403" s="985">
        <f t="shared" si="140"/>
        <v>0</v>
      </c>
      <c r="R403" s="996" t="s">
        <v>40</v>
      </c>
      <c r="S403" s="996" t="s">
        <v>40</v>
      </c>
      <c r="T403" s="996" t="s">
        <v>40</v>
      </c>
    </row>
    <row r="404" spans="1:20" s="1041" customFormat="1" ht="39.6" customHeight="1">
      <c r="A404" s="1249">
        <v>312</v>
      </c>
      <c r="B404" s="1260" t="s">
        <v>1352</v>
      </c>
      <c r="C404" s="1255">
        <v>1984</v>
      </c>
      <c r="D404" s="1245"/>
      <c r="E404" s="1249" t="s">
        <v>218</v>
      </c>
      <c r="F404" s="1255">
        <v>3</v>
      </c>
      <c r="G404" s="1255">
        <v>2</v>
      </c>
      <c r="H404" s="1107">
        <v>1292.3</v>
      </c>
      <c r="I404" s="1067">
        <v>788.8</v>
      </c>
      <c r="J404" s="1067">
        <v>788.8</v>
      </c>
      <c r="K404" s="1077">
        <v>39</v>
      </c>
      <c r="L404" s="1067">
        <v>4124758</v>
      </c>
      <c r="M404" s="1038">
        <v>0</v>
      </c>
      <c r="N404" s="1038">
        <v>0</v>
      </c>
      <c r="O404" s="1067">
        <v>4124758</v>
      </c>
      <c r="P404" s="1038">
        <v>0</v>
      </c>
      <c r="Q404" s="1038">
        <v>0</v>
      </c>
      <c r="R404" s="1038">
        <f>L404/I404</f>
        <v>5229.1556795131846</v>
      </c>
      <c r="S404" s="1048">
        <v>2020</v>
      </c>
      <c r="T404" s="1048">
        <v>2020</v>
      </c>
    </row>
    <row r="405" spans="1:20" s="1041" customFormat="1" ht="40.200000000000003" customHeight="1">
      <c r="A405" s="1249">
        <v>313</v>
      </c>
      <c r="B405" s="1260" t="s">
        <v>1353</v>
      </c>
      <c r="C405" s="1255">
        <v>1984</v>
      </c>
      <c r="D405" s="1245"/>
      <c r="E405" s="1249" t="s">
        <v>218</v>
      </c>
      <c r="F405" s="1255">
        <v>3</v>
      </c>
      <c r="G405" s="1255">
        <v>2</v>
      </c>
      <c r="H405" s="1107">
        <v>1292.3</v>
      </c>
      <c r="I405" s="1067">
        <v>759</v>
      </c>
      <c r="J405" s="1067">
        <v>759</v>
      </c>
      <c r="K405" s="1077">
        <v>30</v>
      </c>
      <c r="L405" s="1067">
        <v>4124758</v>
      </c>
      <c r="M405" s="1038">
        <v>0</v>
      </c>
      <c r="N405" s="1038">
        <v>0</v>
      </c>
      <c r="O405" s="1067">
        <v>4124758</v>
      </c>
      <c r="P405" s="1038">
        <v>0</v>
      </c>
      <c r="Q405" s="1038">
        <v>0</v>
      </c>
      <c r="R405" s="1038">
        <f t="shared" ref="R405:R407" si="141">L405/I405</f>
        <v>5434.463768115942</v>
      </c>
      <c r="S405" s="1048">
        <v>2020</v>
      </c>
      <c r="T405" s="1048">
        <v>2020</v>
      </c>
    </row>
    <row r="406" spans="1:20" s="1251" customFormat="1" ht="36" customHeight="1">
      <c r="A406" s="1249">
        <v>314</v>
      </c>
      <c r="B406" s="1260" t="s">
        <v>1354</v>
      </c>
      <c r="C406" s="1255">
        <v>1986</v>
      </c>
      <c r="D406" s="1245"/>
      <c r="E406" s="1249" t="s">
        <v>219</v>
      </c>
      <c r="F406" s="1255">
        <v>2</v>
      </c>
      <c r="G406" s="1255">
        <v>3</v>
      </c>
      <c r="H406" s="1107">
        <v>955.3</v>
      </c>
      <c r="I406" s="1067">
        <v>870.5</v>
      </c>
      <c r="J406" s="1067">
        <v>870.5</v>
      </c>
      <c r="K406" s="1077">
        <v>51</v>
      </c>
      <c r="L406" s="1067">
        <v>1157140</v>
      </c>
      <c r="M406" s="1038">
        <v>0</v>
      </c>
      <c r="N406" s="1038">
        <v>0</v>
      </c>
      <c r="O406" s="1067">
        <v>1157140</v>
      </c>
      <c r="P406" s="1038">
        <v>0</v>
      </c>
      <c r="Q406" s="1038">
        <v>0</v>
      </c>
      <c r="R406" s="1038">
        <f t="shared" si="141"/>
        <v>1329.2820218265365</v>
      </c>
      <c r="S406" s="1048">
        <v>2020</v>
      </c>
      <c r="T406" s="1048">
        <v>2020</v>
      </c>
    </row>
    <row r="407" spans="1:20" s="1251" customFormat="1" ht="36" customHeight="1">
      <c r="A407" s="1249">
        <v>315</v>
      </c>
      <c r="B407" s="1260" t="s">
        <v>1355</v>
      </c>
      <c r="C407" s="1255">
        <v>1983</v>
      </c>
      <c r="D407" s="1245"/>
      <c r="E407" s="1249" t="s">
        <v>219</v>
      </c>
      <c r="F407" s="1255">
        <v>2</v>
      </c>
      <c r="G407" s="1255">
        <v>3</v>
      </c>
      <c r="H407" s="1107">
        <v>960.2</v>
      </c>
      <c r="I407" s="1067">
        <v>881.6</v>
      </c>
      <c r="J407" s="1067">
        <v>881.6</v>
      </c>
      <c r="K407" s="1077">
        <v>41</v>
      </c>
      <c r="L407" s="1067">
        <v>1163595</v>
      </c>
      <c r="M407" s="1038">
        <v>0</v>
      </c>
      <c r="N407" s="1038">
        <v>0</v>
      </c>
      <c r="O407" s="1067">
        <v>1163595</v>
      </c>
      <c r="P407" s="1038">
        <v>0</v>
      </c>
      <c r="Q407" s="1038">
        <v>0</v>
      </c>
      <c r="R407" s="1038">
        <f t="shared" si="141"/>
        <v>1319.8672867513612</v>
      </c>
      <c r="S407" s="1048">
        <v>2020</v>
      </c>
      <c r="T407" s="1048">
        <v>2020</v>
      </c>
    </row>
    <row r="408" spans="1:20" s="1018" customFormat="1" ht="40.200000000000003" customHeight="1">
      <c r="A408" s="1249"/>
      <c r="B408" s="1513" t="s">
        <v>211</v>
      </c>
      <c r="C408" s="1513"/>
      <c r="D408" s="1513"/>
      <c r="E408" s="1513"/>
      <c r="F408" s="1513"/>
      <c r="G408" s="1513"/>
      <c r="H408" s="1107">
        <f>H409</f>
        <v>1161.0999999999999</v>
      </c>
      <c r="I408" s="1107">
        <f t="shared" ref="I408:Q408" si="142">I409</f>
        <v>1161.0999999999999</v>
      </c>
      <c r="J408" s="1107">
        <f t="shared" si="142"/>
        <v>646.09999999999991</v>
      </c>
      <c r="K408" s="1108">
        <f t="shared" si="142"/>
        <v>48</v>
      </c>
      <c r="L408" s="1107">
        <f t="shared" si="142"/>
        <v>2699558</v>
      </c>
      <c r="M408" s="1107">
        <f t="shared" si="142"/>
        <v>0</v>
      </c>
      <c r="N408" s="1107">
        <f t="shared" si="142"/>
        <v>0</v>
      </c>
      <c r="O408" s="1107">
        <f t="shared" si="142"/>
        <v>2699558</v>
      </c>
      <c r="P408" s="1107">
        <f t="shared" si="142"/>
        <v>0</v>
      </c>
      <c r="Q408" s="1107">
        <f t="shared" si="142"/>
        <v>0</v>
      </c>
      <c r="R408" s="996" t="s">
        <v>40</v>
      </c>
      <c r="S408" s="996" t="s">
        <v>40</v>
      </c>
      <c r="T408" s="996" t="s">
        <v>40</v>
      </c>
    </row>
    <row r="409" spans="1:20" s="1018" customFormat="1" ht="40.200000000000003" customHeight="1">
      <c r="A409" s="1249"/>
      <c r="B409" s="1542" t="s">
        <v>1208</v>
      </c>
      <c r="C409" s="1513"/>
      <c r="D409" s="1513"/>
      <c r="E409" s="1513"/>
      <c r="F409" s="1513"/>
      <c r="G409" s="1513"/>
      <c r="H409" s="1107">
        <f>H410+H411</f>
        <v>1161.0999999999999</v>
      </c>
      <c r="I409" s="1107">
        <f t="shared" ref="I409:Q409" si="143">I410+I411</f>
        <v>1161.0999999999999</v>
      </c>
      <c r="J409" s="1107">
        <f t="shared" si="143"/>
        <v>646.09999999999991</v>
      </c>
      <c r="K409" s="1108">
        <f t="shared" si="143"/>
        <v>48</v>
      </c>
      <c r="L409" s="1107">
        <f t="shared" si="143"/>
        <v>2699558</v>
      </c>
      <c r="M409" s="1107">
        <f t="shared" si="143"/>
        <v>0</v>
      </c>
      <c r="N409" s="1107">
        <f t="shared" si="143"/>
        <v>0</v>
      </c>
      <c r="O409" s="1107">
        <f t="shared" si="143"/>
        <v>2699558</v>
      </c>
      <c r="P409" s="1107">
        <f t="shared" si="143"/>
        <v>0</v>
      </c>
      <c r="Q409" s="1107">
        <f t="shared" si="143"/>
        <v>0</v>
      </c>
      <c r="R409" s="996" t="s">
        <v>40</v>
      </c>
      <c r="S409" s="996" t="s">
        <v>40</v>
      </c>
      <c r="T409" s="996" t="s">
        <v>40</v>
      </c>
    </row>
    <row r="410" spans="1:20" s="1018" customFormat="1" ht="40.200000000000003" customHeight="1">
      <c r="A410" s="1249">
        <v>316</v>
      </c>
      <c r="B410" s="1260" t="s">
        <v>1391</v>
      </c>
      <c r="C410" s="1380">
        <v>1984</v>
      </c>
      <c r="D410" s="1245"/>
      <c r="E410" s="1249" t="s">
        <v>218</v>
      </c>
      <c r="F410" s="1255">
        <v>2</v>
      </c>
      <c r="G410" s="1255">
        <v>2</v>
      </c>
      <c r="H410" s="1107">
        <v>581.6</v>
      </c>
      <c r="I410" s="1067">
        <v>581.6</v>
      </c>
      <c r="J410" s="1067">
        <v>343.2</v>
      </c>
      <c r="K410" s="1077">
        <v>19</v>
      </c>
      <c r="L410" s="1067">
        <v>1349779</v>
      </c>
      <c r="M410" s="1038">
        <v>0</v>
      </c>
      <c r="N410" s="1038">
        <v>0</v>
      </c>
      <c r="O410" s="1067">
        <v>1349779</v>
      </c>
      <c r="P410" s="1038">
        <v>0</v>
      </c>
      <c r="Q410" s="1038">
        <v>0</v>
      </c>
      <c r="R410" s="1038">
        <f t="shared" ref="R410" si="144">L410/I410</f>
        <v>2320.8029573590097</v>
      </c>
      <c r="S410" s="1048">
        <v>2020</v>
      </c>
      <c r="T410" s="1048">
        <v>2020</v>
      </c>
    </row>
    <row r="411" spans="1:20" s="1018" customFormat="1" ht="40.200000000000003" customHeight="1">
      <c r="A411" s="1249">
        <v>317</v>
      </c>
      <c r="B411" s="1260" t="s">
        <v>1814</v>
      </c>
      <c r="C411" s="1255"/>
      <c r="D411" s="1245"/>
      <c r="E411" s="1249" t="s">
        <v>218</v>
      </c>
      <c r="F411" s="1255">
        <v>2</v>
      </c>
      <c r="G411" s="1255">
        <v>2</v>
      </c>
      <c r="H411" s="1107">
        <v>579.5</v>
      </c>
      <c r="I411" s="1067">
        <v>579.5</v>
      </c>
      <c r="J411" s="1067">
        <v>302.89999999999998</v>
      </c>
      <c r="K411" s="1077">
        <v>29</v>
      </c>
      <c r="L411" s="1067">
        <v>1349779</v>
      </c>
      <c r="M411" s="1038">
        <v>0</v>
      </c>
      <c r="N411" s="1038">
        <v>0</v>
      </c>
      <c r="O411" s="1067">
        <v>1349779</v>
      </c>
      <c r="P411" s="1038">
        <v>0</v>
      </c>
      <c r="Q411" s="1038">
        <v>0</v>
      </c>
      <c r="R411" s="1038">
        <f t="shared" ref="R411" si="145">L411/I411</f>
        <v>2329.2131147540986</v>
      </c>
      <c r="S411" s="1048">
        <v>2020</v>
      </c>
      <c r="T411" s="1048">
        <v>2020</v>
      </c>
    </row>
    <row r="412" spans="1:20" s="1018" customFormat="1" ht="40.200000000000003" customHeight="1">
      <c r="A412" s="1249"/>
      <c r="B412" s="1513" t="s">
        <v>66</v>
      </c>
      <c r="C412" s="1513"/>
      <c r="D412" s="1513"/>
      <c r="E412" s="1513"/>
      <c r="F412" s="1513"/>
      <c r="G412" s="1513"/>
      <c r="H412" s="985">
        <f>H413</f>
        <v>1128.9000000000001</v>
      </c>
      <c r="I412" s="985">
        <f t="shared" ref="I412:Q412" si="146">I413</f>
        <v>801.59999999999991</v>
      </c>
      <c r="J412" s="985">
        <f t="shared" si="146"/>
        <v>248.8</v>
      </c>
      <c r="K412" s="995">
        <f t="shared" si="146"/>
        <v>45</v>
      </c>
      <c r="L412" s="985">
        <f t="shared" si="146"/>
        <v>3342802</v>
      </c>
      <c r="M412" s="985">
        <f t="shared" si="146"/>
        <v>0</v>
      </c>
      <c r="N412" s="985">
        <f t="shared" si="146"/>
        <v>0</v>
      </c>
      <c r="O412" s="985">
        <f t="shared" si="146"/>
        <v>3342802</v>
      </c>
      <c r="P412" s="985">
        <f t="shared" si="146"/>
        <v>0</v>
      </c>
      <c r="Q412" s="985">
        <f t="shared" si="146"/>
        <v>0</v>
      </c>
      <c r="R412" s="996" t="s">
        <v>40</v>
      </c>
      <c r="S412" s="996" t="s">
        <v>40</v>
      </c>
      <c r="T412" s="996" t="s">
        <v>40</v>
      </c>
    </row>
    <row r="413" spans="1:20" s="1018" customFormat="1" ht="40.200000000000003" customHeight="1">
      <c r="A413" s="1249"/>
      <c r="B413" s="1513" t="s">
        <v>1101</v>
      </c>
      <c r="C413" s="1513"/>
      <c r="D413" s="1513"/>
      <c r="E413" s="1513"/>
      <c r="F413" s="1513"/>
      <c r="G413" s="1513"/>
      <c r="H413" s="985">
        <f>H414+H415</f>
        <v>1128.9000000000001</v>
      </c>
      <c r="I413" s="985">
        <f t="shared" ref="I413:Q413" si="147">I414+I415</f>
        <v>801.59999999999991</v>
      </c>
      <c r="J413" s="985">
        <f t="shared" si="147"/>
        <v>248.8</v>
      </c>
      <c r="K413" s="995">
        <f t="shared" si="147"/>
        <v>45</v>
      </c>
      <c r="L413" s="985">
        <f t="shared" si="147"/>
        <v>3342802</v>
      </c>
      <c r="M413" s="985">
        <f t="shared" si="147"/>
        <v>0</v>
      </c>
      <c r="N413" s="985">
        <f t="shared" si="147"/>
        <v>0</v>
      </c>
      <c r="O413" s="985">
        <f t="shared" si="147"/>
        <v>3342802</v>
      </c>
      <c r="P413" s="985">
        <f t="shared" si="147"/>
        <v>0</v>
      </c>
      <c r="Q413" s="985">
        <f t="shared" si="147"/>
        <v>0</v>
      </c>
      <c r="R413" s="996" t="s">
        <v>40</v>
      </c>
      <c r="S413" s="996" t="s">
        <v>40</v>
      </c>
      <c r="T413" s="996" t="s">
        <v>40</v>
      </c>
    </row>
    <row r="414" spans="1:20" s="997" customFormat="1" ht="38.4" customHeight="1">
      <c r="A414" s="1249">
        <v>318</v>
      </c>
      <c r="B414" s="1245" t="s">
        <v>1274</v>
      </c>
      <c r="C414" s="1380">
        <v>1870</v>
      </c>
      <c r="D414" s="1380">
        <v>2002</v>
      </c>
      <c r="E414" s="1249" t="s">
        <v>218</v>
      </c>
      <c r="F414" s="1255">
        <v>2</v>
      </c>
      <c r="G414" s="1255">
        <v>2</v>
      </c>
      <c r="H414" s="985">
        <v>294</v>
      </c>
      <c r="I414" s="985">
        <v>248.8</v>
      </c>
      <c r="J414" s="985">
        <v>248.8</v>
      </c>
      <c r="K414" s="995">
        <v>15</v>
      </c>
      <c r="L414" s="985">
        <v>824658</v>
      </c>
      <c r="M414" s="985">
        <v>0</v>
      </c>
      <c r="N414" s="985">
        <v>0</v>
      </c>
      <c r="O414" s="985">
        <v>824658</v>
      </c>
      <c r="P414" s="985">
        <v>0</v>
      </c>
      <c r="Q414" s="985">
        <v>0</v>
      </c>
      <c r="R414" s="985">
        <f>L414/I414</f>
        <v>3314.5418006430868</v>
      </c>
      <c r="S414" s="988">
        <v>2020</v>
      </c>
      <c r="T414" s="988">
        <v>2020</v>
      </c>
    </row>
    <row r="415" spans="1:20" s="1045" customFormat="1" ht="42.6" customHeight="1">
      <c r="A415" s="1249">
        <v>319</v>
      </c>
      <c r="B415" s="1245" t="s">
        <v>1275</v>
      </c>
      <c r="C415" s="1255">
        <v>1973</v>
      </c>
      <c r="D415" s="1255"/>
      <c r="E415" s="1249" t="s">
        <v>218</v>
      </c>
      <c r="F415" s="1255">
        <v>2</v>
      </c>
      <c r="G415" s="1255">
        <v>1</v>
      </c>
      <c r="H415" s="985">
        <v>834.9</v>
      </c>
      <c r="I415" s="985">
        <v>552.79999999999995</v>
      </c>
      <c r="J415" s="985">
        <v>0</v>
      </c>
      <c r="K415" s="995">
        <v>30</v>
      </c>
      <c r="L415" s="987">
        <v>2518144</v>
      </c>
      <c r="M415" s="987">
        <v>0</v>
      </c>
      <c r="N415" s="987">
        <v>0</v>
      </c>
      <c r="O415" s="987">
        <v>2518144</v>
      </c>
      <c r="P415" s="998">
        <f t="shared" ref="P415" si="148">Q415</f>
        <v>0</v>
      </c>
      <c r="Q415" s="987">
        <v>0</v>
      </c>
      <c r="R415" s="985">
        <f>L415/I415</f>
        <v>4555.2532561505068</v>
      </c>
      <c r="S415" s="988">
        <v>2020</v>
      </c>
      <c r="T415" s="988">
        <v>2020</v>
      </c>
    </row>
    <row r="416" spans="1:20" s="1045" customFormat="1" ht="36" customHeight="1">
      <c r="A416" s="1249"/>
      <c r="B416" s="1513" t="s">
        <v>1161</v>
      </c>
      <c r="C416" s="1513"/>
      <c r="D416" s="1513"/>
      <c r="E416" s="1513"/>
      <c r="F416" s="1513"/>
      <c r="G416" s="1513"/>
      <c r="H416" s="985">
        <f>SUM(H417:H422)</f>
        <v>37943.800000000003</v>
      </c>
      <c r="I416" s="985">
        <f t="shared" ref="I416:Q416" si="149">SUM(I417:I422)</f>
        <v>30961.5</v>
      </c>
      <c r="J416" s="985">
        <f t="shared" si="149"/>
        <v>30961.5</v>
      </c>
      <c r="K416" s="995">
        <f t="shared" si="149"/>
        <v>1530</v>
      </c>
      <c r="L416" s="985">
        <f t="shared" si="149"/>
        <v>30817012</v>
      </c>
      <c r="M416" s="985">
        <f t="shared" si="149"/>
        <v>0</v>
      </c>
      <c r="N416" s="985">
        <f t="shared" si="149"/>
        <v>0</v>
      </c>
      <c r="O416" s="985">
        <f t="shared" si="149"/>
        <v>30817012</v>
      </c>
      <c r="P416" s="985">
        <f t="shared" si="149"/>
        <v>0</v>
      </c>
      <c r="Q416" s="985">
        <f t="shared" si="149"/>
        <v>0</v>
      </c>
      <c r="R416" s="996" t="s">
        <v>40</v>
      </c>
      <c r="S416" s="996" t="s">
        <v>40</v>
      </c>
      <c r="T416" s="996" t="s">
        <v>40</v>
      </c>
    </row>
    <row r="417" spans="1:20" s="1045" customFormat="1" ht="36" customHeight="1">
      <c r="A417" s="1048">
        <v>320</v>
      </c>
      <c r="B417" s="1069" t="s">
        <v>1549</v>
      </c>
      <c r="C417" s="1048">
        <v>1980</v>
      </c>
      <c r="D417" s="1123"/>
      <c r="E417" s="1249" t="s">
        <v>219</v>
      </c>
      <c r="F417" s="1048">
        <v>5</v>
      </c>
      <c r="G417" s="1048">
        <v>8</v>
      </c>
      <c r="H417" s="1067">
        <v>4391</v>
      </c>
      <c r="I417" s="1067">
        <v>3850</v>
      </c>
      <c r="J417" s="1067">
        <v>3850</v>
      </c>
      <c r="K417" s="1108">
        <v>186</v>
      </c>
      <c r="L417" s="1107">
        <v>2866597</v>
      </c>
      <c r="M417" s="1107">
        <v>0</v>
      </c>
      <c r="N417" s="1107">
        <v>0</v>
      </c>
      <c r="O417" s="1067">
        <f>L417</f>
        <v>2866597</v>
      </c>
      <c r="P417" s="1107">
        <v>0</v>
      </c>
      <c r="Q417" s="1107">
        <v>0</v>
      </c>
      <c r="R417" s="1067">
        <f t="shared" ref="R417" si="150">L417/I417</f>
        <v>744.57064935064932</v>
      </c>
      <c r="S417" s="988">
        <v>2020</v>
      </c>
      <c r="T417" s="988">
        <v>2020</v>
      </c>
    </row>
    <row r="418" spans="1:20" s="1045" customFormat="1" ht="36" customHeight="1">
      <c r="A418" s="1048">
        <v>321</v>
      </c>
      <c r="B418" s="1069" t="s">
        <v>1815</v>
      </c>
      <c r="C418" s="1048">
        <v>1992</v>
      </c>
      <c r="D418" s="1123"/>
      <c r="E418" s="1249" t="s">
        <v>219</v>
      </c>
      <c r="F418" s="1048">
        <v>5</v>
      </c>
      <c r="G418" s="1048">
        <v>8</v>
      </c>
      <c r="H418" s="1067">
        <v>9623</v>
      </c>
      <c r="I418" s="1067">
        <v>8616.6</v>
      </c>
      <c r="J418" s="1067">
        <v>8616.6</v>
      </c>
      <c r="K418" s="1108">
        <v>356</v>
      </c>
      <c r="L418" s="1067">
        <v>10503750</v>
      </c>
      <c r="M418" s="1107">
        <v>0</v>
      </c>
      <c r="N418" s="1107">
        <v>0</v>
      </c>
      <c r="O418" s="1067">
        <f>L418</f>
        <v>10503750</v>
      </c>
      <c r="P418" s="1107">
        <v>0</v>
      </c>
      <c r="Q418" s="1107">
        <v>0</v>
      </c>
      <c r="R418" s="1067">
        <f>L418/I418</f>
        <v>1219.0132999094769</v>
      </c>
      <c r="S418" s="988">
        <v>2020</v>
      </c>
      <c r="T418" s="988">
        <v>2020</v>
      </c>
    </row>
    <row r="419" spans="1:20" s="1045" customFormat="1" ht="36" customHeight="1">
      <c r="A419" s="1048">
        <v>322</v>
      </c>
      <c r="B419" s="1069" t="s">
        <v>1550</v>
      </c>
      <c r="C419" s="1048">
        <v>1977</v>
      </c>
      <c r="D419" s="1123"/>
      <c r="E419" s="1249" t="s">
        <v>219</v>
      </c>
      <c r="F419" s="1048">
        <v>5</v>
      </c>
      <c r="G419" s="1048">
        <v>15</v>
      </c>
      <c r="H419" s="1067">
        <v>11429.2</v>
      </c>
      <c r="I419" s="1067">
        <v>8711.4</v>
      </c>
      <c r="J419" s="1067">
        <v>8711.4</v>
      </c>
      <c r="K419" s="1108">
        <v>474</v>
      </c>
      <c r="L419" s="1067">
        <v>5665266</v>
      </c>
      <c r="M419" s="1107">
        <v>0</v>
      </c>
      <c r="N419" s="1107">
        <v>0</v>
      </c>
      <c r="O419" s="1067">
        <f t="shared" ref="O419" si="151">L419</f>
        <v>5665266</v>
      </c>
      <c r="P419" s="1107">
        <v>0</v>
      </c>
      <c r="Q419" s="1107">
        <v>0</v>
      </c>
      <c r="R419" s="1067">
        <f>L419/I419</f>
        <v>650.32784627040428</v>
      </c>
      <c r="S419" s="988">
        <v>2020</v>
      </c>
      <c r="T419" s="988">
        <v>2020</v>
      </c>
    </row>
    <row r="420" spans="1:20" s="1045" customFormat="1" ht="36" customHeight="1">
      <c r="A420" s="1048">
        <v>323</v>
      </c>
      <c r="B420" s="1069" t="s">
        <v>1816</v>
      </c>
      <c r="C420" s="1048">
        <v>1985</v>
      </c>
      <c r="D420" s="1123"/>
      <c r="E420" s="1249" t="s">
        <v>219</v>
      </c>
      <c r="F420" s="1048">
        <v>5</v>
      </c>
      <c r="G420" s="1048">
        <v>5</v>
      </c>
      <c r="H420" s="1067">
        <v>3509.1</v>
      </c>
      <c r="I420" s="1067">
        <v>2031.4</v>
      </c>
      <c r="J420" s="1067">
        <v>2031.4</v>
      </c>
      <c r="K420" s="1108">
        <v>157</v>
      </c>
      <c r="L420" s="1067">
        <v>4046318</v>
      </c>
      <c r="M420" s="1107">
        <v>0</v>
      </c>
      <c r="N420" s="1107">
        <v>0</v>
      </c>
      <c r="O420" s="1067">
        <f t="shared" ref="O420" si="152">L420</f>
        <v>4046318</v>
      </c>
      <c r="P420" s="1107">
        <v>0</v>
      </c>
      <c r="Q420" s="1107">
        <v>0</v>
      </c>
      <c r="R420" s="1067">
        <f t="shared" ref="R420:R421" si="153">L420/I420</f>
        <v>1991.8863837747365</v>
      </c>
      <c r="S420" s="988">
        <v>2020</v>
      </c>
      <c r="T420" s="988">
        <v>2020</v>
      </c>
    </row>
    <row r="421" spans="1:20" s="1045" customFormat="1" ht="36" customHeight="1">
      <c r="A421" s="1048">
        <v>324</v>
      </c>
      <c r="B421" s="1069" t="s">
        <v>1817</v>
      </c>
      <c r="C421" s="1048">
        <v>1988</v>
      </c>
      <c r="D421" s="1123"/>
      <c r="E421" s="1249" t="s">
        <v>219</v>
      </c>
      <c r="F421" s="1048">
        <v>5</v>
      </c>
      <c r="G421" s="1048">
        <v>3</v>
      </c>
      <c r="H421" s="1067">
        <v>3865.5</v>
      </c>
      <c r="I421" s="1067">
        <v>3301</v>
      </c>
      <c r="J421" s="1067">
        <v>3301</v>
      </c>
      <c r="K421" s="1108">
        <v>151</v>
      </c>
      <c r="L421" s="985">
        <v>2872032</v>
      </c>
      <c r="M421" s="1107">
        <v>0</v>
      </c>
      <c r="N421" s="1107">
        <v>0</v>
      </c>
      <c r="O421" s="1067">
        <v>2872032</v>
      </c>
      <c r="P421" s="1107">
        <v>0</v>
      </c>
      <c r="Q421" s="1107">
        <v>0</v>
      </c>
      <c r="R421" s="1067">
        <f t="shared" si="153"/>
        <v>870.04907603756442</v>
      </c>
      <c r="S421" s="988">
        <v>2020</v>
      </c>
      <c r="T421" s="988">
        <v>2020</v>
      </c>
    </row>
    <row r="422" spans="1:20" s="1045" customFormat="1" ht="36" customHeight="1">
      <c r="A422" s="1048">
        <v>325</v>
      </c>
      <c r="B422" s="1069" t="s">
        <v>1551</v>
      </c>
      <c r="C422" s="1048">
        <v>1988</v>
      </c>
      <c r="D422" s="1123"/>
      <c r="E422" s="1249" t="s">
        <v>219</v>
      </c>
      <c r="F422" s="1048">
        <v>9</v>
      </c>
      <c r="G422" s="1048">
        <v>2</v>
      </c>
      <c r="H422" s="1067">
        <v>5126</v>
      </c>
      <c r="I422" s="1067">
        <v>4451.1000000000004</v>
      </c>
      <c r="J422" s="1067">
        <v>4451.1000000000004</v>
      </c>
      <c r="K422" s="1108">
        <v>206</v>
      </c>
      <c r="L422" s="1067">
        <v>4863049</v>
      </c>
      <c r="M422" s="1107">
        <v>0</v>
      </c>
      <c r="N422" s="1107">
        <v>0</v>
      </c>
      <c r="O422" s="1067">
        <f>L422</f>
        <v>4863049</v>
      </c>
      <c r="P422" s="1107">
        <v>0</v>
      </c>
      <c r="Q422" s="1107">
        <v>0</v>
      </c>
      <c r="R422" s="1067">
        <f>L422/I422</f>
        <v>1092.5499314776123</v>
      </c>
      <c r="S422" s="988">
        <v>2020</v>
      </c>
      <c r="T422" s="988">
        <v>2020</v>
      </c>
    </row>
    <row r="423" spans="1:20" s="1045" customFormat="1" ht="36" customHeight="1">
      <c r="A423" s="1249"/>
      <c r="B423" s="1513" t="s">
        <v>67</v>
      </c>
      <c r="C423" s="1513"/>
      <c r="D423" s="1513"/>
      <c r="E423" s="1513"/>
      <c r="F423" s="1513"/>
      <c r="G423" s="1513"/>
      <c r="H423" s="985">
        <f>H426+H429+H424</f>
        <v>6611.5</v>
      </c>
      <c r="I423" s="985">
        <f t="shared" ref="I423:Q423" si="154">I426+I429+I424</f>
        <v>6611.5</v>
      </c>
      <c r="J423" s="985">
        <f t="shared" si="154"/>
        <v>5242.6000000000004</v>
      </c>
      <c r="K423" s="995">
        <f t="shared" si="154"/>
        <v>233</v>
      </c>
      <c r="L423" s="985">
        <f t="shared" si="154"/>
        <v>5793995</v>
      </c>
      <c r="M423" s="985">
        <f t="shared" si="154"/>
        <v>0</v>
      </c>
      <c r="N423" s="985">
        <f t="shared" si="154"/>
        <v>0</v>
      </c>
      <c r="O423" s="985">
        <f t="shared" si="154"/>
        <v>5793995</v>
      </c>
      <c r="P423" s="985">
        <f t="shared" si="154"/>
        <v>0</v>
      </c>
      <c r="Q423" s="985">
        <f t="shared" si="154"/>
        <v>0</v>
      </c>
      <c r="R423" s="996" t="s">
        <v>40</v>
      </c>
      <c r="S423" s="996" t="s">
        <v>40</v>
      </c>
      <c r="T423" s="996" t="s">
        <v>40</v>
      </c>
    </row>
    <row r="424" spans="1:20" s="1045" customFormat="1" ht="36" customHeight="1">
      <c r="A424" s="1249"/>
      <c r="B424" s="1261" t="s">
        <v>1102</v>
      </c>
      <c r="C424" s="991"/>
      <c r="D424" s="992"/>
      <c r="E424" s="993"/>
      <c r="F424" s="991"/>
      <c r="G424" s="994"/>
      <c r="H424" s="985">
        <f>H425</f>
        <v>1488.6</v>
      </c>
      <c r="I424" s="985">
        <f t="shared" ref="I424:Q424" si="155">I425</f>
        <v>1488.6</v>
      </c>
      <c r="J424" s="985">
        <f t="shared" si="155"/>
        <v>1379.4</v>
      </c>
      <c r="K424" s="995">
        <f t="shared" si="155"/>
        <v>44</v>
      </c>
      <c r="L424" s="985">
        <f t="shared" si="155"/>
        <v>1695504</v>
      </c>
      <c r="M424" s="985">
        <f t="shared" si="155"/>
        <v>0</v>
      </c>
      <c r="N424" s="985">
        <f t="shared" si="155"/>
        <v>0</v>
      </c>
      <c r="O424" s="985">
        <f t="shared" si="155"/>
        <v>1695504</v>
      </c>
      <c r="P424" s="985">
        <f t="shared" si="155"/>
        <v>0</v>
      </c>
      <c r="Q424" s="985">
        <f t="shared" si="155"/>
        <v>0</v>
      </c>
      <c r="R424" s="996" t="s">
        <v>40</v>
      </c>
      <c r="S424" s="996" t="s">
        <v>40</v>
      </c>
      <c r="T424" s="996" t="s">
        <v>40</v>
      </c>
    </row>
    <row r="425" spans="1:20" s="1045" customFormat="1" ht="36" customHeight="1">
      <c r="A425" s="1249">
        <v>326</v>
      </c>
      <c r="B425" s="1260" t="s">
        <v>1515</v>
      </c>
      <c r="C425" s="1249">
        <v>1986</v>
      </c>
      <c r="D425" s="1249"/>
      <c r="E425" s="1249" t="s">
        <v>220</v>
      </c>
      <c r="F425" s="1249">
        <v>3</v>
      </c>
      <c r="G425" s="1249">
        <v>3</v>
      </c>
      <c r="H425" s="985">
        <v>1488.6</v>
      </c>
      <c r="I425" s="985">
        <v>1488.6</v>
      </c>
      <c r="J425" s="985">
        <v>1379.4</v>
      </c>
      <c r="K425" s="995">
        <v>44</v>
      </c>
      <c r="L425" s="985">
        <v>1695504</v>
      </c>
      <c r="M425" s="985">
        <v>0</v>
      </c>
      <c r="N425" s="985">
        <v>0</v>
      </c>
      <c r="O425" s="985">
        <v>1695504</v>
      </c>
      <c r="P425" s="985">
        <v>0</v>
      </c>
      <c r="Q425" s="985">
        <v>0</v>
      </c>
      <c r="R425" s="985">
        <f>L425/I425</f>
        <v>1138.9923417976622</v>
      </c>
      <c r="S425" s="988">
        <v>2020</v>
      </c>
      <c r="T425" s="988">
        <v>2020</v>
      </c>
    </row>
    <row r="426" spans="1:20" s="1045" customFormat="1" ht="36" customHeight="1">
      <c r="A426" s="1249"/>
      <c r="B426" s="1265" t="s">
        <v>1345</v>
      </c>
      <c r="C426" s="1011"/>
      <c r="D426" s="1012"/>
      <c r="E426" s="1010"/>
      <c r="F426" s="1011"/>
      <c r="G426" s="1011"/>
      <c r="H426" s="985">
        <f>H427+H428</f>
        <v>4037</v>
      </c>
      <c r="I426" s="985">
        <f t="shared" ref="I426:Q426" si="156">I427+I428</f>
        <v>4037</v>
      </c>
      <c r="J426" s="985">
        <f t="shared" si="156"/>
        <v>3431</v>
      </c>
      <c r="K426" s="995">
        <f t="shared" si="156"/>
        <v>153</v>
      </c>
      <c r="L426" s="985">
        <f t="shared" si="156"/>
        <v>3278899</v>
      </c>
      <c r="M426" s="985">
        <f t="shared" si="156"/>
        <v>0</v>
      </c>
      <c r="N426" s="985">
        <f t="shared" si="156"/>
        <v>0</v>
      </c>
      <c r="O426" s="985">
        <f t="shared" si="156"/>
        <v>3278899</v>
      </c>
      <c r="P426" s="985">
        <f t="shared" si="156"/>
        <v>0</v>
      </c>
      <c r="Q426" s="985">
        <f t="shared" si="156"/>
        <v>0</v>
      </c>
      <c r="R426" s="996" t="s">
        <v>40</v>
      </c>
      <c r="S426" s="996" t="s">
        <v>40</v>
      </c>
      <c r="T426" s="996" t="s">
        <v>40</v>
      </c>
    </row>
    <row r="427" spans="1:20" s="1045" customFormat="1" ht="45.6" customHeight="1">
      <c r="A427" s="1249">
        <v>327</v>
      </c>
      <c r="B427" s="1260" t="s">
        <v>2335</v>
      </c>
      <c r="C427" s="1255">
        <v>1986</v>
      </c>
      <c r="D427" s="1255"/>
      <c r="E427" s="1249" t="s">
        <v>219</v>
      </c>
      <c r="F427" s="1255">
        <v>5</v>
      </c>
      <c r="G427" s="1255">
        <v>4</v>
      </c>
      <c r="H427" s="985">
        <v>3623</v>
      </c>
      <c r="I427" s="985">
        <v>3623</v>
      </c>
      <c r="J427" s="985">
        <v>3056</v>
      </c>
      <c r="K427" s="995">
        <v>130</v>
      </c>
      <c r="L427" s="987">
        <v>2696748</v>
      </c>
      <c r="M427" s="987">
        <v>0</v>
      </c>
      <c r="N427" s="987">
        <v>0</v>
      </c>
      <c r="O427" s="987">
        <v>2696748</v>
      </c>
      <c r="P427" s="998">
        <v>0</v>
      </c>
      <c r="Q427" s="987">
        <v>0</v>
      </c>
      <c r="R427" s="985">
        <f>L427/I427</f>
        <v>744.34115373999452</v>
      </c>
      <c r="S427" s="988">
        <v>2020</v>
      </c>
      <c r="T427" s="988">
        <v>2020</v>
      </c>
    </row>
    <row r="428" spans="1:20" s="1045" customFormat="1" ht="43.8" customHeight="1">
      <c r="A428" s="1249">
        <v>328</v>
      </c>
      <c r="B428" s="1260" t="s">
        <v>2336</v>
      </c>
      <c r="C428" s="1255">
        <v>1957</v>
      </c>
      <c r="D428" s="1255"/>
      <c r="E428" s="1249" t="s">
        <v>218</v>
      </c>
      <c r="F428" s="1255">
        <v>2</v>
      </c>
      <c r="G428" s="1255">
        <v>2</v>
      </c>
      <c r="H428" s="985">
        <v>414</v>
      </c>
      <c r="I428" s="985">
        <v>414</v>
      </c>
      <c r="J428" s="985">
        <v>375</v>
      </c>
      <c r="K428" s="995">
        <v>23</v>
      </c>
      <c r="L428" s="987">
        <v>582151</v>
      </c>
      <c r="M428" s="987">
        <v>0</v>
      </c>
      <c r="N428" s="987">
        <v>0</v>
      </c>
      <c r="O428" s="987">
        <v>582151</v>
      </c>
      <c r="P428" s="998">
        <v>0</v>
      </c>
      <c r="Q428" s="987">
        <v>0</v>
      </c>
      <c r="R428" s="985">
        <f>L428/I428</f>
        <v>1406.1618357487923</v>
      </c>
      <c r="S428" s="988">
        <v>2020</v>
      </c>
      <c r="T428" s="988">
        <v>2020</v>
      </c>
    </row>
    <row r="429" spans="1:20" s="997" customFormat="1" ht="38.4" customHeight="1">
      <c r="A429" s="1249"/>
      <c r="B429" s="1265" t="s">
        <v>1219</v>
      </c>
      <c r="C429" s="1255"/>
      <c r="D429" s="1255"/>
      <c r="E429" s="1249"/>
      <c r="F429" s="1255"/>
      <c r="G429" s="1255"/>
      <c r="H429" s="985">
        <f>H430+H431</f>
        <v>1085.9000000000001</v>
      </c>
      <c r="I429" s="985">
        <f t="shared" ref="I429:Q429" si="157">I430+I431</f>
        <v>1085.9000000000001</v>
      </c>
      <c r="J429" s="985">
        <f t="shared" si="157"/>
        <v>432.2</v>
      </c>
      <c r="K429" s="995">
        <f t="shared" si="157"/>
        <v>36</v>
      </c>
      <c r="L429" s="985">
        <f t="shared" si="157"/>
        <v>819592</v>
      </c>
      <c r="M429" s="985">
        <f t="shared" si="157"/>
        <v>0</v>
      </c>
      <c r="N429" s="985">
        <f t="shared" si="157"/>
        <v>0</v>
      </c>
      <c r="O429" s="985">
        <f t="shared" si="157"/>
        <v>819592</v>
      </c>
      <c r="P429" s="985">
        <f t="shared" si="157"/>
        <v>0</v>
      </c>
      <c r="Q429" s="985">
        <f t="shared" si="157"/>
        <v>0</v>
      </c>
      <c r="R429" s="996" t="s">
        <v>40</v>
      </c>
      <c r="S429" s="996" t="s">
        <v>40</v>
      </c>
      <c r="T429" s="996" t="s">
        <v>40</v>
      </c>
    </row>
    <row r="430" spans="1:20" s="997" customFormat="1" ht="46.2" customHeight="1">
      <c r="A430" s="1249">
        <v>329</v>
      </c>
      <c r="B430" s="1260" t="s">
        <v>1387</v>
      </c>
      <c r="C430" s="1255">
        <v>1972</v>
      </c>
      <c r="D430" s="1255"/>
      <c r="E430" s="1249" t="s">
        <v>218</v>
      </c>
      <c r="F430" s="1255">
        <v>2</v>
      </c>
      <c r="G430" s="1255">
        <v>2</v>
      </c>
      <c r="H430" s="985">
        <v>520.20000000000005</v>
      </c>
      <c r="I430" s="985">
        <v>520.20000000000005</v>
      </c>
      <c r="J430" s="985">
        <v>0</v>
      </c>
      <c r="K430" s="995">
        <v>18</v>
      </c>
      <c r="L430" s="987">
        <v>411377</v>
      </c>
      <c r="M430" s="987">
        <v>0</v>
      </c>
      <c r="N430" s="987">
        <v>0</v>
      </c>
      <c r="O430" s="987">
        <v>411377</v>
      </c>
      <c r="P430" s="998">
        <v>0</v>
      </c>
      <c r="Q430" s="987">
        <v>0</v>
      </c>
      <c r="R430" s="985">
        <f>L430/I430</f>
        <v>790.80545943867742</v>
      </c>
      <c r="S430" s="988">
        <v>2020</v>
      </c>
      <c r="T430" s="988">
        <v>2020</v>
      </c>
    </row>
    <row r="431" spans="1:20" s="997" customFormat="1" ht="40.799999999999997" customHeight="1">
      <c r="A431" s="1249">
        <v>330</v>
      </c>
      <c r="B431" s="1260" t="s">
        <v>1388</v>
      </c>
      <c r="C431" s="1255">
        <v>1974</v>
      </c>
      <c r="D431" s="1255"/>
      <c r="E431" s="1249" t="s">
        <v>218</v>
      </c>
      <c r="F431" s="1255">
        <v>2</v>
      </c>
      <c r="G431" s="1255">
        <v>2</v>
      </c>
      <c r="H431" s="985">
        <v>565.70000000000005</v>
      </c>
      <c r="I431" s="985">
        <v>565.70000000000005</v>
      </c>
      <c r="J431" s="985">
        <v>432.2</v>
      </c>
      <c r="K431" s="995">
        <v>18</v>
      </c>
      <c r="L431" s="987">
        <v>408215</v>
      </c>
      <c r="M431" s="987">
        <v>0</v>
      </c>
      <c r="N431" s="987">
        <v>0</v>
      </c>
      <c r="O431" s="987">
        <v>408215</v>
      </c>
      <c r="P431" s="998">
        <v>0</v>
      </c>
      <c r="Q431" s="987">
        <v>0</v>
      </c>
      <c r="R431" s="985">
        <f>L431/I431</f>
        <v>721.61039420187376</v>
      </c>
      <c r="S431" s="988">
        <v>2020</v>
      </c>
      <c r="T431" s="988">
        <v>2020</v>
      </c>
    </row>
    <row r="432" spans="1:20" s="997" customFormat="1" ht="38.4" customHeight="1">
      <c r="A432" s="1529" t="s">
        <v>35</v>
      </c>
      <c r="B432" s="1529"/>
      <c r="C432" s="1529"/>
      <c r="D432" s="1529"/>
      <c r="E432" s="1529"/>
      <c r="F432" s="1529"/>
      <c r="G432" s="1529"/>
      <c r="H432" s="1529"/>
      <c r="I432" s="1529"/>
      <c r="J432" s="1529"/>
      <c r="K432" s="1529"/>
      <c r="L432" s="1529"/>
      <c r="M432" s="1529"/>
      <c r="N432" s="1529"/>
      <c r="O432" s="1529"/>
      <c r="P432" s="1529"/>
      <c r="Q432" s="1529"/>
      <c r="R432" s="1529"/>
      <c r="S432" s="1529"/>
      <c r="T432" s="1529"/>
    </row>
    <row r="433" spans="1:20" s="997" customFormat="1" ht="38.4" customHeight="1">
      <c r="A433" s="1249"/>
      <c r="B433" s="1517" t="s">
        <v>42</v>
      </c>
      <c r="C433" s="1517"/>
      <c r="D433" s="1517"/>
      <c r="E433" s="1517"/>
      <c r="F433" s="1517"/>
      <c r="G433" s="1517"/>
      <c r="H433" s="985">
        <v>0</v>
      </c>
      <c r="I433" s="985">
        <v>0</v>
      </c>
      <c r="J433" s="985">
        <v>0</v>
      </c>
      <c r="K433" s="995">
        <v>0</v>
      </c>
      <c r="L433" s="985">
        <v>0</v>
      </c>
      <c r="M433" s="985">
        <v>0</v>
      </c>
      <c r="N433" s="985">
        <v>0</v>
      </c>
      <c r="O433" s="985">
        <v>0</v>
      </c>
      <c r="P433" s="985">
        <v>0</v>
      </c>
      <c r="Q433" s="985">
        <v>0</v>
      </c>
      <c r="R433" s="996" t="s">
        <v>40</v>
      </c>
      <c r="S433" s="996" t="s">
        <v>40</v>
      </c>
      <c r="T433" s="1255" t="s">
        <v>40</v>
      </c>
    </row>
    <row r="434" spans="1:20" s="997" customFormat="1" ht="38.4" customHeight="1">
      <c r="A434" s="1529" t="s">
        <v>1159</v>
      </c>
      <c r="B434" s="1529"/>
      <c r="C434" s="1529"/>
      <c r="D434" s="1529"/>
      <c r="E434" s="1529"/>
      <c r="F434" s="1529"/>
      <c r="G434" s="1529"/>
      <c r="H434" s="1529"/>
      <c r="I434" s="1529"/>
      <c r="J434" s="1529"/>
      <c r="K434" s="1529"/>
      <c r="L434" s="1529"/>
      <c r="M434" s="1529"/>
      <c r="N434" s="1529"/>
      <c r="O434" s="1529"/>
      <c r="P434" s="1529"/>
      <c r="Q434" s="1529"/>
      <c r="R434" s="1529"/>
      <c r="S434" s="1529"/>
      <c r="T434" s="1529"/>
    </row>
    <row r="435" spans="1:20" s="997" customFormat="1" ht="38.4" customHeight="1">
      <c r="A435" s="1249"/>
      <c r="B435" s="1517" t="s">
        <v>42</v>
      </c>
      <c r="C435" s="1517"/>
      <c r="D435" s="1517"/>
      <c r="E435" s="1517"/>
      <c r="F435" s="1517"/>
      <c r="G435" s="1517"/>
      <c r="H435" s="985">
        <f>H436</f>
        <v>12962.5</v>
      </c>
      <c r="I435" s="985">
        <f t="shared" ref="I435:Q435" si="158">I436</f>
        <v>12809</v>
      </c>
      <c r="J435" s="985">
        <f t="shared" si="158"/>
        <v>12627.4</v>
      </c>
      <c r="K435" s="995">
        <f t="shared" si="158"/>
        <v>512</v>
      </c>
      <c r="L435" s="985">
        <f t="shared" si="158"/>
        <v>3200447</v>
      </c>
      <c r="M435" s="985">
        <f t="shared" si="158"/>
        <v>0</v>
      </c>
      <c r="N435" s="985">
        <f t="shared" si="158"/>
        <v>960136</v>
      </c>
      <c r="O435" s="985">
        <f t="shared" si="158"/>
        <v>2240311</v>
      </c>
      <c r="P435" s="985">
        <f t="shared" si="158"/>
        <v>0</v>
      </c>
      <c r="Q435" s="985">
        <f t="shared" si="158"/>
        <v>0</v>
      </c>
      <c r="R435" s="996" t="s">
        <v>40</v>
      </c>
      <c r="S435" s="996" t="s">
        <v>40</v>
      </c>
      <c r="T435" s="1255" t="s">
        <v>40</v>
      </c>
    </row>
    <row r="436" spans="1:20" s="2" customFormat="1" ht="33.75" customHeight="1">
      <c r="A436" s="1249"/>
      <c r="B436" s="1517" t="s">
        <v>2022</v>
      </c>
      <c r="C436" s="1517"/>
      <c r="D436" s="1517"/>
      <c r="E436" s="1517"/>
      <c r="F436" s="1517"/>
      <c r="G436" s="1517"/>
      <c r="H436" s="985">
        <f>SUM(H437:H452)</f>
        <v>12962.5</v>
      </c>
      <c r="I436" s="985">
        <f t="shared" ref="I436:Q436" si="159">SUM(I437:I452)</f>
        <v>12809</v>
      </c>
      <c r="J436" s="985">
        <f t="shared" si="159"/>
        <v>12627.4</v>
      </c>
      <c r="K436" s="995">
        <f t="shared" si="159"/>
        <v>512</v>
      </c>
      <c r="L436" s="985">
        <f t="shared" si="159"/>
        <v>3200447</v>
      </c>
      <c r="M436" s="985">
        <f t="shared" si="159"/>
        <v>0</v>
      </c>
      <c r="N436" s="985">
        <f t="shared" si="159"/>
        <v>960136</v>
      </c>
      <c r="O436" s="985">
        <f t="shared" si="159"/>
        <v>2240311</v>
      </c>
      <c r="P436" s="985">
        <f t="shared" si="159"/>
        <v>0</v>
      </c>
      <c r="Q436" s="985">
        <f t="shared" si="159"/>
        <v>0</v>
      </c>
      <c r="R436" s="1256" t="s">
        <v>40</v>
      </c>
      <c r="S436" s="1256" t="s">
        <v>40</v>
      </c>
      <c r="T436" s="1256" t="s">
        <v>40</v>
      </c>
    </row>
    <row r="437" spans="1:20" s="2" customFormat="1" ht="40.200000000000003" customHeight="1">
      <c r="A437" s="1046">
        <v>331</v>
      </c>
      <c r="B437" s="1409" t="s">
        <v>2349</v>
      </c>
      <c r="C437" s="1048">
        <v>1989</v>
      </c>
      <c r="D437" s="1124">
        <v>43435</v>
      </c>
      <c r="E437" s="1249" t="s">
        <v>218</v>
      </c>
      <c r="F437" s="1048">
        <v>5</v>
      </c>
      <c r="G437" s="1048">
        <v>6</v>
      </c>
      <c r="H437" s="985">
        <v>4131.5</v>
      </c>
      <c r="I437" s="985">
        <v>3994.5</v>
      </c>
      <c r="J437" s="1048">
        <v>3994.5</v>
      </c>
      <c r="K437" s="1077">
        <v>178</v>
      </c>
      <c r="L437" s="985">
        <v>96439</v>
      </c>
      <c r="M437" s="1125">
        <v>0</v>
      </c>
      <c r="N437" s="985">
        <v>28932</v>
      </c>
      <c r="O437" s="985">
        <v>67507</v>
      </c>
      <c r="P437" s="1125">
        <v>0</v>
      </c>
      <c r="Q437" s="985">
        <v>0</v>
      </c>
      <c r="R437" s="1078">
        <f>L437/I437</f>
        <v>24.142946551508324</v>
      </c>
      <c r="S437" s="1048">
        <v>2020</v>
      </c>
      <c r="T437" s="1126">
        <v>2020</v>
      </c>
    </row>
    <row r="438" spans="1:20" s="2" customFormat="1" ht="42.6" customHeight="1">
      <c r="A438" s="1046">
        <v>332</v>
      </c>
      <c r="B438" s="1409" t="s">
        <v>2348</v>
      </c>
      <c r="C438" s="1048">
        <v>1975</v>
      </c>
      <c r="D438" s="1124">
        <v>42705</v>
      </c>
      <c r="E438" s="1249" t="s">
        <v>218</v>
      </c>
      <c r="F438" s="1048">
        <v>2</v>
      </c>
      <c r="G438" s="1048">
        <v>2</v>
      </c>
      <c r="H438" s="985">
        <v>756.3</v>
      </c>
      <c r="I438" s="985">
        <v>738.7</v>
      </c>
      <c r="J438" s="1048">
        <v>738.7</v>
      </c>
      <c r="K438" s="1077">
        <v>31</v>
      </c>
      <c r="L438" s="985">
        <v>139050</v>
      </c>
      <c r="M438" s="1125">
        <v>0</v>
      </c>
      <c r="N438" s="985">
        <v>41715</v>
      </c>
      <c r="O438" s="985">
        <v>97335</v>
      </c>
      <c r="P438" s="1125">
        <v>0</v>
      </c>
      <c r="Q438" s="985">
        <v>0</v>
      </c>
      <c r="R438" s="1078">
        <f t="shared" ref="R438:R444" si="160">L438/I438</f>
        <v>188.23609042913225</v>
      </c>
      <c r="S438" s="1048">
        <v>2020</v>
      </c>
      <c r="T438" s="1126">
        <v>2020</v>
      </c>
    </row>
    <row r="439" spans="1:20" s="2" customFormat="1" ht="31.5" customHeight="1">
      <c r="A439" s="1046">
        <v>333</v>
      </c>
      <c r="B439" s="1409" t="s">
        <v>2337</v>
      </c>
      <c r="C439" s="1048">
        <v>1980</v>
      </c>
      <c r="D439" s="1124">
        <v>42705</v>
      </c>
      <c r="E439" s="1048" t="s">
        <v>220</v>
      </c>
      <c r="F439" s="1048">
        <v>2</v>
      </c>
      <c r="G439" s="1048">
        <v>2</v>
      </c>
      <c r="H439" s="985">
        <v>760.5</v>
      </c>
      <c r="I439" s="985">
        <v>742.9</v>
      </c>
      <c r="J439" s="1048">
        <v>742.9</v>
      </c>
      <c r="K439" s="1077">
        <v>22</v>
      </c>
      <c r="L439" s="985">
        <v>372218</v>
      </c>
      <c r="M439" s="1125">
        <v>0</v>
      </c>
      <c r="N439" s="985">
        <v>111665</v>
      </c>
      <c r="O439" s="985">
        <v>260553</v>
      </c>
      <c r="P439" s="1125">
        <v>0</v>
      </c>
      <c r="Q439" s="985">
        <v>0</v>
      </c>
      <c r="R439" s="1078">
        <f t="shared" si="160"/>
        <v>501.03378651231662</v>
      </c>
      <c r="S439" s="1048">
        <v>2020</v>
      </c>
      <c r="T439" s="1126">
        <v>2020</v>
      </c>
    </row>
    <row r="440" spans="1:20" s="2" customFormat="1" ht="34.5" customHeight="1">
      <c r="A440" s="1046">
        <v>334</v>
      </c>
      <c r="B440" s="1409" t="s">
        <v>2338</v>
      </c>
      <c r="C440" s="1048">
        <v>1973</v>
      </c>
      <c r="D440" s="1124">
        <v>42705</v>
      </c>
      <c r="E440" s="1048" t="s">
        <v>220</v>
      </c>
      <c r="F440" s="1048">
        <v>2</v>
      </c>
      <c r="G440" s="1048">
        <v>2</v>
      </c>
      <c r="H440" s="985">
        <v>534.29999999999995</v>
      </c>
      <c r="I440" s="985">
        <v>516.70000000000005</v>
      </c>
      <c r="J440" s="1048">
        <v>502</v>
      </c>
      <c r="K440" s="1077">
        <v>19</v>
      </c>
      <c r="L440" s="985">
        <v>193859</v>
      </c>
      <c r="M440" s="1125">
        <v>0</v>
      </c>
      <c r="N440" s="985">
        <v>58158</v>
      </c>
      <c r="O440" s="985">
        <v>135701</v>
      </c>
      <c r="P440" s="1125">
        <v>0</v>
      </c>
      <c r="Q440" s="985">
        <v>0</v>
      </c>
      <c r="R440" s="1078">
        <f t="shared" si="160"/>
        <v>375.18676214437772</v>
      </c>
      <c r="S440" s="1048">
        <v>2020</v>
      </c>
      <c r="T440" s="1126">
        <v>2020</v>
      </c>
    </row>
    <row r="441" spans="1:20" s="989" customFormat="1" ht="39" customHeight="1">
      <c r="A441" s="1046">
        <v>335</v>
      </c>
      <c r="B441" s="1409" t="s">
        <v>2340</v>
      </c>
      <c r="C441" s="1048">
        <v>1962</v>
      </c>
      <c r="D441" s="1124">
        <v>42705</v>
      </c>
      <c r="E441" s="1249" t="s">
        <v>218</v>
      </c>
      <c r="F441" s="1048">
        <v>2</v>
      </c>
      <c r="G441" s="1048">
        <v>1</v>
      </c>
      <c r="H441" s="985">
        <v>307.60000000000002</v>
      </c>
      <c r="I441" s="985">
        <v>298.8</v>
      </c>
      <c r="J441" s="1048">
        <v>298.8</v>
      </c>
      <c r="K441" s="1077">
        <v>19</v>
      </c>
      <c r="L441" s="985">
        <v>60663</v>
      </c>
      <c r="M441" s="1125">
        <v>0</v>
      </c>
      <c r="N441" s="985">
        <v>18199</v>
      </c>
      <c r="O441" s="985">
        <v>42464</v>
      </c>
      <c r="P441" s="1125">
        <v>0</v>
      </c>
      <c r="Q441" s="985">
        <v>0</v>
      </c>
      <c r="R441" s="1078">
        <f t="shared" si="160"/>
        <v>203.02208835341364</v>
      </c>
      <c r="S441" s="1048">
        <v>2020</v>
      </c>
      <c r="T441" s="1126">
        <v>2020</v>
      </c>
    </row>
    <row r="442" spans="1:20" s="989" customFormat="1" ht="42" customHeight="1">
      <c r="A442" s="1046">
        <v>336</v>
      </c>
      <c r="B442" s="1409" t="s">
        <v>2339</v>
      </c>
      <c r="C442" s="1048">
        <v>1961</v>
      </c>
      <c r="D442" s="1124">
        <v>42705</v>
      </c>
      <c r="E442" s="1249" t="s">
        <v>218</v>
      </c>
      <c r="F442" s="1048">
        <v>2</v>
      </c>
      <c r="G442" s="1048">
        <v>1</v>
      </c>
      <c r="H442" s="985">
        <v>294.3</v>
      </c>
      <c r="I442" s="985">
        <v>285.5</v>
      </c>
      <c r="J442" s="1048">
        <v>285.5</v>
      </c>
      <c r="K442" s="1077">
        <v>21</v>
      </c>
      <c r="L442" s="985">
        <v>129580</v>
      </c>
      <c r="M442" s="1125">
        <v>0</v>
      </c>
      <c r="N442" s="985">
        <v>38874</v>
      </c>
      <c r="O442" s="985">
        <v>90706</v>
      </c>
      <c r="P442" s="1125">
        <v>0</v>
      </c>
      <c r="Q442" s="985">
        <v>0</v>
      </c>
      <c r="R442" s="1078">
        <f t="shared" si="160"/>
        <v>453.87040280210158</v>
      </c>
      <c r="S442" s="1048">
        <v>2020</v>
      </c>
      <c r="T442" s="1126">
        <v>2020</v>
      </c>
    </row>
    <row r="443" spans="1:20" s="989" customFormat="1" ht="42" customHeight="1">
      <c r="A443" s="1046">
        <v>337</v>
      </c>
      <c r="B443" s="1409" t="s">
        <v>2341</v>
      </c>
      <c r="C443" s="1048">
        <v>1974</v>
      </c>
      <c r="D443" s="1124">
        <v>42705</v>
      </c>
      <c r="E443" s="1048" t="s">
        <v>219</v>
      </c>
      <c r="F443" s="1048">
        <v>2</v>
      </c>
      <c r="G443" s="1048">
        <v>2</v>
      </c>
      <c r="H443" s="985">
        <v>753.3</v>
      </c>
      <c r="I443" s="985">
        <v>735.7</v>
      </c>
      <c r="J443" s="1048">
        <v>735.7</v>
      </c>
      <c r="K443" s="1077">
        <v>26</v>
      </c>
      <c r="L443" s="985">
        <v>432006</v>
      </c>
      <c r="M443" s="1125">
        <v>0</v>
      </c>
      <c r="N443" s="985">
        <v>129602</v>
      </c>
      <c r="O443" s="985">
        <v>302404</v>
      </c>
      <c r="P443" s="1125">
        <v>0</v>
      </c>
      <c r="Q443" s="985">
        <v>0</v>
      </c>
      <c r="R443" s="1078">
        <f t="shared" si="160"/>
        <v>587.20402337909468</v>
      </c>
      <c r="S443" s="1048">
        <v>2020</v>
      </c>
      <c r="T443" s="1126">
        <v>2020</v>
      </c>
    </row>
    <row r="444" spans="1:20" s="2" customFormat="1" ht="42" customHeight="1">
      <c r="A444" s="1046">
        <v>338</v>
      </c>
      <c r="B444" s="1409" t="s">
        <v>2342</v>
      </c>
      <c r="C444" s="1048">
        <v>1972</v>
      </c>
      <c r="D444" s="1124">
        <v>42705</v>
      </c>
      <c r="E444" s="1249" t="s">
        <v>218</v>
      </c>
      <c r="F444" s="1048">
        <v>2</v>
      </c>
      <c r="G444" s="1048">
        <v>2</v>
      </c>
      <c r="H444" s="985" t="s">
        <v>1237</v>
      </c>
      <c r="I444" s="985">
        <v>499.6</v>
      </c>
      <c r="J444" s="1048">
        <v>499.6</v>
      </c>
      <c r="K444" s="1077">
        <v>27</v>
      </c>
      <c r="L444" s="985">
        <v>301726</v>
      </c>
      <c r="M444" s="1125">
        <v>0</v>
      </c>
      <c r="N444" s="985">
        <v>90518</v>
      </c>
      <c r="O444" s="985">
        <v>211208</v>
      </c>
      <c r="P444" s="1125">
        <v>0</v>
      </c>
      <c r="Q444" s="985">
        <v>0</v>
      </c>
      <c r="R444" s="1078">
        <f t="shared" si="160"/>
        <v>603.93514811849479</v>
      </c>
      <c r="S444" s="1048">
        <v>2020</v>
      </c>
      <c r="T444" s="1126">
        <v>2020</v>
      </c>
    </row>
    <row r="445" spans="1:20" s="997" customFormat="1" ht="39.6" customHeight="1">
      <c r="A445" s="1046">
        <v>339</v>
      </c>
      <c r="B445" s="1409" t="s">
        <v>2343</v>
      </c>
      <c r="C445" s="1048">
        <v>1975</v>
      </c>
      <c r="D445" s="1124">
        <v>42705</v>
      </c>
      <c r="E445" s="1249" t="s">
        <v>218</v>
      </c>
      <c r="F445" s="1048">
        <v>2</v>
      </c>
      <c r="G445" s="1048">
        <v>2</v>
      </c>
      <c r="H445" s="985">
        <v>774.5</v>
      </c>
      <c r="I445" s="985">
        <v>716.2</v>
      </c>
      <c r="J445" s="1048">
        <v>716.2</v>
      </c>
      <c r="K445" s="1077">
        <v>23</v>
      </c>
      <c r="L445" s="985">
        <v>162090</v>
      </c>
      <c r="M445" s="1125">
        <v>0</v>
      </c>
      <c r="N445" s="985">
        <v>48627</v>
      </c>
      <c r="O445" s="985">
        <v>113463</v>
      </c>
      <c r="P445" s="1125">
        <v>0</v>
      </c>
      <c r="Q445" s="985">
        <v>0</v>
      </c>
      <c r="R445" s="1078">
        <f>L445/I445</f>
        <v>226.31946383691704</v>
      </c>
      <c r="S445" s="1048">
        <v>2020</v>
      </c>
      <c r="T445" s="1048">
        <v>2020</v>
      </c>
    </row>
    <row r="446" spans="1:20" s="997" customFormat="1" ht="40.799999999999997" customHeight="1">
      <c r="A446" s="1046">
        <v>340</v>
      </c>
      <c r="B446" s="1409" t="s">
        <v>2344</v>
      </c>
      <c r="C446" s="1048">
        <v>1969</v>
      </c>
      <c r="D446" s="1124">
        <v>43800</v>
      </c>
      <c r="E446" s="1249" t="s">
        <v>218</v>
      </c>
      <c r="F446" s="1048">
        <v>2</v>
      </c>
      <c r="G446" s="1048">
        <v>2</v>
      </c>
      <c r="H446" s="985">
        <v>524.70000000000005</v>
      </c>
      <c r="I446" s="985">
        <v>473.9</v>
      </c>
      <c r="J446" s="1048">
        <v>437.3</v>
      </c>
      <c r="K446" s="1077">
        <v>18</v>
      </c>
      <c r="L446" s="985">
        <v>162090</v>
      </c>
      <c r="M446" s="1125">
        <v>0</v>
      </c>
      <c r="N446" s="985">
        <v>48627</v>
      </c>
      <c r="O446" s="985">
        <v>113463</v>
      </c>
      <c r="P446" s="1125">
        <v>0</v>
      </c>
      <c r="Q446" s="985">
        <v>0</v>
      </c>
      <c r="R446" s="1078">
        <f t="shared" ref="R446:R452" si="161">L446/I446</f>
        <v>342.03418442709432</v>
      </c>
      <c r="S446" s="1048">
        <v>2020</v>
      </c>
      <c r="T446" s="1048">
        <v>2020</v>
      </c>
    </row>
    <row r="447" spans="1:20" s="997" customFormat="1" ht="39.6" customHeight="1">
      <c r="A447" s="1046">
        <v>341</v>
      </c>
      <c r="B447" s="1409" t="s">
        <v>2345</v>
      </c>
      <c r="C447" s="1048">
        <v>1973</v>
      </c>
      <c r="D447" s="1124">
        <v>43070</v>
      </c>
      <c r="E447" s="1249" t="s">
        <v>218</v>
      </c>
      <c r="F447" s="1048">
        <v>2</v>
      </c>
      <c r="G447" s="1048">
        <v>2</v>
      </c>
      <c r="H447" s="985">
        <v>772.5</v>
      </c>
      <c r="I447" s="985">
        <v>713.3</v>
      </c>
      <c r="J447" s="1048">
        <v>668.6</v>
      </c>
      <c r="K447" s="1077">
        <v>19</v>
      </c>
      <c r="L447" s="985">
        <v>245114</v>
      </c>
      <c r="M447" s="1125">
        <v>0</v>
      </c>
      <c r="N447" s="985">
        <v>73534</v>
      </c>
      <c r="O447" s="985">
        <v>171580</v>
      </c>
      <c r="P447" s="1125">
        <v>0</v>
      </c>
      <c r="Q447" s="985">
        <v>0</v>
      </c>
      <c r="R447" s="1078">
        <f t="shared" si="161"/>
        <v>343.6338146642367</v>
      </c>
      <c r="S447" s="1048">
        <v>2020</v>
      </c>
      <c r="T447" s="1048">
        <v>2020</v>
      </c>
    </row>
    <row r="448" spans="1:20" s="997" customFormat="1" ht="40.799999999999997" customHeight="1">
      <c r="A448" s="1046">
        <v>342</v>
      </c>
      <c r="B448" s="1409" t="s">
        <v>2346</v>
      </c>
      <c r="C448" s="1048">
        <v>1974</v>
      </c>
      <c r="D448" s="1124">
        <v>43070</v>
      </c>
      <c r="E448" s="1249" t="s">
        <v>218</v>
      </c>
      <c r="F448" s="1048">
        <v>2</v>
      </c>
      <c r="G448" s="1048">
        <v>2</v>
      </c>
      <c r="H448" s="985">
        <v>765</v>
      </c>
      <c r="I448" s="985">
        <v>707.5</v>
      </c>
      <c r="J448" s="1048">
        <v>707.5</v>
      </c>
      <c r="K448" s="1077">
        <v>20</v>
      </c>
      <c r="L448" s="985">
        <v>162090</v>
      </c>
      <c r="M448" s="1125">
        <v>0</v>
      </c>
      <c r="N448" s="985">
        <v>48627</v>
      </c>
      <c r="O448" s="985">
        <v>113463</v>
      </c>
      <c r="P448" s="1125">
        <v>0</v>
      </c>
      <c r="Q448" s="985">
        <v>0</v>
      </c>
      <c r="R448" s="1078">
        <f t="shared" si="161"/>
        <v>229.10247349823322</v>
      </c>
      <c r="S448" s="1048">
        <v>2020</v>
      </c>
      <c r="T448" s="1048">
        <v>2020</v>
      </c>
    </row>
    <row r="449" spans="1:20" s="1127" customFormat="1" ht="39.6" customHeight="1">
      <c r="A449" s="1046">
        <v>343</v>
      </c>
      <c r="B449" s="1409" t="s">
        <v>2347</v>
      </c>
      <c r="C449" s="1048">
        <v>1969</v>
      </c>
      <c r="D449" s="1124">
        <v>43800</v>
      </c>
      <c r="E449" s="1249" t="s">
        <v>218</v>
      </c>
      <c r="F449" s="1048">
        <v>2</v>
      </c>
      <c r="G449" s="1048">
        <v>2</v>
      </c>
      <c r="H449" s="985">
        <v>520.79999999999995</v>
      </c>
      <c r="I449" s="985">
        <v>477.6</v>
      </c>
      <c r="J449" s="1048">
        <v>392</v>
      </c>
      <c r="K449" s="1077">
        <v>17</v>
      </c>
      <c r="L449" s="985">
        <v>158909</v>
      </c>
      <c r="M449" s="1125">
        <v>0</v>
      </c>
      <c r="N449" s="985">
        <v>47673</v>
      </c>
      <c r="O449" s="985">
        <v>111236</v>
      </c>
      <c r="P449" s="1125">
        <v>0</v>
      </c>
      <c r="Q449" s="985">
        <v>0</v>
      </c>
      <c r="R449" s="1078">
        <f t="shared" si="161"/>
        <v>332.72403685092127</v>
      </c>
      <c r="S449" s="1048">
        <v>2020</v>
      </c>
      <c r="T449" s="1048">
        <v>2020</v>
      </c>
    </row>
    <row r="450" spans="1:20" s="1127" customFormat="1" ht="40.200000000000003" customHeight="1">
      <c r="A450" s="1046">
        <v>344</v>
      </c>
      <c r="B450" s="1409" t="s">
        <v>2350</v>
      </c>
      <c r="C450" s="1048">
        <v>1980</v>
      </c>
      <c r="D450" s="1124">
        <v>43435</v>
      </c>
      <c r="E450" s="1249" t="s">
        <v>218</v>
      </c>
      <c r="F450" s="1048">
        <v>2</v>
      </c>
      <c r="G450" s="1048">
        <v>3</v>
      </c>
      <c r="H450" s="985">
        <v>1055</v>
      </c>
      <c r="I450" s="985">
        <v>957.4</v>
      </c>
      <c r="J450" s="1048">
        <v>957.4</v>
      </c>
      <c r="K450" s="1077">
        <v>42</v>
      </c>
      <c r="L450" s="985">
        <v>307139</v>
      </c>
      <c r="M450" s="1125">
        <v>0</v>
      </c>
      <c r="N450" s="985">
        <v>92142</v>
      </c>
      <c r="O450" s="985">
        <v>214997</v>
      </c>
      <c r="P450" s="1125">
        <v>0</v>
      </c>
      <c r="Q450" s="985">
        <v>0</v>
      </c>
      <c r="R450" s="1078">
        <f t="shared" si="161"/>
        <v>320.80530603718404</v>
      </c>
      <c r="S450" s="1048">
        <v>2020</v>
      </c>
      <c r="T450" s="1048">
        <v>2020</v>
      </c>
    </row>
    <row r="451" spans="1:20" s="2" customFormat="1" ht="40.200000000000003" customHeight="1">
      <c r="A451" s="1046">
        <v>345</v>
      </c>
      <c r="B451" s="1409" t="s">
        <v>2351</v>
      </c>
      <c r="C451" s="1048">
        <v>1981</v>
      </c>
      <c r="D451" s="1124">
        <v>43070</v>
      </c>
      <c r="E451" s="1249" t="s">
        <v>218</v>
      </c>
      <c r="F451" s="1048">
        <v>2</v>
      </c>
      <c r="G451" s="1048">
        <v>1</v>
      </c>
      <c r="H451" s="985">
        <v>371.8</v>
      </c>
      <c r="I451" s="985">
        <v>346</v>
      </c>
      <c r="J451" s="1048">
        <v>346</v>
      </c>
      <c r="K451" s="1077">
        <v>11</v>
      </c>
      <c r="L451" s="985">
        <v>118565</v>
      </c>
      <c r="M451" s="1125">
        <v>0</v>
      </c>
      <c r="N451" s="985">
        <v>35570</v>
      </c>
      <c r="O451" s="985">
        <v>82995</v>
      </c>
      <c r="P451" s="1125">
        <v>0</v>
      </c>
      <c r="Q451" s="985">
        <v>0</v>
      </c>
      <c r="R451" s="1078">
        <f t="shared" si="161"/>
        <v>342.67341040462429</v>
      </c>
      <c r="S451" s="1048">
        <v>2020</v>
      </c>
      <c r="T451" s="1048">
        <v>2020</v>
      </c>
    </row>
    <row r="452" spans="1:20" s="2" customFormat="1" ht="42.6" customHeight="1">
      <c r="A452" s="1046">
        <v>346</v>
      </c>
      <c r="B452" s="1409" t="s">
        <v>2352</v>
      </c>
      <c r="C452" s="1048">
        <v>1991</v>
      </c>
      <c r="D452" s="1124">
        <v>43070</v>
      </c>
      <c r="E452" s="1249" t="s">
        <v>218</v>
      </c>
      <c r="F452" s="1048">
        <v>2</v>
      </c>
      <c r="G452" s="1048">
        <v>2</v>
      </c>
      <c r="H452" s="985">
        <v>640.4</v>
      </c>
      <c r="I452" s="985">
        <v>604.70000000000005</v>
      </c>
      <c r="J452" s="1048">
        <v>604.70000000000005</v>
      </c>
      <c r="K452" s="1077">
        <v>19</v>
      </c>
      <c r="L452" s="985">
        <v>158909</v>
      </c>
      <c r="M452" s="1125">
        <v>0</v>
      </c>
      <c r="N452" s="985">
        <v>47673</v>
      </c>
      <c r="O452" s="985">
        <v>111236</v>
      </c>
      <c r="P452" s="1125">
        <v>0</v>
      </c>
      <c r="Q452" s="985">
        <v>0</v>
      </c>
      <c r="R452" s="1078">
        <f t="shared" si="161"/>
        <v>262.78981313047791</v>
      </c>
      <c r="S452" s="1048">
        <v>2020</v>
      </c>
      <c r="T452" s="1048">
        <v>2020</v>
      </c>
    </row>
    <row r="453" spans="1:20" s="2" customFormat="1" ht="34.5" customHeight="1">
      <c r="A453" s="1529" t="s">
        <v>2385</v>
      </c>
      <c r="B453" s="1513"/>
      <c r="C453" s="1513"/>
      <c r="D453" s="1513"/>
      <c r="E453" s="1513"/>
      <c r="F453" s="1513"/>
      <c r="G453" s="1513"/>
      <c r="H453" s="1513"/>
      <c r="I453" s="1513"/>
      <c r="J453" s="1513"/>
      <c r="K453" s="1513"/>
      <c r="L453" s="1513"/>
      <c r="M453" s="1513"/>
      <c r="N453" s="1513"/>
      <c r="O453" s="1513"/>
      <c r="P453" s="1513"/>
      <c r="Q453" s="1513"/>
      <c r="R453" s="1513"/>
      <c r="S453" s="1513"/>
      <c r="T453" s="1513"/>
    </row>
    <row r="454" spans="1:20" s="2" customFormat="1" ht="34.5" customHeight="1">
      <c r="A454" s="1529" t="s">
        <v>1116</v>
      </c>
      <c r="B454" s="1529"/>
      <c r="C454" s="1529"/>
      <c r="D454" s="1529"/>
      <c r="E454" s="1529"/>
      <c r="F454" s="1529"/>
      <c r="G454" s="1529"/>
      <c r="H454" s="1529"/>
      <c r="I454" s="1529"/>
      <c r="J454" s="1529"/>
      <c r="K454" s="1529"/>
      <c r="L454" s="1529"/>
      <c r="M454" s="1529"/>
      <c r="N454" s="1529"/>
      <c r="O454" s="1529"/>
      <c r="P454" s="1529"/>
      <c r="Q454" s="1529"/>
      <c r="R454" s="1529"/>
      <c r="S454" s="1529"/>
      <c r="T454" s="1529"/>
    </row>
    <row r="455" spans="1:20" s="2" customFormat="1" ht="34.5" customHeight="1">
      <c r="A455" s="1249"/>
      <c r="B455" s="1517" t="s">
        <v>42</v>
      </c>
      <c r="C455" s="1517"/>
      <c r="D455" s="1517"/>
      <c r="E455" s="1517"/>
      <c r="F455" s="1517"/>
      <c r="G455" s="1517"/>
      <c r="H455" s="998">
        <f t="shared" ref="H455:Q455" si="162">H456+H513+H532+H534+H542+H557+H563+H566+H574+H577+H585+H588+H591+H594+H603+H609+H617+H622+H643+H646+H649+H657+H663+H667+H676+H678+H681+H684+H688+H697+H700+H703+H708</f>
        <v>422304.21000000008</v>
      </c>
      <c r="I455" s="998">
        <f t="shared" si="162"/>
        <v>378956.03999999992</v>
      </c>
      <c r="J455" s="998">
        <f t="shared" si="162"/>
        <v>327842.77999999991</v>
      </c>
      <c r="K455" s="986">
        <f t="shared" si="162"/>
        <v>14860</v>
      </c>
      <c r="L455" s="998">
        <f t="shared" si="162"/>
        <v>764121845</v>
      </c>
      <c r="M455" s="998">
        <f t="shared" si="162"/>
        <v>0</v>
      </c>
      <c r="N455" s="998">
        <f t="shared" si="162"/>
        <v>0</v>
      </c>
      <c r="O455" s="998">
        <f t="shared" si="162"/>
        <v>764121845</v>
      </c>
      <c r="P455" s="998">
        <f t="shared" si="162"/>
        <v>0</v>
      </c>
      <c r="Q455" s="998">
        <f t="shared" si="162"/>
        <v>0</v>
      </c>
      <c r="R455" s="996" t="s">
        <v>40</v>
      </c>
      <c r="S455" s="996" t="s">
        <v>40</v>
      </c>
      <c r="T455" s="996" t="s">
        <v>40</v>
      </c>
    </row>
    <row r="456" spans="1:20" s="2" customFormat="1" ht="34.5" customHeight="1">
      <c r="A456" s="1249"/>
      <c r="B456" s="1517" t="s">
        <v>1103</v>
      </c>
      <c r="C456" s="1517"/>
      <c r="D456" s="1517"/>
      <c r="E456" s="1517"/>
      <c r="F456" s="1517"/>
      <c r="G456" s="1517"/>
      <c r="H456" s="985">
        <f t="shared" ref="H456:Q456" si="163">SUM(H457:H512)</f>
        <v>129353.20000000001</v>
      </c>
      <c r="I456" s="985">
        <f t="shared" si="163"/>
        <v>118388.2</v>
      </c>
      <c r="J456" s="985">
        <f t="shared" si="163"/>
        <v>106904.34000000004</v>
      </c>
      <c r="K456" s="995">
        <f t="shared" si="163"/>
        <v>5249</v>
      </c>
      <c r="L456" s="985">
        <f t="shared" si="163"/>
        <v>345069784</v>
      </c>
      <c r="M456" s="985">
        <f t="shared" si="163"/>
        <v>0</v>
      </c>
      <c r="N456" s="985">
        <f t="shared" si="163"/>
        <v>0</v>
      </c>
      <c r="O456" s="985">
        <f t="shared" si="163"/>
        <v>345069784</v>
      </c>
      <c r="P456" s="985">
        <f t="shared" si="163"/>
        <v>0</v>
      </c>
      <c r="Q456" s="985">
        <f t="shared" si="163"/>
        <v>0</v>
      </c>
      <c r="R456" s="996" t="s">
        <v>40</v>
      </c>
      <c r="S456" s="996" t="s">
        <v>40</v>
      </c>
      <c r="T456" s="996" t="s">
        <v>40</v>
      </c>
    </row>
    <row r="457" spans="1:20" s="2" customFormat="1" ht="40.200000000000003" customHeight="1">
      <c r="A457" s="1249">
        <v>1</v>
      </c>
      <c r="B457" s="1025" t="s">
        <v>1820</v>
      </c>
      <c r="C457" s="1026">
        <v>1960</v>
      </c>
      <c r="D457" s="1026"/>
      <c r="E457" s="1249" t="s">
        <v>218</v>
      </c>
      <c r="F457" s="1026">
        <v>2</v>
      </c>
      <c r="G457" s="1026">
        <v>1</v>
      </c>
      <c r="H457" s="1057">
        <v>304.60000000000002</v>
      </c>
      <c r="I457" s="1057">
        <v>281.89999999999998</v>
      </c>
      <c r="J457" s="1057">
        <v>173.1</v>
      </c>
      <c r="K457" s="1036">
        <v>11</v>
      </c>
      <c r="L457" s="1128">
        <v>1911448</v>
      </c>
      <c r="M457" s="1128">
        <v>0</v>
      </c>
      <c r="N457" s="1128">
        <v>0</v>
      </c>
      <c r="O457" s="1128">
        <v>1911448</v>
      </c>
      <c r="P457" s="1128">
        <v>0</v>
      </c>
      <c r="Q457" s="1128">
        <v>0</v>
      </c>
      <c r="R457" s="1057">
        <f t="shared" ref="R457:R512" si="164">L457/I457</f>
        <v>6780.5888612983335</v>
      </c>
      <c r="S457" s="1249">
        <v>2021</v>
      </c>
      <c r="T457" s="1129" t="s">
        <v>1273</v>
      </c>
    </row>
    <row r="458" spans="1:20" s="2" customFormat="1" ht="39.6" customHeight="1">
      <c r="A458" s="1249">
        <v>2</v>
      </c>
      <c r="B458" s="1025" t="s">
        <v>1821</v>
      </c>
      <c r="C458" s="1249">
        <v>1959</v>
      </c>
      <c r="D458" s="1249"/>
      <c r="E458" s="1249" t="s">
        <v>218</v>
      </c>
      <c r="F458" s="1249">
        <v>4</v>
      </c>
      <c r="G458" s="1249">
        <v>4</v>
      </c>
      <c r="H458" s="1057">
        <v>2725.6</v>
      </c>
      <c r="I458" s="1057">
        <v>2500.5</v>
      </c>
      <c r="J458" s="1057">
        <v>2344.8000000000002</v>
      </c>
      <c r="K458" s="986">
        <v>154</v>
      </c>
      <c r="L458" s="1128">
        <v>3800009</v>
      </c>
      <c r="M458" s="1128">
        <v>0</v>
      </c>
      <c r="N458" s="1128">
        <v>0</v>
      </c>
      <c r="O458" s="1128">
        <v>3800009</v>
      </c>
      <c r="P458" s="1128">
        <v>0</v>
      </c>
      <c r="Q458" s="1128">
        <v>0</v>
      </c>
      <c r="R458" s="1057">
        <f t="shared" si="164"/>
        <v>1519.6996600679863</v>
      </c>
      <c r="S458" s="1249">
        <v>2021</v>
      </c>
      <c r="T458" s="1129" t="s">
        <v>1273</v>
      </c>
    </row>
    <row r="459" spans="1:20" s="2" customFormat="1" ht="39.6" customHeight="1">
      <c r="A459" s="1249">
        <v>3</v>
      </c>
      <c r="B459" s="1025" t="s">
        <v>292</v>
      </c>
      <c r="C459" s="1026">
        <v>1961</v>
      </c>
      <c r="D459" s="1026"/>
      <c r="E459" s="1026" t="s">
        <v>823</v>
      </c>
      <c r="F459" s="1026">
        <v>2</v>
      </c>
      <c r="G459" s="1026">
        <v>3</v>
      </c>
      <c r="H459" s="1057">
        <v>1452.7</v>
      </c>
      <c r="I459" s="1057">
        <v>1395.9</v>
      </c>
      <c r="J459" s="1057">
        <f>I459-184.8</f>
        <v>1211.1000000000001</v>
      </c>
      <c r="K459" s="1036">
        <v>78</v>
      </c>
      <c r="L459" s="1128">
        <v>5793390</v>
      </c>
      <c r="M459" s="1128">
        <v>0</v>
      </c>
      <c r="N459" s="1128">
        <v>0</v>
      </c>
      <c r="O459" s="1128">
        <v>5793390</v>
      </c>
      <c r="P459" s="1128">
        <v>0</v>
      </c>
      <c r="Q459" s="1128">
        <v>0</v>
      </c>
      <c r="R459" s="1057">
        <f t="shared" si="164"/>
        <v>4150.2901353965181</v>
      </c>
      <c r="S459" s="1249">
        <v>2021</v>
      </c>
      <c r="T459" s="1129" t="s">
        <v>1273</v>
      </c>
    </row>
    <row r="460" spans="1:20" s="997" customFormat="1" ht="43.8" customHeight="1">
      <c r="A460" s="1249">
        <v>4</v>
      </c>
      <c r="B460" s="1025" t="s">
        <v>1822</v>
      </c>
      <c r="C460" s="1249">
        <v>1955</v>
      </c>
      <c r="D460" s="1249"/>
      <c r="E460" s="1249" t="s">
        <v>218</v>
      </c>
      <c r="F460" s="1249">
        <v>2</v>
      </c>
      <c r="G460" s="1249">
        <v>2</v>
      </c>
      <c r="H460" s="1057">
        <v>933.4</v>
      </c>
      <c r="I460" s="1057">
        <v>864.5</v>
      </c>
      <c r="J460" s="1057">
        <v>720.4</v>
      </c>
      <c r="K460" s="986">
        <v>24</v>
      </c>
      <c r="L460" s="1128">
        <v>4332444</v>
      </c>
      <c r="M460" s="1128">
        <v>0</v>
      </c>
      <c r="N460" s="1128">
        <v>0</v>
      </c>
      <c r="O460" s="1128">
        <v>4332444</v>
      </c>
      <c r="P460" s="1128">
        <v>0</v>
      </c>
      <c r="Q460" s="1128">
        <v>0</v>
      </c>
      <c r="R460" s="1057">
        <f t="shared" si="164"/>
        <v>5011.5026026604974</v>
      </c>
      <c r="S460" s="1249">
        <v>2021</v>
      </c>
      <c r="T460" s="1129" t="s">
        <v>1273</v>
      </c>
    </row>
    <row r="461" spans="1:20" s="997" customFormat="1" ht="40.799999999999997" customHeight="1">
      <c r="A461" s="1249">
        <v>5</v>
      </c>
      <c r="B461" s="1025" t="s">
        <v>1823</v>
      </c>
      <c r="C461" s="1249">
        <v>1961</v>
      </c>
      <c r="D461" s="1249"/>
      <c r="E461" s="1249" t="s">
        <v>218</v>
      </c>
      <c r="F461" s="1249">
        <v>4</v>
      </c>
      <c r="G461" s="1249">
        <v>2</v>
      </c>
      <c r="H461" s="1057">
        <v>1360</v>
      </c>
      <c r="I461" s="1057">
        <v>1265.2</v>
      </c>
      <c r="J461" s="1057">
        <v>1104.8</v>
      </c>
      <c r="K461" s="986">
        <v>47</v>
      </c>
      <c r="L461" s="1128">
        <v>3062894</v>
      </c>
      <c r="M461" s="1128">
        <v>0</v>
      </c>
      <c r="N461" s="1128">
        <v>0</v>
      </c>
      <c r="O461" s="1128">
        <v>3062894</v>
      </c>
      <c r="P461" s="1128">
        <v>0</v>
      </c>
      <c r="Q461" s="1128">
        <v>0</v>
      </c>
      <c r="R461" s="1057">
        <f t="shared" si="164"/>
        <v>2420.8773316471702</v>
      </c>
      <c r="S461" s="1249">
        <v>2021</v>
      </c>
      <c r="T461" s="1129" t="s">
        <v>1273</v>
      </c>
    </row>
    <row r="462" spans="1:20" s="997" customFormat="1" ht="39.6" customHeight="1">
      <c r="A462" s="1249">
        <v>6</v>
      </c>
      <c r="B462" s="1025" t="s">
        <v>1824</v>
      </c>
      <c r="C462" s="1249">
        <v>1982</v>
      </c>
      <c r="D462" s="1249"/>
      <c r="E462" s="1249" t="s">
        <v>218</v>
      </c>
      <c r="F462" s="1249">
        <v>9</v>
      </c>
      <c r="G462" s="1249">
        <v>2</v>
      </c>
      <c r="H462" s="1057">
        <v>5162.1000000000004</v>
      </c>
      <c r="I462" s="1057">
        <v>4586.8</v>
      </c>
      <c r="J462" s="1057">
        <v>4389.7</v>
      </c>
      <c r="K462" s="986">
        <v>221</v>
      </c>
      <c r="L462" s="1128">
        <v>8729014</v>
      </c>
      <c r="M462" s="1128">
        <v>0</v>
      </c>
      <c r="N462" s="1128">
        <v>0</v>
      </c>
      <c r="O462" s="1128">
        <v>8729014</v>
      </c>
      <c r="P462" s="1128">
        <v>0</v>
      </c>
      <c r="Q462" s="1128">
        <v>0</v>
      </c>
      <c r="R462" s="1057">
        <f t="shared" si="164"/>
        <v>1903.0727304438824</v>
      </c>
      <c r="S462" s="1249">
        <v>2021</v>
      </c>
      <c r="T462" s="1129" t="s">
        <v>1273</v>
      </c>
    </row>
    <row r="463" spans="1:20" s="997" customFormat="1" ht="36" customHeight="1">
      <c r="A463" s="1249">
        <v>7</v>
      </c>
      <c r="B463" s="1025" t="s">
        <v>1825</v>
      </c>
      <c r="C463" s="1249">
        <v>1950</v>
      </c>
      <c r="D463" s="1249"/>
      <c r="E463" s="1249" t="s">
        <v>823</v>
      </c>
      <c r="F463" s="1249">
        <v>2</v>
      </c>
      <c r="G463" s="1249">
        <v>2</v>
      </c>
      <c r="H463" s="1057">
        <v>794.3</v>
      </c>
      <c r="I463" s="1057">
        <v>722.3</v>
      </c>
      <c r="J463" s="1057">
        <v>651.29999999999995</v>
      </c>
      <c r="K463" s="986">
        <v>34</v>
      </c>
      <c r="L463" s="1128">
        <v>3370042</v>
      </c>
      <c r="M463" s="1128">
        <v>0</v>
      </c>
      <c r="N463" s="1128">
        <v>0</v>
      </c>
      <c r="O463" s="1128">
        <v>3370042</v>
      </c>
      <c r="P463" s="1128">
        <v>0</v>
      </c>
      <c r="Q463" s="1128">
        <v>0</v>
      </c>
      <c r="R463" s="1057">
        <f t="shared" si="164"/>
        <v>4665.7095389727265</v>
      </c>
      <c r="S463" s="1249">
        <v>2021</v>
      </c>
      <c r="T463" s="1129" t="s">
        <v>1273</v>
      </c>
    </row>
    <row r="464" spans="1:20" s="997" customFormat="1" ht="40.799999999999997" customHeight="1">
      <c r="A464" s="1249">
        <v>8</v>
      </c>
      <c r="B464" s="1025" t="s">
        <v>1826</v>
      </c>
      <c r="C464" s="1249">
        <v>1961</v>
      </c>
      <c r="D464" s="1130"/>
      <c r="E464" s="1249" t="s">
        <v>218</v>
      </c>
      <c r="F464" s="1249">
        <v>4</v>
      </c>
      <c r="G464" s="1249">
        <v>3</v>
      </c>
      <c r="H464" s="1057">
        <v>2187.5</v>
      </c>
      <c r="I464" s="1057">
        <v>2040.3</v>
      </c>
      <c r="J464" s="1057">
        <v>856.1</v>
      </c>
      <c r="K464" s="986">
        <v>97</v>
      </c>
      <c r="L464" s="1128">
        <v>4939316</v>
      </c>
      <c r="M464" s="1128">
        <v>0</v>
      </c>
      <c r="N464" s="1128">
        <v>0</v>
      </c>
      <c r="O464" s="1128">
        <v>4939316</v>
      </c>
      <c r="P464" s="1128">
        <v>0</v>
      </c>
      <c r="Q464" s="1128">
        <v>0</v>
      </c>
      <c r="R464" s="1057">
        <f t="shared" si="164"/>
        <v>2420.8773219624563</v>
      </c>
      <c r="S464" s="1249">
        <v>2021</v>
      </c>
      <c r="T464" s="1129" t="s">
        <v>1273</v>
      </c>
    </row>
    <row r="465" spans="1:182" s="997" customFormat="1" ht="37.799999999999997" customHeight="1">
      <c r="A465" s="1249">
        <v>9</v>
      </c>
      <c r="B465" s="1025" t="s">
        <v>1827</v>
      </c>
      <c r="C465" s="1249">
        <v>1959</v>
      </c>
      <c r="D465" s="1249"/>
      <c r="E465" s="1249" t="s">
        <v>218</v>
      </c>
      <c r="F465" s="1249">
        <v>4</v>
      </c>
      <c r="G465" s="1249">
        <v>4</v>
      </c>
      <c r="H465" s="1057">
        <v>3092.6</v>
      </c>
      <c r="I465" s="1057">
        <v>2791.8</v>
      </c>
      <c r="J465" s="1057">
        <v>1883.62</v>
      </c>
      <c r="K465" s="986">
        <v>87</v>
      </c>
      <c r="L465" s="1128">
        <v>2207770</v>
      </c>
      <c r="M465" s="1128">
        <v>0</v>
      </c>
      <c r="N465" s="1128">
        <v>0</v>
      </c>
      <c r="O465" s="1128">
        <v>2207770</v>
      </c>
      <c r="P465" s="1128">
        <v>0</v>
      </c>
      <c r="Q465" s="1128">
        <v>0</v>
      </c>
      <c r="R465" s="1057">
        <f t="shared" si="164"/>
        <v>790.80521527330029</v>
      </c>
      <c r="S465" s="1249">
        <v>2021</v>
      </c>
      <c r="T465" s="1129" t="s">
        <v>1273</v>
      </c>
    </row>
    <row r="466" spans="1:182" s="997" customFormat="1" ht="39.6" customHeight="1">
      <c r="A466" s="1249">
        <v>10</v>
      </c>
      <c r="B466" s="1025" t="s">
        <v>1828</v>
      </c>
      <c r="C466" s="1249">
        <v>1955</v>
      </c>
      <c r="D466" s="1249"/>
      <c r="E466" s="1249" t="s">
        <v>218</v>
      </c>
      <c r="F466" s="1249">
        <v>2</v>
      </c>
      <c r="G466" s="1249">
        <v>2</v>
      </c>
      <c r="H466" s="1057">
        <v>512</v>
      </c>
      <c r="I466" s="1057">
        <v>468.9</v>
      </c>
      <c r="J466" s="1057">
        <v>413.7</v>
      </c>
      <c r="K466" s="986">
        <v>29</v>
      </c>
      <c r="L466" s="1128">
        <v>975050</v>
      </c>
      <c r="M466" s="1128">
        <v>0</v>
      </c>
      <c r="N466" s="1128">
        <v>0</v>
      </c>
      <c r="O466" s="1128">
        <v>975050</v>
      </c>
      <c r="P466" s="1128">
        <v>0</v>
      </c>
      <c r="Q466" s="1128">
        <v>0</v>
      </c>
      <c r="R466" s="1057">
        <f t="shared" si="164"/>
        <v>2079.4412454681169</v>
      </c>
      <c r="S466" s="1249">
        <v>2021</v>
      </c>
      <c r="T466" s="1129" t="s">
        <v>1273</v>
      </c>
    </row>
    <row r="467" spans="1:182" s="1005" customFormat="1" ht="39.6" customHeight="1">
      <c r="A467" s="1249">
        <v>11</v>
      </c>
      <c r="B467" s="1025" t="s">
        <v>1829</v>
      </c>
      <c r="C467" s="1249">
        <v>1962</v>
      </c>
      <c r="D467" s="1249"/>
      <c r="E467" s="1249" t="s">
        <v>218</v>
      </c>
      <c r="F467" s="1249">
        <v>2</v>
      </c>
      <c r="G467" s="1249">
        <v>2</v>
      </c>
      <c r="H467" s="1057">
        <v>708.6</v>
      </c>
      <c r="I467" s="1057">
        <v>648.29999999999995</v>
      </c>
      <c r="J467" s="1057">
        <v>615.1</v>
      </c>
      <c r="K467" s="986">
        <v>18</v>
      </c>
      <c r="L467" s="1128">
        <v>1727509</v>
      </c>
      <c r="M467" s="1128">
        <v>0</v>
      </c>
      <c r="N467" s="1128">
        <v>0</v>
      </c>
      <c r="O467" s="1128">
        <v>1727509</v>
      </c>
      <c r="P467" s="1128">
        <v>0</v>
      </c>
      <c r="Q467" s="1128">
        <v>0</v>
      </c>
      <c r="R467" s="1057">
        <f t="shared" si="164"/>
        <v>2664.6753046429126</v>
      </c>
      <c r="S467" s="1249">
        <v>2021</v>
      </c>
      <c r="T467" s="1129" t="s">
        <v>1273</v>
      </c>
    </row>
    <row r="468" spans="1:182" s="1006" customFormat="1" ht="38.4" customHeight="1">
      <c r="A468" s="1249">
        <v>12</v>
      </c>
      <c r="B468" s="1025" t="s">
        <v>1830</v>
      </c>
      <c r="C468" s="1026">
        <v>1995</v>
      </c>
      <c r="D468" s="1026"/>
      <c r="E468" s="1026" t="s">
        <v>219</v>
      </c>
      <c r="F468" s="1026">
        <v>5</v>
      </c>
      <c r="G468" s="1026">
        <v>3</v>
      </c>
      <c r="H468" s="1057">
        <v>2526.8000000000002</v>
      </c>
      <c r="I468" s="1057">
        <v>2314.1999999999998</v>
      </c>
      <c r="J468" s="1057">
        <v>2115.6</v>
      </c>
      <c r="K468" s="1036">
        <v>91</v>
      </c>
      <c r="L468" s="1128">
        <v>2302244</v>
      </c>
      <c r="M468" s="1128">
        <v>0</v>
      </c>
      <c r="N468" s="1128">
        <v>0</v>
      </c>
      <c r="O468" s="1128">
        <v>2302244</v>
      </c>
      <c r="P468" s="1128">
        <v>0</v>
      </c>
      <c r="Q468" s="1128">
        <v>0</v>
      </c>
      <c r="R468" s="1057">
        <f t="shared" si="164"/>
        <v>994.83363581367223</v>
      </c>
      <c r="S468" s="1249">
        <v>2021</v>
      </c>
      <c r="T468" s="1129" t="s">
        <v>1273</v>
      </c>
    </row>
    <row r="469" spans="1:182" s="1015" customFormat="1" ht="44.4" customHeight="1">
      <c r="A469" s="1249">
        <v>13</v>
      </c>
      <c r="B469" s="1025" t="s">
        <v>1831</v>
      </c>
      <c r="C469" s="1249">
        <v>1973</v>
      </c>
      <c r="D469" s="1249"/>
      <c r="E469" s="1249" t="s">
        <v>218</v>
      </c>
      <c r="F469" s="1249">
        <v>5</v>
      </c>
      <c r="G469" s="1249">
        <v>1</v>
      </c>
      <c r="H469" s="1057">
        <v>2502.3000000000002</v>
      </c>
      <c r="I469" s="1057">
        <v>1954.5</v>
      </c>
      <c r="J469" s="1057">
        <f>I469-194.2</f>
        <v>1760.3</v>
      </c>
      <c r="K469" s="986">
        <v>143</v>
      </c>
      <c r="L469" s="1128">
        <v>3343122</v>
      </c>
      <c r="M469" s="1128">
        <v>0</v>
      </c>
      <c r="N469" s="1128">
        <v>0</v>
      </c>
      <c r="O469" s="1128">
        <v>3343122</v>
      </c>
      <c r="P469" s="1128">
        <v>0</v>
      </c>
      <c r="Q469" s="1128">
        <v>0</v>
      </c>
      <c r="R469" s="1057">
        <f t="shared" si="164"/>
        <v>1710.4742900997699</v>
      </c>
      <c r="S469" s="1249">
        <v>2021</v>
      </c>
      <c r="T469" s="1129" t="s">
        <v>1273</v>
      </c>
    </row>
    <row r="470" spans="1:182" s="1015" customFormat="1" ht="44.4" customHeight="1">
      <c r="A470" s="1249">
        <v>14</v>
      </c>
      <c r="B470" s="1025" t="s">
        <v>1832</v>
      </c>
      <c r="C470" s="1249">
        <v>1965</v>
      </c>
      <c r="D470" s="1249"/>
      <c r="E470" s="1249" t="s">
        <v>218</v>
      </c>
      <c r="F470" s="1249">
        <v>5</v>
      </c>
      <c r="G470" s="1249">
        <v>4</v>
      </c>
      <c r="H470" s="1057">
        <v>3549.1</v>
      </c>
      <c r="I470" s="1057">
        <v>3242.1</v>
      </c>
      <c r="J470" s="1057">
        <v>3019.8</v>
      </c>
      <c r="K470" s="986">
        <v>153</v>
      </c>
      <c r="L470" s="1128">
        <v>11865039</v>
      </c>
      <c r="M470" s="1128">
        <v>0</v>
      </c>
      <c r="N470" s="1128">
        <v>0</v>
      </c>
      <c r="O470" s="1128">
        <v>11865039</v>
      </c>
      <c r="P470" s="1128">
        <v>0</v>
      </c>
      <c r="Q470" s="1128">
        <v>0</v>
      </c>
      <c r="R470" s="1057">
        <f t="shared" si="164"/>
        <v>3659.6770611640604</v>
      </c>
      <c r="S470" s="1249">
        <v>2021</v>
      </c>
      <c r="T470" s="1129" t="s">
        <v>1273</v>
      </c>
    </row>
    <row r="471" spans="1:182" s="1015" customFormat="1" ht="44.4" customHeight="1">
      <c r="A471" s="1249">
        <v>15</v>
      </c>
      <c r="B471" s="1025" t="s">
        <v>1833</v>
      </c>
      <c r="C471" s="1249">
        <v>1962</v>
      </c>
      <c r="D471" s="1249"/>
      <c r="E471" s="1249" t="s">
        <v>218</v>
      </c>
      <c r="F471" s="1249">
        <v>4</v>
      </c>
      <c r="G471" s="1249">
        <v>2</v>
      </c>
      <c r="H471" s="1057">
        <v>1385</v>
      </c>
      <c r="I471" s="1057">
        <v>1269.2</v>
      </c>
      <c r="J471" s="1057">
        <v>1141.0999999999999</v>
      </c>
      <c r="K471" s="986">
        <v>52</v>
      </c>
      <c r="L471" s="1128">
        <v>1905334</v>
      </c>
      <c r="M471" s="1128">
        <v>0</v>
      </c>
      <c r="N471" s="1128">
        <v>0</v>
      </c>
      <c r="O471" s="1128">
        <v>1905334</v>
      </c>
      <c r="P471" s="1128">
        <v>0</v>
      </c>
      <c r="Q471" s="1128">
        <v>0</v>
      </c>
      <c r="R471" s="1057">
        <f t="shared" si="164"/>
        <v>1501.2086353608572</v>
      </c>
      <c r="S471" s="1249">
        <v>2021</v>
      </c>
      <c r="T471" s="1129" t="s">
        <v>1273</v>
      </c>
    </row>
    <row r="472" spans="1:182" s="1015" customFormat="1" ht="44.4" customHeight="1">
      <c r="A472" s="1249">
        <v>16</v>
      </c>
      <c r="B472" s="1025" t="s">
        <v>1834</v>
      </c>
      <c r="C472" s="1249">
        <v>1959</v>
      </c>
      <c r="D472" s="1249"/>
      <c r="E472" s="1249" t="s">
        <v>218</v>
      </c>
      <c r="F472" s="1249">
        <v>2</v>
      </c>
      <c r="G472" s="1249">
        <v>1</v>
      </c>
      <c r="H472" s="1057">
        <v>496.9</v>
      </c>
      <c r="I472" s="1057">
        <v>452.2</v>
      </c>
      <c r="J472" s="1057">
        <v>421.9</v>
      </c>
      <c r="K472" s="986">
        <v>32</v>
      </c>
      <c r="L472" s="1128">
        <v>1410585</v>
      </c>
      <c r="M472" s="1128">
        <v>0</v>
      </c>
      <c r="N472" s="1128">
        <v>0</v>
      </c>
      <c r="O472" s="1128">
        <v>1410585</v>
      </c>
      <c r="P472" s="1128">
        <v>0</v>
      </c>
      <c r="Q472" s="1128">
        <v>0</v>
      </c>
      <c r="R472" s="1057">
        <f t="shared" si="164"/>
        <v>3119.3830163644407</v>
      </c>
      <c r="S472" s="1249">
        <v>2021</v>
      </c>
      <c r="T472" s="1129" t="s">
        <v>1273</v>
      </c>
    </row>
    <row r="473" spans="1:182" s="1007" customFormat="1" ht="36" customHeight="1">
      <c r="A473" s="1249">
        <v>17</v>
      </c>
      <c r="B473" s="1025" t="s">
        <v>1835</v>
      </c>
      <c r="C473" s="1249">
        <v>1969</v>
      </c>
      <c r="D473" s="1249"/>
      <c r="E473" s="1249" t="s">
        <v>219</v>
      </c>
      <c r="F473" s="1249">
        <v>5</v>
      </c>
      <c r="G473" s="1249">
        <v>8</v>
      </c>
      <c r="H473" s="1057">
        <v>6276</v>
      </c>
      <c r="I473" s="1057">
        <v>5727.5</v>
      </c>
      <c r="J473" s="1057">
        <v>5251.47</v>
      </c>
      <c r="K473" s="986">
        <v>259</v>
      </c>
      <c r="L473" s="1128">
        <v>18458139</v>
      </c>
      <c r="M473" s="1128">
        <v>0</v>
      </c>
      <c r="N473" s="1128">
        <v>0</v>
      </c>
      <c r="O473" s="1128">
        <v>18458139</v>
      </c>
      <c r="P473" s="1128">
        <v>0</v>
      </c>
      <c r="Q473" s="1128">
        <v>0</v>
      </c>
      <c r="R473" s="1057">
        <f t="shared" si="164"/>
        <v>3222.7217808817109</v>
      </c>
      <c r="S473" s="1249">
        <v>2021</v>
      </c>
      <c r="T473" s="1129" t="s">
        <v>1273</v>
      </c>
    </row>
    <row r="474" spans="1:182" s="1015" customFormat="1" ht="39.6" customHeight="1">
      <c r="A474" s="1249">
        <v>18</v>
      </c>
      <c r="B474" s="1025" t="s">
        <v>1836</v>
      </c>
      <c r="C474" s="1249">
        <v>1960</v>
      </c>
      <c r="D474" s="1249"/>
      <c r="E474" s="1249" t="s">
        <v>218</v>
      </c>
      <c r="F474" s="1249">
        <v>3</v>
      </c>
      <c r="G474" s="1249">
        <v>2</v>
      </c>
      <c r="H474" s="1057">
        <v>1035.3</v>
      </c>
      <c r="I474" s="1057">
        <v>963.2</v>
      </c>
      <c r="J474" s="1057">
        <v>963.2</v>
      </c>
      <c r="K474" s="986">
        <v>36</v>
      </c>
      <c r="L474" s="1128">
        <v>4360359</v>
      </c>
      <c r="M474" s="1128">
        <v>0</v>
      </c>
      <c r="N474" s="1128">
        <v>0</v>
      </c>
      <c r="O474" s="1128">
        <v>4360359</v>
      </c>
      <c r="P474" s="1128">
        <v>0</v>
      </c>
      <c r="Q474" s="1128">
        <v>0</v>
      </c>
      <c r="R474" s="1057">
        <f t="shared" si="164"/>
        <v>4526.9507890365448</v>
      </c>
      <c r="S474" s="1249">
        <v>2021</v>
      </c>
      <c r="T474" s="1129" t="s">
        <v>1273</v>
      </c>
      <c r="U474" s="1131"/>
      <c r="V474" s="1131"/>
      <c r="W474" s="1131"/>
      <c r="X474" s="1131"/>
      <c r="Y474" s="1131"/>
      <c r="Z474" s="1131"/>
      <c r="AA474" s="1131"/>
      <c r="AB474" s="1131"/>
      <c r="AC474" s="1131"/>
      <c r="AD474" s="1131"/>
      <c r="AE474" s="1131"/>
      <c r="AF474" s="1131"/>
      <c r="AG474" s="1131"/>
      <c r="AH474" s="1131"/>
      <c r="AI474" s="1131"/>
      <c r="AJ474" s="1131"/>
      <c r="AK474" s="1131"/>
      <c r="AL474" s="1131"/>
      <c r="AM474" s="1131"/>
      <c r="AN474" s="1131"/>
      <c r="AO474" s="1131"/>
      <c r="AP474" s="1131"/>
      <c r="AQ474" s="1131"/>
      <c r="AR474" s="1131"/>
      <c r="AS474" s="1131"/>
      <c r="AT474" s="1131"/>
      <c r="AU474" s="1131"/>
      <c r="AV474" s="1131"/>
      <c r="AW474" s="1131"/>
      <c r="AX474" s="1131"/>
      <c r="AY474" s="1131"/>
      <c r="AZ474" s="1131"/>
      <c r="BA474" s="1131"/>
      <c r="BB474" s="1131"/>
      <c r="BC474" s="1131"/>
      <c r="BD474" s="1131"/>
      <c r="BE474" s="1131"/>
      <c r="BF474" s="1131"/>
      <c r="BG474" s="1131"/>
      <c r="BH474" s="1131"/>
      <c r="BI474" s="1131"/>
      <c r="BJ474" s="1131"/>
      <c r="BK474" s="1131"/>
      <c r="BL474" s="1131"/>
      <c r="BM474" s="1131"/>
      <c r="BN474" s="1131"/>
      <c r="BO474" s="1131"/>
      <c r="BP474" s="1131"/>
      <c r="BQ474" s="1131"/>
      <c r="BR474" s="1131"/>
      <c r="BS474" s="1131"/>
      <c r="BT474" s="1131"/>
      <c r="BU474" s="1131"/>
      <c r="BV474" s="1131"/>
      <c r="BW474" s="1131"/>
      <c r="BX474" s="1131"/>
      <c r="BY474" s="1131"/>
      <c r="BZ474" s="1131"/>
      <c r="CA474" s="1131"/>
      <c r="CB474" s="1131"/>
      <c r="CC474" s="1131"/>
      <c r="CD474" s="1131"/>
      <c r="CE474" s="1131"/>
      <c r="CF474" s="1131"/>
      <c r="CG474" s="1131"/>
      <c r="CH474" s="1131"/>
      <c r="CI474" s="1131"/>
      <c r="CJ474" s="1131"/>
      <c r="CK474" s="1131"/>
      <c r="CL474" s="1131"/>
      <c r="CM474" s="1131"/>
      <c r="CN474" s="1131"/>
      <c r="CO474" s="1131"/>
      <c r="CP474" s="1131"/>
      <c r="CQ474" s="1131"/>
      <c r="CR474" s="1131"/>
      <c r="CS474" s="1131"/>
      <c r="CT474" s="1131"/>
      <c r="CU474" s="1131"/>
      <c r="CV474" s="1131"/>
      <c r="CW474" s="1131"/>
      <c r="CX474" s="1131"/>
      <c r="CY474" s="1131"/>
      <c r="CZ474" s="1131"/>
      <c r="DA474" s="1131"/>
      <c r="DB474" s="1131"/>
      <c r="DC474" s="1131"/>
      <c r="DD474" s="1131"/>
      <c r="DE474" s="1131"/>
      <c r="DF474" s="1131"/>
      <c r="DG474" s="1131"/>
      <c r="DH474" s="1131"/>
      <c r="DI474" s="1131"/>
      <c r="DJ474" s="1131"/>
      <c r="DK474" s="1131"/>
      <c r="DL474" s="1131"/>
      <c r="DM474" s="1131"/>
      <c r="DN474" s="1131"/>
      <c r="DO474" s="1131"/>
      <c r="DP474" s="1131"/>
      <c r="DQ474" s="1131"/>
      <c r="DR474" s="1131"/>
      <c r="DS474" s="1131"/>
      <c r="DT474" s="1131"/>
      <c r="DU474" s="1131"/>
      <c r="DV474" s="1131"/>
      <c r="DW474" s="1131"/>
      <c r="DX474" s="1131"/>
      <c r="DY474" s="1131"/>
      <c r="DZ474" s="1131"/>
      <c r="EA474" s="1131"/>
      <c r="EB474" s="1131"/>
      <c r="EC474" s="1131"/>
      <c r="ED474" s="1131"/>
      <c r="EE474" s="1131"/>
      <c r="EF474" s="1131"/>
      <c r="EG474" s="1131"/>
      <c r="EH474" s="1131"/>
      <c r="EI474" s="1131"/>
      <c r="EJ474" s="1131"/>
      <c r="EK474" s="1131"/>
      <c r="EL474" s="1131"/>
      <c r="EM474" s="1131"/>
      <c r="EN474" s="1131"/>
      <c r="EO474" s="1131"/>
      <c r="EP474" s="1131"/>
      <c r="EQ474" s="1131"/>
      <c r="ER474" s="1131"/>
      <c r="ES474" s="1131"/>
      <c r="ET474" s="1131"/>
      <c r="EU474" s="1131"/>
      <c r="EV474" s="1131"/>
      <c r="EW474" s="1131"/>
      <c r="EX474" s="1131"/>
      <c r="EY474" s="1131"/>
      <c r="EZ474" s="1131"/>
      <c r="FA474" s="1131"/>
      <c r="FB474" s="1131"/>
      <c r="FC474" s="1131"/>
      <c r="FD474" s="1131"/>
      <c r="FE474" s="1131"/>
      <c r="FF474" s="1131"/>
      <c r="FG474" s="1131"/>
      <c r="FH474" s="1131"/>
      <c r="FI474" s="1131"/>
      <c r="FJ474" s="1131"/>
      <c r="FK474" s="1131"/>
      <c r="FL474" s="1131"/>
      <c r="FM474" s="1131"/>
      <c r="FN474" s="1131"/>
      <c r="FO474" s="1131"/>
      <c r="FP474" s="1131"/>
      <c r="FQ474" s="1131"/>
      <c r="FR474" s="1131"/>
      <c r="FS474" s="1131"/>
      <c r="FT474" s="1131"/>
      <c r="FU474" s="1131"/>
      <c r="FV474" s="1131"/>
      <c r="FW474" s="1131"/>
      <c r="FX474" s="1131"/>
      <c r="FY474" s="1131"/>
      <c r="FZ474" s="1131"/>
    </row>
    <row r="475" spans="1:182" s="1015" customFormat="1" ht="39.6" customHeight="1">
      <c r="A475" s="1249">
        <v>19</v>
      </c>
      <c r="B475" s="1025" t="s">
        <v>1837</v>
      </c>
      <c r="C475" s="1249">
        <v>1971</v>
      </c>
      <c r="D475" s="1249"/>
      <c r="E475" s="1249" t="s">
        <v>218</v>
      </c>
      <c r="F475" s="1249">
        <v>5</v>
      </c>
      <c r="G475" s="1249">
        <v>4</v>
      </c>
      <c r="H475" s="1057">
        <v>3419</v>
      </c>
      <c r="I475" s="1057">
        <v>3133.4</v>
      </c>
      <c r="J475" s="1057">
        <v>2798.7</v>
      </c>
      <c r="K475" s="986">
        <v>178</v>
      </c>
      <c r="L475" s="1128">
        <v>5781783</v>
      </c>
      <c r="M475" s="1128">
        <v>0</v>
      </c>
      <c r="N475" s="1128">
        <v>0</v>
      </c>
      <c r="O475" s="1128">
        <v>5781783</v>
      </c>
      <c r="P475" s="1128">
        <v>0</v>
      </c>
      <c r="Q475" s="1128">
        <v>0</v>
      </c>
      <c r="R475" s="1057">
        <f t="shared" si="164"/>
        <v>1845.2106338163017</v>
      </c>
      <c r="S475" s="1249">
        <v>2021</v>
      </c>
      <c r="T475" s="1129" t="s">
        <v>1273</v>
      </c>
    </row>
    <row r="476" spans="1:182" s="1015" customFormat="1" ht="34.799999999999997" customHeight="1">
      <c r="A476" s="1249">
        <v>20</v>
      </c>
      <c r="B476" s="1025" t="s">
        <v>1838</v>
      </c>
      <c r="C476" s="1249">
        <v>1968</v>
      </c>
      <c r="D476" s="1249"/>
      <c r="E476" s="1249" t="s">
        <v>219</v>
      </c>
      <c r="F476" s="1249">
        <v>5</v>
      </c>
      <c r="G476" s="1249">
        <v>4</v>
      </c>
      <c r="H476" s="1057">
        <v>2989</v>
      </c>
      <c r="I476" s="1057">
        <v>2698.6</v>
      </c>
      <c r="J476" s="1057">
        <v>2567.1999999999998</v>
      </c>
      <c r="K476" s="986">
        <v>143</v>
      </c>
      <c r="L476" s="1128">
        <v>5396300</v>
      </c>
      <c r="M476" s="1128">
        <v>0</v>
      </c>
      <c r="N476" s="1128">
        <v>0</v>
      </c>
      <c r="O476" s="1128">
        <v>5396300</v>
      </c>
      <c r="P476" s="1128">
        <v>0</v>
      </c>
      <c r="Q476" s="1128">
        <v>0</v>
      </c>
      <c r="R476" s="1057">
        <f t="shared" si="164"/>
        <v>1999.6664937374935</v>
      </c>
      <c r="S476" s="1249">
        <v>2021</v>
      </c>
      <c r="T476" s="1129" t="s">
        <v>1273</v>
      </c>
    </row>
    <row r="477" spans="1:182" s="1015" customFormat="1" ht="34.799999999999997" customHeight="1">
      <c r="A477" s="1249">
        <v>21</v>
      </c>
      <c r="B477" s="1025" t="s">
        <v>1839</v>
      </c>
      <c r="C477" s="1249">
        <v>1967</v>
      </c>
      <c r="D477" s="1249"/>
      <c r="E477" s="1249" t="s">
        <v>219</v>
      </c>
      <c r="F477" s="1249">
        <v>5</v>
      </c>
      <c r="G477" s="1249">
        <v>8</v>
      </c>
      <c r="H477" s="1057">
        <v>6296.9</v>
      </c>
      <c r="I477" s="1057">
        <v>5716.6</v>
      </c>
      <c r="J477" s="1057">
        <v>5480</v>
      </c>
      <c r="K477" s="986">
        <v>263</v>
      </c>
      <c r="L477" s="1128">
        <v>18611758</v>
      </c>
      <c r="M477" s="1128">
        <v>0</v>
      </c>
      <c r="N477" s="1128">
        <v>0</v>
      </c>
      <c r="O477" s="1128">
        <v>18611758</v>
      </c>
      <c r="P477" s="1128">
        <v>0</v>
      </c>
      <c r="Q477" s="1128">
        <v>0</v>
      </c>
      <c r="R477" s="1057">
        <f t="shared" si="164"/>
        <v>3255.7390756743516</v>
      </c>
      <c r="S477" s="1249">
        <v>2021</v>
      </c>
      <c r="T477" s="1129" t="s">
        <v>1273</v>
      </c>
    </row>
    <row r="478" spans="1:182" s="1015" customFormat="1" ht="34.799999999999997" customHeight="1">
      <c r="A478" s="1249">
        <v>22</v>
      </c>
      <c r="B478" s="1025" t="s">
        <v>1840</v>
      </c>
      <c r="C478" s="1249">
        <v>1976</v>
      </c>
      <c r="D478" s="1249"/>
      <c r="E478" s="1249" t="s">
        <v>219</v>
      </c>
      <c r="F478" s="1249">
        <v>5</v>
      </c>
      <c r="G478" s="1249">
        <v>6</v>
      </c>
      <c r="H478" s="1057">
        <v>5031.3999999999996</v>
      </c>
      <c r="I478" s="1057">
        <v>4520.1000000000004</v>
      </c>
      <c r="J478" s="1057">
        <v>4341</v>
      </c>
      <c r="K478" s="986">
        <v>191</v>
      </c>
      <c r="L478" s="1128">
        <v>9804606</v>
      </c>
      <c r="M478" s="1128">
        <v>0</v>
      </c>
      <c r="N478" s="1128">
        <v>0</v>
      </c>
      <c r="O478" s="1128">
        <v>9804606</v>
      </c>
      <c r="P478" s="1128">
        <v>0</v>
      </c>
      <c r="Q478" s="1128">
        <v>0</v>
      </c>
      <c r="R478" s="1057">
        <f t="shared" si="164"/>
        <v>2169.1126302515431</v>
      </c>
      <c r="S478" s="1249">
        <v>2021</v>
      </c>
      <c r="T478" s="1129" t="s">
        <v>1273</v>
      </c>
    </row>
    <row r="479" spans="1:182" s="1015" customFormat="1" ht="39.6" customHeight="1">
      <c r="A479" s="1249">
        <v>23</v>
      </c>
      <c r="B479" s="1025" t="s">
        <v>1841</v>
      </c>
      <c r="C479" s="1249">
        <v>1951</v>
      </c>
      <c r="D479" s="1248"/>
      <c r="E479" s="1249" t="s">
        <v>218</v>
      </c>
      <c r="F479" s="1249">
        <v>2</v>
      </c>
      <c r="G479" s="1249">
        <v>2</v>
      </c>
      <c r="H479" s="1057">
        <v>766.6</v>
      </c>
      <c r="I479" s="1057">
        <v>691.3</v>
      </c>
      <c r="J479" s="1057">
        <v>656.7</v>
      </c>
      <c r="K479" s="986">
        <v>37</v>
      </c>
      <c r="L479" s="1128">
        <v>3487152</v>
      </c>
      <c r="M479" s="1128">
        <v>0</v>
      </c>
      <c r="N479" s="1128">
        <v>0</v>
      </c>
      <c r="O479" s="1128">
        <v>3487152</v>
      </c>
      <c r="P479" s="1128">
        <v>0</v>
      </c>
      <c r="Q479" s="1128">
        <v>0</v>
      </c>
      <c r="R479" s="1057">
        <f t="shared" si="164"/>
        <v>5044.3396499349055</v>
      </c>
      <c r="S479" s="1249">
        <v>2021</v>
      </c>
      <c r="T479" s="1129" t="s">
        <v>1273</v>
      </c>
    </row>
    <row r="480" spans="1:182" s="1015" customFormat="1" ht="34.799999999999997" customHeight="1">
      <c r="A480" s="1249">
        <v>24</v>
      </c>
      <c r="B480" s="1025" t="s">
        <v>1842</v>
      </c>
      <c r="C480" s="1249">
        <v>1965</v>
      </c>
      <c r="D480" s="1249"/>
      <c r="E480" s="1249" t="s">
        <v>219</v>
      </c>
      <c r="F480" s="1249">
        <v>5</v>
      </c>
      <c r="G480" s="1249">
        <v>4</v>
      </c>
      <c r="H480" s="1057">
        <v>3829.5</v>
      </c>
      <c r="I480" s="1057">
        <v>3553.7</v>
      </c>
      <c r="J480" s="1057">
        <v>3422.7</v>
      </c>
      <c r="K480" s="986">
        <v>182</v>
      </c>
      <c r="L480" s="1128">
        <v>12448294</v>
      </c>
      <c r="M480" s="1128">
        <v>0</v>
      </c>
      <c r="N480" s="1128">
        <v>0</v>
      </c>
      <c r="O480" s="1128">
        <v>12448294</v>
      </c>
      <c r="P480" s="1128">
        <v>0</v>
      </c>
      <c r="Q480" s="1128">
        <v>0</v>
      </c>
      <c r="R480" s="1057">
        <f t="shared" si="164"/>
        <v>3502.910769057602</v>
      </c>
      <c r="S480" s="1249">
        <v>2021</v>
      </c>
      <c r="T480" s="1129" t="s">
        <v>1273</v>
      </c>
    </row>
    <row r="481" spans="1:20" s="997" customFormat="1" ht="42" customHeight="1">
      <c r="A481" s="1249">
        <v>25</v>
      </c>
      <c r="B481" s="1248" t="s">
        <v>257</v>
      </c>
      <c r="C481" s="1249">
        <v>1959</v>
      </c>
      <c r="D481" s="1249"/>
      <c r="E481" s="1249" t="s">
        <v>218</v>
      </c>
      <c r="F481" s="1249">
        <v>2</v>
      </c>
      <c r="G481" s="1249">
        <v>2</v>
      </c>
      <c r="H481" s="1057">
        <v>688.5</v>
      </c>
      <c r="I481" s="1057">
        <v>639.6</v>
      </c>
      <c r="J481" s="1057">
        <v>639.6</v>
      </c>
      <c r="K481" s="986">
        <v>34</v>
      </c>
      <c r="L481" s="1128">
        <v>2070699</v>
      </c>
      <c r="M481" s="1128">
        <v>0</v>
      </c>
      <c r="N481" s="1128">
        <v>0</v>
      </c>
      <c r="O481" s="1128">
        <v>2070699</v>
      </c>
      <c r="P481" s="1128">
        <v>0</v>
      </c>
      <c r="Q481" s="1128">
        <v>0</v>
      </c>
      <c r="R481" s="1057">
        <f t="shared" si="164"/>
        <v>3237.4906191369605</v>
      </c>
      <c r="S481" s="1249">
        <v>2021</v>
      </c>
      <c r="T481" s="1129" t="s">
        <v>1273</v>
      </c>
    </row>
    <row r="482" spans="1:20" s="997" customFormat="1" ht="42.6" customHeight="1">
      <c r="A482" s="1249">
        <v>26</v>
      </c>
      <c r="B482" s="1025" t="s">
        <v>1843</v>
      </c>
      <c r="C482" s="1249">
        <v>1959</v>
      </c>
      <c r="D482" s="1249"/>
      <c r="E482" s="1249" t="s">
        <v>218</v>
      </c>
      <c r="F482" s="1249">
        <v>2</v>
      </c>
      <c r="G482" s="1249">
        <v>2</v>
      </c>
      <c r="H482" s="1057">
        <v>675.3</v>
      </c>
      <c r="I482" s="1057">
        <v>628.20000000000005</v>
      </c>
      <c r="J482" s="1057">
        <v>585.79999999999995</v>
      </c>
      <c r="K482" s="986">
        <v>32</v>
      </c>
      <c r="L482" s="1128">
        <v>2137862</v>
      </c>
      <c r="M482" s="1128">
        <v>0</v>
      </c>
      <c r="N482" s="1128">
        <v>0</v>
      </c>
      <c r="O482" s="1128">
        <v>2137862</v>
      </c>
      <c r="P482" s="1128">
        <v>0</v>
      </c>
      <c r="Q482" s="1128">
        <v>0</v>
      </c>
      <c r="R482" s="1057">
        <f t="shared" si="164"/>
        <v>3403.1550461636421</v>
      </c>
      <c r="S482" s="1249">
        <v>2021</v>
      </c>
      <c r="T482" s="1129" t="s">
        <v>1273</v>
      </c>
    </row>
    <row r="483" spans="1:20" s="1015" customFormat="1" ht="44.4" customHeight="1">
      <c r="A483" s="1249">
        <v>27</v>
      </c>
      <c r="B483" s="1025" t="s">
        <v>1844</v>
      </c>
      <c r="C483" s="1249">
        <v>1974</v>
      </c>
      <c r="D483" s="1249"/>
      <c r="E483" s="1249" t="s">
        <v>218</v>
      </c>
      <c r="F483" s="1249">
        <v>2</v>
      </c>
      <c r="G483" s="1249">
        <v>2</v>
      </c>
      <c r="H483" s="1057">
        <v>800.9</v>
      </c>
      <c r="I483" s="1057">
        <v>741.8</v>
      </c>
      <c r="J483" s="1057">
        <v>445.1</v>
      </c>
      <c r="K483" s="986">
        <v>43</v>
      </c>
      <c r="L483" s="1128">
        <v>1709415</v>
      </c>
      <c r="M483" s="1128">
        <v>0</v>
      </c>
      <c r="N483" s="1128">
        <v>0</v>
      </c>
      <c r="O483" s="1128">
        <v>1709415</v>
      </c>
      <c r="P483" s="1128">
        <v>0</v>
      </c>
      <c r="Q483" s="1128">
        <v>0</v>
      </c>
      <c r="R483" s="1057">
        <f t="shared" si="164"/>
        <v>2304.4149366406041</v>
      </c>
      <c r="S483" s="1249">
        <v>2021</v>
      </c>
      <c r="T483" s="1129" t="s">
        <v>1273</v>
      </c>
    </row>
    <row r="484" spans="1:20" s="1015" customFormat="1" ht="39" customHeight="1">
      <c r="A484" s="1249">
        <v>28</v>
      </c>
      <c r="B484" s="1025" t="s">
        <v>1845</v>
      </c>
      <c r="C484" s="1249">
        <v>1971</v>
      </c>
      <c r="D484" s="1249"/>
      <c r="E484" s="1249" t="s">
        <v>219</v>
      </c>
      <c r="F484" s="1249">
        <v>5</v>
      </c>
      <c r="G484" s="1249">
        <v>4</v>
      </c>
      <c r="H484" s="1057">
        <v>2727.6</v>
      </c>
      <c r="I484" s="1057">
        <v>2699.8</v>
      </c>
      <c r="J484" s="1057">
        <v>2594.6</v>
      </c>
      <c r="K484" s="986">
        <v>125</v>
      </c>
      <c r="L484" s="1128">
        <v>9767666</v>
      </c>
      <c r="M484" s="1128">
        <v>0</v>
      </c>
      <c r="N484" s="1128">
        <v>0</v>
      </c>
      <c r="O484" s="1128">
        <v>9767666</v>
      </c>
      <c r="P484" s="1128">
        <v>0</v>
      </c>
      <c r="Q484" s="1128">
        <v>0</v>
      </c>
      <c r="R484" s="1057">
        <f t="shared" si="164"/>
        <v>3617.9220683013555</v>
      </c>
      <c r="S484" s="1249">
        <v>2021</v>
      </c>
      <c r="T484" s="1129" t="s">
        <v>1273</v>
      </c>
    </row>
    <row r="485" spans="1:20" s="1015" customFormat="1" ht="39.6" customHeight="1">
      <c r="A485" s="1249">
        <v>29</v>
      </c>
      <c r="B485" s="1025" t="s">
        <v>1846</v>
      </c>
      <c r="C485" s="1249">
        <v>1970</v>
      </c>
      <c r="D485" s="1249"/>
      <c r="E485" s="1249" t="s">
        <v>219</v>
      </c>
      <c r="F485" s="1249">
        <v>5</v>
      </c>
      <c r="G485" s="1249">
        <v>4</v>
      </c>
      <c r="H485" s="1057">
        <v>3016.1</v>
      </c>
      <c r="I485" s="1057">
        <v>2705.5</v>
      </c>
      <c r="J485" s="1057">
        <v>2600.1999999999998</v>
      </c>
      <c r="K485" s="986">
        <v>118</v>
      </c>
      <c r="L485" s="1128">
        <v>9801988</v>
      </c>
      <c r="M485" s="1128">
        <v>0</v>
      </c>
      <c r="N485" s="1128">
        <v>0</v>
      </c>
      <c r="O485" s="1128">
        <v>9801988</v>
      </c>
      <c r="P485" s="1128">
        <v>0</v>
      </c>
      <c r="Q485" s="1128">
        <v>0</v>
      </c>
      <c r="R485" s="1057">
        <f t="shared" si="164"/>
        <v>3622.985769728331</v>
      </c>
      <c r="S485" s="1249">
        <v>2021</v>
      </c>
      <c r="T485" s="1129" t="s">
        <v>1273</v>
      </c>
    </row>
    <row r="486" spans="1:20" s="1015" customFormat="1" ht="44.4" customHeight="1">
      <c r="A486" s="1249">
        <v>30</v>
      </c>
      <c r="B486" s="1025" t="s">
        <v>1847</v>
      </c>
      <c r="C486" s="1249">
        <v>1961</v>
      </c>
      <c r="D486" s="1249"/>
      <c r="E486" s="1249" t="s">
        <v>218</v>
      </c>
      <c r="F486" s="1249">
        <v>4</v>
      </c>
      <c r="G486" s="1249">
        <v>2</v>
      </c>
      <c r="H486" s="1057">
        <v>1379.1</v>
      </c>
      <c r="I486" s="1057">
        <v>1277.7</v>
      </c>
      <c r="J486" s="1057">
        <v>1245.2</v>
      </c>
      <c r="K486" s="986">
        <v>54</v>
      </c>
      <c r="L486" s="1128">
        <v>2704640</v>
      </c>
      <c r="M486" s="1128">
        <v>0</v>
      </c>
      <c r="N486" s="1128">
        <v>0</v>
      </c>
      <c r="O486" s="1128">
        <v>2704640</v>
      </c>
      <c r="P486" s="1128">
        <v>0</v>
      </c>
      <c r="Q486" s="1128">
        <v>0</v>
      </c>
      <c r="R486" s="1057">
        <f t="shared" si="164"/>
        <v>2116.8036315253971</v>
      </c>
      <c r="S486" s="1249">
        <v>2021</v>
      </c>
      <c r="T486" s="1129" t="s">
        <v>1273</v>
      </c>
    </row>
    <row r="487" spans="1:20" s="1015" customFormat="1" ht="44.4" customHeight="1">
      <c r="A487" s="1249">
        <v>31</v>
      </c>
      <c r="B487" s="1025" t="s">
        <v>1848</v>
      </c>
      <c r="C487" s="1249">
        <v>1960</v>
      </c>
      <c r="D487" s="1249"/>
      <c r="E487" s="1249" t="s">
        <v>218</v>
      </c>
      <c r="F487" s="1249">
        <v>4</v>
      </c>
      <c r="G487" s="1249">
        <v>2</v>
      </c>
      <c r="H487" s="1057">
        <v>1376.7</v>
      </c>
      <c r="I487" s="1057">
        <v>1289.2</v>
      </c>
      <c r="J487" s="1057">
        <v>1213.8</v>
      </c>
      <c r="K487" s="986">
        <v>53</v>
      </c>
      <c r="L487" s="1128">
        <v>6099267</v>
      </c>
      <c r="M487" s="1128">
        <v>0</v>
      </c>
      <c r="N487" s="1128">
        <v>0</v>
      </c>
      <c r="O487" s="1128">
        <v>6099267</v>
      </c>
      <c r="P487" s="1128">
        <v>0</v>
      </c>
      <c r="Q487" s="1128">
        <v>0</v>
      </c>
      <c r="R487" s="1057">
        <f t="shared" si="164"/>
        <v>4731.0479367049329</v>
      </c>
      <c r="S487" s="1249">
        <v>2021</v>
      </c>
      <c r="T487" s="1129" t="s">
        <v>1273</v>
      </c>
    </row>
    <row r="488" spans="1:20" s="997" customFormat="1" ht="43.95" customHeight="1">
      <c r="A488" s="1249">
        <v>32</v>
      </c>
      <c r="B488" s="1025" t="s">
        <v>340</v>
      </c>
      <c r="C488" s="1249">
        <v>1968</v>
      </c>
      <c r="D488" s="1249"/>
      <c r="E488" s="1249" t="s">
        <v>219</v>
      </c>
      <c r="F488" s="1249">
        <v>5</v>
      </c>
      <c r="G488" s="1249">
        <v>5</v>
      </c>
      <c r="H488" s="1057">
        <v>3421.8</v>
      </c>
      <c r="I488" s="1057">
        <v>3086.4</v>
      </c>
      <c r="J488" s="1057">
        <v>3045</v>
      </c>
      <c r="K488" s="986">
        <v>144</v>
      </c>
      <c r="L488" s="1128">
        <v>13068971</v>
      </c>
      <c r="M488" s="1128">
        <v>0</v>
      </c>
      <c r="N488" s="1128">
        <v>0</v>
      </c>
      <c r="O488" s="1128">
        <v>13068971</v>
      </c>
      <c r="P488" s="1128">
        <v>0</v>
      </c>
      <c r="Q488" s="1128">
        <v>0</v>
      </c>
      <c r="R488" s="1057">
        <f t="shared" si="164"/>
        <v>4234.373703991705</v>
      </c>
      <c r="S488" s="1249">
        <v>2021</v>
      </c>
      <c r="T488" s="1129" t="s">
        <v>1273</v>
      </c>
    </row>
    <row r="489" spans="1:20" s="997" customFormat="1" ht="39.6" customHeight="1">
      <c r="A489" s="1249">
        <v>33</v>
      </c>
      <c r="B489" s="1025" t="s">
        <v>1849</v>
      </c>
      <c r="C489" s="1249">
        <v>1961</v>
      </c>
      <c r="D489" s="1249"/>
      <c r="E489" s="1249" t="s">
        <v>823</v>
      </c>
      <c r="F489" s="1249">
        <v>2</v>
      </c>
      <c r="G489" s="1249">
        <v>2</v>
      </c>
      <c r="H489" s="1057">
        <v>458.7</v>
      </c>
      <c r="I489" s="1057">
        <v>422.9</v>
      </c>
      <c r="J489" s="1057">
        <v>389.18</v>
      </c>
      <c r="K489" s="986">
        <v>19</v>
      </c>
      <c r="L489" s="1128">
        <v>1061200</v>
      </c>
      <c r="M489" s="1128">
        <v>0</v>
      </c>
      <c r="N489" s="1128">
        <v>0</v>
      </c>
      <c r="O489" s="1128">
        <v>1061200</v>
      </c>
      <c r="P489" s="1128">
        <v>0</v>
      </c>
      <c r="Q489" s="1128">
        <v>0</v>
      </c>
      <c r="R489" s="1057">
        <f t="shared" si="164"/>
        <v>2509.3402695672739</v>
      </c>
      <c r="S489" s="1249">
        <v>2021</v>
      </c>
      <c r="T489" s="1129" t="s">
        <v>1273</v>
      </c>
    </row>
    <row r="490" spans="1:20" s="997" customFormat="1" ht="37.799999999999997" customHeight="1">
      <c r="A490" s="1249">
        <v>34</v>
      </c>
      <c r="B490" s="1025" t="s">
        <v>1850</v>
      </c>
      <c r="C490" s="1249">
        <v>1960</v>
      </c>
      <c r="D490" s="1249"/>
      <c r="E490" s="1249" t="s">
        <v>823</v>
      </c>
      <c r="F490" s="1249">
        <v>3</v>
      </c>
      <c r="G490" s="1249">
        <v>2</v>
      </c>
      <c r="H490" s="1057">
        <v>830.8</v>
      </c>
      <c r="I490" s="1057">
        <v>756.5</v>
      </c>
      <c r="J490" s="1057">
        <v>714.7</v>
      </c>
      <c r="K490" s="986">
        <v>26</v>
      </c>
      <c r="L490" s="1128">
        <v>4088256</v>
      </c>
      <c r="M490" s="1128">
        <v>0</v>
      </c>
      <c r="N490" s="1128">
        <v>0</v>
      </c>
      <c r="O490" s="1128">
        <v>4088256</v>
      </c>
      <c r="P490" s="1128">
        <v>0</v>
      </c>
      <c r="Q490" s="1128">
        <v>0</v>
      </c>
      <c r="R490" s="1057">
        <f t="shared" si="164"/>
        <v>5404.1718440185059</v>
      </c>
      <c r="S490" s="1249">
        <v>2021</v>
      </c>
      <c r="T490" s="1129" t="s">
        <v>1273</v>
      </c>
    </row>
    <row r="491" spans="1:20" s="997" customFormat="1" ht="39.6" customHeight="1">
      <c r="A491" s="1249">
        <v>35</v>
      </c>
      <c r="B491" s="1025" t="s">
        <v>2234</v>
      </c>
      <c r="C491" s="1249">
        <v>1964</v>
      </c>
      <c r="D491" s="1249"/>
      <c r="E491" s="1249" t="s">
        <v>219</v>
      </c>
      <c r="F491" s="1249">
        <v>5</v>
      </c>
      <c r="G491" s="1249">
        <v>4</v>
      </c>
      <c r="H491" s="1057">
        <v>3836.8</v>
      </c>
      <c r="I491" s="1057">
        <v>3559.3</v>
      </c>
      <c r="J491" s="1057">
        <v>3559.3</v>
      </c>
      <c r="K491" s="986">
        <v>150</v>
      </c>
      <c r="L491" s="1128">
        <v>13770490</v>
      </c>
      <c r="M491" s="1128">
        <v>0</v>
      </c>
      <c r="N491" s="1128">
        <v>0</v>
      </c>
      <c r="O491" s="1128">
        <v>13770490</v>
      </c>
      <c r="P491" s="1128">
        <v>0</v>
      </c>
      <c r="Q491" s="1128">
        <v>0</v>
      </c>
      <c r="R491" s="1057">
        <f t="shared" si="164"/>
        <v>3868.8759025651111</v>
      </c>
      <c r="S491" s="1249">
        <v>2021</v>
      </c>
      <c r="T491" s="1129" t="s">
        <v>1273</v>
      </c>
    </row>
    <row r="492" spans="1:20" s="997" customFormat="1" ht="43.95" customHeight="1">
      <c r="A492" s="1249">
        <v>36</v>
      </c>
      <c r="B492" s="1025" t="s">
        <v>1851</v>
      </c>
      <c r="C492" s="1249">
        <v>1959</v>
      </c>
      <c r="D492" s="1249"/>
      <c r="E492" s="1249" t="s">
        <v>218</v>
      </c>
      <c r="F492" s="1249">
        <v>4</v>
      </c>
      <c r="G492" s="1249">
        <v>5</v>
      </c>
      <c r="H492" s="1057">
        <v>3483.7</v>
      </c>
      <c r="I492" s="1057">
        <v>3080.3</v>
      </c>
      <c r="J492" s="1057">
        <v>2956.7</v>
      </c>
      <c r="K492" s="986">
        <v>89</v>
      </c>
      <c r="L492" s="1128">
        <v>4624233</v>
      </c>
      <c r="M492" s="1128">
        <v>0</v>
      </c>
      <c r="N492" s="1128">
        <v>0</v>
      </c>
      <c r="O492" s="1128">
        <v>4624233</v>
      </c>
      <c r="P492" s="1128">
        <v>0</v>
      </c>
      <c r="Q492" s="1128">
        <v>0</v>
      </c>
      <c r="R492" s="1057">
        <f t="shared" si="164"/>
        <v>1501.2281271304741</v>
      </c>
      <c r="S492" s="1249">
        <v>2021</v>
      </c>
      <c r="T492" s="1129" t="s">
        <v>1273</v>
      </c>
    </row>
    <row r="493" spans="1:20" s="997" customFormat="1" ht="43.95" customHeight="1">
      <c r="A493" s="1249">
        <v>37</v>
      </c>
      <c r="B493" s="1025" t="s">
        <v>1852</v>
      </c>
      <c r="C493" s="1249">
        <v>1958</v>
      </c>
      <c r="D493" s="1249"/>
      <c r="E493" s="1249" t="s">
        <v>218</v>
      </c>
      <c r="F493" s="1249">
        <v>2</v>
      </c>
      <c r="G493" s="1249">
        <v>1</v>
      </c>
      <c r="H493" s="1057">
        <v>452.3</v>
      </c>
      <c r="I493" s="1057">
        <v>411.1</v>
      </c>
      <c r="J493" s="1057">
        <v>411.1</v>
      </c>
      <c r="K493" s="986">
        <v>27</v>
      </c>
      <c r="L493" s="1128">
        <v>2635698</v>
      </c>
      <c r="M493" s="1128">
        <v>0</v>
      </c>
      <c r="N493" s="1128">
        <v>0</v>
      </c>
      <c r="O493" s="1128">
        <v>2635698</v>
      </c>
      <c r="P493" s="1128">
        <v>0</v>
      </c>
      <c r="Q493" s="1128">
        <v>0</v>
      </c>
      <c r="R493" s="1057">
        <f t="shared" si="164"/>
        <v>6411.3305765020668</v>
      </c>
      <c r="S493" s="1249">
        <v>2021</v>
      </c>
      <c r="T493" s="1129" t="s">
        <v>1273</v>
      </c>
    </row>
    <row r="494" spans="1:20" s="997" customFormat="1" ht="41.4" customHeight="1">
      <c r="A494" s="1249">
        <v>38</v>
      </c>
      <c r="B494" s="1025" t="s">
        <v>2036</v>
      </c>
      <c r="C494" s="1249">
        <v>1978</v>
      </c>
      <c r="D494" s="1249"/>
      <c r="E494" s="1249" t="s">
        <v>219</v>
      </c>
      <c r="F494" s="1249">
        <v>9</v>
      </c>
      <c r="G494" s="1249">
        <v>3</v>
      </c>
      <c r="H494" s="1057">
        <v>6422.5</v>
      </c>
      <c r="I494" s="1057">
        <v>5763.5</v>
      </c>
      <c r="J494" s="1057">
        <v>5489.6</v>
      </c>
      <c r="K494" s="986">
        <v>256</v>
      </c>
      <c r="L494" s="1128">
        <v>12613056</v>
      </c>
      <c r="M494" s="1128">
        <v>0</v>
      </c>
      <c r="N494" s="1128">
        <v>0</v>
      </c>
      <c r="O494" s="1128">
        <v>12613056</v>
      </c>
      <c r="P494" s="1128">
        <v>0</v>
      </c>
      <c r="Q494" s="1128">
        <v>0</v>
      </c>
      <c r="R494" s="1057">
        <f t="shared" si="164"/>
        <v>2188.4368873080593</v>
      </c>
      <c r="S494" s="1249">
        <v>2021</v>
      </c>
      <c r="T494" s="1129" t="s">
        <v>1273</v>
      </c>
    </row>
    <row r="495" spans="1:20" s="997" customFormat="1" ht="40.200000000000003" customHeight="1">
      <c r="A495" s="1249">
        <v>39</v>
      </c>
      <c r="B495" s="1025" t="s">
        <v>320</v>
      </c>
      <c r="C495" s="1249">
        <v>1982</v>
      </c>
      <c r="D495" s="1249"/>
      <c r="E495" s="1249" t="s">
        <v>219</v>
      </c>
      <c r="F495" s="1249">
        <v>9</v>
      </c>
      <c r="G495" s="1249">
        <v>2</v>
      </c>
      <c r="H495" s="1057">
        <v>7009.1</v>
      </c>
      <c r="I495" s="1057">
        <v>6649.6</v>
      </c>
      <c r="J495" s="1057">
        <v>6247</v>
      </c>
      <c r="K495" s="986">
        <v>240</v>
      </c>
      <c r="L495" s="1128">
        <v>15219000</v>
      </c>
      <c r="M495" s="1128">
        <v>0</v>
      </c>
      <c r="N495" s="1128">
        <v>0</v>
      </c>
      <c r="O495" s="1128">
        <v>15219000</v>
      </c>
      <c r="P495" s="1128">
        <v>0</v>
      </c>
      <c r="Q495" s="1128">
        <v>0</v>
      </c>
      <c r="R495" s="1057">
        <f t="shared" si="164"/>
        <v>2288.7090952839267</v>
      </c>
      <c r="S495" s="1249">
        <v>2021</v>
      </c>
      <c r="T495" s="1129" t="s">
        <v>1273</v>
      </c>
    </row>
    <row r="496" spans="1:20" s="997" customFormat="1" ht="43.95" customHeight="1">
      <c r="A496" s="1249">
        <v>40</v>
      </c>
      <c r="B496" s="1025" t="s">
        <v>1853</v>
      </c>
      <c r="C496" s="1249" t="s">
        <v>1669</v>
      </c>
      <c r="D496" s="1249"/>
      <c r="E496" s="1249" t="s">
        <v>218</v>
      </c>
      <c r="F496" s="1249">
        <v>4</v>
      </c>
      <c r="G496" s="1249">
        <v>6</v>
      </c>
      <c r="H496" s="1057">
        <v>4187.8</v>
      </c>
      <c r="I496" s="1057">
        <v>3767.1</v>
      </c>
      <c r="J496" s="1057">
        <v>3446.57</v>
      </c>
      <c r="K496" s="986">
        <v>159</v>
      </c>
      <c r="L496" s="1128">
        <v>12929117</v>
      </c>
      <c r="M496" s="1128">
        <v>0</v>
      </c>
      <c r="N496" s="1128">
        <v>0</v>
      </c>
      <c r="O496" s="1128">
        <v>12929117</v>
      </c>
      <c r="P496" s="1128">
        <v>0</v>
      </c>
      <c r="Q496" s="1128">
        <v>0</v>
      </c>
      <c r="R496" s="1057">
        <f t="shared" si="164"/>
        <v>3432.1140930689389</v>
      </c>
      <c r="S496" s="1249">
        <v>2021</v>
      </c>
      <c r="T496" s="1129" t="s">
        <v>1273</v>
      </c>
    </row>
    <row r="497" spans="1:20" s="997" customFormat="1" ht="39" customHeight="1">
      <c r="A497" s="1249">
        <v>41</v>
      </c>
      <c r="B497" s="1025" t="s">
        <v>1854</v>
      </c>
      <c r="C497" s="1249">
        <v>1961</v>
      </c>
      <c r="D497" s="1249"/>
      <c r="E497" s="1249" t="s">
        <v>218</v>
      </c>
      <c r="F497" s="1249">
        <v>5</v>
      </c>
      <c r="G497" s="1249">
        <v>2</v>
      </c>
      <c r="H497" s="1057">
        <v>1816.7</v>
      </c>
      <c r="I497" s="1057">
        <v>1671</v>
      </c>
      <c r="J497" s="1057">
        <v>1182.0999999999999</v>
      </c>
      <c r="K497" s="986">
        <v>50</v>
      </c>
      <c r="L497" s="1128">
        <v>2502998</v>
      </c>
      <c r="M497" s="1128">
        <v>0</v>
      </c>
      <c r="N497" s="1128">
        <v>0</v>
      </c>
      <c r="O497" s="1128">
        <v>2502998</v>
      </c>
      <c r="P497" s="1128">
        <v>0</v>
      </c>
      <c r="Q497" s="1128">
        <v>0</v>
      </c>
      <c r="R497" s="1057">
        <f t="shared" si="164"/>
        <v>1497.9042489527228</v>
      </c>
      <c r="S497" s="1249">
        <v>2021</v>
      </c>
      <c r="T497" s="1129" t="s">
        <v>1273</v>
      </c>
    </row>
    <row r="498" spans="1:20" s="997" customFormat="1" ht="43.95" customHeight="1">
      <c r="A498" s="1249">
        <v>42</v>
      </c>
      <c r="B498" s="1025" t="s">
        <v>1855</v>
      </c>
      <c r="C498" s="1249">
        <v>1953</v>
      </c>
      <c r="D498" s="1249"/>
      <c r="E498" s="1249" t="s">
        <v>218</v>
      </c>
      <c r="F498" s="1249">
        <v>2</v>
      </c>
      <c r="G498" s="1249">
        <v>2</v>
      </c>
      <c r="H498" s="1057">
        <v>903.8</v>
      </c>
      <c r="I498" s="1057">
        <v>835.2</v>
      </c>
      <c r="J498" s="1057">
        <f>I498-45.1</f>
        <v>790.1</v>
      </c>
      <c r="K498" s="986">
        <v>26</v>
      </c>
      <c r="L498" s="1128">
        <v>3524831</v>
      </c>
      <c r="M498" s="1128">
        <v>0</v>
      </c>
      <c r="N498" s="1128">
        <v>0</v>
      </c>
      <c r="O498" s="1128">
        <v>3524831</v>
      </c>
      <c r="P498" s="1128">
        <v>0</v>
      </c>
      <c r="Q498" s="1128">
        <v>0</v>
      </c>
      <c r="R498" s="1057">
        <f t="shared" si="164"/>
        <v>4220.3436302681994</v>
      </c>
      <c r="S498" s="1249">
        <v>2021</v>
      </c>
      <c r="T498" s="1129" t="s">
        <v>1273</v>
      </c>
    </row>
    <row r="499" spans="1:20" s="997" customFormat="1" ht="42.75" customHeight="1">
      <c r="A499" s="1249">
        <v>43</v>
      </c>
      <c r="B499" s="1025" t="s">
        <v>1856</v>
      </c>
      <c r="C499" s="1249">
        <v>1960</v>
      </c>
      <c r="D499" s="1249"/>
      <c r="E499" s="1249" t="s">
        <v>218</v>
      </c>
      <c r="F499" s="1249">
        <v>2</v>
      </c>
      <c r="G499" s="1249">
        <v>1</v>
      </c>
      <c r="H499" s="1057">
        <v>296.10000000000002</v>
      </c>
      <c r="I499" s="1057">
        <v>285.10000000000002</v>
      </c>
      <c r="J499" s="1057">
        <v>246.3</v>
      </c>
      <c r="K499" s="986">
        <v>16</v>
      </c>
      <c r="L499" s="1128">
        <v>2423166</v>
      </c>
      <c r="M499" s="1128">
        <v>0</v>
      </c>
      <c r="N499" s="1128">
        <v>0</v>
      </c>
      <c r="O499" s="1128">
        <v>2423166</v>
      </c>
      <c r="P499" s="1128">
        <v>0</v>
      </c>
      <c r="Q499" s="1128">
        <v>0</v>
      </c>
      <c r="R499" s="1057">
        <f t="shared" si="164"/>
        <v>8499.3546124166951</v>
      </c>
      <c r="S499" s="1249">
        <v>2021</v>
      </c>
      <c r="T499" s="1129" t="s">
        <v>1273</v>
      </c>
    </row>
    <row r="500" spans="1:20" s="997" customFormat="1" ht="39" customHeight="1">
      <c r="A500" s="1249">
        <v>44</v>
      </c>
      <c r="B500" s="1025" t="s">
        <v>1857</v>
      </c>
      <c r="C500" s="1249">
        <v>1948</v>
      </c>
      <c r="D500" s="1249"/>
      <c r="E500" s="1249" t="s">
        <v>823</v>
      </c>
      <c r="F500" s="1249">
        <v>2</v>
      </c>
      <c r="G500" s="1249">
        <v>3</v>
      </c>
      <c r="H500" s="1057">
        <v>1324.2</v>
      </c>
      <c r="I500" s="1057">
        <v>1206</v>
      </c>
      <c r="J500" s="1057">
        <v>1093.4000000000001</v>
      </c>
      <c r="K500" s="986">
        <v>60</v>
      </c>
      <c r="L500" s="1128">
        <v>5365249</v>
      </c>
      <c r="M500" s="1128">
        <v>0</v>
      </c>
      <c r="N500" s="1128">
        <v>0</v>
      </c>
      <c r="O500" s="1128">
        <v>5365249</v>
      </c>
      <c r="P500" s="1128">
        <v>0</v>
      </c>
      <c r="Q500" s="1128">
        <v>0</v>
      </c>
      <c r="R500" s="1057">
        <f t="shared" si="164"/>
        <v>4448.7968490878939</v>
      </c>
      <c r="S500" s="1249">
        <v>2021</v>
      </c>
      <c r="T500" s="1129" t="s">
        <v>1273</v>
      </c>
    </row>
    <row r="501" spans="1:20" s="997" customFormat="1" ht="40.799999999999997" customHeight="1">
      <c r="A501" s="1249">
        <v>45</v>
      </c>
      <c r="B501" s="1025" t="s">
        <v>1858</v>
      </c>
      <c r="C501" s="1249">
        <v>1953</v>
      </c>
      <c r="D501" s="1249"/>
      <c r="E501" s="1249" t="s">
        <v>218</v>
      </c>
      <c r="F501" s="1249">
        <v>3</v>
      </c>
      <c r="G501" s="1249">
        <v>3</v>
      </c>
      <c r="H501" s="1057">
        <v>2235.3000000000002</v>
      </c>
      <c r="I501" s="1057">
        <v>2026</v>
      </c>
      <c r="J501" s="1057">
        <v>1387.2</v>
      </c>
      <c r="K501" s="986">
        <v>55</v>
      </c>
      <c r="L501" s="1128">
        <v>7579429</v>
      </c>
      <c r="M501" s="1128">
        <v>0</v>
      </c>
      <c r="N501" s="1128">
        <v>0</v>
      </c>
      <c r="O501" s="1128">
        <v>7579429</v>
      </c>
      <c r="P501" s="1128">
        <v>0</v>
      </c>
      <c r="Q501" s="1128">
        <v>0</v>
      </c>
      <c r="R501" s="1057">
        <f t="shared" si="164"/>
        <v>3741.0804540967424</v>
      </c>
      <c r="S501" s="1249">
        <v>2021</v>
      </c>
      <c r="T501" s="1129" t="s">
        <v>1273</v>
      </c>
    </row>
    <row r="502" spans="1:20" s="997" customFormat="1" ht="39" customHeight="1">
      <c r="A502" s="1249">
        <v>46</v>
      </c>
      <c r="B502" s="1025" t="s">
        <v>1859</v>
      </c>
      <c r="C502" s="1249">
        <v>1962</v>
      </c>
      <c r="D502" s="1249"/>
      <c r="E502" s="1249" t="s">
        <v>218</v>
      </c>
      <c r="F502" s="1249">
        <v>5</v>
      </c>
      <c r="G502" s="1249">
        <v>2</v>
      </c>
      <c r="H502" s="1057">
        <v>1870.7</v>
      </c>
      <c r="I502" s="1057">
        <v>1754.3</v>
      </c>
      <c r="J502" s="1057">
        <v>1410.6</v>
      </c>
      <c r="K502" s="986">
        <v>62</v>
      </c>
      <c r="L502" s="1128">
        <v>16137541</v>
      </c>
      <c r="M502" s="1128">
        <v>0</v>
      </c>
      <c r="N502" s="1128">
        <v>0</v>
      </c>
      <c r="O502" s="1128">
        <v>16137541</v>
      </c>
      <c r="P502" s="1128">
        <v>0</v>
      </c>
      <c r="Q502" s="1128">
        <v>0</v>
      </c>
      <c r="R502" s="1057">
        <f t="shared" si="164"/>
        <v>9198.8491136065677</v>
      </c>
      <c r="S502" s="1249">
        <v>2021</v>
      </c>
      <c r="T502" s="1129" t="s">
        <v>1273</v>
      </c>
    </row>
    <row r="503" spans="1:20" s="997" customFormat="1" ht="36" customHeight="1">
      <c r="A503" s="1249">
        <v>47</v>
      </c>
      <c r="B503" s="1025" t="s">
        <v>470</v>
      </c>
      <c r="C503" s="1249">
        <v>1984</v>
      </c>
      <c r="D503" s="1249"/>
      <c r="E503" s="1249" t="s">
        <v>219</v>
      </c>
      <c r="F503" s="1249">
        <v>9</v>
      </c>
      <c r="G503" s="1249">
        <v>1</v>
      </c>
      <c r="H503" s="1057">
        <v>3027.7</v>
      </c>
      <c r="I503" s="1057">
        <v>2847.3</v>
      </c>
      <c r="J503" s="1057">
        <v>2551.1</v>
      </c>
      <c r="K503" s="986">
        <v>138</v>
      </c>
      <c r="L503" s="1128">
        <v>6386358</v>
      </c>
      <c r="M503" s="1128">
        <v>0</v>
      </c>
      <c r="N503" s="1128">
        <v>0</v>
      </c>
      <c r="O503" s="1128">
        <v>6386358</v>
      </c>
      <c r="P503" s="1128">
        <v>0</v>
      </c>
      <c r="Q503" s="1128">
        <v>0</v>
      </c>
      <c r="R503" s="1057">
        <f t="shared" si="164"/>
        <v>2242.9522705721206</v>
      </c>
      <c r="S503" s="1249">
        <v>2021</v>
      </c>
      <c r="T503" s="1129" t="s">
        <v>1273</v>
      </c>
    </row>
    <row r="504" spans="1:20" s="997" customFormat="1" ht="36" customHeight="1">
      <c r="A504" s="1249">
        <v>48</v>
      </c>
      <c r="B504" s="1025" t="s">
        <v>1860</v>
      </c>
      <c r="C504" s="1249">
        <v>1986</v>
      </c>
      <c r="D504" s="1249"/>
      <c r="E504" s="1249" t="s">
        <v>219</v>
      </c>
      <c r="F504" s="1249">
        <v>5</v>
      </c>
      <c r="G504" s="1249">
        <v>5</v>
      </c>
      <c r="H504" s="1057">
        <v>4086.8</v>
      </c>
      <c r="I504" s="1057">
        <v>3554.9</v>
      </c>
      <c r="J504" s="1057">
        <v>3289.2</v>
      </c>
      <c r="K504" s="986">
        <v>169</v>
      </c>
      <c r="L504" s="1128">
        <v>5345250</v>
      </c>
      <c r="M504" s="1128">
        <v>0</v>
      </c>
      <c r="N504" s="1128">
        <v>0</v>
      </c>
      <c r="O504" s="1128">
        <v>5345250</v>
      </c>
      <c r="P504" s="1128">
        <v>0</v>
      </c>
      <c r="Q504" s="1128">
        <v>0</v>
      </c>
      <c r="R504" s="1057">
        <f t="shared" si="164"/>
        <v>1503.6287940589045</v>
      </c>
      <c r="S504" s="1249">
        <v>2021</v>
      </c>
      <c r="T504" s="1129" t="s">
        <v>1273</v>
      </c>
    </row>
    <row r="505" spans="1:20" s="997" customFormat="1" ht="40.799999999999997" customHeight="1">
      <c r="A505" s="1249">
        <v>49</v>
      </c>
      <c r="B505" s="1025" t="s">
        <v>315</v>
      </c>
      <c r="C505" s="1249">
        <v>1963</v>
      </c>
      <c r="D505" s="1249"/>
      <c r="E505" s="1249" t="s">
        <v>218</v>
      </c>
      <c r="F505" s="1249">
        <v>4</v>
      </c>
      <c r="G505" s="1249">
        <v>2</v>
      </c>
      <c r="H505" s="1057">
        <v>1383</v>
      </c>
      <c r="I505" s="1057">
        <v>1283.5</v>
      </c>
      <c r="J505" s="1057">
        <v>958.6</v>
      </c>
      <c r="K505" s="986">
        <v>60</v>
      </c>
      <c r="L505" s="1128">
        <v>3334889</v>
      </c>
      <c r="M505" s="1128">
        <v>0</v>
      </c>
      <c r="N505" s="1128">
        <v>0</v>
      </c>
      <c r="O505" s="1128">
        <v>3334889</v>
      </c>
      <c r="P505" s="1128">
        <v>0</v>
      </c>
      <c r="Q505" s="1128">
        <v>0</v>
      </c>
      <c r="R505" s="1057">
        <f t="shared" si="164"/>
        <v>2598.2773665757695</v>
      </c>
      <c r="S505" s="1249">
        <v>2021</v>
      </c>
      <c r="T505" s="1129" t="s">
        <v>1273</v>
      </c>
    </row>
    <row r="506" spans="1:20" s="997" customFormat="1" ht="40.799999999999997" customHeight="1">
      <c r="A506" s="1249">
        <v>50</v>
      </c>
      <c r="B506" s="1025" t="s">
        <v>1861</v>
      </c>
      <c r="C506" s="1249">
        <v>1960</v>
      </c>
      <c r="D506" s="1249"/>
      <c r="E506" s="1249" t="s">
        <v>218</v>
      </c>
      <c r="F506" s="1249">
        <v>5</v>
      </c>
      <c r="G506" s="1249">
        <v>2</v>
      </c>
      <c r="H506" s="1057">
        <v>1762.6</v>
      </c>
      <c r="I506" s="1057">
        <v>1627.2</v>
      </c>
      <c r="J506" s="1057">
        <v>1212.5999999999999</v>
      </c>
      <c r="K506" s="986">
        <v>49</v>
      </c>
      <c r="L506" s="1128">
        <v>3753928</v>
      </c>
      <c r="M506" s="1128">
        <v>0</v>
      </c>
      <c r="N506" s="1128">
        <v>0</v>
      </c>
      <c r="O506" s="1128">
        <v>3753928</v>
      </c>
      <c r="P506" s="1128">
        <v>0</v>
      </c>
      <c r="Q506" s="1128">
        <v>0</v>
      </c>
      <c r="R506" s="1057">
        <f t="shared" si="164"/>
        <v>2306.9862340216323</v>
      </c>
      <c r="S506" s="1249">
        <v>2021</v>
      </c>
      <c r="T506" s="1129" t="s">
        <v>1273</v>
      </c>
    </row>
    <row r="507" spans="1:20" s="997" customFormat="1" ht="40.200000000000003" customHeight="1">
      <c r="A507" s="1249">
        <v>51</v>
      </c>
      <c r="B507" s="1025" t="s">
        <v>253</v>
      </c>
      <c r="C507" s="1249">
        <v>1959</v>
      </c>
      <c r="D507" s="1249"/>
      <c r="E507" s="1249" t="s">
        <v>218</v>
      </c>
      <c r="F507" s="1249">
        <v>2</v>
      </c>
      <c r="G507" s="1249">
        <v>1</v>
      </c>
      <c r="H507" s="1057">
        <v>499</v>
      </c>
      <c r="I507" s="1057">
        <v>457.6</v>
      </c>
      <c r="J507" s="1057">
        <v>404.2</v>
      </c>
      <c r="K507" s="986">
        <v>21</v>
      </c>
      <c r="L507" s="1128">
        <v>1964050</v>
      </c>
      <c r="M507" s="1128">
        <v>0</v>
      </c>
      <c r="N507" s="1128">
        <v>0</v>
      </c>
      <c r="O507" s="1128">
        <v>1964050</v>
      </c>
      <c r="P507" s="1128">
        <v>0</v>
      </c>
      <c r="Q507" s="1128">
        <v>0</v>
      </c>
      <c r="R507" s="1057">
        <f t="shared" si="164"/>
        <v>4292.0673076923076</v>
      </c>
      <c r="S507" s="1249">
        <v>2021</v>
      </c>
      <c r="T507" s="1129" t="s">
        <v>1273</v>
      </c>
    </row>
    <row r="508" spans="1:20" s="997" customFormat="1" ht="39.6" customHeight="1">
      <c r="A508" s="1249">
        <v>52</v>
      </c>
      <c r="B508" s="1025" t="s">
        <v>1862</v>
      </c>
      <c r="C508" s="1249">
        <v>1965</v>
      </c>
      <c r="D508" s="1249"/>
      <c r="E508" s="1249" t="s">
        <v>218</v>
      </c>
      <c r="F508" s="1249">
        <v>5</v>
      </c>
      <c r="G508" s="1249">
        <v>4</v>
      </c>
      <c r="H508" s="1057">
        <v>3256.4</v>
      </c>
      <c r="I508" s="1057">
        <v>3194.1</v>
      </c>
      <c r="J508" s="1057">
        <v>3194.1</v>
      </c>
      <c r="K508" s="986">
        <v>140</v>
      </c>
      <c r="L508" s="1128">
        <v>8165424</v>
      </c>
      <c r="M508" s="1128">
        <v>0</v>
      </c>
      <c r="N508" s="1128">
        <v>0</v>
      </c>
      <c r="O508" s="1128">
        <v>8165424</v>
      </c>
      <c r="P508" s="1128">
        <v>0</v>
      </c>
      <c r="Q508" s="1128">
        <v>0</v>
      </c>
      <c r="R508" s="1057">
        <f t="shared" si="164"/>
        <v>2556.4083779468397</v>
      </c>
      <c r="S508" s="1249">
        <v>2021</v>
      </c>
      <c r="T508" s="1129" t="s">
        <v>1273</v>
      </c>
    </row>
    <row r="509" spans="1:20" s="1015" customFormat="1" ht="39.6" customHeight="1">
      <c r="A509" s="1249">
        <v>53</v>
      </c>
      <c r="B509" s="1025" t="s">
        <v>1863</v>
      </c>
      <c r="C509" s="1249">
        <v>1963</v>
      </c>
      <c r="D509" s="1249"/>
      <c r="E509" s="1249" t="s">
        <v>218</v>
      </c>
      <c r="F509" s="1249">
        <v>4</v>
      </c>
      <c r="G509" s="1249">
        <v>4</v>
      </c>
      <c r="H509" s="1057">
        <v>2674.2</v>
      </c>
      <c r="I509" s="1057">
        <v>2572.4</v>
      </c>
      <c r="J509" s="1057">
        <v>2530.3000000000002</v>
      </c>
      <c r="K509" s="986">
        <v>129</v>
      </c>
      <c r="L509" s="1128">
        <v>5436704</v>
      </c>
      <c r="M509" s="1128">
        <v>0</v>
      </c>
      <c r="N509" s="1128">
        <v>0</v>
      </c>
      <c r="O509" s="1128">
        <v>5436704</v>
      </c>
      <c r="P509" s="1128">
        <v>0</v>
      </c>
      <c r="Q509" s="1128">
        <v>0</v>
      </c>
      <c r="R509" s="1057">
        <f t="shared" si="164"/>
        <v>2113.4753537552479</v>
      </c>
      <c r="S509" s="1249">
        <v>2021</v>
      </c>
      <c r="T509" s="1129" t="s">
        <v>1273</v>
      </c>
    </row>
    <row r="510" spans="1:20" s="1015" customFormat="1" ht="40.200000000000003" customHeight="1">
      <c r="A510" s="1249">
        <v>54</v>
      </c>
      <c r="B510" s="1025" t="s">
        <v>1864</v>
      </c>
      <c r="C510" s="1249">
        <v>1961</v>
      </c>
      <c r="D510" s="1249"/>
      <c r="E510" s="1249" t="s">
        <v>218</v>
      </c>
      <c r="F510" s="1249">
        <v>4</v>
      </c>
      <c r="G510" s="1249">
        <v>3</v>
      </c>
      <c r="H510" s="1057">
        <v>2325.4</v>
      </c>
      <c r="I510" s="1057">
        <v>2168.1999999999998</v>
      </c>
      <c r="J510" s="1057">
        <v>1412.5</v>
      </c>
      <c r="K510" s="986">
        <v>68</v>
      </c>
      <c r="L510" s="1128">
        <v>15288517</v>
      </c>
      <c r="M510" s="1128">
        <v>0</v>
      </c>
      <c r="N510" s="1128">
        <v>0</v>
      </c>
      <c r="O510" s="1128">
        <v>15288517</v>
      </c>
      <c r="P510" s="1128">
        <v>0</v>
      </c>
      <c r="Q510" s="1128">
        <v>0</v>
      </c>
      <c r="R510" s="1057">
        <f t="shared" si="164"/>
        <v>7051.2485010607879</v>
      </c>
      <c r="S510" s="1249">
        <v>2021</v>
      </c>
      <c r="T510" s="1129" t="s">
        <v>1273</v>
      </c>
    </row>
    <row r="511" spans="1:20" s="1015" customFormat="1" ht="37.200000000000003" customHeight="1">
      <c r="A511" s="1249">
        <v>55</v>
      </c>
      <c r="B511" s="1025" t="s">
        <v>282</v>
      </c>
      <c r="C511" s="1249">
        <v>1948</v>
      </c>
      <c r="D511" s="1130"/>
      <c r="E511" s="1249" t="s">
        <v>823</v>
      </c>
      <c r="F511" s="1249">
        <v>2</v>
      </c>
      <c r="G511" s="1249">
        <v>3</v>
      </c>
      <c r="H511" s="1057">
        <v>1341.7</v>
      </c>
      <c r="I511" s="1057">
        <v>1221.7</v>
      </c>
      <c r="J511" s="1057">
        <v>953</v>
      </c>
      <c r="K511" s="986">
        <v>54</v>
      </c>
      <c r="L511" s="1128">
        <v>1834028</v>
      </c>
      <c r="M511" s="1128">
        <v>0</v>
      </c>
      <c r="N511" s="1128">
        <v>0</v>
      </c>
      <c r="O511" s="1128">
        <v>1834028</v>
      </c>
      <c r="P511" s="1128">
        <v>0</v>
      </c>
      <c r="Q511" s="1128">
        <v>0</v>
      </c>
      <c r="R511" s="1057">
        <f t="shared" si="164"/>
        <v>1501.2097896373905</v>
      </c>
      <c r="S511" s="1249">
        <v>2021</v>
      </c>
      <c r="T511" s="1129" t="s">
        <v>1273</v>
      </c>
    </row>
    <row r="512" spans="1:20" s="1015" customFormat="1" ht="40.200000000000003" customHeight="1">
      <c r="A512" s="1249">
        <v>56</v>
      </c>
      <c r="B512" s="1025" t="s">
        <v>347</v>
      </c>
      <c r="C512" s="1249">
        <v>1959</v>
      </c>
      <c r="D512" s="1249"/>
      <c r="E512" s="1249" t="s">
        <v>218</v>
      </c>
      <c r="F512" s="1249">
        <v>2</v>
      </c>
      <c r="G512" s="1249">
        <v>1</v>
      </c>
      <c r="H512" s="1057">
        <v>444.7</v>
      </c>
      <c r="I512" s="1057">
        <v>402.2</v>
      </c>
      <c r="J512" s="1057">
        <v>402.2</v>
      </c>
      <c r="K512" s="986">
        <v>23</v>
      </c>
      <c r="L512" s="1128">
        <v>1702263</v>
      </c>
      <c r="M512" s="1128">
        <v>0</v>
      </c>
      <c r="N512" s="1128">
        <v>0</v>
      </c>
      <c r="O512" s="1128">
        <v>1702263</v>
      </c>
      <c r="P512" s="1128">
        <v>0</v>
      </c>
      <c r="Q512" s="1128">
        <v>0</v>
      </c>
      <c r="R512" s="1057">
        <f t="shared" si="164"/>
        <v>4232.3794132272506</v>
      </c>
      <c r="S512" s="1249">
        <v>2021</v>
      </c>
      <c r="T512" s="1129" t="s">
        <v>1273</v>
      </c>
    </row>
    <row r="513" spans="1:20" s="1015" customFormat="1" ht="35.4" customHeight="1">
      <c r="A513" s="1249"/>
      <c r="B513" s="1539" t="s">
        <v>1619</v>
      </c>
      <c r="C513" s="1540"/>
      <c r="D513" s="1540"/>
      <c r="E513" s="1540"/>
      <c r="F513" s="1540"/>
      <c r="G513" s="1541"/>
      <c r="H513" s="1060">
        <f>SUM(H514:H531)</f>
        <v>28284.300000000007</v>
      </c>
      <c r="I513" s="1060">
        <f t="shared" ref="I513:Q513" si="165">SUM(I514:I531)</f>
        <v>28170.700000000004</v>
      </c>
      <c r="J513" s="1060">
        <f t="shared" si="165"/>
        <v>18757.550000000003</v>
      </c>
      <c r="K513" s="995">
        <f t="shared" si="165"/>
        <v>1137</v>
      </c>
      <c r="L513" s="1060">
        <f t="shared" si="165"/>
        <v>31581042</v>
      </c>
      <c r="M513" s="1060">
        <f t="shared" si="165"/>
        <v>0</v>
      </c>
      <c r="N513" s="1060">
        <f t="shared" si="165"/>
        <v>0</v>
      </c>
      <c r="O513" s="1060">
        <f t="shared" si="165"/>
        <v>31581042</v>
      </c>
      <c r="P513" s="1060">
        <f t="shared" si="165"/>
        <v>0</v>
      </c>
      <c r="Q513" s="1060">
        <f t="shared" si="165"/>
        <v>0</v>
      </c>
      <c r="R513" s="996" t="s">
        <v>40</v>
      </c>
      <c r="S513" s="996" t="s">
        <v>40</v>
      </c>
      <c r="T513" s="996" t="s">
        <v>40</v>
      </c>
    </row>
    <row r="514" spans="1:20" s="1015" customFormat="1" ht="39.6" customHeight="1">
      <c r="A514" s="1046">
        <v>57</v>
      </c>
      <c r="B514" s="1076" t="s">
        <v>1483</v>
      </c>
      <c r="C514" s="1048">
        <v>1953</v>
      </c>
      <c r="D514" s="1048"/>
      <c r="E514" s="1249" t="s">
        <v>218</v>
      </c>
      <c r="F514" s="1048">
        <v>2</v>
      </c>
      <c r="G514" s="1048">
        <v>1</v>
      </c>
      <c r="H514" s="1132">
        <v>483.4</v>
      </c>
      <c r="I514" s="1132">
        <v>483.4</v>
      </c>
      <c r="J514" s="1132">
        <v>483.4</v>
      </c>
      <c r="K514" s="1077">
        <v>26</v>
      </c>
      <c r="L514" s="1132">
        <v>1213408</v>
      </c>
      <c r="M514" s="985">
        <v>0</v>
      </c>
      <c r="N514" s="985">
        <v>0</v>
      </c>
      <c r="O514" s="1132">
        <v>1213408</v>
      </c>
      <c r="P514" s="985">
        <v>0</v>
      </c>
      <c r="Q514" s="985">
        <v>0</v>
      </c>
      <c r="R514" s="1132">
        <f>L514/I514</f>
        <v>2510.1530823334715</v>
      </c>
      <c r="S514" s="1048">
        <v>2021</v>
      </c>
      <c r="T514" s="1048">
        <v>2021</v>
      </c>
    </row>
    <row r="515" spans="1:20" s="997" customFormat="1" ht="36" customHeight="1">
      <c r="A515" s="1046">
        <v>58</v>
      </c>
      <c r="B515" s="1076" t="s">
        <v>1484</v>
      </c>
      <c r="C515" s="1048">
        <v>1937</v>
      </c>
      <c r="D515" s="1048"/>
      <c r="E515" s="1048" t="s">
        <v>221</v>
      </c>
      <c r="F515" s="1048">
        <v>2</v>
      </c>
      <c r="G515" s="1048">
        <v>1</v>
      </c>
      <c r="H515" s="1132">
        <v>299.39999999999998</v>
      </c>
      <c r="I515" s="1132">
        <v>299.39999999999998</v>
      </c>
      <c r="J515" s="1132">
        <v>236.37</v>
      </c>
      <c r="K515" s="1077">
        <v>18</v>
      </c>
      <c r="L515" s="1132">
        <v>426257</v>
      </c>
      <c r="M515" s="985">
        <v>0</v>
      </c>
      <c r="N515" s="985">
        <v>0</v>
      </c>
      <c r="O515" s="1132">
        <v>426257</v>
      </c>
      <c r="P515" s="985">
        <v>0</v>
      </c>
      <c r="Q515" s="985">
        <v>0</v>
      </c>
      <c r="R515" s="1132">
        <f t="shared" ref="R515:R531" si="166">L515/I515</f>
        <v>1423.7040748162995</v>
      </c>
      <c r="S515" s="1048">
        <v>2021</v>
      </c>
      <c r="T515" s="1048">
        <v>2021</v>
      </c>
    </row>
    <row r="516" spans="1:20" s="997" customFormat="1" ht="36" customHeight="1">
      <c r="A516" s="1046">
        <v>59</v>
      </c>
      <c r="B516" s="1076" t="s">
        <v>1485</v>
      </c>
      <c r="C516" s="1048">
        <v>1951</v>
      </c>
      <c r="D516" s="1048"/>
      <c r="E516" s="1048" t="s">
        <v>221</v>
      </c>
      <c r="F516" s="1048">
        <v>2</v>
      </c>
      <c r="G516" s="1048">
        <v>2</v>
      </c>
      <c r="H516" s="1132">
        <v>307.60000000000002</v>
      </c>
      <c r="I516" s="1132">
        <v>307.60000000000002</v>
      </c>
      <c r="J516" s="1132">
        <v>222.88</v>
      </c>
      <c r="K516" s="1077">
        <v>15</v>
      </c>
      <c r="L516" s="1132">
        <v>638674</v>
      </c>
      <c r="M516" s="985">
        <v>0</v>
      </c>
      <c r="N516" s="985">
        <v>0</v>
      </c>
      <c r="O516" s="1132">
        <v>638674</v>
      </c>
      <c r="P516" s="985">
        <v>0</v>
      </c>
      <c r="Q516" s="985">
        <v>0</v>
      </c>
      <c r="R516" s="1132">
        <f t="shared" si="166"/>
        <v>2076.3133940182051</v>
      </c>
      <c r="S516" s="1048">
        <v>2021</v>
      </c>
      <c r="T516" s="1048">
        <v>2021</v>
      </c>
    </row>
    <row r="517" spans="1:20" s="997" customFormat="1" ht="39.6" customHeight="1">
      <c r="A517" s="1046">
        <v>60</v>
      </c>
      <c r="B517" s="1076" t="s">
        <v>1486</v>
      </c>
      <c r="C517" s="1048">
        <v>1969</v>
      </c>
      <c r="D517" s="1048"/>
      <c r="E517" s="1249" t="s">
        <v>218</v>
      </c>
      <c r="F517" s="1048">
        <v>5</v>
      </c>
      <c r="G517" s="1048">
        <v>4</v>
      </c>
      <c r="H517" s="1132">
        <v>2621.8</v>
      </c>
      <c r="I517" s="1132">
        <v>2621.8</v>
      </c>
      <c r="J517" s="1132">
        <v>934.8</v>
      </c>
      <c r="K517" s="1077">
        <v>113</v>
      </c>
      <c r="L517" s="1132">
        <v>2167882</v>
      </c>
      <c r="M517" s="985">
        <v>0</v>
      </c>
      <c r="N517" s="985">
        <v>0</v>
      </c>
      <c r="O517" s="1132">
        <v>2167882</v>
      </c>
      <c r="P517" s="985">
        <v>0</v>
      </c>
      <c r="Q517" s="985">
        <v>0</v>
      </c>
      <c r="R517" s="1132">
        <f t="shared" si="166"/>
        <v>826.86780074757792</v>
      </c>
      <c r="S517" s="1048">
        <v>2021</v>
      </c>
      <c r="T517" s="1048">
        <v>2021</v>
      </c>
    </row>
    <row r="518" spans="1:20" s="997" customFormat="1" ht="40.799999999999997" customHeight="1">
      <c r="A518" s="1046">
        <v>61</v>
      </c>
      <c r="B518" s="1076" t="s">
        <v>1487</v>
      </c>
      <c r="C518" s="1048">
        <v>1962</v>
      </c>
      <c r="D518" s="1048"/>
      <c r="E518" s="1249" t="s">
        <v>218</v>
      </c>
      <c r="F518" s="1048">
        <v>4</v>
      </c>
      <c r="G518" s="1048">
        <v>4</v>
      </c>
      <c r="H518" s="1132">
        <v>2869.8</v>
      </c>
      <c r="I518" s="1132">
        <v>2869.8</v>
      </c>
      <c r="J518" s="1132">
        <v>2209.6999999999998</v>
      </c>
      <c r="K518" s="1077">
        <v>110</v>
      </c>
      <c r="L518" s="1132">
        <v>3923905</v>
      </c>
      <c r="M518" s="985">
        <v>0</v>
      </c>
      <c r="N518" s="985">
        <v>0</v>
      </c>
      <c r="O518" s="1132">
        <v>3923905</v>
      </c>
      <c r="P518" s="985">
        <v>0</v>
      </c>
      <c r="Q518" s="985">
        <v>0</v>
      </c>
      <c r="R518" s="1132">
        <f t="shared" si="166"/>
        <v>1367.309568611053</v>
      </c>
      <c r="S518" s="1048">
        <v>2021</v>
      </c>
      <c r="T518" s="1048">
        <v>2021</v>
      </c>
    </row>
    <row r="519" spans="1:20" s="997" customFormat="1" ht="43.8" customHeight="1">
      <c r="A519" s="1046">
        <v>62</v>
      </c>
      <c r="B519" s="1076" t="s">
        <v>1488</v>
      </c>
      <c r="C519" s="1048">
        <v>1964</v>
      </c>
      <c r="D519" s="1048"/>
      <c r="E519" s="1249" t="s">
        <v>218</v>
      </c>
      <c r="F519" s="1048">
        <v>5</v>
      </c>
      <c r="G519" s="1048">
        <v>4</v>
      </c>
      <c r="H519" s="1132">
        <v>3839.6</v>
      </c>
      <c r="I519" s="1132">
        <v>3839.6</v>
      </c>
      <c r="J519" s="1132">
        <v>2615.9</v>
      </c>
      <c r="K519" s="1077">
        <v>118</v>
      </c>
      <c r="L519" s="1132">
        <v>2425060</v>
      </c>
      <c r="M519" s="985">
        <v>0</v>
      </c>
      <c r="N519" s="985">
        <v>0</v>
      </c>
      <c r="O519" s="1132">
        <v>2425060</v>
      </c>
      <c r="P519" s="985">
        <v>0</v>
      </c>
      <c r="Q519" s="985">
        <v>0</v>
      </c>
      <c r="R519" s="1132">
        <f t="shared" si="166"/>
        <v>631.59183248255033</v>
      </c>
      <c r="S519" s="1048">
        <v>2021</v>
      </c>
      <c r="T519" s="1048">
        <v>2021</v>
      </c>
    </row>
    <row r="520" spans="1:20" s="997" customFormat="1" ht="40.799999999999997" customHeight="1">
      <c r="A520" s="1046">
        <v>63</v>
      </c>
      <c r="B520" s="1076" t="s">
        <v>1865</v>
      </c>
      <c r="C520" s="1048">
        <v>1965</v>
      </c>
      <c r="D520" s="1048"/>
      <c r="E520" s="1249" t="s">
        <v>218</v>
      </c>
      <c r="F520" s="1048">
        <v>5</v>
      </c>
      <c r="G520" s="1048">
        <v>4</v>
      </c>
      <c r="H520" s="1132">
        <v>2207</v>
      </c>
      <c r="I520" s="1132">
        <v>2207</v>
      </c>
      <c r="J520" s="1132">
        <v>2207</v>
      </c>
      <c r="K520" s="1077">
        <v>109</v>
      </c>
      <c r="L520" s="1132">
        <v>2549778</v>
      </c>
      <c r="M520" s="985">
        <v>0</v>
      </c>
      <c r="N520" s="985">
        <v>0</v>
      </c>
      <c r="O520" s="1132">
        <v>2549778</v>
      </c>
      <c r="P520" s="985">
        <v>0</v>
      </c>
      <c r="Q520" s="985">
        <v>0</v>
      </c>
      <c r="R520" s="1132">
        <f t="shared" si="166"/>
        <v>1155.3140009062074</v>
      </c>
      <c r="S520" s="1048">
        <v>2021</v>
      </c>
      <c r="T520" s="1048">
        <v>2021</v>
      </c>
    </row>
    <row r="521" spans="1:20" s="997" customFormat="1" ht="36" customHeight="1">
      <c r="A521" s="1046">
        <v>64</v>
      </c>
      <c r="B521" s="1076" t="s">
        <v>1866</v>
      </c>
      <c r="C521" s="1048">
        <v>1931</v>
      </c>
      <c r="D521" s="1048"/>
      <c r="E521" s="1048" t="s">
        <v>824</v>
      </c>
      <c r="F521" s="1048">
        <v>2</v>
      </c>
      <c r="G521" s="1048">
        <v>1</v>
      </c>
      <c r="H521" s="1132">
        <v>115.6</v>
      </c>
      <c r="I521" s="1132">
        <v>115.6</v>
      </c>
      <c r="J521" s="1132">
        <v>115.6</v>
      </c>
      <c r="K521" s="1077">
        <v>15</v>
      </c>
      <c r="L521" s="1132">
        <v>1912301</v>
      </c>
      <c r="M521" s="985">
        <v>0</v>
      </c>
      <c r="N521" s="985">
        <v>0</v>
      </c>
      <c r="O521" s="1132">
        <v>1912301</v>
      </c>
      <c r="P521" s="985">
        <v>0</v>
      </c>
      <c r="Q521" s="985">
        <v>0</v>
      </c>
      <c r="R521" s="1132">
        <f t="shared" si="166"/>
        <v>16542.396193771627</v>
      </c>
      <c r="S521" s="1048">
        <v>2021</v>
      </c>
      <c r="T521" s="1048">
        <v>2021</v>
      </c>
    </row>
    <row r="522" spans="1:20" s="997" customFormat="1" ht="40.200000000000003" customHeight="1">
      <c r="A522" s="1046">
        <v>65</v>
      </c>
      <c r="B522" s="1076" t="s">
        <v>1490</v>
      </c>
      <c r="C522" s="1048">
        <v>1980</v>
      </c>
      <c r="D522" s="1048"/>
      <c r="E522" s="1249" t="s">
        <v>218</v>
      </c>
      <c r="F522" s="1048">
        <v>5</v>
      </c>
      <c r="G522" s="1048">
        <v>10</v>
      </c>
      <c r="H522" s="1132">
        <v>6670.8</v>
      </c>
      <c r="I522" s="1132">
        <v>6670.8</v>
      </c>
      <c r="J522" s="1132">
        <v>2278.3000000000002</v>
      </c>
      <c r="K522" s="1077">
        <v>216</v>
      </c>
      <c r="L522" s="1132">
        <v>6155169</v>
      </c>
      <c r="M522" s="985">
        <v>0</v>
      </c>
      <c r="N522" s="985">
        <v>0</v>
      </c>
      <c r="O522" s="1132">
        <v>6155169</v>
      </c>
      <c r="P522" s="985">
        <v>0</v>
      </c>
      <c r="Q522" s="985">
        <v>0</v>
      </c>
      <c r="R522" s="1132">
        <f t="shared" si="166"/>
        <v>922.70327397013853</v>
      </c>
      <c r="S522" s="1048">
        <v>2021</v>
      </c>
      <c r="T522" s="1048">
        <v>2021</v>
      </c>
    </row>
    <row r="523" spans="1:20" s="997" customFormat="1" ht="41.4" customHeight="1">
      <c r="A523" s="1046">
        <v>66</v>
      </c>
      <c r="B523" s="1076" t="s">
        <v>1491</v>
      </c>
      <c r="C523" s="1048">
        <v>1926</v>
      </c>
      <c r="D523" s="1048"/>
      <c r="E523" s="1048" t="s">
        <v>824</v>
      </c>
      <c r="F523" s="1048">
        <v>2</v>
      </c>
      <c r="G523" s="1048">
        <v>2</v>
      </c>
      <c r="H523" s="1132">
        <v>535</v>
      </c>
      <c r="I523" s="1132">
        <v>535</v>
      </c>
      <c r="J523" s="1132">
        <v>535</v>
      </c>
      <c r="K523" s="1077">
        <v>18</v>
      </c>
      <c r="L523" s="1132">
        <v>609228</v>
      </c>
      <c r="M523" s="985">
        <v>0</v>
      </c>
      <c r="N523" s="985">
        <v>0</v>
      </c>
      <c r="O523" s="1132">
        <v>609228</v>
      </c>
      <c r="P523" s="985">
        <v>0</v>
      </c>
      <c r="Q523" s="985">
        <v>0</v>
      </c>
      <c r="R523" s="1132">
        <f t="shared" si="166"/>
        <v>1138.7439252336449</v>
      </c>
      <c r="S523" s="1048">
        <v>2021</v>
      </c>
      <c r="T523" s="1048">
        <v>2021</v>
      </c>
    </row>
    <row r="524" spans="1:20" s="997" customFormat="1" ht="42.6" customHeight="1">
      <c r="A524" s="1046">
        <v>67</v>
      </c>
      <c r="B524" s="1076" t="s">
        <v>1492</v>
      </c>
      <c r="C524" s="1048">
        <v>1936</v>
      </c>
      <c r="D524" s="1048"/>
      <c r="E524" s="1249" t="s">
        <v>218</v>
      </c>
      <c r="F524" s="1048">
        <v>3</v>
      </c>
      <c r="G524" s="1048">
        <v>3</v>
      </c>
      <c r="H524" s="1132">
        <v>1183.2</v>
      </c>
      <c r="I524" s="1132">
        <v>1183.2</v>
      </c>
      <c r="J524" s="1132">
        <v>1183.2</v>
      </c>
      <c r="K524" s="1077">
        <v>63</v>
      </c>
      <c r="L524" s="1132">
        <v>100468</v>
      </c>
      <c r="M524" s="985">
        <v>0</v>
      </c>
      <c r="N524" s="985">
        <v>0</v>
      </c>
      <c r="O524" s="1132">
        <v>100468</v>
      </c>
      <c r="P524" s="985">
        <v>0</v>
      </c>
      <c r="Q524" s="985">
        <v>0</v>
      </c>
      <c r="R524" s="1132">
        <f t="shared" si="166"/>
        <v>84.912102772143342</v>
      </c>
      <c r="S524" s="1048">
        <v>2021</v>
      </c>
      <c r="T524" s="1048">
        <v>2021</v>
      </c>
    </row>
    <row r="525" spans="1:20" s="997" customFormat="1" ht="44.4" customHeight="1">
      <c r="A525" s="1046">
        <v>68</v>
      </c>
      <c r="B525" s="1076" t="s">
        <v>1867</v>
      </c>
      <c r="C525" s="1048">
        <v>1957</v>
      </c>
      <c r="D525" s="1048"/>
      <c r="E525" s="1249" t="s">
        <v>218</v>
      </c>
      <c r="F525" s="1048">
        <v>2</v>
      </c>
      <c r="G525" s="1048">
        <v>1</v>
      </c>
      <c r="H525" s="1132">
        <v>516.5</v>
      </c>
      <c r="I525" s="1132">
        <v>516.5</v>
      </c>
      <c r="J525" s="1132">
        <v>516.5</v>
      </c>
      <c r="K525" s="1077">
        <v>17</v>
      </c>
      <c r="L525" s="1132">
        <v>807619</v>
      </c>
      <c r="M525" s="985">
        <v>0</v>
      </c>
      <c r="N525" s="985">
        <v>0</v>
      </c>
      <c r="O525" s="1132">
        <v>807619</v>
      </c>
      <c r="P525" s="985">
        <v>0</v>
      </c>
      <c r="Q525" s="985">
        <v>0</v>
      </c>
      <c r="R525" s="1132">
        <f t="shared" si="166"/>
        <v>1563.6379477250725</v>
      </c>
      <c r="S525" s="1048">
        <v>2021</v>
      </c>
      <c r="T525" s="1048">
        <v>2021</v>
      </c>
    </row>
    <row r="526" spans="1:20" s="997" customFormat="1" ht="42" customHeight="1">
      <c r="A526" s="1046">
        <v>69</v>
      </c>
      <c r="B526" s="1076" t="s">
        <v>1868</v>
      </c>
      <c r="C526" s="1048">
        <v>1982</v>
      </c>
      <c r="D526" s="1048"/>
      <c r="E526" s="1249" t="s">
        <v>218</v>
      </c>
      <c r="F526" s="1048">
        <v>5</v>
      </c>
      <c r="G526" s="1048">
        <v>6</v>
      </c>
      <c r="H526" s="1132">
        <v>4068.9</v>
      </c>
      <c r="I526" s="1132">
        <v>4068.9</v>
      </c>
      <c r="J526" s="1132">
        <v>2852.3</v>
      </c>
      <c r="K526" s="1077">
        <v>177</v>
      </c>
      <c r="L526" s="1132">
        <v>1827686</v>
      </c>
      <c r="M526" s="985">
        <v>0</v>
      </c>
      <c r="N526" s="985">
        <v>0</v>
      </c>
      <c r="O526" s="1132">
        <v>1827686</v>
      </c>
      <c r="P526" s="985">
        <v>0</v>
      </c>
      <c r="Q526" s="985">
        <v>0</v>
      </c>
      <c r="R526" s="1132">
        <f t="shared" si="166"/>
        <v>449.18430042517633</v>
      </c>
      <c r="S526" s="1048">
        <v>2021</v>
      </c>
      <c r="T526" s="1048">
        <v>2021</v>
      </c>
    </row>
    <row r="527" spans="1:20" s="997" customFormat="1" ht="40.799999999999997" customHeight="1">
      <c r="A527" s="1046">
        <v>70</v>
      </c>
      <c r="B527" s="1076" t="s">
        <v>1869</v>
      </c>
      <c r="C527" s="1049">
        <v>1979</v>
      </c>
      <c r="D527" s="1049"/>
      <c r="E527" s="1249" t="s">
        <v>218</v>
      </c>
      <c r="F527" s="1049">
        <v>2</v>
      </c>
      <c r="G527" s="1049">
        <v>1</v>
      </c>
      <c r="H527" s="1133">
        <v>396.9</v>
      </c>
      <c r="I527" s="1133">
        <v>396.9</v>
      </c>
      <c r="J527" s="1133">
        <v>396.9</v>
      </c>
      <c r="K527" s="1051">
        <v>27</v>
      </c>
      <c r="L527" s="1134">
        <v>3191297</v>
      </c>
      <c r="M527" s="985">
        <v>0</v>
      </c>
      <c r="N527" s="985">
        <v>0</v>
      </c>
      <c r="O527" s="1081">
        <v>3191297</v>
      </c>
      <c r="P527" s="985">
        <v>0</v>
      </c>
      <c r="Q527" s="985">
        <v>0</v>
      </c>
      <c r="R527" s="1132">
        <f t="shared" si="166"/>
        <v>8040.5568153187205</v>
      </c>
      <c r="S527" s="1048">
        <v>2021</v>
      </c>
      <c r="T527" s="1048">
        <v>2021</v>
      </c>
    </row>
    <row r="528" spans="1:20" s="997" customFormat="1" ht="42" customHeight="1">
      <c r="A528" s="1046">
        <v>71</v>
      </c>
      <c r="B528" s="1025" t="s">
        <v>1502</v>
      </c>
      <c r="C528" s="1049">
        <v>1954</v>
      </c>
      <c r="D528" s="1049"/>
      <c r="E528" s="1249" t="s">
        <v>218</v>
      </c>
      <c r="F528" s="1049">
        <v>2</v>
      </c>
      <c r="G528" s="1049">
        <v>2</v>
      </c>
      <c r="H528" s="1050">
        <v>718.7</v>
      </c>
      <c r="I528" s="1050">
        <v>718.7</v>
      </c>
      <c r="J528" s="1050">
        <v>718.7</v>
      </c>
      <c r="K528" s="1051">
        <v>20</v>
      </c>
      <c r="L528" s="1047">
        <v>2436914</v>
      </c>
      <c r="M528" s="985">
        <v>0</v>
      </c>
      <c r="N528" s="985">
        <v>0</v>
      </c>
      <c r="O528" s="1038">
        <v>2436914</v>
      </c>
      <c r="P528" s="985">
        <v>0</v>
      </c>
      <c r="Q528" s="985">
        <v>0</v>
      </c>
      <c r="R528" s="1067">
        <f>L528/I528</f>
        <v>3390.724919994434</v>
      </c>
      <c r="S528" s="1048">
        <v>2021</v>
      </c>
      <c r="T528" s="1048">
        <v>2021</v>
      </c>
    </row>
    <row r="529" spans="1:20" s="997" customFormat="1" ht="45" customHeight="1">
      <c r="A529" s="1046">
        <v>72</v>
      </c>
      <c r="B529" s="1076" t="s">
        <v>2353</v>
      </c>
      <c r="C529" s="1049">
        <v>1970</v>
      </c>
      <c r="D529" s="1049"/>
      <c r="E529" s="1249" t="s">
        <v>218</v>
      </c>
      <c r="F529" s="1049">
        <v>2</v>
      </c>
      <c r="G529" s="1049">
        <v>2</v>
      </c>
      <c r="H529" s="1050">
        <v>554.9</v>
      </c>
      <c r="I529" s="1050">
        <v>506.5</v>
      </c>
      <c r="J529" s="1050">
        <v>506.5</v>
      </c>
      <c r="K529" s="1051">
        <v>24</v>
      </c>
      <c r="L529" s="1047">
        <v>171264</v>
      </c>
      <c r="M529" s="985">
        <v>0</v>
      </c>
      <c r="N529" s="985">
        <v>0</v>
      </c>
      <c r="O529" s="1038">
        <v>171264</v>
      </c>
      <c r="P529" s="985">
        <v>0</v>
      </c>
      <c r="Q529" s="985">
        <v>0</v>
      </c>
      <c r="R529" s="1067">
        <f t="shared" si="166"/>
        <v>338.13228035538003</v>
      </c>
      <c r="S529" s="1048">
        <v>2021</v>
      </c>
      <c r="T529" s="1048">
        <v>2021</v>
      </c>
    </row>
    <row r="530" spans="1:20" s="997" customFormat="1" ht="43.8" customHeight="1">
      <c r="A530" s="1046">
        <v>73</v>
      </c>
      <c r="B530" s="1076" t="s">
        <v>2354</v>
      </c>
      <c r="C530" s="1049">
        <v>1970</v>
      </c>
      <c r="D530" s="1049"/>
      <c r="E530" s="1249" t="s">
        <v>218</v>
      </c>
      <c r="F530" s="1049">
        <v>2</v>
      </c>
      <c r="G530" s="1049">
        <v>1</v>
      </c>
      <c r="H530" s="1050">
        <v>389.4</v>
      </c>
      <c r="I530" s="1050">
        <v>355</v>
      </c>
      <c r="J530" s="1050">
        <v>312.3</v>
      </c>
      <c r="K530" s="1051">
        <v>25</v>
      </c>
      <c r="L530" s="1047">
        <v>131951</v>
      </c>
      <c r="M530" s="985">
        <v>0</v>
      </c>
      <c r="N530" s="985">
        <v>0</v>
      </c>
      <c r="O530" s="1038">
        <v>131951</v>
      </c>
      <c r="P530" s="985">
        <v>0</v>
      </c>
      <c r="Q530" s="985">
        <v>0</v>
      </c>
      <c r="R530" s="1067">
        <f t="shared" si="166"/>
        <v>371.6929577464789</v>
      </c>
      <c r="S530" s="1048">
        <v>2021</v>
      </c>
      <c r="T530" s="1048">
        <v>2021</v>
      </c>
    </row>
    <row r="531" spans="1:20" s="997" customFormat="1" ht="42" customHeight="1">
      <c r="A531" s="1046">
        <v>74</v>
      </c>
      <c r="B531" s="1076" t="s">
        <v>2355</v>
      </c>
      <c r="C531" s="1049">
        <v>1967</v>
      </c>
      <c r="D531" s="1049"/>
      <c r="E531" s="1249" t="s">
        <v>218</v>
      </c>
      <c r="F531" s="1049">
        <v>2</v>
      </c>
      <c r="G531" s="1049">
        <v>2</v>
      </c>
      <c r="H531" s="1050">
        <v>505.8</v>
      </c>
      <c r="I531" s="1050">
        <v>475</v>
      </c>
      <c r="J531" s="1050">
        <v>432.2</v>
      </c>
      <c r="K531" s="1051">
        <v>26</v>
      </c>
      <c r="L531" s="1047">
        <v>892181</v>
      </c>
      <c r="M531" s="985">
        <v>0</v>
      </c>
      <c r="N531" s="985">
        <v>0</v>
      </c>
      <c r="O531" s="1038">
        <v>892181</v>
      </c>
      <c r="P531" s="985">
        <v>0</v>
      </c>
      <c r="Q531" s="985">
        <v>0</v>
      </c>
      <c r="R531" s="1067">
        <f t="shared" si="166"/>
        <v>1878.2757894736842</v>
      </c>
      <c r="S531" s="1048">
        <v>2021</v>
      </c>
      <c r="T531" s="1048">
        <v>2021</v>
      </c>
    </row>
    <row r="532" spans="1:20" s="997" customFormat="1" ht="36" customHeight="1">
      <c r="A532" s="1249"/>
      <c r="B532" s="1257" t="s">
        <v>1072</v>
      </c>
      <c r="C532" s="991"/>
      <c r="D532" s="992"/>
      <c r="E532" s="993"/>
      <c r="F532" s="991"/>
      <c r="G532" s="994"/>
      <c r="H532" s="985">
        <f>H533</f>
        <v>494.9</v>
      </c>
      <c r="I532" s="985">
        <f t="shared" ref="I532:Q532" si="167">I533</f>
        <v>449.2</v>
      </c>
      <c r="J532" s="985">
        <f t="shared" si="167"/>
        <v>449.2</v>
      </c>
      <c r="K532" s="995">
        <f t="shared" si="167"/>
        <v>17</v>
      </c>
      <c r="L532" s="985">
        <f t="shared" si="167"/>
        <v>1253323</v>
      </c>
      <c r="M532" s="985">
        <f t="shared" si="167"/>
        <v>0</v>
      </c>
      <c r="N532" s="985">
        <f t="shared" si="167"/>
        <v>0</v>
      </c>
      <c r="O532" s="985">
        <f t="shared" si="167"/>
        <v>1253323</v>
      </c>
      <c r="P532" s="985">
        <f t="shared" si="167"/>
        <v>0</v>
      </c>
      <c r="Q532" s="985">
        <f t="shared" si="167"/>
        <v>0</v>
      </c>
      <c r="R532" s="996" t="s">
        <v>40</v>
      </c>
      <c r="S532" s="996" t="s">
        <v>40</v>
      </c>
      <c r="T532" s="996" t="s">
        <v>40</v>
      </c>
    </row>
    <row r="533" spans="1:20" s="1015" customFormat="1" ht="40.200000000000003" customHeight="1">
      <c r="A533" s="1249">
        <v>75</v>
      </c>
      <c r="B533" s="1135" t="s">
        <v>1870</v>
      </c>
      <c r="C533" s="1249">
        <v>1958</v>
      </c>
      <c r="D533" s="1255"/>
      <c r="E533" s="1249" t="s">
        <v>218</v>
      </c>
      <c r="F533" s="1255">
        <v>2</v>
      </c>
      <c r="G533" s="1255">
        <v>1</v>
      </c>
      <c r="H533" s="985">
        <v>494.9</v>
      </c>
      <c r="I533" s="985">
        <v>449.2</v>
      </c>
      <c r="J533" s="985">
        <v>449.2</v>
      </c>
      <c r="K533" s="986">
        <v>17</v>
      </c>
      <c r="L533" s="985">
        <v>1253323</v>
      </c>
      <c r="M533" s="985">
        <v>0</v>
      </c>
      <c r="N533" s="985">
        <v>0</v>
      </c>
      <c r="O533" s="985">
        <v>1253323</v>
      </c>
      <c r="P533" s="985">
        <v>0</v>
      </c>
      <c r="Q533" s="985">
        <v>0</v>
      </c>
      <c r="R533" s="985">
        <f t="shared" ref="R533" si="168">L533/I533</f>
        <v>2790.1224398931436</v>
      </c>
      <c r="S533" s="1048">
        <v>2021</v>
      </c>
      <c r="T533" s="1048">
        <v>2021</v>
      </c>
    </row>
    <row r="534" spans="1:20" s="1101" customFormat="1" ht="40.200000000000003" customHeight="1">
      <c r="A534" s="1016"/>
      <c r="B534" s="1551" t="s">
        <v>1073</v>
      </c>
      <c r="C534" s="1552"/>
      <c r="D534" s="1552"/>
      <c r="E534" s="1552"/>
      <c r="F534" s="1552"/>
      <c r="G534" s="1553"/>
      <c r="H534" s="998">
        <f>SUM(H535:H541)</f>
        <v>17500.3</v>
      </c>
      <c r="I534" s="998">
        <f t="shared" ref="I534:Q534" si="169">SUM(I535:I541)</f>
        <v>13692.300000000003</v>
      </c>
      <c r="J534" s="998">
        <f t="shared" si="169"/>
        <v>13422.100000000002</v>
      </c>
      <c r="K534" s="986">
        <f t="shared" si="169"/>
        <v>472</v>
      </c>
      <c r="L534" s="998">
        <f t="shared" si="169"/>
        <v>33193387</v>
      </c>
      <c r="M534" s="998">
        <f t="shared" si="169"/>
        <v>0</v>
      </c>
      <c r="N534" s="998">
        <f t="shared" si="169"/>
        <v>0</v>
      </c>
      <c r="O534" s="998">
        <f t="shared" si="169"/>
        <v>33193387</v>
      </c>
      <c r="P534" s="998">
        <f t="shared" si="169"/>
        <v>0</v>
      </c>
      <c r="Q534" s="998">
        <f t="shared" si="169"/>
        <v>0</v>
      </c>
      <c r="R534" s="1017" t="s">
        <v>40</v>
      </c>
      <c r="S534" s="1017" t="s">
        <v>40</v>
      </c>
      <c r="T534" s="1017" t="s">
        <v>40</v>
      </c>
    </row>
    <row r="535" spans="1:20" s="1101" customFormat="1" ht="40.200000000000003" customHeight="1">
      <c r="A535" s="988">
        <v>76</v>
      </c>
      <c r="B535" s="1136" t="s">
        <v>1632</v>
      </c>
      <c r="C535" s="988">
        <v>1965</v>
      </c>
      <c r="D535" s="1016"/>
      <c r="E535" s="1249" t="s">
        <v>218</v>
      </c>
      <c r="F535" s="988">
        <v>5</v>
      </c>
      <c r="G535" s="988">
        <v>3</v>
      </c>
      <c r="H535" s="998">
        <v>2979.5</v>
      </c>
      <c r="I535" s="998">
        <v>2416</v>
      </c>
      <c r="J535" s="998">
        <v>2416</v>
      </c>
      <c r="K535" s="986">
        <v>70</v>
      </c>
      <c r="L535" s="998">
        <v>5015952</v>
      </c>
      <c r="M535" s="998">
        <v>0</v>
      </c>
      <c r="N535" s="998">
        <v>0</v>
      </c>
      <c r="O535" s="998">
        <v>5015952</v>
      </c>
      <c r="P535" s="998">
        <v>0</v>
      </c>
      <c r="Q535" s="998">
        <v>0</v>
      </c>
      <c r="R535" s="985">
        <f t="shared" ref="R535" si="170">L535/I535</f>
        <v>2076.1390728476822</v>
      </c>
      <c r="S535" s="1048">
        <v>2021</v>
      </c>
      <c r="T535" s="1048">
        <v>2021</v>
      </c>
    </row>
    <row r="536" spans="1:20" s="1101" customFormat="1" ht="40.200000000000003" customHeight="1">
      <c r="A536" s="988">
        <v>77</v>
      </c>
      <c r="B536" s="1136" t="s">
        <v>1633</v>
      </c>
      <c r="C536" s="988">
        <v>1980</v>
      </c>
      <c r="D536" s="1016"/>
      <c r="E536" s="1016" t="s">
        <v>219</v>
      </c>
      <c r="F536" s="988">
        <v>5</v>
      </c>
      <c r="G536" s="988">
        <v>5</v>
      </c>
      <c r="H536" s="998">
        <v>3803.9</v>
      </c>
      <c r="I536" s="998">
        <v>3432.1</v>
      </c>
      <c r="J536" s="998">
        <v>3432.1</v>
      </c>
      <c r="K536" s="986">
        <v>149</v>
      </c>
      <c r="L536" s="998">
        <v>3621525</v>
      </c>
      <c r="M536" s="998">
        <v>0</v>
      </c>
      <c r="N536" s="998">
        <v>0</v>
      </c>
      <c r="O536" s="998">
        <v>3621525</v>
      </c>
      <c r="P536" s="998">
        <v>0</v>
      </c>
      <c r="Q536" s="998">
        <v>0</v>
      </c>
      <c r="R536" s="985">
        <f t="shared" ref="R536:R541" si="171">L536/I536</f>
        <v>1055.1921564056991</v>
      </c>
      <c r="S536" s="1048">
        <v>2021</v>
      </c>
      <c r="T536" s="1048">
        <v>2021</v>
      </c>
    </row>
    <row r="537" spans="1:20" s="1101" customFormat="1" ht="40.200000000000003" customHeight="1">
      <c r="A537" s="988">
        <v>78</v>
      </c>
      <c r="B537" s="1136" t="s">
        <v>1634</v>
      </c>
      <c r="C537" s="988">
        <v>1961</v>
      </c>
      <c r="D537" s="1016"/>
      <c r="E537" s="1249" t="s">
        <v>218</v>
      </c>
      <c r="F537" s="988">
        <v>2</v>
      </c>
      <c r="G537" s="988">
        <v>2</v>
      </c>
      <c r="H537" s="998">
        <v>581.6</v>
      </c>
      <c r="I537" s="998">
        <v>534.1</v>
      </c>
      <c r="J537" s="998">
        <v>534.1</v>
      </c>
      <c r="K537" s="986">
        <v>38</v>
      </c>
      <c r="L537" s="998">
        <v>1827686</v>
      </c>
      <c r="M537" s="998">
        <v>0</v>
      </c>
      <c r="N537" s="998">
        <v>0</v>
      </c>
      <c r="O537" s="998">
        <v>1827686</v>
      </c>
      <c r="P537" s="998">
        <v>0</v>
      </c>
      <c r="Q537" s="998">
        <v>0</v>
      </c>
      <c r="R537" s="985">
        <f t="shared" si="171"/>
        <v>3421.9921363040626</v>
      </c>
      <c r="S537" s="1048">
        <v>2021</v>
      </c>
      <c r="T537" s="1048">
        <v>2021</v>
      </c>
    </row>
    <row r="538" spans="1:20" s="1137" customFormat="1" ht="40.200000000000003" customHeight="1">
      <c r="A538" s="988">
        <v>79</v>
      </c>
      <c r="B538" s="1136" t="s">
        <v>1600</v>
      </c>
      <c r="C538" s="988">
        <v>1956</v>
      </c>
      <c r="D538" s="1016"/>
      <c r="E538" s="1249" t="s">
        <v>218</v>
      </c>
      <c r="F538" s="988">
        <v>3</v>
      </c>
      <c r="G538" s="988">
        <v>3</v>
      </c>
      <c r="H538" s="998">
        <v>2030</v>
      </c>
      <c r="I538" s="998">
        <v>1073.0999999999999</v>
      </c>
      <c r="J538" s="998">
        <v>1073.0999999999999</v>
      </c>
      <c r="K538" s="986">
        <v>28</v>
      </c>
      <c r="L538" s="998">
        <v>6536930</v>
      </c>
      <c r="M538" s="998">
        <v>0</v>
      </c>
      <c r="N538" s="998">
        <v>0</v>
      </c>
      <c r="O538" s="998">
        <v>6536930</v>
      </c>
      <c r="P538" s="998">
        <v>0</v>
      </c>
      <c r="Q538" s="998">
        <v>0</v>
      </c>
      <c r="R538" s="985">
        <f t="shared" si="171"/>
        <v>6091.631721181624</v>
      </c>
      <c r="S538" s="1048">
        <v>2021</v>
      </c>
      <c r="T538" s="1048">
        <v>2021</v>
      </c>
    </row>
    <row r="539" spans="1:20" s="1137" customFormat="1" ht="40.200000000000003" customHeight="1">
      <c r="A539" s="988">
        <v>80</v>
      </c>
      <c r="B539" s="1136" t="s">
        <v>1286</v>
      </c>
      <c r="C539" s="988">
        <v>1956</v>
      </c>
      <c r="D539" s="1016"/>
      <c r="E539" s="1249" t="s">
        <v>218</v>
      </c>
      <c r="F539" s="988">
        <v>3</v>
      </c>
      <c r="G539" s="988">
        <v>3</v>
      </c>
      <c r="H539" s="998">
        <v>1318.7</v>
      </c>
      <c r="I539" s="998">
        <v>1257.2</v>
      </c>
      <c r="J539" s="998">
        <v>1257.2</v>
      </c>
      <c r="K539" s="986">
        <v>51</v>
      </c>
      <c r="L539" s="998">
        <v>6424639</v>
      </c>
      <c r="M539" s="998">
        <v>0</v>
      </c>
      <c r="N539" s="998">
        <v>0</v>
      </c>
      <c r="O539" s="998">
        <v>6424639</v>
      </c>
      <c r="P539" s="998">
        <v>0</v>
      </c>
      <c r="Q539" s="998">
        <v>0</v>
      </c>
      <c r="R539" s="985">
        <f t="shared" si="171"/>
        <v>5110.2760101813556</v>
      </c>
      <c r="S539" s="1048">
        <v>2021</v>
      </c>
      <c r="T539" s="1048">
        <v>2021</v>
      </c>
    </row>
    <row r="540" spans="1:20" s="1137" customFormat="1" ht="40.200000000000003" customHeight="1">
      <c r="A540" s="988">
        <v>81</v>
      </c>
      <c r="B540" s="1136" t="s">
        <v>1056</v>
      </c>
      <c r="C540" s="988">
        <v>1959</v>
      </c>
      <c r="D540" s="1016"/>
      <c r="E540" s="1249" t="s">
        <v>218</v>
      </c>
      <c r="F540" s="988">
        <v>3</v>
      </c>
      <c r="G540" s="988">
        <v>4</v>
      </c>
      <c r="H540" s="998">
        <v>2824.9</v>
      </c>
      <c r="I540" s="998">
        <v>1991.7</v>
      </c>
      <c r="J540" s="998">
        <v>1721.5</v>
      </c>
      <c r="K540" s="986">
        <v>43</v>
      </c>
      <c r="L540" s="998">
        <v>6458205</v>
      </c>
      <c r="M540" s="998">
        <v>0</v>
      </c>
      <c r="N540" s="998">
        <v>0</v>
      </c>
      <c r="O540" s="998">
        <v>6458205</v>
      </c>
      <c r="P540" s="998">
        <v>0</v>
      </c>
      <c r="Q540" s="998">
        <v>0</v>
      </c>
      <c r="R540" s="985">
        <f t="shared" si="171"/>
        <v>3242.55912034945</v>
      </c>
      <c r="S540" s="1048">
        <v>2021</v>
      </c>
      <c r="T540" s="1048">
        <v>2021</v>
      </c>
    </row>
    <row r="541" spans="1:20" s="1137" customFormat="1" ht="40.200000000000003" customHeight="1">
      <c r="A541" s="988">
        <v>82</v>
      </c>
      <c r="B541" s="1136" t="s">
        <v>793</v>
      </c>
      <c r="C541" s="988">
        <v>1980</v>
      </c>
      <c r="D541" s="1016"/>
      <c r="E541" s="1016" t="s">
        <v>220</v>
      </c>
      <c r="F541" s="988">
        <v>5</v>
      </c>
      <c r="G541" s="988">
        <v>4</v>
      </c>
      <c r="H541" s="998">
        <v>3961.7</v>
      </c>
      <c r="I541" s="998">
        <v>2988.1</v>
      </c>
      <c r="J541" s="998">
        <v>2988.1</v>
      </c>
      <c r="K541" s="986">
        <v>93</v>
      </c>
      <c r="L541" s="998">
        <v>3308450</v>
      </c>
      <c r="M541" s="998">
        <v>0</v>
      </c>
      <c r="N541" s="998">
        <v>0</v>
      </c>
      <c r="O541" s="998">
        <v>3308450</v>
      </c>
      <c r="P541" s="998">
        <v>0</v>
      </c>
      <c r="Q541" s="998">
        <v>0</v>
      </c>
      <c r="R541" s="985">
        <f t="shared" si="171"/>
        <v>1107.2085940898899</v>
      </c>
      <c r="S541" s="1048">
        <v>2021</v>
      </c>
      <c r="T541" s="1048">
        <v>2021</v>
      </c>
    </row>
    <row r="542" spans="1:20" s="1137" customFormat="1" ht="40.200000000000003" customHeight="1">
      <c r="A542" s="1249"/>
      <c r="B542" s="1543" t="s">
        <v>1074</v>
      </c>
      <c r="C542" s="1544"/>
      <c r="D542" s="1544"/>
      <c r="E542" s="1544"/>
      <c r="F542" s="1544"/>
      <c r="G542" s="1545"/>
      <c r="H542" s="985">
        <f>SUM(H543:H556)</f>
        <v>24056.799999999999</v>
      </c>
      <c r="I542" s="985">
        <f t="shared" ref="I542:Q542" si="172">SUM(I543:I556)</f>
        <v>23578.6</v>
      </c>
      <c r="J542" s="985">
        <f t="shared" si="172"/>
        <v>19589.600000000002</v>
      </c>
      <c r="K542" s="985">
        <f t="shared" si="172"/>
        <v>818</v>
      </c>
      <c r="L542" s="985">
        <f t="shared" si="172"/>
        <v>27726309</v>
      </c>
      <c r="M542" s="985">
        <f t="shared" si="172"/>
        <v>0</v>
      </c>
      <c r="N542" s="985">
        <f t="shared" si="172"/>
        <v>0</v>
      </c>
      <c r="O542" s="985">
        <f t="shared" si="172"/>
        <v>27726309</v>
      </c>
      <c r="P542" s="985">
        <f t="shared" si="172"/>
        <v>0</v>
      </c>
      <c r="Q542" s="985">
        <f t="shared" si="172"/>
        <v>0</v>
      </c>
      <c r="R542" s="996" t="s">
        <v>40</v>
      </c>
      <c r="S542" s="996" t="s">
        <v>40</v>
      </c>
      <c r="T542" s="996" t="s">
        <v>40</v>
      </c>
    </row>
    <row r="543" spans="1:20" s="1137" customFormat="1" ht="40.200000000000003" customHeight="1">
      <c r="A543" s="1393">
        <v>83</v>
      </c>
      <c r="B543" s="1390" t="s">
        <v>2037</v>
      </c>
      <c r="C543" s="1393">
        <v>1956</v>
      </c>
      <c r="D543" s="1393"/>
      <c r="E543" s="1383" t="s">
        <v>218</v>
      </c>
      <c r="F543" s="1393">
        <v>2</v>
      </c>
      <c r="G543" s="1393">
        <v>2</v>
      </c>
      <c r="H543" s="985">
        <v>928.4</v>
      </c>
      <c r="I543" s="985">
        <v>928.4</v>
      </c>
      <c r="J543" s="985">
        <v>798.1</v>
      </c>
      <c r="K543" s="995">
        <v>25</v>
      </c>
      <c r="L543" s="985">
        <v>2547928</v>
      </c>
      <c r="M543" s="985">
        <v>0</v>
      </c>
      <c r="N543" s="985">
        <v>0</v>
      </c>
      <c r="O543" s="985">
        <f>L543</f>
        <v>2547928</v>
      </c>
      <c r="P543" s="985">
        <v>0</v>
      </c>
      <c r="Q543" s="985">
        <v>0</v>
      </c>
      <c r="R543" s="985">
        <f t="shared" ref="R543:R562" si="173">L543/I543</f>
        <v>2744.4291253769929</v>
      </c>
      <c r="S543" s="1393">
        <v>2021</v>
      </c>
      <c r="T543" s="1393">
        <v>2021</v>
      </c>
    </row>
    <row r="544" spans="1:20" s="997" customFormat="1" ht="42.6" customHeight="1">
      <c r="A544" s="1393">
        <v>84</v>
      </c>
      <c r="B544" s="1390" t="s">
        <v>1871</v>
      </c>
      <c r="C544" s="1393">
        <v>1960</v>
      </c>
      <c r="D544" s="1393"/>
      <c r="E544" s="1383" t="s">
        <v>218</v>
      </c>
      <c r="F544" s="1393">
        <v>2</v>
      </c>
      <c r="G544" s="1393">
        <v>1</v>
      </c>
      <c r="H544" s="985">
        <v>410.6</v>
      </c>
      <c r="I544" s="985">
        <v>410.6</v>
      </c>
      <c r="J544" s="985">
        <v>373.1</v>
      </c>
      <c r="K544" s="995">
        <v>19</v>
      </c>
      <c r="L544" s="985">
        <v>1259274</v>
      </c>
      <c r="M544" s="985">
        <v>0</v>
      </c>
      <c r="N544" s="985">
        <v>0</v>
      </c>
      <c r="O544" s="985">
        <f t="shared" ref="O544:O555" si="174">L544</f>
        <v>1259274</v>
      </c>
      <c r="P544" s="985">
        <v>0</v>
      </c>
      <c r="Q544" s="985">
        <v>0</v>
      </c>
      <c r="R544" s="985">
        <f t="shared" si="173"/>
        <v>3066.9118363370676</v>
      </c>
      <c r="S544" s="1393">
        <v>2021</v>
      </c>
      <c r="T544" s="1393">
        <v>2021</v>
      </c>
    </row>
    <row r="545" spans="1:20" s="997" customFormat="1" ht="39.6" customHeight="1">
      <c r="A545" s="1393">
        <v>85</v>
      </c>
      <c r="B545" s="1390" t="s">
        <v>1873</v>
      </c>
      <c r="C545" s="1393">
        <v>1973</v>
      </c>
      <c r="D545" s="1393"/>
      <c r="E545" s="1383" t="s">
        <v>218</v>
      </c>
      <c r="F545" s="1393">
        <v>5</v>
      </c>
      <c r="G545" s="1393">
        <v>4</v>
      </c>
      <c r="H545" s="985">
        <v>3571.3</v>
      </c>
      <c r="I545" s="985">
        <v>3571.3</v>
      </c>
      <c r="J545" s="985">
        <v>3250.3</v>
      </c>
      <c r="K545" s="995">
        <v>132</v>
      </c>
      <c r="L545" s="985">
        <v>3036379</v>
      </c>
      <c r="M545" s="985">
        <v>0</v>
      </c>
      <c r="N545" s="985">
        <v>0</v>
      </c>
      <c r="O545" s="985">
        <f t="shared" si="174"/>
        <v>3036379</v>
      </c>
      <c r="P545" s="985">
        <v>0</v>
      </c>
      <c r="Q545" s="985">
        <v>0</v>
      </c>
      <c r="R545" s="985">
        <f t="shared" si="173"/>
        <v>850.21672780220081</v>
      </c>
      <c r="S545" s="1393">
        <v>2021</v>
      </c>
      <c r="T545" s="1393">
        <v>2021</v>
      </c>
    </row>
    <row r="546" spans="1:20" s="997" customFormat="1" ht="42.6" customHeight="1">
      <c r="A546" s="1393">
        <v>86</v>
      </c>
      <c r="B546" s="1390" t="s">
        <v>1425</v>
      </c>
      <c r="C546" s="1393">
        <v>1968</v>
      </c>
      <c r="D546" s="1393"/>
      <c r="E546" s="1383" t="s">
        <v>218</v>
      </c>
      <c r="F546" s="1393">
        <v>5</v>
      </c>
      <c r="G546" s="1393">
        <v>8</v>
      </c>
      <c r="H546" s="985">
        <v>6772.5</v>
      </c>
      <c r="I546" s="985">
        <v>6772.5</v>
      </c>
      <c r="J546" s="985">
        <v>5764.5</v>
      </c>
      <c r="K546" s="995">
        <v>196</v>
      </c>
      <c r="L546" s="985">
        <v>5301433</v>
      </c>
      <c r="M546" s="985">
        <v>0</v>
      </c>
      <c r="N546" s="985">
        <v>0</v>
      </c>
      <c r="O546" s="985">
        <f t="shared" si="174"/>
        <v>5301433</v>
      </c>
      <c r="P546" s="985">
        <v>0</v>
      </c>
      <c r="Q546" s="985">
        <v>0</v>
      </c>
      <c r="R546" s="985">
        <f t="shared" si="173"/>
        <v>782.7881875230712</v>
      </c>
      <c r="S546" s="1393">
        <v>2021</v>
      </c>
      <c r="T546" s="1393">
        <v>2021</v>
      </c>
    </row>
    <row r="547" spans="1:20" s="997" customFormat="1" ht="42" customHeight="1">
      <c r="A547" s="1393">
        <v>87</v>
      </c>
      <c r="B547" s="1390" t="s">
        <v>1426</v>
      </c>
      <c r="C547" s="1393">
        <v>1964</v>
      </c>
      <c r="D547" s="1393"/>
      <c r="E547" s="1383" t="s">
        <v>218</v>
      </c>
      <c r="F547" s="1393">
        <v>2</v>
      </c>
      <c r="G547" s="1393">
        <v>2</v>
      </c>
      <c r="H547" s="985">
        <v>404</v>
      </c>
      <c r="I547" s="985">
        <v>404</v>
      </c>
      <c r="J547" s="985">
        <v>360.3</v>
      </c>
      <c r="K547" s="995">
        <v>15</v>
      </c>
      <c r="L547" s="985">
        <v>1274980</v>
      </c>
      <c r="M547" s="985">
        <v>0</v>
      </c>
      <c r="N547" s="985">
        <v>0</v>
      </c>
      <c r="O547" s="985">
        <f t="shared" si="174"/>
        <v>1274980</v>
      </c>
      <c r="P547" s="985">
        <v>0</v>
      </c>
      <c r="Q547" s="985">
        <v>0</v>
      </c>
      <c r="R547" s="985">
        <f t="shared" si="173"/>
        <v>3155.8910891089108</v>
      </c>
      <c r="S547" s="1393">
        <v>2021</v>
      </c>
      <c r="T547" s="1393">
        <v>2021</v>
      </c>
    </row>
    <row r="548" spans="1:20" s="997" customFormat="1" ht="42.6" customHeight="1">
      <c r="A548" s="1393">
        <v>88</v>
      </c>
      <c r="B548" s="1390" t="s">
        <v>1427</v>
      </c>
      <c r="C548" s="1393">
        <v>1969</v>
      </c>
      <c r="D548" s="1393"/>
      <c r="E548" s="1383" t="s">
        <v>218</v>
      </c>
      <c r="F548" s="1393">
        <v>5</v>
      </c>
      <c r="G548" s="1393">
        <v>4</v>
      </c>
      <c r="H548" s="985">
        <v>3608.6</v>
      </c>
      <c r="I548" s="985">
        <v>3130.4</v>
      </c>
      <c r="J548" s="985">
        <v>2122.4</v>
      </c>
      <c r="K548" s="995">
        <v>123</v>
      </c>
      <c r="L548" s="985">
        <v>3318717</v>
      </c>
      <c r="M548" s="985">
        <v>0</v>
      </c>
      <c r="N548" s="985">
        <v>0</v>
      </c>
      <c r="O548" s="985">
        <f t="shared" si="174"/>
        <v>3318717</v>
      </c>
      <c r="P548" s="985">
        <v>0</v>
      </c>
      <c r="Q548" s="985">
        <v>0</v>
      </c>
      <c r="R548" s="985">
        <f t="shared" si="173"/>
        <v>1060.1574878609763</v>
      </c>
      <c r="S548" s="1393">
        <v>2021</v>
      </c>
      <c r="T548" s="1393">
        <v>2021</v>
      </c>
    </row>
    <row r="549" spans="1:20" s="997" customFormat="1" ht="40.799999999999997" customHeight="1">
      <c r="A549" s="1393">
        <v>89</v>
      </c>
      <c r="B549" s="1390" t="s">
        <v>1428</v>
      </c>
      <c r="C549" s="1393">
        <v>1917</v>
      </c>
      <c r="D549" s="1393"/>
      <c r="E549" s="1383" t="s">
        <v>218</v>
      </c>
      <c r="F549" s="1393">
        <v>2</v>
      </c>
      <c r="G549" s="1393">
        <v>2</v>
      </c>
      <c r="H549" s="985">
        <v>552.5</v>
      </c>
      <c r="I549" s="985">
        <v>552.5</v>
      </c>
      <c r="J549" s="985">
        <v>289.2</v>
      </c>
      <c r="K549" s="995">
        <v>24</v>
      </c>
      <c r="L549" s="985">
        <v>168182</v>
      </c>
      <c r="M549" s="985">
        <v>0</v>
      </c>
      <c r="N549" s="985">
        <v>0</v>
      </c>
      <c r="O549" s="985">
        <f t="shared" si="174"/>
        <v>168182</v>
      </c>
      <c r="P549" s="985">
        <v>0</v>
      </c>
      <c r="Q549" s="985">
        <v>0</v>
      </c>
      <c r="R549" s="985">
        <f t="shared" si="173"/>
        <v>304.40180995475112</v>
      </c>
      <c r="S549" s="1393">
        <v>2021</v>
      </c>
      <c r="T549" s="1393">
        <v>2021</v>
      </c>
    </row>
    <row r="550" spans="1:20" s="997" customFormat="1" ht="42.6" customHeight="1">
      <c r="A550" s="1393">
        <v>90</v>
      </c>
      <c r="B550" s="1390" t="s">
        <v>1429</v>
      </c>
      <c r="C550" s="1393">
        <v>1917</v>
      </c>
      <c r="D550" s="1393"/>
      <c r="E550" s="1383" t="s">
        <v>218</v>
      </c>
      <c r="F550" s="1393">
        <v>2</v>
      </c>
      <c r="G550" s="1393">
        <v>1</v>
      </c>
      <c r="H550" s="985">
        <v>289.89999999999998</v>
      </c>
      <c r="I550" s="985">
        <v>289.89999999999998</v>
      </c>
      <c r="J550" s="985">
        <v>193.7</v>
      </c>
      <c r="K550" s="995">
        <v>9</v>
      </c>
      <c r="L550" s="985">
        <v>1065134</v>
      </c>
      <c r="M550" s="985">
        <v>0</v>
      </c>
      <c r="N550" s="985">
        <v>0</v>
      </c>
      <c r="O550" s="985">
        <f t="shared" si="174"/>
        <v>1065134</v>
      </c>
      <c r="P550" s="985">
        <v>0</v>
      </c>
      <c r="Q550" s="985">
        <v>0</v>
      </c>
      <c r="R550" s="985">
        <f t="shared" si="173"/>
        <v>3674.1428078647814</v>
      </c>
      <c r="S550" s="1393">
        <v>2021</v>
      </c>
      <c r="T550" s="1393">
        <v>2021</v>
      </c>
    </row>
    <row r="551" spans="1:20" s="997" customFormat="1" ht="42" customHeight="1">
      <c r="A551" s="1393">
        <v>91</v>
      </c>
      <c r="B551" s="1390" t="s">
        <v>1118</v>
      </c>
      <c r="C551" s="1393">
        <v>1960</v>
      </c>
      <c r="D551" s="1393"/>
      <c r="E551" s="1383" t="s">
        <v>218</v>
      </c>
      <c r="F551" s="1393">
        <v>3</v>
      </c>
      <c r="G551" s="1393">
        <v>3</v>
      </c>
      <c r="H551" s="985">
        <v>1425.1</v>
      </c>
      <c r="I551" s="985">
        <v>1425.1</v>
      </c>
      <c r="J551" s="985">
        <v>939.9</v>
      </c>
      <c r="K551" s="995">
        <v>61</v>
      </c>
      <c r="L551" s="985">
        <v>129465</v>
      </c>
      <c r="M551" s="985">
        <v>0</v>
      </c>
      <c r="N551" s="985">
        <v>0</v>
      </c>
      <c r="O551" s="985">
        <f t="shared" si="174"/>
        <v>129465</v>
      </c>
      <c r="P551" s="985">
        <v>0</v>
      </c>
      <c r="Q551" s="985">
        <v>0</v>
      </c>
      <c r="R551" s="985">
        <f t="shared" si="173"/>
        <v>90.846256403059442</v>
      </c>
      <c r="S551" s="1393">
        <v>2021</v>
      </c>
      <c r="T551" s="1393">
        <v>2021</v>
      </c>
    </row>
    <row r="552" spans="1:20" s="997" customFormat="1" ht="40.200000000000003" customHeight="1">
      <c r="A552" s="1393">
        <v>92</v>
      </c>
      <c r="B552" s="1390" t="s">
        <v>1421</v>
      </c>
      <c r="C552" s="1393">
        <v>1917</v>
      </c>
      <c r="D552" s="1393"/>
      <c r="E552" s="1383" t="s">
        <v>218</v>
      </c>
      <c r="F552" s="1393">
        <v>2</v>
      </c>
      <c r="G552" s="1393">
        <v>1</v>
      </c>
      <c r="H552" s="985">
        <v>513.9</v>
      </c>
      <c r="I552" s="985">
        <v>513.9</v>
      </c>
      <c r="J552" s="985">
        <v>483.1</v>
      </c>
      <c r="K552" s="995">
        <v>16</v>
      </c>
      <c r="L552" s="985">
        <v>1633747</v>
      </c>
      <c r="M552" s="985">
        <v>0</v>
      </c>
      <c r="N552" s="985">
        <v>0</v>
      </c>
      <c r="O552" s="985">
        <f t="shared" si="174"/>
        <v>1633747</v>
      </c>
      <c r="P552" s="985">
        <v>0</v>
      </c>
      <c r="Q552" s="985">
        <v>0</v>
      </c>
      <c r="R552" s="985">
        <f t="shared" si="173"/>
        <v>3179.1146137380815</v>
      </c>
      <c r="S552" s="1393">
        <v>2021</v>
      </c>
      <c r="T552" s="1393">
        <v>2021</v>
      </c>
    </row>
    <row r="553" spans="1:20" s="997" customFormat="1" ht="40.799999999999997" customHeight="1">
      <c r="A553" s="1393">
        <v>93</v>
      </c>
      <c r="B553" s="1390" t="s">
        <v>1422</v>
      </c>
      <c r="C553" s="1393">
        <v>1957</v>
      </c>
      <c r="D553" s="1393"/>
      <c r="E553" s="1383" t="s">
        <v>218</v>
      </c>
      <c r="F553" s="1393">
        <v>3</v>
      </c>
      <c r="G553" s="1393">
        <v>3</v>
      </c>
      <c r="H553" s="985">
        <v>2014.3</v>
      </c>
      <c r="I553" s="985">
        <v>2014.3</v>
      </c>
      <c r="J553" s="985">
        <v>1870.9</v>
      </c>
      <c r="K553" s="995">
        <v>66</v>
      </c>
      <c r="L553" s="985">
        <v>2990944</v>
      </c>
      <c r="M553" s="985">
        <v>0</v>
      </c>
      <c r="N553" s="985">
        <v>0</v>
      </c>
      <c r="O553" s="985">
        <f t="shared" si="174"/>
        <v>2990944</v>
      </c>
      <c r="P553" s="985">
        <v>0</v>
      </c>
      <c r="Q553" s="985">
        <v>0</v>
      </c>
      <c r="R553" s="985">
        <f t="shared" si="173"/>
        <v>1484.8552847142928</v>
      </c>
      <c r="S553" s="1393">
        <v>2021</v>
      </c>
      <c r="T553" s="1393">
        <v>2021</v>
      </c>
    </row>
    <row r="554" spans="1:20" s="997" customFormat="1" ht="43.8" customHeight="1">
      <c r="A554" s="1393">
        <v>94</v>
      </c>
      <c r="B554" s="1390" t="s">
        <v>1126</v>
      </c>
      <c r="C554" s="1393">
        <v>1960</v>
      </c>
      <c r="D554" s="1393"/>
      <c r="E554" s="1383" t="s">
        <v>218</v>
      </c>
      <c r="F554" s="1393">
        <v>3</v>
      </c>
      <c r="G554" s="1393">
        <v>3</v>
      </c>
      <c r="H554" s="985">
        <v>1516.6</v>
      </c>
      <c r="I554" s="985">
        <v>1516.6</v>
      </c>
      <c r="J554" s="985">
        <v>1448.5</v>
      </c>
      <c r="K554" s="995">
        <v>60</v>
      </c>
      <c r="L554" s="985">
        <v>2494910</v>
      </c>
      <c r="M554" s="985">
        <f>M555+M564+M565+M566+M567+M568+M569+M570+M571+M572+M573+M574+M575+M576+M577</f>
        <v>0</v>
      </c>
      <c r="N554" s="985">
        <f>N555+N564+N565+N566+N567+N568+N569+N570+N571+N572+N573+N574+N575+N576+N577</f>
        <v>0</v>
      </c>
      <c r="O554" s="985">
        <f t="shared" si="174"/>
        <v>2494910</v>
      </c>
      <c r="P554" s="985">
        <v>0</v>
      </c>
      <c r="Q554" s="985">
        <v>0</v>
      </c>
      <c r="R554" s="985">
        <f t="shared" si="173"/>
        <v>1645.0679150731901</v>
      </c>
      <c r="S554" s="1393">
        <v>2021</v>
      </c>
      <c r="T554" s="1393">
        <v>2021</v>
      </c>
    </row>
    <row r="555" spans="1:20" s="997" customFormat="1" ht="44.4" customHeight="1">
      <c r="A555" s="1393">
        <v>95</v>
      </c>
      <c r="B555" s="1390" t="s">
        <v>1424</v>
      </c>
      <c r="C555" s="1393">
        <v>1962</v>
      </c>
      <c r="D555" s="1393"/>
      <c r="E555" s="1383" t="s">
        <v>218</v>
      </c>
      <c r="F555" s="1393">
        <v>3</v>
      </c>
      <c r="G555" s="1393">
        <v>2</v>
      </c>
      <c r="H555" s="985">
        <v>1024.2</v>
      </c>
      <c r="I555" s="985">
        <v>1024.2</v>
      </c>
      <c r="J555" s="985">
        <v>744.4</v>
      </c>
      <c r="K555" s="995">
        <v>39</v>
      </c>
      <c r="L555" s="985">
        <v>1244457</v>
      </c>
      <c r="M555" s="985">
        <f>M564+M565+M566+M567+M568+M569+M570+M571+M572+M573+M574+M575+M576+M577+M578</f>
        <v>0</v>
      </c>
      <c r="N555" s="985">
        <f>N564+N565+N566+N567+N568+N569+N570+N571+N572+N573+N574+N575+N576+N577+N578</f>
        <v>0</v>
      </c>
      <c r="O555" s="985">
        <f t="shared" si="174"/>
        <v>1244457</v>
      </c>
      <c r="P555" s="1138">
        <v>0</v>
      </c>
      <c r="Q555" s="985">
        <v>0</v>
      </c>
      <c r="R555" s="1398">
        <f t="shared" si="173"/>
        <v>1215.0527240773285</v>
      </c>
      <c r="S555" s="1393">
        <v>2021</v>
      </c>
      <c r="T555" s="1393">
        <v>2021</v>
      </c>
    </row>
    <row r="556" spans="1:20" s="997" customFormat="1" ht="40.200000000000003" customHeight="1">
      <c r="A556" s="1393">
        <v>96</v>
      </c>
      <c r="B556" s="1390" t="s">
        <v>1772</v>
      </c>
      <c r="C556" s="1393">
        <v>1961</v>
      </c>
      <c r="D556" s="1393"/>
      <c r="E556" s="1383" t="s">
        <v>218</v>
      </c>
      <c r="F556" s="1393">
        <v>3</v>
      </c>
      <c r="G556" s="1393">
        <v>2</v>
      </c>
      <c r="H556" s="985">
        <v>1024.9000000000001</v>
      </c>
      <c r="I556" s="985">
        <v>1024.9000000000001</v>
      </c>
      <c r="J556" s="985">
        <v>951.2</v>
      </c>
      <c r="K556" s="995">
        <v>33</v>
      </c>
      <c r="L556" s="985">
        <v>1260759</v>
      </c>
      <c r="M556" s="985">
        <v>0</v>
      </c>
      <c r="N556" s="985">
        <v>0</v>
      </c>
      <c r="O556" s="985">
        <f>L556</f>
        <v>1260759</v>
      </c>
      <c r="P556" s="985">
        <v>0</v>
      </c>
      <c r="Q556" s="985">
        <v>0</v>
      </c>
      <c r="R556" s="985">
        <f>L556/I556</f>
        <v>1230.1287930529807</v>
      </c>
      <c r="S556" s="1393">
        <v>2021</v>
      </c>
      <c r="T556" s="1393">
        <v>2021</v>
      </c>
    </row>
    <row r="557" spans="1:20" s="997" customFormat="1" ht="36" customHeight="1">
      <c r="A557" s="1393"/>
      <c r="B557" s="1388" t="s">
        <v>1163</v>
      </c>
      <c r="C557" s="991"/>
      <c r="D557" s="992"/>
      <c r="E557" s="993"/>
      <c r="F557" s="991"/>
      <c r="G557" s="994"/>
      <c r="H557" s="1060">
        <f>SUM(H558:H562)</f>
        <v>20992.200000000004</v>
      </c>
      <c r="I557" s="1060">
        <f t="shared" ref="I557:Q557" si="175">SUM(I558:I562)</f>
        <v>14563</v>
      </c>
      <c r="J557" s="1060">
        <f t="shared" si="175"/>
        <v>8991.48</v>
      </c>
      <c r="K557" s="995">
        <f t="shared" si="175"/>
        <v>599</v>
      </c>
      <c r="L557" s="1060">
        <f t="shared" si="175"/>
        <v>14990322</v>
      </c>
      <c r="M557" s="1060">
        <f t="shared" si="175"/>
        <v>0</v>
      </c>
      <c r="N557" s="1060">
        <f t="shared" si="175"/>
        <v>0</v>
      </c>
      <c r="O557" s="1060">
        <f t="shared" si="175"/>
        <v>14990322</v>
      </c>
      <c r="P557" s="1060">
        <f t="shared" si="175"/>
        <v>0</v>
      </c>
      <c r="Q557" s="1060">
        <f t="shared" si="175"/>
        <v>0</v>
      </c>
      <c r="R557" s="996" t="s">
        <v>40</v>
      </c>
      <c r="S557" s="996" t="s">
        <v>40</v>
      </c>
      <c r="T557" s="996" t="s">
        <v>40</v>
      </c>
    </row>
    <row r="558" spans="1:20" s="1015" customFormat="1" ht="37.799999999999997" customHeight="1">
      <c r="A558" s="1393">
        <v>97</v>
      </c>
      <c r="B558" s="1385" t="s">
        <v>239</v>
      </c>
      <c r="C558" s="1393">
        <v>2002</v>
      </c>
      <c r="D558" s="1393"/>
      <c r="E558" s="1383" t="s">
        <v>219</v>
      </c>
      <c r="F558" s="1393">
        <v>5</v>
      </c>
      <c r="G558" s="1393">
        <v>3</v>
      </c>
      <c r="H558" s="1139">
        <v>4541.6000000000004</v>
      </c>
      <c r="I558" s="1139">
        <v>3776.8</v>
      </c>
      <c r="J558" s="1139">
        <v>1744.88</v>
      </c>
      <c r="K558" s="995">
        <v>150</v>
      </c>
      <c r="L558" s="985">
        <v>3070384</v>
      </c>
      <c r="M558" s="985">
        <v>0</v>
      </c>
      <c r="N558" s="985">
        <v>0</v>
      </c>
      <c r="O558" s="985">
        <f>L558</f>
        <v>3070384</v>
      </c>
      <c r="P558" s="985">
        <v>0</v>
      </c>
      <c r="Q558" s="985">
        <v>0</v>
      </c>
      <c r="R558" s="985">
        <f t="shared" si="173"/>
        <v>812.95911883075621</v>
      </c>
      <c r="S558" s="1393">
        <v>2021</v>
      </c>
      <c r="T558" s="1393">
        <v>2021</v>
      </c>
    </row>
    <row r="559" spans="1:20" s="1015" customFormat="1" ht="43.95" customHeight="1">
      <c r="A559" s="1393">
        <v>98</v>
      </c>
      <c r="B559" s="1385" t="s">
        <v>1522</v>
      </c>
      <c r="C559" s="1393">
        <v>1972</v>
      </c>
      <c r="D559" s="1393"/>
      <c r="E559" s="1383" t="s">
        <v>218</v>
      </c>
      <c r="F559" s="1393">
        <v>5</v>
      </c>
      <c r="G559" s="1393">
        <v>5</v>
      </c>
      <c r="H559" s="1139">
        <v>6215.1</v>
      </c>
      <c r="I559" s="1139">
        <v>4107.1000000000004</v>
      </c>
      <c r="J559" s="1139">
        <v>3448.8</v>
      </c>
      <c r="K559" s="995">
        <v>180</v>
      </c>
      <c r="L559" s="985">
        <v>3021475</v>
      </c>
      <c r="M559" s="985">
        <v>0</v>
      </c>
      <c r="N559" s="985">
        <v>0</v>
      </c>
      <c r="O559" s="985">
        <f t="shared" ref="O559" si="176">L559</f>
        <v>3021475</v>
      </c>
      <c r="P559" s="985">
        <v>0</v>
      </c>
      <c r="Q559" s="985">
        <v>0</v>
      </c>
      <c r="R559" s="985">
        <f t="shared" si="173"/>
        <v>735.67115482944166</v>
      </c>
      <c r="S559" s="1393">
        <v>2021</v>
      </c>
      <c r="T559" s="1393">
        <v>2021</v>
      </c>
    </row>
    <row r="560" spans="1:20" s="1015" customFormat="1" ht="40.200000000000003" customHeight="1">
      <c r="A560" s="1393">
        <v>99</v>
      </c>
      <c r="B560" s="1385" t="s">
        <v>1523</v>
      </c>
      <c r="C560" s="1393">
        <v>1977</v>
      </c>
      <c r="D560" s="1393"/>
      <c r="E560" s="1383" t="s">
        <v>219</v>
      </c>
      <c r="F560" s="1393">
        <v>5</v>
      </c>
      <c r="G560" s="1393">
        <v>5</v>
      </c>
      <c r="H560" s="1140">
        <v>5296.1</v>
      </c>
      <c r="I560" s="1139">
        <v>3440.9</v>
      </c>
      <c r="J560" s="1140">
        <v>2364.4</v>
      </c>
      <c r="K560" s="995">
        <v>163</v>
      </c>
      <c r="L560" s="985">
        <v>2738891</v>
      </c>
      <c r="M560" s="1141">
        <v>0</v>
      </c>
      <c r="N560" s="985">
        <v>0</v>
      </c>
      <c r="O560" s="1141">
        <f>L560</f>
        <v>2738891</v>
      </c>
      <c r="P560" s="985">
        <v>0</v>
      </c>
      <c r="Q560" s="985">
        <v>0</v>
      </c>
      <c r="R560" s="985">
        <f t="shared" si="173"/>
        <v>795.98099334476444</v>
      </c>
      <c r="S560" s="1393">
        <v>2021</v>
      </c>
      <c r="T560" s="1393">
        <v>2021</v>
      </c>
    </row>
    <row r="561" spans="1:20" s="1015" customFormat="1" ht="36" customHeight="1">
      <c r="A561" s="1393">
        <v>100</v>
      </c>
      <c r="B561" s="1385" t="s">
        <v>1874</v>
      </c>
      <c r="C561" s="1393">
        <v>2000</v>
      </c>
      <c r="D561" s="1393"/>
      <c r="E561" s="1393" t="s">
        <v>222</v>
      </c>
      <c r="F561" s="1393">
        <v>2</v>
      </c>
      <c r="G561" s="1393">
        <v>1</v>
      </c>
      <c r="H561" s="1140">
        <v>1704</v>
      </c>
      <c r="I561" s="1139">
        <v>667.4</v>
      </c>
      <c r="J561" s="1140">
        <v>356.5</v>
      </c>
      <c r="K561" s="995">
        <v>28</v>
      </c>
      <c r="L561" s="985">
        <v>2010454</v>
      </c>
      <c r="M561" s="1141">
        <v>0</v>
      </c>
      <c r="N561" s="985">
        <v>0</v>
      </c>
      <c r="O561" s="1141">
        <f>L561</f>
        <v>2010454</v>
      </c>
      <c r="P561" s="985">
        <v>0</v>
      </c>
      <c r="Q561" s="985">
        <v>0</v>
      </c>
      <c r="R561" s="985">
        <f t="shared" si="173"/>
        <v>3012.3673958645491</v>
      </c>
      <c r="S561" s="1393">
        <v>2021</v>
      </c>
      <c r="T561" s="1393">
        <v>2021</v>
      </c>
    </row>
    <row r="562" spans="1:20" s="1015" customFormat="1" ht="43.95" customHeight="1">
      <c r="A562" s="1393">
        <v>101</v>
      </c>
      <c r="B562" s="1389" t="s">
        <v>1524</v>
      </c>
      <c r="C562" s="1393">
        <v>1936</v>
      </c>
      <c r="D562" s="1393"/>
      <c r="E562" s="1383" t="s">
        <v>218</v>
      </c>
      <c r="F562" s="1393">
        <v>4</v>
      </c>
      <c r="G562" s="1393">
        <v>4</v>
      </c>
      <c r="H562" s="1140">
        <v>3235.4</v>
      </c>
      <c r="I562" s="1139">
        <v>2570.8000000000002</v>
      </c>
      <c r="J562" s="1140">
        <v>1076.9000000000001</v>
      </c>
      <c r="K562" s="995">
        <v>78</v>
      </c>
      <c r="L562" s="985">
        <v>4149118</v>
      </c>
      <c r="M562" s="1141">
        <v>0</v>
      </c>
      <c r="N562" s="985">
        <v>0</v>
      </c>
      <c r="O562" s="1141">
        <f>L562</f>
        <v>4149118</v>
      </c>
      <c r="P562" s="985">
        <v>0</v>
      </c>
      <c r="Q562" s="985">
        <v>0</v>
      </c>
      <c r="R562" s="985">
        <f t="shared" si="173"/>
        <v>1613.9404076552046</v>
      </c>
      <c r="S562" s="1393">
        <v>2021</v>
      </c>
      <c r="T562" s="1393">
        <v>2021</v>
      </c>
    </row>
    <row r="563" spans="1:20" s="997" customFormat="1" ht="36" customHeight="1">
      <c r="A563" s="1383"/>
      <c r="B563" s="1543" t="s">
        <v>1681</v>
      </c>
      <c r="C563" s="1544"/>
      <c r="D563" s="1544"/>
      <c r="E563" s="1544"/>
      <c r="F563" s="1544"/>
      <c r="G563" s="1545"/>
      <c r="H563" s="1140">
        <f>H564+H565</f>
        <v>1804</v>
      </c>
      <c r="I563" s="1140">
        <f t="shared" ref="I563:Q563" si="177">I564+I565</f>
        <v>830.6</v>
      </c>
      <c r="J563" s="1140">
        <f t="shared" si="177"/>
        <v>830.6</v>
      </c>
      <c r="K563" s="1142">
        <f t="shared" si="177"/>
        <v>43</v>
      </c>
      <c r="L563" s="1140">
        <f t="shared" si="177"/>
        <v>4041216</v>
      </c>
      <c r="M563" s="1140">
        <f t="shared" si="177"/>
        <v>0</v>
      </c>
      <c r="N563" s="1140">
        <f t="shared" si="177"/>
        <v>0</v>
      </c>
      <c r="O563" s="1140">
        <f t="shared" si="177"/>
        <v>4041216</v>
      </c>
      <c r="P563" s="1140">
        <f t="shared" si="177"/>
        <v>0</v>
      </c>
      <c r="Q563" s="1140">
        <f t="shared" si="177"/>
        <v>0</v>
      </c>
      <c r="R563" s="996" t="s">
        <v>40</v>
      </c>
      <c r="S563" s="996" t="s">
        <v>40</v>
      </c>
      <c r="T563" s="996" t="s">
        <v>40</v>
      </c>
    </row>
    <row r="564" spans="1:20" s="997" customFormat="1" ht="40.799999999999997" customHeight="1">
      <c r="A564" s="1383">
        <v>102</v>
      </c>
      <c r="B564" s="1385" t="s">
        <v>1875</v>
      </c>
      <c r="C564" s="1393">
        <v>1981</v>
      </c>
      <c r="D564" s="1393"/>
      <c r="E564" s="1383" t="s">
        <v>218</v>
      </c>
      <c r="F564" s="1393">
        <v>2</v>
      </c>
      <c r="G564" s="1393">
        <v>3</v>
      </c>
      <c r="H564" s="1140">
        <v>1440.4</v>
      </c>
      <c r="I564" s="1139">
        <v>494.6</v>
      </c>
      <c r="J564" s="1140">
        <v>494.6</v>
      </c>
      <c r="K564" s="995">
        <v>33</v>
      </c>
      <c r="L564" s="985">
        <v>3195065</v>
      </c>
      <c r="M564" s="1141">
        <v>0</v>
      </c>
      <c r="N564" s="985">
        <v>0</v>
      </c>
      <c r="O564" s="1141">
        <v>3195065</v>
      </c>
      <c r="P564" s="985">
        <v>0</v>
      </c>
      <c r="Q564" s="985">
        <v>0</v>
      </c>
      <c r="R564" s="1060">
        <f>L564/I564</f>
        <v>6459.896886372826</v>
      </c>
      <c r="S564" s="1393">
        <v>2021</v>
      </c>
      <c r="T564" s="1393">
        <v>2021</v>
      </c>
    </row>
    <row r="565" spans="1:20" s="997" customFormat="1" ht="41.4" customHeight="1">
      <c r="A565" s="1383">
        <v>103</v>
      </c>
      <c r="B565" s="1385" t="s">
        <v>620</v>
      </c>
      <c r="C565" s="1393">
        <v>1969</v>
      </c>
      <c r="D565" s="1393"/>
      <c r="E565" s="1383" t="s">
        <v>218</v>
      </c>
      <c r="F565" s="1393">
        <v>2</v>
      </c>
      <c r="G565" s="1393">
        <v>1</v>
      </c>
      <c r="H565" s="1140">
        <v>363.6</v>
      </c>
      <c r="I565" s="1139">
        <v>336</v>
      </c>
      <c r="J565" s="1140">
        <v>336</v>
      </c>
      <c r="K565" s="995">
        <v>10</v>
      </c>
      <c r="L565" s="985">
        <v>846151</v>
      </c>
      <c r="M565" s="1141">
        <v>0</v>
      </c>
      <c r="N565" s="985">
        <v>0</v>
      </c>
      <c r="O565" s="1141">
        <v>846151</v>
      </c>
      <c r="P565" s="985">
        <v>0</v>
      </c>
      <c r="Q565" s="985">
        <v>0</v>
      </c>
      <c r="R565" s="1060">
        <f t="shared" ref="R565" si="178">L565/I565</f>
        <v>2518.3065476190477</v>
      </c>
      <c r="S565" s="1393">
        <v>2021</v>
      </c>
      <c r="T565" s="1393">
        <v>2021</v>
      </c>
    </row>
    <row r="566" spans="1:20" s="997" customFormat="1" ht="39.6" customHeight="1">
      <c r="A566" s="1383"/>
      <c r="B566" s="1387" t="s">
        <v>41</v>
      </c>
      <c r="C566" s="991"/>
      <c r="D566" s="992"/>
      <c r="E566" s="993"/>
      <c r="F566" s="991"/>
      <c r="G566" s="994"/>
      <c r="H566" s="1060">
        <f>H567</f>
        <v>21975.600000000002</v>
      </c>
      <c r="I566" s="1060">
        <f t="shared" ref="I566:Q566" si="179">I567</f>
        <v>21975.600000000002</v>
      </c>
      <c r="J566" s="1060">
        <f t="shared" si="179"/>
        <v>17831.5</v>
      </c>
      <c r="K566" s="995">
        <f t="shared" si="179"/>
        <v>782</v>
      </c>
      <c r="L566" s="1060">
        <f t="shared" si="179"/>
        <v>39582444</v>
      </c>
      <c r="M566" s="1060">
        <f t="shared" si="179"/>
        <v>0</v>
      </c>
      <c r="N566" s="1060">
        <f t="shared" si="179"/>
        <v>0</v>
      </c>
      <c r="O566" s="1060">
        <f t="shared" si="179"/>
        <v>39582444</v>
      </c>
      <c r="P566" s="1060">
        <f t="shared" si="179"/>
        <v>0</v>
      </c>
      <c r="Q566" s="1060">
        <f t="shared" si="179"/>
        <v>0</v>
      </c>
      <c r="R566" s="996" t="s">
        <v>40</v>
      </c>
      <c r="S566" s="996" t="s">
        <v>40</v>
      </c>
      <c r="T566" s="996" t="s">
        <v>40</v>
      </c>
    </row>
    <row r="567" spans="1:20" s="997" customFormat="1" ht="39.6" customHeight="1">
      <c r="A567" s="1383"/>
      <c r="B567" s="1387" t="s">
        <v>1075</v>
      </c>
      <c r="C567" s="991"/>
      <c r="D567" s="992"/>
      <c r="E567" s="993"/>
      <c r="F567" s="991"/>
      <c r="G567" s="994"/>
      <c r="H567" s="1060">
        <f>SUM(H568:H573)</f>
        <v>21975.600000000002</v>
      </c>
      <c r="I567" s="1060">
        <f t="shared" ref="I567:Q567" si="180">SUM(I568:I573)</f>
        <v>21975.600000000002</v>
      </c>
      <c r="J567" s="1060">
        <f t="shared" si="180"/>
        <v>17831.5</v>
      </c>
      <c r="K567" s="995">
        <f t="shared" si="180"/>
        <v>782</v>
      </c>
      <c r="L567" s="1060">
        <f t="shared" si="180"/>
        <v>39582444</v>
      </c>
      <c r="M567" s="1060">
        <f t="shared" si="180"/>
        <v>0</v>
      </c>
      <c r="N567" s="1060">
        <f t="shared" si="180"/>
        <v>0</v>
      </c>
      <c r="O567" s="1060">
        <f t="shared" si="180"/>
        <v>39582444</v>
      </c>
      <c r="P567" s="1060">
        <f t="shared" si="180"/>
        <v>0</v>
      </c>
      <c r="Q567" s="1060">
        <f t="shared" si="180"/>
        <v>0</v>
      </c>
      <c r="R567" s="996" t="s">
        <v>40</v>
      </c>
      <c r="S567" s="996" t="s">
        <v>40</v>
      </c>
      <c r="T567" s="996" t="s">
        <v>40</v>
      </c>
    </row>
    <row r="568" spans="1:20" s="997" customFormat="1" ht="39.6" customHeight="1">
      <c r="A568" s="1383">
        <v>104</v>
      </c>
      <c r="B568" s="1385" t="s">
        <v>1876</v>
      </c>
      <c r="C568" s="1393">
        <v>1973</v>
      </c>
      <c r="D568" s="1393"/>
      <c r="E568" s="1383" t="s">
        <v>218</v>
      </c>
      <c r="F568" s="1399">
        <v>5</v>
      </c>
      <c r="G568" s="1399">
        <v>4</v>
      </c>
      <c r="H568" s="1060">
        <v>3168.4</v>
      </c>
      <c r="I568" s="1060">
        <v>3168.4</v>
      </c>
      <c r="J568" s="1060">
        <v>1154.5999999999999</v>
      </c>
      <c r="K568" s="995">
        <v>111</v>
      </c>
      <c r="L568" s="1060">
        <v>3502141</v>
      </c>
      <c r="M568" s="1060">
        <v>0</v>
      </c>
      <c r="N568" s="1060">
        <v>0</v>
      </c>
      <c r="O568" s="1060">
        <v>3502141</v>
      </c>
      <c r="P568" s="1060">
        <v>0</v>
      </c>
      <c r="Q568" s="1060">
        <v>0</v>
      </c>
      <c r="R568" s="1060">
        <f>L568/I568</f>
        <v>1105.3342381012499</v>
      </c>
      <c r="S568" s="1393">
        <v>2021</v>
      </c>
      <c r="T568" s="1393">
        <v>2021</v>
      </c>
    </row>
    <row r="569" spans="1:20" s="1109" customFormat="1" ht="39.6" customHeight="1">
      <c r="A569" s="1383">
        <v>105</v>
      </c>
      <c r="B569" s="1385" t="s">
        <v>1877</v>
      </c>
      <c r="C569" s="1393">
        <v>1983</v>
      </c>
      <c r="D569" s="1393"/>
      <c r="E569" s="1383" t="s">
        <v>218</v>
      </c>
      <c r="F569" s="1399">
        <v>5</v>
      </c>
      <c r="G569" s="1399">
        <v>8</v>
      </c>
      <c r="H569" s="1060">
        <v>4624.3</v>
      </c>
      <c r="I569" s="1060">
        <v>4624.3</v>
      </c>
      <c r="J569" s="1060">
        <v>4588.6000000000004</v>
      </c>
      <c r="K569" s="995">
        <v>182</v>
      </c>
      <c r="L569" s="1060">
        <v>8318308</v>
      </c>
      <c r="M569" s="1060">
        <v>0</v>
      </c>
      <c r="N569" s="1060">
        <v>0</v>
      </c>
      <c r="O569" s="1060">
        <v>8318308</v>
      </c>
      <c r="P569" s="1060">
        <v>0</v>
      </c>
      <c r="Q569" s="1060">
        <v>0</v>
      </c>
      <c r="R569" s="1060">
        <f t="shared" ref="R569:R573" si="181">L569/I569</f>
        <v>1798.8253357264882</v>
      </c>
      <c r="S569" s="1393">
        <v>2021</v>
      </c>
      <c r="T569" s="1393">
        <v>2021</v>
      </c>
    </row>
    <row r="570" spans="1:20" s="1109" customFormat="1" ht="35.4" customHeight="1">
      <c r="A570" s="1383">
        <v>106</v>
      </c>
      <c r="B570" s="1385" t="s">
        <v>1878</v>
      </c>
      <c r="C570" s="1393">
        <v>1990</v>
      </c>
      <c r="D570" s="1393">
        <v>2016</v>
      </c>
      <c r="E570" s="1383" t="s">
        <v>219</v>
      </c>
      <c r="F570" s="1399">
        <v>9</v>
      </c>
      <c r="G570" s="1399">
        <v>3</v>
      </c>
      <c r="H570" s="1060">
        <v>6218.9</v>
      </c>
      <c r="I570" s="1060">
        <v>6218.9</v>
      </c>
      <c r="J570" s="1060">
        <v>5854.6</v>
      </c>
      <c r="K570" s="995">
        <v>195</v>
      </c>
      <c r="L570" s="1060">
        <v>15979306</v>
      </c>
      <c r="M570" s="1060">
        <v>0</v>
      </c>
      <c r="N570" s="1060">
        <v>0</v>
      </c>
      <c r="O570" s="1060">
        <v>15979306</v>
      </c>
      <c r="P570" s="1060">
        <v>0</v>
      </c>
      <c r="Q570" s="1060">
        <v>0</v>
      </c>
      <c r="R570" s="1060">
        <f t="shared" si="181"/>
        <v>2569.474665937706</v>
      </c>
      <c r="S570" s="1393">
        <v>2021</v>
      </c>
      <c r="T570" s="1393">
        <v>2021</v>
      </c>
    </row>
    <row r="571" spans="1:20" s="1109" customFormat="1" ht="35.4" customHeight="1">
      <c r="A571" s="1383">
        <v>107</v>
      </c>
      <c r="B571" s="1385" t="s">
        <v>1879</v>
      </c>
      <c r="C571" s="1393">
        <v>1998</v>
      </c>
      <c r="D571" s="1393"/>
      <c r="E571" s="1383" t="s">
        <v>219</v>
      </c>
      <c r="F571" s="1399">
        <v>5</v>
      </c>
      <c r="G571" s="1399">
        <v>4</v>
      </c>
      <c r="H571" s="1060">
        <v>4141.1000000000004</v>
      </c>
      <c r="I571" s="1060">
        <v>4141.1000000000004</v>
      </c>
      <c r="J571" s="1060">
        <v>4028.2</v>
      </c>
      <c r="K571" s="995">
        <v>135</v>
      </c>
      <c r="L571" s="1060">
        <v>5202215</v>
      </c>
      <c r="M571" s="1060">
        <v>0</v>
      </c>
      <c r="N571" s="1060">
        <v>0</v>
      </c>
      <c r="O571" s="1060">
        <v>5202215</v>
      </c>
      <c r="P571" s="1060">
        <v>0</v>
      </c>
      <c r="Q571" s="1060">
        <v>0</v>
      </c>
      <c r="R571" s="1060">
        <f t="shared" si="181"/>
        <v>1256.2398879524762</v>
      </c>
      <c r="S571" s="1393">
        <v>2021</v>
      </c>
      <c r="T571" s="1393">
        <v>2021</v>
      </c>
    </row>
    <row r="572" spans="1:20" s="1109" customFormat="1" ht="35.4" customHeight="1">
      <c r="A572" s="1383">
        <v>108</v>
      </c>
      <c r="B572" s="1385" t="s">
        <v>1880</v>
      </c>
      <c r="C572" s="1393">
        <v>1987</v>
      </c>
      <c r="D572" s="1393"/>
      <c r="E572" s="1383" t="s">
        <v>219</v>
      </c>
      <c r="F572" s="1399">
        <v>5</v>
      </c>
      <c r="G572" s="1399">
        <v>4</v>
      </c>
      <c r="H572" s="1060">
        <v>2769</v>
      </c>
      <c r="I572" s="1060">
        <v>2769</v>
      </c>
      <c r="J572" s="1060">
        <v>1151.5999999999999</v>
      </c>
      <c r="K572" s="995">
        <v>117</v>
      </c>
      <c r="L572" s="1060">
        <v>4563725</v>
      </c>
      <c r="M572" s="1060">
        <v>0</v>
      </c>
      <c r="N572" s="1060">
        <v>0</v>
      </c>
      <c r="O572" s="1060">
        <v>4563725</v>
      </c>
      <c r="P572" s="1060">
        <v>0</v>
      </c>
      <c r="Q572" s="1060">
        <v>0</v>
      </c>
      <c r="R572" s="1060">
        <f t="shared" si="181"/>
        <v>1648.1491513181654</v>
      </c>
      <c r="S572" s="1393">
        <v>2021</v>
      </c>
      <c r="T572" s="1393">
        <v>2021</v>
      </c>
    </row>
    <row r="573" spans="1:20" s="997" customFormat="1" ht="43.8" customHeight="1">
      <c r="A573" s="1383">
        <v>109</v>
      </c>
      <c r="B573" s="1405" t="s">
        <v>2390</v>
      </c>
      <c r="C573" s="1393">
        <v>1954</v>
      </c>
      <c r="D573" s="1393"/>
      <c r="E573" s="1383" t="s">
        <v>218</v>
      </c>
      <c r="F573" s="1399">
        <v>3</v>
      </c>
      <c r="G573" s="1399">
        <v>2</v>
      </c>
      <c r="H573" s="1060">
        <v>1053.9000000000001</v>
      </c>
      <c r="I573" s="1060">
        <v>1053.9000000000001</v>
      </c>
      <c r="J573" s="1060">
        <v>1053.9000000000001</v>
      </c>
      <c r="K573" s="995">
        <v>42</v>
      </c>
      <c r="L573" s="1060">
        <v>2016749</v>
      </c>
      <c r="M573" s="1060">
        <v>0</v>
      </c>
      <c r="N573" s="1060">
        <v>0</v>
      </c>
      <c r="O573" s="1060">
        <v>2016749</v>
      </c>
      <c r="P573" s="1060">
        <v>0</v>
      </c>
      <c r="Q573" s="1060">
        <v>0</v>
      </c>
      <c r="R573" s="1060">
        <f t="shared" si="181"/>
        <v>1913.6056551855013</v>
      </c>
      <c r="S573" s="1393">
        <v>2021</v>
      </c>
      <c r="T573" s="1393">
        <v>2021</v>
      </c>
    </row>
    <row r="574" spans="1:20" s="997" customFormat="1" ht="36" customHeight="1">
      <c r="A574" s="1383"/>
      <c r="B574" s="1387" t="s">
        <v>68</v>
      </c>
      <c r="C574" s="991"/>
      <c r="D574" s="992"/>
      <c r="E574" s="993"/>
      <c r="F574" s="991"/>
      <c r="G574" s="994"/>
      <c r="H574" s="1060">
        <f>H575</f>
        <v>260.10000000000002</v>
      </c>
      <c r="I574" s="1060">
        <f t="shared" ref="I574:Q574" si="182">I575</f>
        <v>248.8</v>
      </c>
      <c r="J574" s="1060">
        <f t="shared" si="182"/>
        <v>151.30000000000001</v>
      </c>
      <c r="K574" s="995">
        <f t="shared" si="182"/>
        <v>8</v>
      </c>
      <c r="L574" s="1060">
        <f t="shared" si="182"/>
        <v>1392426</v>
      </c>
      <c r="M574" s="1060">
        <f t="shared" si="182"/>
        <v>0</v>
      </c>
      <c r="N574" s="1060">
        <f t="shared" si="182"/>
        <v>0</v>
      </c>
      <c r="O574" s="1060">
        <f t="shared" si="182"/>
        <v>1392426</v>
      </c>
      <c r="P574" s="1060">
        <f t="shared" si="182"/>
        <v>0</v>
      </c>
      <c r="Q574" s="1060">
        <f t="shared" si="182"/>
        <v>0</v>
      </c>
      <c r="R574" s="996" t="s">
        <v>40</v>
      </c>
      <c r="S574" s="996" t="s">
        <v>40</v>
      </c>
      <c r="T574" s="996" t="s">
        <v>40</v>
      </c>
    </row>
    <row r="575" spans="1:20" s="997" customFormat="1" ht="36" customHeight="1">
      <c r="A575" s="1383"/>
      <c r="B575" s="1387" t="s">
        <v>1076</v>
      </c>
      <c r="C575" s="991"/>
      <c r="D575" s="992"/>
      <c r="E575" s="993"/>
      <c r="F575" s="991"/>
      <c r="G575" s="994"/>
      <c r="H575" s="1060">
        <f>H576</f>
        <v>260.10000000000002</v>
      </c>
      <c r="I575" s="1060">
        <f t="shared" ref="I575:Q575" si="183">I576</f>
        <v>248.8</v>
      </c>
      <c r="J575" s="1060">
        <f t="shared" si="183"/>
        <v>151.30000000000001</v>
      </c>
      <c r="K575" s="995">
        <f t="shared" si="183"/>
        <v>8</v>
      </c>
      <c r="L575" s="1060">
        <f t="shared" si="183"/>
        <v>1392426</v>
      </c>
      <c r="M575" s="1060">
        <f t="shared" si="183"/>
        <v>0</v>
      </c>
      <c r="N575" s="1060">
        <f t="shared" si="183"/>
        <v>0</v>
      </c>
      <c r="O575" s="1060">
        <f t="shared" si="183"/>
        <v>1392426</v>
      </c>
      <c r="P575" s="1060">
        <f t="shared" si="183"/>
        <v>0</v>
      </c>
      <c r="Q575" s="1060">
        <f t="shared" si="183"/>
        <v>0</v>
      </c>
      <c r="R575" s="996" t="s">
        <v>40</v>
      </c>
      <c r="S575" s="996" t="s">
        <v>40</v>
      </c>
      <c r="T575" s="996" t="s">
        <v>40</v>
      </c>
    </row>
    <row r="576" spans="1:20" s="997" customFormat="1" ht="40.799999999999997" customHeight="1">
      <c r="A576" s="1383">
        <v>110</v>
      </c>
      <c r="B576" s="1384" t="s">
        <v>1133</v>
      </c>
      <c r="C576" s="1393">
        <v>1940</v>
      </c>
      <c r="D576" s="1393">
        <v>1975</v>
      </c>
      <c r="E576" s="1383" t="s">
        <v>218</v>
      </c>
      <c r="F576" s="1393">
        <v>2</v>
      </c>
      <c r="G576" s="1393">
        <v>1</v>
      </c>
      <c r="H576" s="1060">
        <v>260.10000000000002</v>
      </c>
      <c r="I576" s="1060">
        <v>248.8</v>
      </c>
      <c r="J576" s="1060">
        <v>151.30000000000001</v>
      </c>
      <c r="K576" s="995">
        <v>8</v>
      </c>
      <c r="L576" s="1060">
        <v>1392426</v>
      </c>
      <c r="M576" s="1060">
        <v>0</v>
      </c>
      <c r="N576" s="1060">
        <v>0</v>
      </c>
      <c r="O576" s="1060">
        <v>1392426</v>
      </c>
      <c r="P576" s="1060">
        <v>0</v>
      </c>
      <c r="Q576" s="1060">
        <v>0</v>
      </c>
      <c r="R576" s="1060">
        <f>L576/I576</f>
        <v>5596.5675241157551</v>
      </c>
      <c r="S576" s="1393">
        <v>2021</v>
      </c>
      <c r="T576" s="1393">
        <v>2021</v>
      </c>
    </row>
    <row r="577" spans="1:20" s="997" customFormat="1" ht="36" customHeight="1">
      <c r="A577" s="1383"/>
      <c r="B577" s="1384" t="s">
        <v>43</v>
      </c>
      <c r="C577" s="1399"/>
      <c r="D577" s="1399"/>
      <c r="E577" s="1400"/>
      <c r="F577" s="1399"/>
      <c r="G577" s="1399"/>
      <c r="H577" s="1060">
        <f>H578</f>
        <v>11211.899999999998</v>
      </c>
      <c r="I577" s="1060">
        <f t="shared" ref="I577:Q577" si="184">I578</f>
        <v>8656</v>
      </c>
      <c r="J577" s="1060">
        <f t="shared" si="184"/>
        <v>8115.1</v>
      </c>
      <c r="K577" s="995">
        <f t="shared" si="184"/>
        <v>317</v>
      </c>
      <c r="L577" s="1060">
        <f t="shared" si="184"/>
        <v>17807929</v>
      </c>
      <c r="M577" s="1060">
        <f t="shared" si="184"/>
        <v>0</v>
      </c>
      <c r="N577" s="1060">
        <f t="shared" si="184"/>
        <v>0</v>
      </c>
      <c r="O577" s="1060">
        <f t="shared" si="184"/>
        <v>17807929</v>
      </c>
      <c r="P577" s="1060">
        <f t="shared" si="184"/>
        <v>0</v>
      </c>
      <c r="Q577" s="1060">
        <f t="shared" si="184"/>
        <v>0</v>
      </c>
      <c r="R577" s="996" t="s">
        <v>40</v>
      </c>
      <c r="S577" s="996" t="s">
        <v>40</v>
      </c>
      <c r="T577" s="996" t="s">
        <v>40</v>
      </c>
    </row>
    <row r="578" spans="1:20" s="997" customFormat="1" ht="36" customHeight="1">
      <c r="A578" s="1383"/>
      <c r="B578" s="1542" t="s">
        <v>1115</v>
      </c>
      <c r="C578" s="1542"/>
      <c r="D578" s="1542"/>
      <c r="E578" s="1542"/>
      <c r="F578" s="1542"/>
      <c r="G578" s="1542"/>
      <c r="H578" s="1060">
        <f>SUM(H579:H584)</f>
        <v>11211.899999999998</v>
      </c>
      <c r="I578" s="1060">
        <f t="shared" ref="I578:Q578" si="185">SUM(I579:I584)</f>
        <v>8656</v>
      </c>
      <c r="J578" s="1060">
        <f t="shared" si="185"/>
        <v>8115.1</v>
      </c>
      <c r="K578" s="995">
        <f t="shared" si="185"/>
        <v>317</v>
      </c>
      <c r="L578" s="1060">
        <f t="shared" si="185"/>
        <v>17807929</v>
      </c>
      <c r="M578" s="1060">
        <f t="shared" si="185"/>
        <v>0</v>
      </c>
      <c r="N578" s="1060">
        <f t="shared" si="185"/>
        <v>0</v>
      </c>
      <c r="O578" s="1060">
        <f t="shared" si="185"/>
        <v>17807929</v>
      </c>
      <c r="P578" s="1060">
        <f t="shared" si="185"/>
        <v>0</v>
      </c>
      <c r="Q578" s="1060">
        <f t="shared" si="185"/>
        <v>0</v>
      </c>
      <c r="R578" s="996" t="s">
        <v>40</v>
      </c>
      <c r="S578" s="996" t="s">
        <v>40</v>
      </c>
      <c r="T578" s="996" t="s">
        <v>40</v>
      </c>
    </row>
    <row r="579" spans="1:20" s="997" customFormat="1" ht="40.200000000000003" customHeight="1">
      <c r="A579" s="1393">
        <v>111</v>
      </c>
      <c r="B579" s="1385" t="s">
        <v>1029</v>
      </c>
      <c r="C579" s="1393">
        <v>1967</v>
      </c>
      <c r="D579" s="1383"/>
      <c r="E579" s="1383" t="s">
        <v>218</v>
      </c>
      <c r="F579" s="1393">
        <v>5</v>
      </c>
      <c r="G579" s="1393">
        <v>4</v>
      </c>
      <c r="H579" s="987">
        <v>4858.2</v>
      </c>
      <c r="I579" s="987">
        <v>3171.8</v>
      </c>
      <c r="J579" s="987">
        <v>2881.5</v>
      </c>
      <c r="K579" s="995">
        <v>91</v>
      </c>
      <c r="L579" s="1059">
        <v>4751052</v>
      </c>
      <c r="M579" s="985">
        <v>0</v>
      </c>
      <c r="N579" s="985">
        <v>0</v>
      </c>
      <c r="O579" s="985">
        <f>L579</f>
        <v>4751052</v>
      </c>
      <c r="P579" s="985">
        <v>0</v>
      </c>
      <c r="Q579" s="985">
        <v>0</v>
      </c>
      <c r="R579" s="1060">
        <f>L579/I579</f>
        <v>1497.9040292578345</v>
      </c>
      <c r="S579" s="1393">
        <v>2021</v>
      </c>
      <c r="T579" s="1393">
        <v>2021</v>
      </c>
    </row>
    <row r="580" spans="1:20" s="997" customFormat="1" ht="36" customHeight="1">
      <c r="A580" s="1393">
        <v>112</v>
      </c>
      <c r="B580" s="1385" t="s">
        <v>1450</v>
      </c>
      <c r="C580" s="1072">
        <v>1938</v>
      </c>
      <c r="D580" s="1391"/>
      <c r="E580" s="1383" t="s">
        <v>221</v>
      </c>
      <c r="F580" s="1072">
        <v>2</v>
      </c>
      <c r="G580" s="1072">
        <v>2</v>
      </c>
      <c r="H580" s="1073">
        <v>482.3</v>
      </c>
      <c r="I580" s="1073">
        <v>482.3</v>
      </c>
      <c r="J580" s="1073">
        <v>482.3</v>
      </c>
      <c r="K580" s="1074">
        <v>10</v>
      </c>
      <c r="L580" s="985">
        <v>720429</v>
      </c>
      <c r="M580" s="985">
        <v>0</v>
      </c>
      <c r="N580" s="985">
        <v>0</v>
      </c>
      <c r="O580" s="985">
        <f t="shared" ref="O580:O584" si="186">L580</f>
        <v>720429</v>
      </c>
      <c r="P580" s="985">
        <v>0</v>
      </c>
      <c r="Q580" s="985">
        <v>0</v>
      </c>
      <c r="R580" s="1060">
        <f t="shared" ref="R580:R584" si="187">L580/I580</f>
        <v>1493.7362637362637</v>
      </c>
      <c r="S580" s="1393">
        <v>2021</v>
      </c>
      <c r="T580" s="1393">
        <v>2021</v>
      </c>
    </row>
    <row r="581" spans="1:20" s="997" customFormat="1" ht="40.200000000000003" customHeight="1">
      <c r="A581" s="1393">
        <v>113</v>
      </c>
      <c r="B581" s="1135" t="s">
        <v>1535</v>
      </c>
      <c r="C581" s="1072">
        <v>1991</v>
      </c>
      <c r="D581" s="1391"/>
      <c r="E581" s="1383" t="s">
        <v>218</v>
      </c>
      <c r="F581" s="1072"/>
      <c r="G581" s="1072"/>
      <c r="H581" s="1073">
        <v>3069.8</v>
      </c>
      <c r="I581" s="1073">
        <v>2651.7</v>
      </c>
      <c r="J581" s="1073">
        <v>2651.7</v>
      </c>
      <c r="K581" s="1074">
        <v>139</v>
      </c>
      <c r="L581" s="985">
        <v>2925831</v>
      </c>
      <c r="M581" s="985">
        <v>0</v>
      </c>
      <c r="N581" s="985">
        <v>0</v>
      </c>
      <c r="O581" s="985">
        <f t="shared" si="186"/>
        <v>2925831</v>
      </c>
      <c r="P581" s="985">
        <v>0</v>
      </c>
      <c r="Q581" s="985">
        <v>0</v>
      </c>
      <c r="R581" s="1060">
        <f t="shared" si="187"/>
        <v>1103.3793415544746</v>
      </c>
      <c r="S581" s="1393">
        <v>2021</v>
      </c>
      <c r="T581" s="1393">
        <v>2021</v>
      </c>
    </row>
    <row r="582" spans="1:20" s="997" customFormat="1" ht="42" customHeight="1">
      <c r="A582" s="1393">
        <v>114</v>
      </c>
      <c r="B582" s="1143" t="s">
        <v>1536</v>
      </c>
      <c r="C582" s="1072">
        <v>1955</v>
      </c>
      <c r="D582" s="1391"/>
      <c r="E582" s="1383" t="s">
        <v>218</v>
      </c>
      <c r="F582" s="1072">
        <v>3</v>
      </c>
      <c r="G582" s="1072">
        <v>3</v>
      </c>
      <c r="H582" s="1073">
        <v>1446.4</v>
      </c>
      <c r="I582" s="1073">
        <v>1299.5</v>
      </c>
      <c r="J582" s="1073">
        <v>1110.3</v>
      </c>
      <c r="K582" s="1074">
        <v>38</v>
      </c>
      <c r="L582" s="985">
        <v>6566129</v>
      </c>
      <c r="M582" s="985">
        <v>0</v>
      </c>
      <c r="N582" s="985">
        <v>0</v>
      </c>
      <c r="O582" s="985">
        <f t="shared" si="186"/>
        <v>6566129</v>
      </c>
      <c r="P582" s="985">
        <v>0</v>
      </c>
      <c r="Q582" s="985">
        <v>0</v>
      </c>
      <c r="R582" s="1060">
        <f t="shared" si="187"/>
        <v>5052.8118507118124</v>
      </c>
      <c r="S582" s="1393">
        <v>2021</v>
      </c>
      <c r="T582" s="1393">
        <v>2021</v>
      </c>
    </row>
    <row r="583" spans="1:20" s="1009" customFormat="1" ht="42" customHeight="1">
      <c r="A583" s="1393">
        <v>115</v>
      </c>
      <c r="B583" s="1386" t="s">
        <v>1881</v>
      </c>
      <c r="C583" s="1393">
        <v>1960</v>
      </c>
      <c r="D583" s="1383"/>
      <c r="E583" s="1383" t="s">
        <v>218</v>
      </c>
      <c r="F583" s="1393">
        <v>2</v>
      </c>
      <c r="G583" s="1393">
        <v>2</v>
      </c>
      <c r="H583" s="987">
        <v>673.8</v>
      </c>
      <c r="I583" s="987">
        <v>609.29999999999995</v>
      </c>
      <c r="J583" s="987">
        <v>609.29999999999995</v>
      </c>
      <c r="K583" s="995">
        <v>31</v>
      </c>
      <c r="L583" s="985">
        <v>2099875</v>
      </c>
      <c r="M583" s="985">
        <v>0</v>
      </c>
      <c r="N583" s="985">
        <v>0</v>
      </c>
      <c r="O583" s="985">
        <f t="shared" si="186"/>
        <v>2099875</v>
      </c>
      <c r="P583" s="985">
        <v>0</v>
      </c>
      <c r="Q583" s="985">
        <v>0</v>
      </c>
      <c r="R583" s="1060">
        <f t="shared" si="187"/>
        <v>3446.372886919416</v>
      </c>
      <c r="S583" s="1393">
        <v>2021</v>
      </c>
      <c r="T583" s="1393">
        <v>2021</v>
      </c>
    </row>
    <row r="584" spans="1:20" s="1009" customFormat="1" ht="40.200000000000003" customHeight="1">
      <c r="A584" s="1393">
        <v>116</v>
      </c>
      <c r="B584" s="1385" t="s">
        <v>1882</v>
      </c>
      <c r="C584" s="1110">
        <v>1955</v>
      </c>
      <c r="D584" s="1392"/>
      <c r="E584" s="1383" t="s">
        <v>218</v>
      </c>
      <c r="F584" s="1110">
        <v>2</v>
      </c>
      <c r="G584" s="1110">
        <v>2</v>
      </c>
      <c r="H584" s="1144">
        <v>681.4</v>
      </c>
      <c r="I584" s="1144">
        <v>441.4</v>
      </c>
      <c r="J584" s="1144">
        <v>380</v>
      </c>
      <c r="K584" s="1112">
        <v>8</v>
      </c>
      <c r="L584" s="1144">
        <v>744613</v>
      </c>
      <c r="M584" s="1144">
        <v>0</v>
      </c>
      <c r="N584" s="1144">
        <v>0</v>
      </c>
      <c r="O584" s="1144">
        <f t="shared" si="186"/>
        <v>744613</v>
      </c>
      <c r="P584" s="1144">
        <v>0</v>
      </c>
      <c r="Q584" s="1144">
        <v>0</v>
      </c>
      <c r="R584" s="1060">
        <f t="shared" si="187"/>
        <v>1686.9347530584505</v>
      </c>
      <c r="S584" s="1393">
        <v>2021</v>
      </c>
      <c r="T584" s="1393">
        <v>2021</v>
      </c>
    </row>
    <row r="585" spans="1:20" s="1009" customFormat="1" ht="36" customHeight="1">
      <c r="A585" s="1383"/>
      <c r="B585" s="1513" t="s">
        <v>1588</v>
      </c>
      <c r="C585" s="1513"/>
      <c r="D585" s="1513"/>
      <c r="E585" s="1513"/>
      <c r="F585" s="1513"/>
      <c r="G585" s="1513"/>
      <c r="H585" s="1144">
        <f>H586+H587</f>
        <v>1023.6</v>
      </c>
      <c r="I585" s="1144">
        <f t="shared" ref="I585:Q585" si="188">I586+I587</f>
        <v>1023.6</v>
      </c>
      <c r="J585" s="1144">
        <f t="shared" si="188"/>
        <v>915.6</v>
      </c>
      <c r="K585" s="995">
        <f t="shared" si="188"/>
        <v>24</v>
      </c>
      <c r="L585" s="1144">
        <f t="shared" si="188"/>
        <v>2431837</v>
      </c>
      <c r="M585" s="1144">
        <f t="shared" si="188"/>
        <v>0</v>
      </c>
      <c r="N585" s="1144">
        <f t="shared" si="188"/>
        <v>0</v>
      </c>
      <c r="O585" s="1144">
        <f t="shared" si="188"/>
        <v>2431837</v>
      </c>
      <c r="P585" s="1144">
        <f t="shared" si="188"/>
        <v>0</v>
      </c>
      <c r="Q585" s="1144">
        <f t="shared" si="188"/>
        <v>0</v>
      </c>
      <c r="R585" s="996" t="s">
        <v>40</v>
      </c>
      <c r="S585" s="996" t="s">
        <v>40</v>
      </c>
      <c r="T585" s="996" t="s">
        <v>40</v>
      </c>
    </row>
    <row r="586" spans="1:20" s="1009" customFormat="1" ht="40.799999999999997" customHeight="1">
      <c r="A586" s="1383">
        <v>117</v>
      </c>
      <c r="B586" s="1386" t="s">
        <v>1292</v>
      </c>
      <c r="C586" s="1110">
        <v>1970</v>
      </c>
      <c r="D586" s="1399"/>
      <c r="E586" s="1383" t="s">
        <v>218</v>
      </c>
      <c r="F586" s="1110">
        <v>2</v>
      </c>
      <c r="G586" s="1110">
        <v>2</v>
      </c>
      <c r="H586" s="1144">
        <v>521.6</v>
      </c>
      <c r="I586" s="1144">
        <v>521.6</v>
      </c>
      <c r="J586" s="1144">
        <v>473.6</v>
      </c>
      <c r="K586" s="995">
        <v>12</v>
      </c>
      <c r="L586" s="1144">
        <v>1275995</v>
      </c>
      <c r="M586" s="1144">
        <v>0</v>
      </c>
      <c r="N586" s="1144">
        <v>0</v>
      </c>
      <c r="O586" s="1144">
        <v>1275995</v>
      </c>
      <c r="P586" s="1144">
        <v>0</v>
      </c>
      <c r="Q586" s="1144">
        <v>0</v>
      </c>
      <c r="R586" s="1144">
        <f t="shared" ref="R586" si="189">L586/I586</f>
        <v>2446.3094325153374</v>
      </c>
      <c r="S586" s="1393">
        <v>2021</v>
      </c>
      <c r="T586" s="1393">
        <v>2021</v>
      </c>
    </row>
    <row r="587" spans="1:20" s="1041" customFormat="1" ht="43.2" customHeight="1">
      <c r="A587" s="1383">
        <v>118</v>
      </c>
      <c r="B587" s="1386" t="s">
        <v>1293</v>
      </c>
      <c r="C587" s="1110">
        <v>1960</v>
      </c>
      <c r="D587" s="1399"/>
      <c r="E587" s="1383" t="s">
        <v>218</v>
      </c>
      <c r="F587" s="1110">
        <v>2</v>
      </c>
      <c r="G587" s="1110">
        <v>2</v>
      </c>
      <c r="H587" s="1144">
        <v>502</v>
      </c>
      <c r="I587" s="1144">
        <v>502</v>
      </c>
      <c r="J587" s="1144">
        <v>442</v>
      </c>
      <c r="K587" s="995">
        <v>12</v>
      </c>
      <c r="L587" s="1144">
        <v>1155842</v>
      </c>
      <c r="M587" s="1144">
        <v>0</v>
      </c>
      <c r="N587" s="1144">
        <v>0</v>
      </c>
      <c r="O587" s="1144">
        <v>1155842</v>
      </c>
      <c r="P587" s="1144">
        <v>0</v>
      </c>
      <c r="Q587" s="1144">
        <v>0</v>
      </c>
      <c r="R587" s="1144">
        <f t="shared" ref="R587" si="190">L587/I587</f>
        <v>2302.4741035856573</v>
      </c>
      <c r="S587" s="1393">
        <v>2021</v>
      </c>
      <c r="T587" s="1393">
        <v>2021</v>
      </c>
    </row>
    <row r="588" spans="1:20" s="1041" customFormat="1" ht="38.4" customHeight="1">
      <c r="A588" s="1383"/>
      <c r="B588" s="1513" t="s">
        <v>46</v>
      </c>
      <c r="C588" s="1513"/>
      <c r="D588" s="1513"/>
      <c r="E588" s="1513"/>
      <c r="F588" s="1513"/>
      <c r="G588" s="1513"/>
      <c r="H588" s="1144">
        <f>H589</f>
        <v>1493.3</v>
      </c>
      <c r="I588" s="1144">
        <f t="shared" ref="I588:Q588" si="191">I589</f>
        <v>1371.3</v>
      </c>
      <c r="J588" s="1144">
        <f t="shared" si="191"/>
        <v>1371.3</v>
      </c>
      <c r="K588" s="995">
        <f t="shared" si="191"/>
        <v>31</v>
      </c>
      <c r="L588" s="1144">
        <f t="shared" si="191"/>
        <v>1603120</v>
      </c>
      <c r="M588" s="1144">
        <f t="shared" si="191"/>
        <v>0</v>
      </c>
      <c r="N588" s="1144">
        <f t="shared" si="191"/>
        <v>0</v>
      </c>
      <c r="O588" s="1144">
        <f t="shared" si="191"/>
        <v>1603120</v>
      </c>
      <c r="P588" s="1144">
        <f t="shared" si="191"/>
        <v>0</v>
      </c>
      <c r="Q588" s="1144">
        <f t="shared" si="191"/>
        <v>0</v>
      </c>
      <c r="R588" s="996" t="s">
        <v>40</v>
      </c>
      <c r="S588" s="996" t="s">
        <v>40</v>
      </c>
      <c r="T588" s="996" t="s">
        <v>40</v>
      </c>
    </row>
    <row r="589" spans="1:20" s="1041" customFormat="1" ht="38.4" customHeight="1">
      <c r="A589" s="1383"/>
      <c r="B589" s="1513" t="s">
        <v>1077</v>
      </c>
      <c r="C589" s="1513"/>
      <c r="D589" s="1513"/>
      <c r="E589" s="1513"/>
      <c r="F589" s="1513"/>
      <c r="G589" s="1513"/>
      <c r="H589" s="1144">
        <f>H590</f>
        <v>1493.3</v>
      </c>
      <c r="I589" s="1144">
        <f t="shared" ref="I589:Q589" si="192">I590</f>
        <v>1371.3</v>
      </c>
      <c r="J589" s="1144">
        <f t="shared" si="192"/>
        <v>1371.3</v>
      </c>
      <c r="K589" s="995">
        <f t="shared" si="192"/>
        <v>31</v>
      </c>
      <c r="L589" s="1144">
        <f t="shared" si="192"/>
        <v>1603120</v>
      </c>
      <c r="M589" s="1144">
        <f t="shared" si="192"/>
        <v>0</v>
      </c>
      <c r="N589" s="1144">
        <f t="shared" si="192"/>
        <v>0</v>
      </c>
      <c r="O589" s="1144">
        <f t="shared" si="192"/>
        <v>1603120</v>
      </c>
      <c r="P589" s="1144">
        <f t="shared" si="192"/>
        <v>0</v>
      </c>
      <c r="Q589" s="1144">
        <f t="shared" si="192"/>
        <v>0</v>
      </c>
      <c r="R589" s="996" t="s">
        <v>40</v>
      </c>
      <c r="S589" s="996" t="s">
        <v>40</v>
      </c>
      <c r="T589" s="996" t="s">
        <v>40</v>
      </c>
    </row>
    <row r="590" spans="1:20" s="1041" customFormat="1" ht="38.4" customHeight="1">
      <c r="A590" s="1383">
        <v>119</v>
      </c>
      <c r="B590" s="1386" t="s">
        <v>1280</v>
      </c>
      <c r="C590" s="1110">
        <v>1985</v>
      </c>
      <c r="D590" s="1399"/>
      <c r="E590" s="1383" t="s">
        <v>219</v>
      </c>
      <c r="F590" s="1399">
        <v>3</v>
      </c>
      <c r="G590" s="1399">
        <v>3</v>
      </c>
      <c r="H590" s="1144">
        <v>1493.3</v>
      </c>
      <c r="I590" s="1144">
        <v>1371.3</v>
      </c>
      <c r="J590" s="1144">
        <v>1371.3</v>
      </c>
      <c r="K590" s="995">
        <v>31</v>
      </c>
      <c r="L590" s="1144">
        <v>1603120</v>
      </c>
      <c r="M590" s="1144">
        <v>0</v>
      </c>
      <c r="N590" s="1144">
        <v>0</v>
      </c>
      <c r="O590" s="1144">
        <v>1603120</v>
      </c>
      <c r="P590" s="1144">
        <v>0</v>
      </c>
      <c r="Q590" s="1144">
        <v>0</v>
      </c>
      <c r="R590" s="1144">
        <f t="shared" ref="R590" si="193">L590/I590</f>
        <v>1169.0512652227812</v>
      </c>
      <c r="S590" s="1393">
        <v>2021</v>
      </c>
      <c r="T590" s="1393">
        <v>2021</v>
      </c>
    </row>
    <row r="591" spans="1:20" s="1041" customFormat="1" ht="38.4" customHeight="1">
      <c r="A591" s="1383"/>
      <c r="B591" s="1513" t="s">
        <v>2012</v>
      </c>
      <c r="C591" s="1513"/>
      <c r="D591" s="1513"/>
      <c r="E591" s="1513"/>
      <c r="F591" s="1513"/>
      <c r="G591" s="1513"/>
      <c r="H591" s="1144">
        <f>H592+H593</f>
        <v>1385.6</v>
      </c>
      <c r="I591" s="1144">
        <f t="shared" ref="I591:Q591" si="194">I592+I593</f>
        <v>1265</v>
      </c>
      <c r="J591" s="1144">
        <f t="shared" si="194"/>
        <v>1265</v>
      </c>
      <c r="K591" s="1401">
        <f t="shared" si="194"/>
        <v>42</v>
      </c>
      <c r="L591" s="1144">
        <f t="shared" si="194"/>
        <v>3824601</v>
      </c>
      <c r="M591" s="1144">
        <f t="shared" si="194"/>
        <v>0</v>
      </c>
      <c r="N591" s="1144">
        <f t="shared" si="194"/>
        <v>0</v>
      </c>
      <c r="O591" s="1144">
        <f t="shared" si="194"/>
        <v>3824601</v>
      </c>
      <c r="P591" s="1144">
        <f t="shared" si="194"/>
        <v>0</v>
      </c>
      <c r="Q591" s="1144">
        <f t="shared" si="194"/>
        <v>0</v>
      </c>
      <c r="R591" s="996" t="s">
        <v>40</v>
      </c>
      <c r="S591" s="996" t="s">
        <v>40</v>
      </c>
      <c r="T591" s="996" t="s">
        <v>40</v>
      </c>
    </row>
    <row r="592" spans="1:20" s="1041" customFormat="1" ht="38.4" customHeight="1">
      <c r="A592" s="1383">
        <v>120</v>
      </c>
      <c r="B592" s="1384" t="s">
        <v>1262</v>
      </c>
      <c r="C592" s="1393">
        <v>1969</v>
      </c>
      <c r="D592" s="1393"/>
      <c r="E592" s="1383" t="s">
        <v>218</v>
      </c>
      <c r="F592" s="1393">
        <v>2</v>
      </c>
      <c r="G592" s="1393">
        <v>2</v>
      </c>
      <c r="H592" s="985">
        <v>568.5</v>
      </c>
      <c r="I592" s="985">
        <v>518.20000000000005</v>
      </c>
      <c r="J592" s="985">
        <v>518.20000000000005</v>
      </c>
      <c r="K592" s="995">
        <v>11</v>
      </c>
      <c r="L592" s="985">
        <v>1556917</v>
      </c>
      <c r="M592" s="985">
        <v>0</v>
      </c>
      <c r="N592" s="985">
        <v>0</v>
      </c>
      <c r="O592" s="985">
        <v>1556917</v>
      </c>
      <c r="P592" s="985">
        <v>0</v>
      </c>
      <c r="Q592" s="985">
        <v>0</v>
      </c>
      <c r="R592" s="996">
        <f>L592/I592</f>
        <v>3004.4712466229253</v>
      </c>
      <c r="S592" s="1393">
        <v>2021</v>
      </c>
      <c r="T592" s="1393">
        <v>2021</v>
      </c>
    </row>
    <row r="593" spans="1:20" s="1041" customFormat="1" ht="38.4" customHeight="1">
      <c r="A593" s="1383">
        <v>121</v>
      </c>
      <c r="B593" s="1384" t="s">
        <v>1263</v>
      </c>
      <c r="C593" s="1393">
        <v>1980</v>
      </c>
      <c r="D593" s="1393"/>
      <c r="E593" s="1383" t="s">
        <v>218</v>
      </c>
      <c r="F593" s="1393">
        <v>2</v>
      </c>
      <c r="G593" s="1393">
        <v>2</v>
      </c>
      <c r="H593" s="985">
        <v>817.1</v>
      </c>
      <c r="I593" s="985">
        <v>746.8</v>
      </c>
      <c r="J593" s="985">
        <v>746.8</v>
      </c>
      <c r="K593" s="995">
        <v>31</v>
      </c>
      <c r="L593" s="985">
        <v>2267684</v>
      </c>
      <c r="M593" s="985">
        <v>0</v>
      </c>
      <c r="N593" s="985">
        <v>0</v>
      </c>
      <c r="O593" s="985">
        <v>2267684</v>
      </c>
      <c r="P593" s="985">
        <v>0</v>
      </c>
      <c r="Q593" s="985">
        <v>0</v>
      </c>
      <c r="R593" s="996">
        <f>L593/I593</f>
        <v>3036.5345474022497</v>
      </c>
      <c r="S593" s="1393">
        <v>2021</v>
      </c>
      <c r="T593" s="1393">
        <v>2021</v>
      </c>
    </row>
    <row r="594" spans="1:20" s="1041" customFormat="1" ht="38.4" customHeight="1">
      <c r="A594" s="1383"/>
      <c r="B594" s="1513" t="s">
        <v>49</v>
      </c>
      <c r="C594" s="1513"/>
      <c r="D594" s="1513"/>
      <c r="E594" s="1513"/>
      <c r="F594" s="1513"/>
      <c r="G594" s="1513"/>
      <c r="H594" s="985">
        <f>H597+H599+H595+H601</f>
        <v>3630.4</v>
      </c>
      <c r="I594" s="985">
        <f t="shared" ref="I594:Q594" si="195">I597+I599+I595+I601</f>
        <v>3303.6</v>
      </c>
      <c r="J594" s="985">
        <f t="shared" si="195"/>
        <v>2184.5</v>
      </c>
      <c r="K594" s="985">
        <f t="shared" si="195"/>
        <v>136</v>
      </c>
      <c r="L594" s="985">
        <f t="shared" si="195"/>
        <v>9398778</v>
      </c>
      <c r="M594" s="985">
        <f t="shared" si="195"/>
        <v>0</v>
      </c>
      <c r="N594" s="985">
        <f t="shared" si="195"/>
        <v>0</v>
      </c>
      <c r="O594" s="985">
        <f t="shared" si="195"/>
        <v>9398778</v>
      </c>
      <c r="P594" s="985">
        <f t="shared" si="195"/>
        <v>0</v>
      </c>
      <c r="Q594" s="985">
        <f t="shared" si="195"/>
        <v>0</v>
      </c>
      <c r="R594" s="996" t="s">
        <v>40</v>
      </c>
      <c r="S594" s="996" t="s">
        <v>40</v>
      </c>
      <c r="T594" s="996" t="s">
        <v>40</v>
      </c>
    </row>
    <row r="595" spans="1:20" s="1041" customFormat="1" ht="38.4" customHeight="1">
      <c r="A595" s="1383"/>
      <c r="B595" s="1388" t="s">
        <v>1546</v>
      </c>
      <c r="C595" s="991"/>
      <c r="D595" s="992"/>
      <c r="E595" s="991"/>
      <c r="F595" s="991"/>
      <c r="G595" s="994"/>
      <c r="H595" s="985">
        <f>H596</f>
        <v>956.5</v>
      </c>
      <c r="I595" s="985">
        <f t="shared" ref="I595:Q595" si="196">I596</f>
        <v>873.2</v>
      </c>
      <c r="J595" s="985">
        <f t="shared" si="196"/>
        <v>873.2</v>
      </c>
      <c r="K595" s="995">
        <f t="shared" si="196"/>
        <v>40</v>
      </c>
      <c r="L595" s="985">
        <f t="shared" si="196"/>
        <v>2953066</v>
      </c>
      <c r="M595" s="985">
        <f t="shared" si="196"/>
        <v>0</v>
      </c>
      <c r="N595" s="985">
        <f t="shared" si="196"/>
        <v>0</v>
      </c>
      <c r="O595" s="985">
        <f t="shared" si="196"/>
        <v>2953066</v>
      </c>
      <c r="P595" s="985">
        <f t="shared" si="196"/>
        <v>0</v>
      </c>
      <c r="Q595" s="985">
        <f t="shared" si="196"/>
        <v>0</v>
      </c>
      <c r="R595" s="996" t="s">
        <v>40</v>
      </c>
      <c r="S595" s="996" t="s">
        <v>40</v>
      </c>
      <c r="T595" s="996" t="s">
        <v>40</v>
      </c>
    </row>
    <row r="596" spans="1:20" s="1041" customFormat="1" ht="38.4" customHeight="1">
      <c r="A596" s="1383">
        <v>122</v>
      </c>
      <c r="B596" s="1385" t="s">
        <v>1547</v>
      </c>
      <c r="C596" s="1393">
        <v>1989</v>
      </c>
      <c r="D596" s="1385"/>
      <c r="E596" s="1400" t="s">
        <v>218</v>
      </c>
      <c r="F596" s="1393">
        <v>2</v>
      </c>
      <c r="G596" s="1393">
        <v>3</v>
      </c>
      <c r="H596" s="985">
        <v>956.5</v>
      </c>
      <c r="I596" s="985">
        <v>873.2</v>
      </c>
      <c r="J596" s="985">
        <v>873.2</v>
      </c>
      <c r="K596" s="995">
        <v>40</v>
      </c>
      <c r="L596" s="985">
        <v>2953066</v>
      </c>
      <c r="M596" s="985">
        <v>0</v>
      </c>
      <c r="N596" s="985">
        <v>0</v>
      </c>
      <c r="O596" s="985">
        <v>2953066</v>
      </c>
      <c r="P596" s="985">
        <v>0</v>
      </c>
      <c r="Q596" s="985">
        <v>0</v>
      </c>
      <c r="R596" s="985">
        <f t="shared" ref="R596" si="197">L596/I596</f>
        <v>3381.8896014658726</v>
      </c>
      <c r="S596" s="988">
        <v>2021</v>
      </c>
      <c r="T596" s="988">
        <v>2021</v>
      </c>
    </row>
    <row r="597" spans="1:20" s="1041" customFormat="1" ht="38.4" customHeight="1">
      <c r="A597" s="1383"/>
      <c r="B597" s="1513" t="s">
        <v>1165</v>
      </c>
      <c r="C597" s="1513"/>
      <c r="D597" s="1513"/>
      <c r="E597" s="1513"/>
      <c r="F597" s="1513"/>
      <c r="G597" s="1513"/>
      <c r="H597" s="985">
        <f>H598</f>
        <v>572.29999999999995</v>
      </c>
      <c r="I597" s="985">
        <f t="shared" ref="I597:Q597" si="198">I598</f>
        <v>572.29999999999995</v>
      </c>
      <c r="J597" s="985">
        <f t="shared" si="198"/>
        <v>31.9</v>
      </c>
      <c r="K597" s="995">
        <f t="shared" si="198"/>
        <v>25</v>
      </c>
      <c r="L597" s="985">
        <f t="shared" si="198"/>
        <v>2389620</v>
      </c>
      <c r="M597" s="985">
        <f t="shared" si="198"/>
        <v>0</v>
      </c>
      <c r="N597" s="985">
        <f t="shared" si="198"/>
        <v>0</v>
      </c>
      <c r="O597" s="985">
        <f t="shared" si="198"/>
        <v>2389620</v>
      </c>
      <c r="P597" s="985">
        <f t="shared" si="198"/>
        <v>0</v>
      </c>
      <c r="Q597" s="985">
        <f t="shared" si="198"/>
        <v>0</v>
      </c>
      <c r="R597" s="996" t="s">
        <v>40</v>
      </c>
      <c r="S597" s="996" t="s">
        <v>40</v>
      </c>
      <c r="T597" s="996" t="s">
        <v>40</v>
      </c>
    </row>
    <row r="598" spans="1:20" s="1041" customFormat="1" ht="38.4" customHeight="1">
      <c r="A598" s="1383">
        <v>123</v>
      </c>
      <c r="B598" s="1386" t="s">
        <v>1322</v>
      </c>
      <c r="C598" s="1393">
        <v>1968</v>
      </c>
      <c r="D598" s="1393"/>
      <c r="E598" s="1383" t="s">
        <v>219</v>
      </c>
      <c r="F598" s="1393">
        <v>2</v>
      </c>
      <c r="G598" s="1393">
        <v>2</v>
      </c>
      <c r="H598" s="985">
        <v>572.29999999999995</v>
      </c>
      <c r="I598" s="985">
        <v>572.29999999999995</v>
      </c>
      <c r="J598" s="985">
        <v>31.9</v>
      </c>
      <c r="K598" s="995">
        <v>25</v>
      </c>
      <c r="L598" s="987">
        <v>2389620</v>
      </c>
      <c r="M598" s="987">
        <v>0</v>
      </c>
      <c r="N598" s="987">
        <v>0</v>
      </c>
      <c r="O598" s="987">
        <f>L598</f>
        <v>2389620</v>
      </c>
      <c r="P598" s="998">
        <v>0</v>
      </c>
      <c r="Q598" s="987">
        <v>0</v>
      </c>
      <c r="R598" s="985">
        <f t="shared" ref="R598:R600" si="199">L598/I598</f>
        <v>4175.4674121964008</v>
      </c>
      <c r="S598" s="988">
        <v>2021</v>
      </c>
      <c r="T598" s="988">
        <v>2021</v>
      </c>
    </row>
    <row r="599" spans="1:20" s="1041" customFormat="1" ht="38.4" customHeight="1">
      <c r="A599" s="1249"/>
      <c r="B599" s="1261" t="s">
        <v>1079</v>
      </c>
      <c r="C599" s="991"/>
      <c r="D599" s="992"/>
      <c r="E599" s="991"/>
      <c r="F599" s="991"/>
      <c r="G599" s="994"/>
      <c r="H599" s="985">
        <f>H600</f>
        <v>721</v>
      </c>
      <c r="I599" s="985">
        <f t="shared" ref="I599:Q599" si="200">I600</f>
        <v>477.5</v>
      </c>
      <c r="J599" s="985">
        <f t="shared" si="200"/>
        <v>443.6</v>
      </c>
      <c r="K599" s="995">
        <f t="shared" si="200"/>
        <v>26</v>
      </c>
      <c r="L599" s="985">
        <f t="shared" si="200"/>
        <v>2118761</v>
      </c>
      <c r="M599" s="985">
        <f t="shared" si="200"/>
        <v>0</v>
      </c>
      <c r="N599" s="985">
        <f t="shared" si="200"/>
        <v>0</v>
      </c>
      <c r="O599" s="985">
        <f t="shared" si="200"/>
        <v>2118761</v>
      </c>
      <c r="P599" s="985">
        <f t="shared" si="200"/>
        <v>0</v>
      </c>
      <c r="Q599" s="985">
        <f t="shared" si="200"/>
        <v>0</v>
      </c>
      <c r="R599" s="996" t="s">
        <v>40</v>
      </c>
      <c r="S599" s="996" t="s">
        <v>40</v>
      </c>
      <c r="T599" s="996" t="s">
        <v>40</v>
      </c>
    </row>
    <row r="600" spans="1:20" s="1041" customFormat="1" ht="42.6" customHeight="1">
      <c r="A600" s="1249">
        <v>124</v>
      </c>
      <c r="B600" s="1245" t="s">
        <v>1254</v>
      </c>
      <c r="C600" s="1255">
        <v>1970</v>
      </c>
      <c r="D600" s="1255"/>
      <c r="E600" s="1249" t="s">
        <v>218</v>
      </c>
      <c r="F600" s="1255">
        <v>2</v>
      </c>
      <c r="G600" s="1255">
        <v>2</v>
      </c>
      <c r="H600" s="985">
        <v>721</v>
      </c>
      <c r="I600" s="985">
        <v>477.5</v>
      </c>
      <c r="J600" s="985">
        <v>443.6</v>
      </c>
      <c r="K600" s="995">
        <v>26</v>
      </c>
      <c r="L600" s="987">
        <v>2118761</v>
      </c>
      <c r="M600" s="987">
        <v>0</v>
      </c>
      <c r="N600" s="987">
        <v>0</v>
      </c>
      <c r="O600" s="987">
        <v>2118761</v>
      </c>
      <c r="P600" s="998">
        <v>0</v>
      </c>
      <c r="Q600" s="987">
        <v>0</v>
      </c>
      <c r="R600" s="985">
        <f t="shared" si="199"/>
        <v>4437.1958115183243</v>
      </c>
      <c r="S600" s="988">
        <v>2021</v>
      </c>
      <c r="T600" s="988">
        <v>2021</v>
      </c>
    </row>
    <row r="601" spans="1:20" s="2" customFormat="1" ht="36.6" customHeight="1">
      <c r="A601" s="1249"/>
      <c r="B601" s="1510" t="s">
        <v>1168</v>
      </c>
      <c r="C601" s="1511"/>
      <c r="D601" s="1511"/>
      <c r="E601" s="1511"/>
      <c r="F601" s="1511"/>
      <c r="G601" s="1512"/>
      <c r="H601" s="985">
        <f>H602</f>
        <v>1380.6</v>
      </c>
      <c r="I601" s="985">
        <f t="shared" ref="I601:Q601" si="201">I602</f>
        <v>1380.6</v>
      </c>
      <c r="J601" s="985">
        <f t="shared" si="201"/>
        <v>835.8</v>
      </c>
      <c r="K601" s="985">
        <f t="shared" si="201"/>
        <v>45</v>
      </c>
      <c r="L601" s="985">
        <f t="shared" si="201"/>
        <v>1937331</v>
      </c>
      <c r="M601" s="985">
        <f t="shared" si="201"/>
        <v>0</v>
      </c>
      <c r="N601" s="985">
        <f t="shared" si="201"/>
        <v>0</v>
      </c>
      <c r="O601" s="985">
        <f t="shared" si="201"/>
        <v>1937331</v>
      </c>
      <c r="P601" s="985">
        <f t="shared" si="201"/>
        <v>0</v>
      </c>
      <c r="Q601" s="985">
        <f t="shared" si="201"/>
        <v>0</v>
      </c>
      <c r="R601" s="996" t="s">
        <v>40</v>
      </c>
      <c r="S601" s="996" t="s">
        <v>40</v>
      </c>
      <c r="T601" s="996" t="s">
        <v>40</v>
      </c>
    </row>
    <row r="602" spans="1:20" s="2" customFormat="1" ht="36.6" customHeight="1">
      <c r="A602" s="1249">
        <v>125</v>
      </c>
      <c r="B602" s="1260" t="s">
        <v>2020</v>
      </c>
      <c r="C602" s="1255">
        <v>1993</v>
      </c>
      <c r="D602" s="1255"/>
      <c r="E602" s="1249" t="s">
        <v>220</v>
      </c>
      <c r="F602" s="1255">
        <v>3</v>
      </c>
      <c r="G602" s="1255">
        <v>3</v>
      </c>
      <c r="H602" s="985">
        <v>1380.6</v>
      </c>
      <c r="I602" s="985">
        <v>1380.6</v>
      </c>
      <c r="J602" s="985">
        <v>835.8</v>
      </c>
      <c r="K602" s="995">
        <v>45</v>
      </c>
      <c r="L602" s="987">
        <v>1937331</v>
      </c>
      <c r="M602" s="987">
        <v>0</v>
      </c>
      <c r="N602" s="987">
        <v>0</v>
      </c>
      <c r="O602" s="987">
        <v>1937331</v>
      </c>
      <c r="P602" s="998">
        <v>0</v>
      </c>
      <c r="Q602" s="987">
        <v>0</v>
      </c>
      <c r="R602" s="985">
        <f>L602/I602</f>
        <v>1403.2529335071708</v>
      </c>
      <c r="S602" s="988">
        <v>2021</v>
      </c>
      <c r="T602" s="988">
        <v>2021</v>
      </c>
    </row>
    <row r="603" spans="1:20" s="1028" customFormat="1" ht="42.6" customHeight="1">
      <c r="A603" s="1249"/>
      <c r="B603" s="1513" t="s">
        <v>50</v>
      </c>
      <c r="C603" s="1513"/>
      <c r="D603" s="1513"/>
      <c r="E603" s="1513"/>
      <c r="F603" s="1513"/>
      <c r="G603" s="1513"/>
      <c r="H603" s="985">
        <f>H604</f>
        <v>14524.5</v>
      </c>
      <c r="I603" s="985">
        <f t="shared" ref="I603:Q603" si="202">I604</f>
        <v>12956</v>
      </c>
      <c r="J603" s="985">
        <f t="shared" si="202"/>
        <v>12434.5</v>
      </c>
      <c r="K603" s="995">
        <f t="shared" si="202"/>
        <v>501</v>
      </c>
      <c r="L603" s="985">
        <f t="shared" si="202"/>
        <v>12056009</v>
      </c>
      <c r="M603" s="985">
        <f t="shared" si="202"/>
        <v>0</v>
      </c>
      <c r="N603" s="985">
        <f t="shared" si="202"/>
        <v>0</v>
      </c>
      <c r="O603" s="985">
        <f t="shared" si="202"/>
        <v>12056009</v>
      </c>
      <c r="P603" s="985">
        <f t="shared" si="202"/>
        <v>0</v>
      </c>
      <c r="Q603" s="985">
        <f t="shared" si="202"/>
        <v>0</v>
      </c>
      <c r="R603" s="996" t="s">
        <v>40</v>
      </c>
      <c r="S603" s="996" t="s">
        <v>40</v>
      </c>
      <c r="T603" s="996" t="s">
        <v>40</v>
      </c>
    </row>
    <row r="604" spans="1:20" s="1028" customFormat="1" ht="42.6" customHeight="1">
      <c r="A604" s="1249"/>
      <c r="B604" s="1513" t="s">
        <v>1081</v>
      </c>
      <c r="C604" s="1513"/>
      <c r="D604" s="1513"/>
      <c r="E604" s="1513"/>
      <c r="F604" s="1513"/>
      <c r="G604" s="1513"/>
      <c r="H604" s="985">
        <f>SUM(H605:H608)</f>
        <v>14524.5</v>
      </c>
      <c r="I604" s="985">
        <f t="shared" ref="I604:Q604" si="203">SUM(I605:I608)</f>
        <v>12956</v>
      </c>
      <c r="J604" s="985">
        <f t="shared" si="203"/>
        <v>12434.5</v>
      </c>
      <c r="K604" s="995">
        <f t="shared" si="203"/>
        <v>501</v>
      </c>
      <c r="L604" s="985">
        <f t="shared" si="203"/>
        <v>12056009</v>
      </c>
      <c r="M604" s="985">
        <f t="shared" si="203"/>
        <v>0</v>
      </c>
      <c r="N604" s="985">
        <f t="shared" si="203"/>
        <v>0</v>
      </c>
      <c r="O604" s="985">
        <f t="shared" si="203"/>
        <v>12056009</v>
      </c>
      <c r="P604" s="985">
        <f t="shared" si="203"/>
        <v>0</v>
      </c>
      <c r="Q604" s="985">
        <f t="shared" si="203"/>
        <v>0</v>
      </c>
      <c r="R604" s="996" t="s">
        <v>40</v>
      </c>
      <c r="S604" s="996" t="s">
        <v>40</v>
      </c>
      <c r="T604" s="996" t="s">
        <v>40</v>
      </c>
    </row>
    <row r="605" spans="1:20" s="1028" customFormat="1" ht="42.6" customHeight="1">
      <c r="A605" s="1046">
        <v>126</v>
      </c>
      <c r="B605" s="997" t="s">
        <v>1374</v>
      </c>
      <c r="C605" s="1380">
        <v>1990</v>
      </c>
      <c r="D605" s="1079"/>
      <c r="E605" s="1249" t="s">
        <v>218</v>
      </c>
      <c r="F605" s="1049">
        <v>5</v>
      </c>
      <c r="G605" s="1037">
        <v>6</v>
      </c>
      <c r="H605" s="1080">
        <v>4834.8999999999996</v>
      </c>
      <c r="I605" s="1080">
        <v>4350.3</v>
      </c>
      <c r="J605" s="1080">
        <v>4097.3999999999996</v>
      </c>
      <c r="K605" s="1039">
        <v>173</v>
      </c>
      <c r="L605" s="1081">
        <v>3768692</v>
      </c>
      <c r="M605" s="1081">
        <v>0</v>
      </c>
      <c r="N605" s="1081">
        <v>0</v>
      </c>
      <c r="O605" s="1081">
        <v>3768692</v>
      </c>
      <c r="P605" s="1107">
        <v>0</v>
      </c>
      <c r="Q605" s="1107">
        <v>0</v>
      </c>
      <c r="R605" s="1145">
        <f>L605/I605</f>
        <v>866.30623175413189</v>
      </c>
      <c r="S605" s="1046">
        <v>2021</v>
      </c>
      <c r="T605" s="1046">
        <v>2021</v>
      </c>
    </row>
    <row r="606" spans="1:20" s="1028" customFormat="1" ht="42.6" customHeight="1">
      <c r="A606" s="1046">
        <v>127</v>
      </c>
      <c r="B606" s="1265" t="s">
        <v>1375</v>
      </c>
      <c r="C606" s="1380">
        <v>1996</v>
      </c>
      <c r="D606" s="1086"/>
      <c r="E606" s="1249" t="s">
        <v>218</v>
      </c>
      <c r="F606" s="1085">
        <v>5</v>
      </c>
      <c r="G606" s="1085">
        <v>1</v>
      </c>
      <c r="H606" s="1088">
        <v>2932.9</v>
      </c>
      <c r="I606" s="1088">
        <v>2561.1999999999998</v>
      </c>
      <c r="J606" s="1088">
        <v>2426.3000000000002</v>
      </c>
      <c r="K606" s="1089">
        <v>93</v>
      </c>
      <c r="L606" s="1090">
        <v>2418266</v>
      </c>
      <c r="M606" s="1081">
        <v>0</v>
      </c>
      <c r="N606" s="1081">
        <v>0</v>
      </c>
      <c r="O606" s="1090">
        <v>2418266</v>
      </c>
      <c r="P606" s="1107">
        <v>0</v>
      </c>
      <c r="Q606" s="1107">
        <v>0</v>
      </c>
      <c r="R606" s="1145">
        <f>L606/I606</f>
        <v>944.19256598469474</v>
      </c>
      <c r="S606" s="1046">
        <v>2021</v>
      </c>
      <c r="T606" s="1046">
        <v>2021</v>
      </c>
    </row>
    <row r="607" spans="1:20" s="1028" customFormat="1" ht="42.6" customHeight="1">
      <c r="A607" s="1046">
        <v>128</v>
      </c>
      <c r="B607" s="1265" t="s">
        <v>1376</v>
      </c>
      <c r="C607" s="1380">
        <v>1984</v>
      </c>
      <c r="D607" s="1086"/>
      <c r="E607" s="1249" t="s">
        <v>218</v>
      </c>
      <c r="F607" s="1085">
        <v>5</v>
      </c>
      <c r="G607" s="1085">
        <v>4</v>
      </c>
      <c r="H607" s="1088">
        <v>3391.7</v>
      </c>
      <c r="I607" s="1088">
        <v>3032.6</v>
      </c>
      <c r="J607" s="1088">
        <v>3032.6</v>
      </c>
      <c r="K607" s="1089">
        <v>108</v>
      </c>
      <c r="L607" s="1090">
        <v>2907354</v>
      </c>
      <c r="M607" s="1081">
        <v>0</v>
      </c>
      <c r="N607" s="1081">
        <v>0</v>
      </c>
      <c r="O607" s="1090">
        <v>2907354</v>
      </c>
      <c r="P607" s="1107">
        <v>0</v>
      </c>
      <c r="Q607" s="1107">
        <v>0</v>
      </c>
      <c r="R607" s="1145">
        <f>L607/I607</f>
        <v>958.70012530501879</v>
      </c>
      <c r="S607" s="1046">
        <v>2021</v>
      </c>
      <c r="T607" s="1046">
        <v>2021</v>
      </c>
    </row>
    <row r="608" spans="1:20" s="997" customFormat="1" ht="38.4" customHeight="1">
      <c r="A608" s="1046">
        <v>129</v>
      </c>
      <c r="B608" s="1146" t="s">
        <v>1377</v>
      </c>
      <c r="C608" s="1380">
        <v>1986</v>
      </c>
      <c r="D608" s="1147"/>
      <c r="E608" s="1249" t="s">
        <v>218</v>
      </c>
      <c r="F608" s="1085">
        <v>5</v>
      </c>
      <c r="G608" s="1085">
        <v>4</v>
      </c>
      <c r="H608" s="1088">
        <v>3365</v>
      </c>
      <c r="I608" s="1148">
        <v>3011.9</v>
      </c>
      <c r="J608" s="1148">
        <v>2878.2</v>
      </c>
      <c r="K608" s="1149">
        <v>127</v>
      </c>
      <c r="L608" s="1150">
        <v>2961697</v>
      </c>
      <c r="M608" s="1151">
        <v>0</v>
      </c>
      <c r="N608" s="1151">
        <v>0</v>
      </c>
      <c r="O608" s="1150">
        <v>2961697</v>
      </c>
      <c r="P608" s="1107">
        <v>0</v>
      </c>
      <c r="Q608" s="1107">
        <v>0</v>
      </c>
      <c r="R608" s="1145">
        <f>L608/I608</f>
        <v>983.33178392376897</v>
      </c>
      <c r="S608" s="1046">
        <v>2021</v>
      </c>
      <c r="T608" s="1046">
        <v>2021</v>
      </c>
    </row>
    <row r="609" spans="1:20" s="1045" customFormat="1" ht="41.4" customHeight="1">
      <c r="A609" s="1249"/>
      <c r="B609" s="1513" t="s">
        <v>1221</v>
      </c>
      <c r="C609" s="1513"/>
      <c r="D609" s="1513"/>
      <c r="E609" s="1513"/>
      <c r="F609" s="1513"/>
      <c r="G609" s="1513"/>
      <c r="H609" s="985">
        <f>H610+H611+H612+H613+H614+H615+H616</f>
        <v>25609.9</v>
      </c>
      <c r="I609" s="985">
        <f t="shared" ref="I609:Q609" si="204">I610+I611+I612+I613+I614+I615+I616</f>
        <v>25609.9</v>
      </c>
      <c r="J609" s="985">
        <f t="shared" si="204"/>
        <v>19022.899999999998</v>
      </c>
      <c r="K609" s="995">
        <f t="shared" si="204"/>
        <v>784</v>
      </c>
      <c r="L609" s="985">
        <f t="shared" si="204"/>
        <v>18108697</v>
      </c>
      <c r="M609" s="985">
        <f t="shared" si="204"/>
        <v>0</v>
      </c>
      <c r="N609" s="985">
        <f t="shared" si="204"/>
        <v>0</v>
      </c>
      <c r="O609" s="985">
        <f t="shared" si="204"/>
        <v>18108697</v>
      </c>
      <c r="P609" s="985">
        <f t="shared" si="204"/>
        <v>0</v>
      </c>
      <c r="Q609" s="985">
        <f t="shared" si="204"/>
        <v>0</v>
      </c>
      <c r="R609" s="996" t="s">
        <v>40</v>
      </c>
      <c r="S609" s="996" t="s">
        <v>40</v>
      </c>
      <c r="T609" s="996" t="s">
        <v>40</v>
      </c>
    </row>
    <row r="610" spans="1:20" s="1045" customFormat="1" ht="41.4" customHeight="1">
      <c r="A610" s="1046">
        <v>130</v>
      </c>
      <c r="B610" s="1152" t="s">
        <v>1324</v>
      </c>
      <c r="C610" s="1048">
        <v>1972</v>
      </c>
      <c r="D610" s="1048"/>
      <c r="E610" s="1046" t="s">
        <v>218</v>
      </c>
      <c r="F610" s="1048">
        <v>2</v>
      </c>
      <c r="G610" s="1048">
        <v>2</v>
      </c>
      <c r="H610" s="1067">
        <v>574.4</v>
      </c>
      <c r="I610" s="1067">
        <v>574.4</v>
      </c>
      <c r="J610" s="1067">
        <v>525</v>
      </c>
      <c r="K610" s="1077">
        <v>22</v>
      </c>
      <c r="L610" s="985">
        <v>1722085</v>
      </c>
      <c r="M610" s="985">
        <v>0</v>
      </c>
      <c r="N610" s="985">
        <v>0</v>
      </c>
      <c r="O610" s="985">
        <v>1722085</v>
      </c>
      <c r="P610" s="1067">
        <v>0</v>
      </c>
      <c r="Q610" s="1067">
        <v>0</v>
      </c>
      <c r="R610" s="1067">
        <f>L610/H610</f>
        <v>2998.0588440111424</v>
      </c>
      <c r="S610" s="988">
        <v>2021</v>
      </c>
      <c r="T610" s="988">
        <v>2021</v>
      </c>
    </row>
    <row r="611" spans="1:20" s="1045" customFormat="1" ht="41.4" customHeight="1">
      <c r="A611" s="1026">
        <v>131</v>
      </c>
      <c r="B611" s="1105" t="s">
        <v>1883</v>
      </c>
      <c r="C611" s="1026">
        <v>1969</v>
      </c>
      <c r="D611" s="1026"/>
      <c r="E611" s="1046" t="s">
        <v>218</v>
      </c>
      <c r="F611" s="1026">
        <v>5</v>
      </c>
      <c r="G611" s="1026">
        <v>3</v>
      </c>
      <c r="H611" s="1057">
        <v>2521.9</v>
      </c>
      <c r="I611" s="1057">
        <v>2521.9</v>
      </c>
      <c r="J611" s="1057">
        <v>1654.5</v>
      </c>
      <c r="K611" s="1036">
        <v>80</v>
      </c>
      <c r="L611" s="985">
        <v>1861251</v>
      </c>
      <c r="M611" s="998">
        <v>0</v>
      </c>
      <c r="N611" s="998">
        <v>0</v>
      </c>
      <c r="O611" s="985">
        <v>1861251</v>
      </c>
      <c r="P611" s="1057">
        <v>0</v>
      </c>
      <c r="Q611" s="1057">
        <v>0</v>
      </c>
      <c r="R611" s="1057">
        <f>L611/H611</f>
        <v>738.03521154684961</v>
      </c>
      <c r="S611" s="988">
        <v>2021</v>
      </c>
      <c r="T611" s="988">
        <v>2021</v>
      </c>
    </row>
    <row r="612" spans="1:20" s="1045" customFormat="1" ht="37.200000000000003" customHeight="1">
      <c r="A612" s="1046">
        <v>132</v>
      </c>
      <c r="B612" s="1105" t="s">
        <v>1884</v>
      </c>
      <c r="C612" s="1037">
        <v>1991</v>
      </c>
      <c r="D612" s="1037"/>
      <c r="E612" s="1026" t="s">
        <v>219</v>
      </c>
      <c r="F612" s="1037">
        <v>5</v>
      </c>
      <c r="G612" s="1037">
        <v>6</v>
      </c>
      <c r="H612" s="1038">
        <v>4567.8999999999996</v>
      </c>
      <c r="I612" s="1038">
        <v>4567.8999999999996</v>
      </c>
      <c r="J612" s="1038">
        <v>2527.1</v>
      </c>
      <c r="K612" s="1039">
        <v>146</v>
      </c>
      <c r="L612" s="985">
        <v>3085872</v>
      </c>
      <c r="M612" s="985">
        <v>0</v>
      </c>
      <c r="N612" s="985">
        <v>0</v>
      </c>
      <c r="O612" s="985">
        <v>3085872</v>
      </c>
      <c r="P612" s="1038">
        <v>0</v>
      </c>
      <c r="Q612" s="1038">
        <v>0</v>
      </c>
      <c r="R612" s="1038">
        <f>O612/H612</f>
        <v>675.55594474484997</v>
      </c>
      <c r="S612" s="988">
        <v>2021</v>
      </c>
      <c r="T612" s="988">
        <v>2021</v>
      </c>
    </row>
    <row r="613" spans="1:20" s="1045" customFormat="1" ht="41.4" customHeight="1">
      <c r="A613" s="1026">
        <v>133</v>
      </c>
      <c r="B613" s="1105" t="s">
        <v>1885</v>
      </c>
      <c r="C613" s="1048">
        <v>1987</v>
      </c>
      <c r="D613" s="1048"/>
      <c r="E613" s="1046" t="s">
        <v>218</v>
      </c>
      <c r="F613" s="1048">
        <v>5</v>
      </c>
      <c r="G613" s="1048">
        <v>6</v>
      </c>
      <c r="H613" s="1067">
        <v>4223</v>
      </c>
      <c r="I613" s="1067">
        <v>4223</v>
      </c>
      <c r="J613" s="1067">
        <v>3911</v>
      </c>
      <c r="K613" s="1077">
        <v>148</v>
      </c>
      <c r="L613" s="985">
        <v>3497520</v>
      </c>
      <c r="M613" s="985">
        <v>0</v>
      </c>
      <c r="N613" s="985">
        <v>0</v>
      </c>
      <c r="O613" s="985">
        <v>3497520</v>
      </c>
      <c r="P613" s="1067">
        <v>0</v>
      </c>
      <c r="Q613" s="1067">
        <v>0</v>
      </c>
      <c r="R613" s="1067">
        <f>O613/H613</f>
        <v>828.20743547241295</v>
      </c>
      <c r="S613" s="988">
        <v>2021</v>
      </c>
      <c r="T613" s="988">
        <v>2021</v>
      </c>
    </row>
    <row r="614" spans="1:20" s="1045" customFormat="1" ht="41.4" customHeight="1">
      <c r="A614" s="1046">
        <v>134</v>
      </c>
      <c r="B614" s="1105" t="s">
        <v>1886</v>
      </c>
      <c r="C614" s="1048">
        <v>1272</v>
      </c>
      <c r="D614" s="1048"/>
      <c r="E614" s="1046" t="s">
        <v>218</v>
      </c>
      <c r="F614" s="1048">
        <v>5</v>
      </c>
      <c r="G614" s="1048">
        <v>6</v>
      </c>
      <c r="H614" s="1067">
        <v>5891.3</v>
      </c>
      <c r="I614" s="1067">
        <v>5891.3</v>
      </c>
      <c r="J614" s="1067">
        <v>4522.8999999999996</v>
      </c>
      <c r="K614" s="1077">
        <v>167</v>
      </c>
      <c r="L614" s="985">
        <v>3398072</v>
      </c>
      <c r="M614" s="985">
        <v>0</v>
      </c>
      <c r="N614" s="985">
        <v>0</v>
      </c>
      <c r="O614" s="985">
        <v>3398072</v>
      </c>
      <c r="P614" s="1067">
        <v>0</v>
      </c>
      <c r="Q614" s="1067">
        <v>0</v>
      </c>
      <c r="R614" s="1067">
        <f>O614/H614</f>
        <v>576.79493490401103</v>
      </c>
      <c r="S614" s="988">
        <v>2021</v>
      </c>
      <c r="T614" s="988">
        <v>2021</v>
      </c>
    </row>
    <row r="615" spans="1:20" s="1045" customFormat="1" ht="41.4" customHeight="1">
      <c r="A615" s="1026">
        <v>135</v>
      </c>
      <c r="B615" s="1105" t="s">
        <v>1887</v>
      </c>
      <c r="C615" s="1048">
        <v>1985</v>
      </c>
      <c r="D615" s="1048"/>
      <c r="E615" s="1046" t="s">
        <v>218</v>
      </c>
      <c r="F615" s="1048">
        <v>5</v>
      </c>
      <c r="G615" s="1048">
        <v>4</v>
      </c>
      <c r="H615" s="1067">
        <v>3730.5</v>
      </c>
      <c r="I615" s="1067">
        <v>3730.5</v>
      </c>
      <c r="J615" s="1067">
        <v>2802.8</v>
      </c>
      <c r="K615" s="1077">
        <v>97</v>
      </c>
      <c r="L615" s="985">
        <v>2190569</v>
      </c>
      <c r="M615" s="985">
        <v>0</v>
      </c>
      <c r="N615" s="985">
        <v>0</v>
      </c>
      <c r="O615" s="985">
        <v>2190569</v>
      </c>
      <c r="P615" s="1067">
        <v>0</v>
      </c>
      <c r="Q615" s="1067">
        <v>0</v>
      </c>
      <c r="R615" s="1067">
        <f>L615/H615</f>
        <v>587.20520037528479</v>
      </c>
      <c r="S615" s="988">
        <v>2021</v>
      </c>
      <c r="T615" s="988">
        <v>2021</v>
      </c>
    </row>
    <row r="616" spans="1:20" s="1045" customFormat="1" ht="41.4" customHeight="1">
      <c r="A616" s="1046">
        <v>136</v>
      </c>
      <c r="B616" s="1105" t="s">
        <v>2356</v>
      </c>
      <c r="C616" s="1048">
        <v>1976</v>
      </c>
      <c r="D616" s="1048"/>
      <c r="E616" s="1046" t="s">
        <v>218</v>
      </c>
      <c r="F616" s="1048">
        <v>5</v>
      </c>
      <c r="G616" s="1048">
        <v>4</v>
      </c>
      <c r="H616" s="1067">
        <v>4100.8999999999996</v>
      </c>
      <c r="I616" s="1067">
        <v>4100.8999999999996</v>
      </c>
      <c r="J616" s="1067">
        <v>3079.6</v>
      </c>
      <c r="K616" s="1077">
        <v>124</v>
      </c>
      <c r="L616" s="985">
        <v>2353328</v>
      </c>
      <c r="M616" s="985">
        <v>0</v>
      </c>
      <c r="N616" s="985">
        <v>0</v>
      </c>
      <c r="O616" s="985">
        <v>2353328</v>
      </c>
      <c r="P616" s="1067">
        <v>0</v>
      </c>
      <c r="Q616" s="1067">
        <v>0</v>
      </c>
      <c r="R616" s="1067">
        <f>L616/H616</f>
        <v>573.85647053085916</v>
      </c>
      <c r="S616" s="988">
        <v>2021</v>
      </c>
      <c r="T616" s="988">
        <v>2021</v>
      </c>
    </row>
    <row r="617" spans="1:20" s="997" customFormat="1" ht="36" customHeight="1">
      <c r="A617" s="1249"/>
      <c r="B617" s="1261" t="s">
        <v>52</v>
      </c>
      <c r="C617" s="991"/>
      <c r="D617" s="992"/>
      <c r="E617" s="993"/>
      <c r="F617" s="991"/>
      <c r="G617" s="994"/>
      <c r="H617" s="985">
        <f>H618+H620</f>
        <v>1184.8</v>
      </c>
      <c r="I617" s="985">
        <f t="shared" ref="I617:Q617" si="205">I618+I620</f>
        <v>1136.18</v>
      </c>
      <c r="J617" s="985">
        <f t="shared" si="205"/>
        <v>1136.18</v>
      </c>
      <c r="K617" s="995">
        <f t="shared" si="205"/>
        <v>29</v>
      </c>
      <c r="L617" s="985">
        <f t="shared" si="205"/>
        <v>4642648</v>
      </c>
      <c r="M617" s="985">
        <f t="shared" si="205"/>
        <v>0</v>
      </c>
      <c r="N617" s="985">
        <f t="shared" si="205"/>
        <v>0</v>
      </c>
      <c r="O617" s="985">
        <f t="shared" si="205"/>
        <v>4642648</v>
      </c>
      <c r="P617" s="985">
        <f t="shared" si="205"/>
        <v>0</v>
      </c>
      <c r="Q617" s="985">
        <f t="shared" si="205"/>
        <v>0</v>
      </c>
      <c r="R617" s="996" t="s">
        <v>40</v>
      </c>
      <c r="S617" s="996" t="s">
        <v>40</v>
      </c>
      <c r="T617" s="996" t="s">
        <v>40</v>
      </c>
    </row>
    <row r="618" spans="1:20" s="1013" customFormat="1" ht="41.4" customHeight="1">
      <c r="A618" s="1249"/>
      <c r="B618" s="1261" t="s">
        <v>1082</v>
      </c>
      <c r="C618" s="991"/>
      <c r="D618" s="992"/>
      <c r="E618" s="993"/>
      <c r="F618" s="991"/>
      <c r="G618" s="994"/>
      <c r="H618" s="985">
        <f>H619</f>
        <v>704.6</v>
      </c>
      <c r="I618" s="985">
        <f t="shared" ref="I618:Q618" si="206">I619</f>
        <v>655.98</v>
      </c>
      <c r="J618" s="985" t="str">
        <f t="shared" si="206"/>
        <v>655,98</v>
      </c>
      <c r="K618" s="995">
        <f t="shared" si="206"/>
        <v>14</v>
      </c>
      <c r="L618" s="985">
        <f t="shared" si="206"/>
        <v>2927261</v>
      </c>
      <c r="M618" s="985">
        <f t="shared" si="206"/>
        <v>0</v>
      </c>
      <c r="N618" s="985">
        <f t="shared" si="206"/>
        <v>0</v>
      </c>
      <c r="O618" s="985">
        <f t="shared" si="206"/>
        <v>2927261</v>
      </c>
      <c r="P618" s="985">
        <f t="shared" si="206"/>
        <v>0</v>
      </c>
      <c r="Q618" s="985">
        <f t="shared" si="206"/>
        <v>0</v>
      </c>
      <c r="R618" s="996" t="s">
        <v>40</v>
      </c>
      <c r="S618" s="996" t="s">
        <v>40</v>
      </c>
      <c r="T618" s="996" t="s">
        <v>40</v>
      </c>
    </row>
    <row r="619" spans="1:20" s="1013" customFormat="1" ht="41.4" customHeight="1">
      <c r="A619" s="1046">
        <v>137</v>
      </c>
      <c r="B619" s="1097" t="s">
        <v>2357</v>
      </c>
      <c r="C619" s="1042" t="s">
        <v>877</v>
      </c>
      <c r="D619" s="1042" t="s">
        <v>1266</v>
      </c>
      <c r="E619" s="1249" t="s">
        <v>218</v>
      </c>
      <c r="F619" s="1042" t="s">
        <v>1271</v>
      </c>
      <c r="G619" s="1042" t="s">
        <v>1271</v>
      </c>
      <c r="H619" s="1038">
        <v>704.6</v>
      </c>
      <c r="I619" s="1038">
        <v>655.98</v>
      </c>
      <c r="J619" s="1038" t="s">
        <v>1272</v>
      </c>
      <c r="K619" s="1039">
        <v>14</v>
      </c>
      <c r="L619" s="1047">
        <v>2927261</v>
      </c>
      <c r="M619" s="1038">
        <v>0</v>
      </c>
      <c r="N619" s="1038">
        <v>0</v>
      </c>
      <c r="O619" s="1038">
        <v>2927261</v>
      </c>
      <c r="P619" s="1038">
        <v>0</v>
      </c>
      <c r="Q619" s="1038">
        <v>0</v>
      </c>
      <c r="R619" s="1038">
        <f>L619/I619</f>
        <v>4462.4241592731487</v>
      </c>
      <c r="S619" s="1098" t="s">
        <v>1273</v>
      </c>
      <c r="T619" s="1098" t="s">
        <v>1273</v>
      </c>
    </row>
    <row r="620" spans="1:20" s="1013" customFormat="1" ht="41.4" customHeight="1">
      <c r="A620" s="1046"/>
      <c r="B620" s="1261" t="s">
        <v>1104</v>
      </c>
      <c r="C620" s="991"/>
      <c r="D620" s="992"/>
      <c r="E620" s="993"/>
      <c r="F620" s="991"/>
      <c r="G620" s="994"/>
      <c r="H620" s="1038">
        <f>H621</f>
        <v>480.2</v>
      </c>
      <c r="I620" s="1038">
        <f t="shared" ref="I620:Q620" si="207">I621</f>
        <v>480.2</v>
      </c>
      <c r="J620" s="1038">
        <f t="shared" si="207"/>
        <v>480.2</v>
      </c>
      <c r="K620" s="1039">
        <f t="shared" si="207"/>
        <v>15</v>
      </c>
      <c r="L620" s="1038">
        <f t="shared" si="207"/>
        <v>1715387</v>
      </c>
      <c r="M620" s="1038">
        <f t="shared" si="207"/>
        <v>0</v>
      </c>
      <c r="N620" s="1038">
        <f t="shared" si="207"/>
        <v>0</v>
      </c>
      <c r="O620" s="1038">
        <f t="shared" si="207"/>
        <v>1715387</v>
      </c>
      <c r="P620" s="1038">
        <f t="shared" si="207"/>
        <v>0</v>
      </c>
      <c r="Q620" s="1038">
        <f t="shared" si="207"/>
        <v>0</v>
      </c>
      <c r="R620" s="996" t="s">
        <v>40</v>
      </c>
      <c r="S620" s="996" t="s">
        <v>40</v>
      </c>
      <c r="T620" s="996" t="s">
        <v>40</v>
      </c>
    </row>
    <row r="621" spans="1:20" s="997" customFormat="1" ht="46.2" customHeight="1">
      <c r="A621" s="1046">
        <v>138</v>
      </c>
      <c r="B621" s="1097" t="s">
        <v>1888</v>
      </c>
      <c r="C621" s="1042" t="s">
        <v>1325</v>
      </c>
      <c r="D621" s="1042"/>
      <c r="E621" s="1249" t="s">
        <v>218</v>
      </c>
      <c r="F621" s="1042" t="s">
        <v>1271</v>
      </c>
      <c r="G621" s="1042" t="s">
        <v>73</v>
      </c>
      <c r="H621" s="1038">
        <v>480.2</v>
      </c>
      <c r="I621" s="1038">
        <v>480.2</v>
      </c>
      <c r="J621" s="1038">
        <v>480.2</v>
      </c>
      <c r="K621" s="1039">
        <v>15</v>
      </c>
      <c r="L621" s="1047">
        <v>1715387</v>
      </c>
      <c r="M621" s="1038">
        <v>0</v>
      </c>
      <c r="N621" s="1038">
        <v>0</v>
      </c>
      <c r="O621" s="1038">
        <v>1715387</v>
      </c>
      <c r="P621" s="1038">
        <v>0</v>
      </c>
      <c r="Q621" s="1038">
        <v>0</v>
      </c>
      <c r="R621" s="1038">
        <f>L621/I621</f>
        <v>3572.2344856309874</v>
      </c>
      <c r="S621" s="1098" t="s">
        <v>1273</v>
      </c>
      <c r="T621" s="1098" t="s">
        <v>1273</v>
      </c>
    </row>
    <row r="622" spans="1:20" s="997" customFormat="1" ht="36" customHeight="1">
      <c r="A622" s="1046"/>
      <c r="B622" s="1513" t="s">
        <v>53</v>
      </c>
      <c r="C622" s="1513"/>
      <c r="D622" s="1513"/>
      <c r="E622" s="1513"/>
      <c r="F622" s="1513"/>
      <c r="G622" s="1513"/>
      <c r="H622" s="1038">
        <f>H623+H631+H633+H636+H638</f>
        <v>46029.4</v>
      </c>
      <c r="I622" s="1038">
        <f t="shared" ref="I622:Q622" si="208">I623+I631+I633+I636+I638</f>
        <v>38564.200000000004</v>
      </c>
      <c r="J622" s="1038">
        <f t="shared" si="208"/>
        <v>36937.5</v>
      </c>
      <c r="K622" s="1038">
        <f t="shared" si="208"/>
        <v>1294</v>
      </c>
      <c r="L622" s="1038">
        <f t="shared" si="208"/>
        <v>67955872</v>
      </c>
      <c r="M622" s="1038">
        <f t="shared" si="208"/>
        <v>0</v>
      </c>
      <c r="N622" s="1038">
        <f t="shared" si="208"/>
        <v>0</v>
      </c>
      <c r="O622" s="1038">
        <f t="shared" si="208"/>
        <v>67955872</v>
      </c>
      <c r="P622" s="1038">
        <f t="shared" si="208"/>
        <v>0</v>
      </c>
      <c r="Q622" s="1038">
        <f t="shared" si="208"/>
        <v>0</v>
      </c>
      <c r="R622" s="996" t="s">
        <v>40</v>
      </c>
      <c r="S622" s="996" t="s">
        <v>40</v>
      </c>
      <c r="T622" s="996" t="s">
        <v>40</v>
      </c>
    </row>
    <row r="623" spans="1:20" s="997" customFormat="1" ht="36" customHeight="1">
      <c r="A623" s="1046"/>
      <c r="B623" s="1513" t="s">
        <v>1083</v>
      </c>
      <c r="C623" s="1513"/>
      <c r="D623" s="1513"/>
      <c r="E623" s="1513"/>
      <c r="F623" s="1513"/>
      <c r="G623" s="1513"/>
      <c r="H623" s="985">
        <f>SUM(H624:H630)</f>
        <v>31855.000000000004</v>
      </c>
      <c r="I623" s="985">
        <f t="shared" ref="I623:Q623" si="209">SUM(I624:I630)</f>
        <v>24766.9</v>
      </c>
      <c r="J623" s="985">
        <f t="shared" si="209"/>
        <v>23865.9</v>
      </c>
      <c r="K623" s="995">
        <f t="shared" si="209"/>
        <v>866</v>
      </c>
      <c r="L623" s="985">
        <f t="shared" si="209"/>
        <v>48041268</v>
      </c>
      <c r="M623" s="985">
        <f t="shared" si="209"/>
        <v>0</v>
      </c>
      <c r="N623" s="985">
        <f t="shared" si="209"/>
        <v>0</v>
      </c>
      <c r="O623" s="985">
        <f t="shared" si="209"/>
        <v>48041268</v>
      </c>
      <c r="P623" s="985">
        <f t="shared" si="209"/>
        <v>0</v>
      </c>
      <c r="Q623" s="985">
        <f t="shared" si="209"/>
        <v>0</v>
      </c>
      <c r="R623" s="996" t="s">
        <v>40</v>
      </c>
      <c r="S623" s="996" t="s">
        <v>40</v>
      </c>
      <c r="T623" s="996" t="s">
        <v>40</v>
      </c>
    </row>
    <row r="624" spans="1:20" s="997" customFormat="1" ht="36" customHeight="1">
      <c r="A624" s="1383">
        <v>139</v>
      </c>
      <c r="B624" s="1260" t="s">
        <v>1444</v>
      </c>
      <c r="C624" s="1116"/>
      <c r="D624" s="1116">
        <v>1994</v>
      </c>
      <c r="E624" s="1249" t="s">
        <v>219</v>
      </c>
      <c r="F624" s="1116">
        <v>9</v>
      </c>
      <c r="G624" s="1116">
        <v>2</v>
      </c>
      <c r="H624" s="985">
        <v>5563.6</v>
      </c>
      <c r="I624" s="985">
        <v>4330.2</v>
      </c>
      <c r="J624" s="985">
        <f>I624-240.4</f>
        <v>4089.7999999999997</v>
      </c>
      <c r="K624" s="995">
        <v>142</v>
      </c>
      <c r="L624" s="985">
        <v>4863049</v>
      </c>
      <c r="M624" s="987">
        <v>0</v>
      </c>
      <c r="N624" s="987">
        <v>0</v>
      </c>
      <c r="O624" s="985">
        <f>L624</f>
        <v>4863049</v>
      </c>
      <c r="P624" s="998">
        <v>0</v>
      </c>
      <c r="Q624" s="987">
        <v>0</v>
      </c>
      <c r="R624" s="985">
        <f t="shared" ref="R624:R630" si="210">L624/I624</f>
        <v>1123.0541314488939</v>
      </c>
      <c r="S624" s="988">
        <v>2021</v>
      </c>
      <c r="T624" s="988">
        <v>2021</v>
      </c>
    </row>
    <row r="625" spans="1:20" s="997" customFormat="1" ht="36" customHeight="1">
      <c r="A625" s="1383">
        <v>140</v>
      </c>
      <c r="B625" s="1260" t="s">
        <v>1174</v>
      </c>
      <c r="C625" s="1116"/>
      <c r="D625" s="1116">
        <v>1994</v>
      </c>
      <c r="E625" s="1249" t="s">
        <v>219</v>
      </c>
      <c r="F625" s="1116">
        <v>9</v>
      </c>
      <c r="G625" s="1116">
        <v>2</v>
      </c>
      <c r="H625" s="985">
        <v>4848.1000000000004</v>
      </c>
      <c r="I625" s="985">
        <v>4075.5</v>
      </c>
      <c r="J625" s="985">
        <f>I625-211.9</f>
        <v>3863.6</v>
      </c>
      <c r="K625" s="995">
        <v>114</v>
      </c>
      <c r="L625" s="985">
        <v>4863049</v>
      </c>
      <c r="M625" s="987">
        <v>0</v>
      </c>
      <c r="N625" s="987">
        <v>0</v>
      </c>
      <c r="O625" s="985">
        <f t="shared" ref="O625:O630" si="211">L625</f>
        <v>4863049</v>
      </c>
      <c r="P625" s="998">
        <v>0</v>
      </c>
      <c r="Q625" s="987">
        <v>0</v>
      </c>
      <c r="R625" s="985">
        <f t="shared" si="210"/>
        <v>1193.2398478714267</v>
      </c>
      <c r="S625" s="988">
        <v>2021</v>
      </c>
      <c r="T625" s="988">
        <v>2021</v>
      </c>
    </row>
    <row r="626" spans="1:20" s="997" customFormat="1" ht="36" customHeight="1">
      <c r="A626" s="1383">
        <v>141</v>
      </c>
      <c r="B626" s="1260" t="s">
        <v>1445</v>
      </c>
      <c r="C626" s="1116"/>
      <c r="D626" s="1116">
        <v>1993</v>
      </c>
      <c r="E626" s="1249" t="s">
        <v>219</v>
      </c>
      <c r="F626" s="1116">
        <v>9</v>
      </c>
      <c r="G626" s="1116">
        <v>2</v>
      </c>
      <c r="H626" s="985">
        <v>6339.1</v>
      </c>
      <c r="I626" s="985">
        <v>5381.9</v>
      </c>
      <c r="J626" s="985">
        <f>I626-222.6</f>
        <v>5159.2999999999993</v>
      </c>
      <c r="K626" s="995">
        <v>191</v>
      </c>
      <c r="L626" s="985">
        <v>4863049</v>
      </c>
      <c r="M626" s="987">
        <v>0</v>
      </c>
      <c r="N626" s="987">
        <v>0</v>
      </c>
      <c r="O626" s="985">
        <f t="shared" si="211"/>
        <v>4863049</v>
      </c>
      <c r="P626" s="998">
        <v>0</v>
      </c>
      <c r="Q626" s="987">
        <v>0</v>
      </c>
      <c r="R626" s="985">
        <f t="shared" si="210"/>
        <v>903.59334064178086</v>
      </c>
      <c r="S626" s="988">
        <v>2021</v>
      </c>
      <c r="T626" s="988">
        <v>2021</v>
      </c>
    </row>
    <row r="627" spans="1:20" s="2" customFormat="1" ht="36" customHeight="1">
      <c r="A627" s="1383">
        <v>142</v>
      </c>
      <c r="B627" s="1260" t="s">
        <v>1446</v>
      </c>
      <c r="C627" s="1116"/>
      <c r="D627" s="1116">
        <v>1957</v>
      </c>
      <c r="E627" s="1249" t="s">
        <v>823</v>
      </c>
      <c r="F627" s="1116">
        <v>1</v>
      </c>
      <c r="G627" s="1116">
        <v>5</v>
      </c>
      <c r="H627" s="998">
        <v>407.4</v>
      </c>
      <c r="I627" s="998">
        <v>407.4</v>
      </c>
      <c r="J627" s="998">
        <f>I627-92.8</f>
        <v>314.59999999999997</v>
      </c>
      <c r="K627" s="986">
        <v>24</v>
      </c>
      <c r="L627" s="985">
        <v>3898093</v>
      </c>
      <c r="M627" s="987">
        <v>0</v>
      </c>
      <c r="N627" s="987">
        <v>0</v>
      </c>
      <c r="O627" s="985">
        <f t="shared" si="211"/>
        <v>3898093</v>
      </c>
      <c r="P627" s="998">
        <v>0</v>
      </c>
      <c r="Q627" s="987">
        <v>0</v>
      </c>
      <c r="R627" s="985">
        <f t="shared" si="210"/>
        <v>9568.2204221894954</v>
      </c>
      <c r="S627" s="988">
        <v>2021</v>
      </c>
      <c r="T627" s="988">
        <v>2021</v>
      </c>
    </row>
    <row r="628" spans="1:20" s="2" customFormat="1" ht="36" customHeight="1">
      <c r="A628" s="1383">
        <v>143</v>
      </c>
      <c r="B628" s="1260" t="s">
        <v>1889</v>
      </c>
      <c r="C628" s="1116"/>
      <c r="D628" s="1116">
        <v>1967</v>
      </c>
      <c r="E628" s="1249" t="s">
        <v>220</v>
      </c>
      <c r="F628" s="1116">
        <v>5</v>
      </c>
      <c r="G628" s="1116">
        <v>4</v>
      </c>
      <c r="H628" s="998">
        <v>5411.6</v>
      </c>
      <c r="I628" s="998">
        <v>3495.5</v>
      </c>
      <c r="J628" s="998">
        <f>I628-133.3</f>
        <v>3362.2</v>
      </c>
      <c r="K628" s="986">
        <v>114</v>
      </c>
      <c r="L628" s="985">
        <v>14048551</v>
      </c>
      <c r="M628" s="987">
        <v>0</v>
      </c>
      <c r="N628" s="987">
        <v>0</v>
      </c>
      <c r="O628" s="985">
        <f t="shared" si="211"/>
        <v>14048551</v>
      </c>
      <c r="P628" s="998">
        <v>0</v>
      </c>
      <c r="Q628" s="987">
        <v>0</v>
      </c>
      <c r="R628" s="985">
        <f t="shared" si="210"/>
        <v>4019.0390502074097</v>
      </c>
      <c r="S628" s="988">
        <v>2021</v>
      </c>
      <c r="T628" s="988">
        <v>2021</v>
      </c>
    </row>
    <row r="629" spans="1:20" s="2" customFormat="1" ht="46.2" customHeight="1">
      <c r="A629" s="1383">
        <v>144</v>
      </c>
      <c r="B629" s="1260" t="s">
        <v>1890</v>
      </c>
      <c r="C629" s="1255"/>
      <c r="D629" s="1116">
        <v>1981</v>
      </c>
      <c r="E629" s="1249" t="s">
        <v>218</v>
      </c>
      <c r="F629" s="1116">
        <v>5</v>
      </c>
      <c r="G629" s="1116">
        <v>4</v>
      </c>
      <c r="H629" s="998">
        <v>4161.8999999999996</v>
      </c>
      <c r="I629" s="998">
        <v>3216.9</v>
      </c>
      <c r="J629" s="998">
        <f>I629</f>
        <v>3216.9</v>
      </c>
      <c r="K629" s="986">
        <v>152</v>
      </c>
      <c r="L629" s="985">
        <v>12484002</v>
      </c>
      <c r="M629" s="987">
        <v>0</v>
      </c>
      <c r="N629" s="987">
        <v>0</v>
      </c>
      <c r="O629" s="985">
        <f t="shared" si="211"/>
        <v>12484002</v>
      </c>
      <c r="P629" s="998">
        <v>0</v>
      </c>
      <c r="Q629" s="987">
        <v>0</v>
      </c>
      <c r="R629" s="985">
        <f t="shared" si="210"/>
        <v>3880.755385619696</v>
      </c>
      <c r="S629" s="988">
        <v>2021</v>
      </c>
      <c r="T629" s="988">
        <v>2021</v>
      </c>
    </row>
    <row r="630" spans="1:20" s="2" customFormat="1" ht="42.6" customHeight="1">
      <c r="A630" s="1383">
        <v>145</v>
      </c>
      <c r="B630" s="1260" t="s">
        <v>1891</v>
      </c>
      <c r="C630" s="1255"/>
      <c r="D630" s="1116">
        <v>1977</v>
      </c>
      <c r="E630" s="1249" t="s">
        <v>218</v>
      </c>
      <c r="F630" s="1116">
        <v>5</v>
      </c>
      <c r="G630" s="1116">
        <v>6</v>
      </c>
      <c r="H630" s="998">
        <v>5123.3</v>
      </c>
      <c r="I630" s="998">
        <v>3859.5</v>
      </c>
      <c r="J630" s="998">
        <f>I630</f>
        <v>3859.5</v>
      </c>
      <c r="K630" s="986">
        <v>129</v>
      </c>
      <c r="L630" s="985">
        <v>3021475</v>
      </c>
      <c r="M630" s="987">
        <v>0</v>
      </c>
      <c r="N630" s="987">
        <v>0</v>
      </c>
      <c r="O630" s="985">
        <f t="shared" si="211"/>
        <v>3021475</v>
      </c>
      <c r="P630" s="998">
        <v>0</v>
      </c>
      <c r="Q630" s="987">
        <v>0</v>
      </c>
      <c r="R630" s="985">
        <f t="shared" si="210"/>
        <v>782.86695167767846</v>
      </c>
      <c r="S630" s="988">
        <v>2021</v>
      </c>
      <c r="T630" s="988">
        <v>2021</v>
      </c>
    </row>
    <row r="631" spans="1:20" s="1004" customFormat="1" ht="36" customHeight="1">
      <c r="A631" s="1383"/>
      <c r="B631" s="1517" t="s">
        <v>1084</v>
      </c>
      <c r="C631" s="1513"/>
      <c r="D631" s="1513"/>
      <c r="E631" s="1513"/>
      <c r="F631" s="1513"/>
      <c r="G631" s="1513"/>
      <c r="H631" s="998">
        <f>H632</f>
        <v>685.2</v>
      </c>
      <c r="I631" s="998">
        <f t="shared" ref="I631:Q631" si="212">I632</f>
        <v>628.4</v>
      </c>
      <c r="J631" s="998">
        <f t="shared" si="212"/>
        <v>628.4</v>
      </c>
      <c r="K631" s="986">
        <f t="shared" si="212"/>
        <v>24</v>
      </c>
      <c r="L631" s="998">
        <f t="shared" si="212"/>
        <v>3165291</v>
      </c>
      <c r="M631" s="998">
        <f t="shared" si="212"/>
        <v>0</v>
      </c>
      <c r="N631" s="998">
        <f t="shared" si="212"/>
        <v>0</v>
      </c>
      <c r="O631" s="998">
        <f t="shared" si="212"/>
        <v>3165291</v>
      </c>
      <c r="P631" s="998">
        <f t="shared" si="212"/>
        <v>0</v>
      </c>
      <c r="Q631" s="998">
        <f t="shared" si="212"/>
        <v>0</v>
      </c>
      <c r="R631" s="996" t="s">
        <v>40</v>
      </c>
      <c r="S631" s="996" t="s">
        <v>40</v>
      </c>
      <c r="T631" s="996" t="s">
        <v>40</v>
      </c>
    </row>
    <row r="632" spans="1:20" s="1004" customFormat="1" ht="36" customHeight="1">
      <c r="A632" s="1383">
        <v>146</v>
      </c>
      <c r="B632" s="1260" t="s">
        <v>2358</v>
      </c>
      <c r="C632" s="1255">
        <v>1954</v>
      </c>
      <c r="D632" s="1116"/>
      <c r="E632" s="1249" t="s">
        <v>823</v>
      </c>
      <c r="F632" s="1116">
        <v>2</v>
      </c>
      <c r="G632" s="1116">
        <v>2</v>
      </c>
      <c r="H632" s="998">
        <v>685.2</v>
      </c>
      <c r="I632" s="998">
        <v>628.4</v>
      </c>
      <c r="J632" s="998">
        <v>628.4</v>
      </c>
      <c r="K632" s="986">
        <v>24</v>
      </c>
      <c r="L632" s="985">
        <v>3165291</v>
      </c>
      <c r="M632" s="987">
        <v>0</v>
      </c>
      <c r="N632" s="987">
        <v>0</v>
      </c>
      <c r="O632" s="985">
        <v>3165291</v>
      </c>
      <c r="P632" s="998">
        <v>0</v>
      </c>
      <c r="Q632" s="987">
        <v>0</v>
      </c>
      <c r="R632" s="985">
        <f t="shared" ref="R632" si="213">L632/I632</f>
        <v>5037.063971992362</v>
      </c>
      <c r="S632" s="988">
        <v>2021</v>
      </c>
      <c r="T632" s="988">
        <v>2021</v>
      </c>
    </row>
    <row r="633" spans="1:20" s="1004" customFormat="1" ht="36" customHeight="1">
      <c r="A633" s="1383"/>
      <c r="B633" s="1517" t="s">
        <v>1086</v>
      </c>
      <c r="C633" s="1513"/>
      <c r="D633" s="1513"/>
      <c r="E633" s="1513"/>
      <c r="F633" s="1513"/>
      <c r="G633" s="1513"/>
      <c r="H633" s="998">
        <f>H634+H635</f>
        <v>1179.0999999999999</v>
      </c>
      <c r="I633" s="998">
        <f t="shared" ref="I633:Q633" si="214">I634+I635</f>
        <v>1079.0999999999999</v>
      </c>
      <c r="J633" s="998">
        <f t="shared" si="214"/>
        <v>1079.0999999999999</v>
      </c>
      <c r="K633" s="986">
        <f t="shared" si="214"/>
        <v>43</v>
      </c>
      <c r="L633" s="998">
        <f t="shared" si="214"/>
        <v>3195064</v>
      </c>
      <c r="M633" s="998">
        <f t="shared" si="214"/>
        <v>0</v>
      </c>
      <c r="N633" s="998">
        <f t="shared" si="214"/>
        <v>0</v>
      </c>
      <c r="O633" s="998">
        <f t="shared" si="214"/>
        <v>3195064</v>
      </c>
      <c r="P633" s="998">
        <f t="shared" si="214"/>
        <v>0</v>
      </c>
      <c r="Q633" s="998">
        <f t="shared" si="214"/>
        <v>0</v>
      </c>
      <c r="R633" s="996" t="s">
        <v>40</v>
      </c>
      <c r="S633" s="996" t="s">
        <v>40</v>
      </c>
      <c r="T633" s="996" t="s">
        <v>40</v>
      </c>
    </row>
    <row r="634" spans="1:20" s="1004" customFormat="1" ht="40.200000000000003" customHeight="1">
      <c r="A634" s="1383">
        <v>147</v>
      </c>
      <c r="B634" s="1248" t="s">
        <v>1542</v>
      </c>
      <c r="C634" s="1393">
        <v>1961</v>
      </c>
      <c r="D634" s="1245"/>
      <c r="E634" s="1249" t="s">
        <v>218</v>
      </c>
      <c r="F634" s="1116">
        <v>2</v>
      </c>
      <c r="G634" s="1116">
        <v>2</v>
      </c>
      <c r="H634" s="998">
        <v>592.6</v>
      </c>
      <c r="I634" s="998">
        <v>552.20000000000005</v>
      </c>
      <c r="J634" s="998">
        <v>552.20000000000005</v>
      </c>
      <c r="K634" s="986">
        <v>24</v>
      </c>
      <c r="L634" s="985">
        <v>1705839</v>
      </c>
      <c r="M634" s="987">
        <v>0</v>
      </c>
      <c r="N634" s="987">
        <v>0</v>
      </c>
      <c r="O634" s="985">
        <v>1705839</v>
      </c>
      <c r="P634" s="998">
        <v>0</v>
      </c>
      <c r="Q634" s="987">
        <v>0</v>
      </c>
      <c r="R634" s="985">
        <f t="shared" ref="R634" si="215">L634/I634</f>
        <v>3089.1687794277432</v>
      </c>
      <c r="S634" s="988">
        <v>2021</v>
      </c>
      <c r="T634" s="988">
        <v>2021</v>
      </c>
    </row>
    <row r="635" spans="1:20" s="1004" customFormat="1" ht="36" customHeight="1">
      <c r="A635" s="1383">
        <v>148</v>
      </c>
      <c r="B635" s="1260" t="s">
        <v>1543</v>
      </c>
      <c r="C635" s="1255">
        <v>1963</v>
      </c>
      <c r="D635" s="1116"/>
      <c r="E635" s="1249" t="s">
        <v>221</v>
      </c>
      <c r="F635" s="1116">
        <v>2</v>
      </c>
      <c r="G635" s="1116">
        <v>2</v>
      </c>
      <c r="H635" s="998">
        <v>586.5</v>
      </c>
      <c r="I635" s="998">
        <v>526.9</v>
      </c>
      <c r="J635" s="998">
        <v>526.9</v>
      </c>
      <c r="K635" s="986">
        <v>19</v>
      </c>
      <c r="L635" s="985">
        <v>1489225</v>
      </c>
      <c r="M635" s="987">
        <v>0</v>
      </c>
      <c r="N635" s="987">
        <v>0</v>
      </c>
      <c r="O635" s="985">
        <v>1489225</v>
      </c>
      <c r="P635" s="998">
        <v>0</v>
      </c>
      <c r="Q635" s="987">
        <v>0</v>
      </c>
      <c r="R635" s="985">
        <f t="shared" ref="R635" si="216">L635/I635</f>
        <v>2826.3902068703742</v>
      </c>
      <c r="S635" s="988">
        <v>2021</v>
      </c>
      <c r="T635" s="988">
        <v>2021</v>
      </c>
    </row>
    <row r="636" spans="1:20" s="1004" customFormat="1" ht="36.6" customHeight="1">
      <c r="A636" s="1383"/>
      <c r="B636" s="1517" t="s">
        <v>1088</v>
      </c>
      <c r="C636" s="1513"/>
      <c r="D636" s="1513"/>
      <c r="E636" s="1513"/>
      <c r="F636" s="1513"/>
      <c r="G636" s="1513"/>
      <c r="H636" s="998">
        <f>H637</f>
        <v>2804.2</v>
      </c>
      <c r="I636" s="998">
        <f t="shared" ref="I636:Q636" si="217">I637</f>
        <v>2584.1999999999998</v>
      </c>
      <c r="J636" s="998">
        <f t="shared" si="217"/>
        <v>2584.1999999999998</v>
      </c>
      <c r="K636" s="986">
        <f t="shared" si="217"/>
        <v>75</v>
      </c>
      <c r="L636" s="998">
        <f t="shared" si="217"/>
        <v>2540404</v>
      </c>
      <c r="M636" s="998">
        <f t="shared" si="217"/>
        <v>0</v>
      </c>
      <c r="N636" s="998">
        <f t="shared" si="217"/>
        <v>0</v>
      </c>
      <c r="O636" s="998">
        <f t="shared" si="217"/>
        <v>2540404</v>
      </c>
      <c r="P636" s="998">
        <f t="shared" si="217"/>
        <v>0</v>
      </c>
      <c r="Q636" s="998">
        <f t="shared" si="217"/>
        <v>0</v>
      </c>
      <c r="R636" s="996" t="s">
        <v>40</v>
      </c>
      <c r="S636" s="996" t="s">
        <v>40</v>
      </c>
      <c r="T636" s="996" t="s">
        <v>40</v>
      </c>
    </row>
    <row r="637" spans="1:20" s="1004" customFormat="1" ht="43.8" customHeight="1">
      <c r="A637" s="1383">
        <v>149</v>
      </c>
      <c r="B637" s="1260" t="s">
        <v>1561</v>
      </c>
      <c r="C637" s="1255">
        <v>1968</v>
      </c>
      <c r="D637" s="1116"/>
      <c r="E637" s="1249" t="s">
        <v>218</v>
      </c>
      <c r="F637" s="1116">
        <v>4</v>
      </c>
      <c r="G637" s="1116">
        <v>4</v>
      </c>
      <c r="H637" s="998">
        <v>2804.2</v>
      </c>
      <c r="I637" s="998">
        <v>2584.1999999999998</v>
      </c>
      <c r="J637" s="998">
        <v>2584.1999999999998</v>
      </c>
      <c r="K637" s="986">
        <v>75</v>
      </c>
      <c r="L637" s="985">
        <v>2540404</v>
      </c>
      <c r="M637" s="987">
        <v>0</v>
      </c>
      <c r="N637" s="987">
        <v>0</v>
      </c>
      <c r="O637" s="985">
        <v>2540404</v>
      </c>
      <c r="P637" s="998">
        <v>0</v>
      </c>
      <c r="Q637" s="987">
        <v>0</v>
      </c>
      <c r="R637" s="985">
        <f t="shared" ref="R637" si="218">L637/I637</f>
        <v>983.05239532543931</v>
      </c>
      <c r="S637" s="988">
        <v>2021</v>
      </c>
      <c r="T637" s="988">
        <v>2021</v>
      </c>
    </row>
    <row r="638" spans="1:20" s="1004" customFormat="1" ht="36" customHeight="1">
      <c r="A638" s="1383"/>
      <c r="B638" s="1517" t="s">
        <v>1087</v>
      </c>
      <c r="C638" s="1513"/>
      <c r="D638" s="1513"/>
      <c r="E638" s="1513"/>
      <c r="F638" s="1513"/>
      <c r="G638" s="1513"/>
      <c r="H638" s="998">
        <f>H639+H640+H641+H642</f>
        <v>9505.9000000000015</v>
      </c>
      <c r="I638" s="998">
        <f t="shared" ref="I638:Q638" si="219">I639+I640+I641+I642</f>
        <v>9505.6</v>
      </c>
      <c r="J638" s="998">
        <f t="shared" si="219"/>
        <v>8779.9000000000015</v>
      </c>
      <c r="K638" s="986">
        <f t="shared" si="219"/>
        <v>286</v>
      </c>
      <c r="L638" s="998">
        <f t="shared" si="219"/>
        <v>11013845</v>
      </c>
      <c r="M638" s="998">
        <f t="shared" si="219"/>
        <v>0</v>
      </c>
      <c r="N638" s="998">
        <f t="shared" si="219"/>
        <v>0</v>
      </c>
      <c r="O638" s="998">
        <f t="shared" si="219"/>
        <v>11013845</v>
      </c>
      <c r="P638" s="998">
        <f t="shared" si="219"/>
        <v>0</v>
      </c>
      <c r="Q638" s="998">
        <f t="shared" si="219"/>
        <v>0</v>
      </c>
      <c r="R638" s="996" t="s">
        <v>40</v>
      </c>
      <c r="S638" s="996" t="s">
        <v>40</v>
      </c>
      <c r="T638" s="996" t="s">
        <v>40</v>
      </c>
    </row>
    <row r="639" spans="1:20" s="1004" customFormat="1" ht="36" customHeight="1">
      <c r="A639" s="1383">
        <v>150</v>
      </c>
      <c r="B639" s="1260" t="s">
        <v>1582</v>
      </c>
      <c r="C639" s="1255">
        <v>1973</v>
      </c>
      <c r="D639" s="1116"/>
      <c r="E639" s="1249" t="s">
        <v>219</v>
      </c>
      <c r="F639" s="1116">
        <v>5</v>
      </c>
      <c r="G639" s="1116">
        <v>4</v>
      </c>
      <c r="H639" s="998">
        <v>3013</v>
      </c>
      <c r="I639" s="998">
        <v>3013</v>
      </c>
      <c r="J639" s="998">
        <v>2733</v>
      </c>
      <c r="K639" s="986">
        <v>88</v>
      </c>
      <c r="L639" s="985">
        <v>2329284</v>
      </c>
      <c r="M639" s="987">
        <v>0</v>
      </c>
      <c r="N639" s="987">
        <v>0</v>
      </c>
      <c r="O639" s="985">
        <f>L639</f>
        <v>2329284</v>
      </c>
      <c r="P639" s="998">
        <v>0</v>
      </c>
      <c r="Q639" s="987">
        <v>0</v>
      </c>
      <c r="R639" s="985">
        <f t="shared" ref="R639" si="220">L639/I639</f>
        <v>773.07799535346828</v>
      </c>
      <c r="S639" s="988">
        <v>2021</v>
      </c>
      <c r="T639" s="988">
        <v>2021</v>
      </c>
    </row>
    <row r="640" spans="1:20" s="1004" customFormat="1" ht="40.799999999999997" customHeight="1">
      <c r="A640" s="1383">
        <v>151</v>
      </c>
      <c r="B640" s="1260" t="s">
        <v>1583</v>
      </c>
      <c r="C640" s="1255">
        <v>1975</v>
      </c>
      <c r="D640" s="1116">
        <v>2009</v>
      </c>
      <c r="E640" s="1378" t="s">
        <v>218</v>
      </c>
      <c r="F640" s="1116">
        <v>2</v>
      </c>
      <c r="G640" s="1116">
        <v>3</v>
      </c>
      <c r="H640" s="998">
        <v>936.6</v>
      </c>
      <c r="I640" s="998">
        <v>936.3</v>
      </c>
      <c r="J640" s="998">
        <v>887.4</v>
      </c>
      <c r="K640" s="986">
        <v>25</v>
      </c>
      <c r="L640" s="985">
        <v>1847665</v>
      </c>
      <c r="M640" s="987">
        <v>0</v>
      </c>
      <c r="N640" s="987">
        <v>0</v>
      </c>
      <c r="O640" s="985">
        <f t="shared" ref="O640:O642" si="221">L640</f>
        <v>1847665</v>
      </c>
      <c r="P640" s="998">
        <v>0</v>
      </c>
      <c r="Q640" s="987">
        <v>0</v>
      </c>
      <c r="R640" s="985">
        <f t="shared" ref="R640:R642" si="222">L640/I640</f>
        <v>1973.368578447079</v>
      </c>
      <c r="S640" s="988">
        <v>2021</v>
      </c>
      <c r="T640" s="988">
        <v>2021</v>
      </c>
    </row>
    <row r="641" spans="1:20" s="997" customFormat="1" ht="42" customHeight="1">
      <c r="A641" s="1383">
        <v>152</v>
      </c>
      <c r="B641" s="1260" t="s">
        <v>1584</v>
      </c>
      <c r="C641" s="1255">
        <v>1961</v>
      </c>
      <c r="D641" s="1116">
        <v>2006</v>
      </c>
      <c r="E641" s="1378" t="s">
        <v>218</v>
      </c>
      <c r="F641" s="1116">
        <v>4</v>
      </c>
      <c r="G641" s="1116">
        <v>4</v>
      </c>
      <c r="H641" s="998">
        <v>2770.5</v>
      </c>
      <c r="I641" s="998">
        <v>2770.5</v>
      </c>
      <c r="J641" s="998">
        <v>2573.6999999999998</v>
      </c>
      <c r="K641" s="986">
        <v>88</v>
      </c>
      <c r="L641" s="985">
        <v>3255987</v>
      </c>
      <c r="M641" s="987">
        <v>0</v>
      </c>
      <c r="N641" s="987">
        <v>0</v>
      </c>
      <c r="O641" s="985">
        <f t="shared" si="221"/>
        <v>3255987</v>
      </c>
      <c r="P641" s="998">
        <v>0</v>
      </c>
      <c r="Q641" s="987">
        <v>0</v>
      </c>
      <c r="R641" s="985">
        <f t="shared" si="222"/>
        <v>1175.2344342176502</v>
      </c>
      <c r="S641" s="988">
        <v>2021</v>
      </c>
      <c r="T641" s="988">
        <v>2021</v>
      </c>
    </row>
    <row r="642" spans="1:20" s="997" customFormat="1" ht="42" customHeight="1">
      <c r="A642" s="1383">
        <v>153</v>
      </c>
      <c r="B642" s="1260" t="s">
        <v>1585</v>
      </c>
      <c r="C642" s="1255">
        <v>1965</v>
      </c>
      <c r="D642" s="1116">
        <v>2005</v>
      </c>
      <c r="E642" s="1249" t="s">
        <v>218</v>
      </c>
      <c r="F642" s="1116">
        <v>4</v>
      </c>
      <c r="G642" s="1116">
        <v>4</v>
      </c>
      <c r="H642" s="998">
        <v>2785.8</v>
      </c>
      <c r="I642" s="998">
        <v>2785.8</v>
      </c>
      <c r="J642" s="998">
        <v>2585.8000000000002</v>
      </c>
      <c r="K642" s="986">
        <v>85</v>
      </c>
      <c r="L642" s="985">
        <v>3580909</v>
      </c>
      <c r="M642" s="987">
        <v>0</v>
      </c>
      <c r="N642" s="987">
        <v>0</v>
      </c>
      <c r="O642" s="985">
        <f t="shared" si="221"/>
        <v>3580909</v>
      </c>
      <c r="P642" s="998">
        <v>0</v>
      </c>
      <c r="Q642" s="987">
        <v>0</v>
      </c>
      <c r="R642" s="985">
        <f t="shared" si="222"/>
        <v>1285.4149615909253</v>
      </c>
      <c r="S642" s="988">
        <v>2021</v>
      </c>
      <c r="T642" s="988">
        <v>2021</v>
      </c>
    </row>
    <row r="643" spans="1:20" s="997" customFormat="1" ht="36" customHeight="1">
      <c r="A643" s="1046"/>
      <c r="B643" s="1513" t="s">
        <v>2015</v>
      </c>
      <c r="C643" s="1513"/>
      <c r="D643" s="1513"/>
      <c r="E643" s="1513"/>
      <c r="F643" s="1513"/>
      <c r="G643" s="1513"/>
      <c r="H643" s="1038">
        <f>H644+H645</f>
        <v>818.3</v>
      </c>
      <c r="I643" s="1038">
        <f t="shared" ref="I643:Q643" si="223">I644+I645</f>
        <v>705.5</v>
      </c>
      <c r="J643" s="1038">
        <f t="shared" si="223"/>
        <v>474.7</v>
      </c>
      <c r="K643" s="1038">
        <f t="shared" si="223"/>
        <v>33</v>
      </c>
      <c r="L643" s="1038">
        <f t="shared" si="223"/>
        <v>3158318</v>
      </c>
      <c r="M643" s="1038">
        <f t="shared" si="223"/>
        <v>0</v>
      </c>
      <c r="N643" s="1038">
        <f t="shared" si="223"/>
        <v>0</v>
      </c>
      <c r="O643" s="1038">
        <f t="shared" si="223"/>
        <v>3158318</v>
      </c>
      <c r="P643" s="1038">
        <f t="shared" si="223"/>
        <v>0</v>
      </c>
      <c r="Q643" s="1038">
        <f t="shared" si="223"/>
        <v>0</v>
      </c>
      <c r="R643" s="996" t="s">
        <v>40</v>
      </c>
      <c r="S643" s="996" t="s">
        <v>40</v>
      </c>
      <c r="T643" s="996" t="s">
        <v>40</v>
      </c>
    </row>
    <row r="644" spans="1:20" s="997" customFormat="1" ht="40.200000000000003" customHeight="1">
      <c r="A644" s="1046">
        <v>154</v>
      </c>
      <c r="B644" s="1381" t="s">
        <v>1315</v>
      </c>
      <c r="C644" s="1042" t="s">
        <v>1316</v>
      </c>
      <c r="D644" s="1042"/>
      <c r="E644" s="1378" t="s">
        <v>218</v>
      </c>
      <c r="F644" s="1042" t="s">
        <v>1271</v>
      </c>
      <c r="G644" s="1042" t="s">
        <v>1271</v>
      </c>
      <c r="H644" s="1038">
        <v>577.9</v>
      </c>
      <c r="I644" s="1038">
        <v>528.1</v>
      </c>
      <c r="J644" s="1038">
        <v>474.7</v>
      </c>
      <c r="K644" s="1039">
        <v>30</v>
      </c>
      <c r="L644" s="1047">
        <v>2344660</v>
      </c>
      <c r="M644" s="1038">
        <v>0</v>
      </c>
      <c r="N644" s="1038">
        <v>0</v>
      </c>
      <c r="O644" s="1038">
        <v>2344660</v>
      </c>
      <c r="P644" s="1038">
        <v>0</v>
      </c>
      <c r="Q644" s="1038">
        <v>0</v>
      </c>
      <c r="R644" s="1038">
        <f>L644/I644</f>
        <v>4439.8030676008329</v>
      </c>
      <c r="S644" s="1098" t="s">
        <v>1273</v>
      </c>
      <c r="T644" s="1098" t="s">
        <v>1273</v>
      </c>
    </row>
    <row r="645" spans="1:20" s="997" customFormat="1" ht="36" customHeight="1">
      <c r="A645" s="1046">
        <v>155</v>
      </c>
      <c r="B645" s="1381" t="s">
        <v>1209</v>
      </c>
      <c r="C645" s="1042" t="s">
        <v>1317</v>
      </c>
      <c r="D645" s="1042"/>
      <c r="E645" s="1378" t="s">
        <v>221</v>
      </c>
      <c r="F645" s="1042" t="s">
        <v>1271</v>
      </c>
      <c r="G645" s="1042" t="s">
        <v>1267</v>
      </c>
      <c r="H645" s="1038">
        <v>240.4</v>
      </c>
      <c r="I645" s="1038">
        <v>177.4</v>
      </c>
      <c r="J645" s="1038">
        <v>0</v>
      </c>
      <c r="K645" s="1039">
        <v>3</v>
      </c>
      <c r="L645" s="1047">
        <v>813658</v>
      </c>
      <c r="M645" s="1038">
        <v>0</v>
      </c>
      <c r="N645" s="1038">
        <v>0</v>
      </c>
      <c r="O645" s="1038">
        <v>813658</v>
      </c>
      <c r="P645" s="1038">
        <v>0</v>
      </c>
      <c r="Q645" s="1038">
        <v>0</v>
      </c>
      <c r="R645" s="1038">
        <f>L645/I645</f>
        <v>4586.5727170236751</v>
      </c>
      <c r="S645" s="1098" t="s">
        <v>1273</v>
      </c>
      <c r="T645" s="1098" t="s">
        <v>1273</v>
      </c>
    </row>
    <row r="646" spans="1:20" s="997" customFormat="1" ht="36" customHeight="1">
      <c r="A646" s="1046"/>
      <c r="B646" s="1261" t="s">
        <v>55</v>
      </c>
      <c r="C646" s="991"/>
      <c r="D646" s="992"/>
      <c r="E646" s="993"/>
      <c r="F646" s="991"/>
      <c r="G646" s="994"/>
      <c r="H646" s="1038">
        <f>H647</f>
        <v>3079.8</v>
      </c>
      <c r="I646" s="1038">
        <f t="shared" ref="I646:Q646" si="224">I647</f>
        <v>3059.6</v>
      </c>
      <c r="J646" s="1038">
        <f t="shared" si="224"/>
        <v>1894.2</v>
      </c>
      <c r="K646" s="1039">
        <f t="shared" si="224"/>
        <v>116</v>
      </c>
      <c r="L646" s="1038">
        <f t="shared" si="224"/>
        <v>4304423</v>
      </c>
      <c r="M646" s="1038">
        <f t="shared" si="224"/>
        <v>0</v>
      </c>
      <c r="N646" s="1038">
        <f t="shared" si="224"/>
        <v>0</v>
      </c>
      <c r="O646" s="1038">
        <f t="shared" si="224"/>
        <v>4304423</v>
      </c>
      <c r="P646" s="1038">
        <f t="shared" si="224"/>
        <v>0</v>
      </c>
      <c r="Q646" s="1038">
        <f t="shared" si="224"/>
        <v>0</v>
      </c>
      <c r="R646" s="996" t="s">
        <v>40</v>
      </c>
      <c r="S646" s="996" t="s">
        <v>40</v>
      </c>
      <c r="T646" s="996" t="s">
        <v>40</v>
      </c>
    </row>
    <row r="647" spans="1:20" s="997" customFormat="1" ht="36" customHeight="1">
      <c r="A647" s="1046"/>
      <c r="B647" s="1261" t="s">
        <v>1090</v>
      </c>
      <c r="C647" s="991"/>
      <c r="D647" s="992"/>
      <c r="E647" s="993"/>
      <c r="F647" s="991"/>
      <c r="G647" s="994"/>
      <c r="H647" s="1038">
        <f>H648</f>
        <v>3079.8</v>
      </c>
      <c r="I647" s="1038">
        <f t="shared" ref="I647:Q647" si="225">I648</f>
        <v>3059.6</v>
      </c>
      <c r="J647" s="1038">
        <f t="shared" si="225"/>
        <v>1894.2</v>
      </c>
      <c r="K647" s="1039">
        <f t="shared" si="225"/>
        <v>116</v>
      </c>
      <c r="L647" s="1038">
        <f t="shared" si="225"/>
        <v>4304423</v>
      </c>
      <c r="M647" s="1038">
        <f t="shared" si="225"/>
        <v>0</v>
      </c>
      <c r="N647" s="1038">
        <f t="shared" si="225"/>
        <v>0</v>
      </c>
      <c r="O647" s="1038">
        <f t="shared" si="225"/>
        <v>4304423</v>
      </c>
      <c r="P647" s="1038">
        <f t="shared" si="225"/>
        <v>0</v>
      </c>
      <c r="Q647" s="1038">
        <f t="shared" si="225"/>
        <v>0</v>
      </c>
      <c r="R647" s="996" t="s">
        <v>40</v>
      </c>
      <c r="S647" s="996" t="s">
        <v>40</v>
      </c>
      <c r="T647" s="996" t="s">
        <v>40</v>
      </c>
    </row>
    <row r="648" spans="1:20" s="997" customFormat="1" ht="36" customHeight="1">
      <c r="A648" s="1046">
        <v>156</v>
      </c>
      <c r="B648" s="1371" t="s">
        <v>2235</v>
      </c>
      <c r="C648" s="1042" t="s">
        <v>1517</v>
      </c>
      <c r="D648" s="1042"/>
      <c r="E648" s="1249" t="s">
        <v>219</v>
      </c>
      <c r="F648" s="1042" t="s">
        <v>1191</v>
      </c>
      <c r="G648" s="1042" t="s">
        <v>73</v>
      </c>
      <c r="H648" s="1038">
        <v>3079.8</v>
      </c>
      <c r="I648" s="1038">
        <v>3059.6</v>
      </c>
      <c r="J648" s="1038">
        <v>1894.2</v>
      </c>
      <c r="K648" s="1039">
        <v>116</v>
      </c>
      <c r="L648" s="1047">
        <v>4304423</v>
      </c>
      <c r="M648" s="1038">
        <v>0</v>
      </c>
      <c r="N648" s="1038">
        <v>0</v>
      </c>
      <c r="O648" s="1038">
        <v>4304423</v>
      </c>
      <c r="P648" s="1038">
        <v>0</v>
      </c>
      <c r="Q648" s="1038">
        <v>0</v>
      </c>
      <c r="R648" s="1038">
        <f>L648/I648</f>
        <v>1406.8580860243169</v>
      </c>
      <c r="S648" s="1098" t="s">
        <v>1273</v>
      </c>
      <c r="T648" s="1098" t="s">
        <v>1273</v>
      </c>
    </row>
    <row r="649" spans="1:20" s="997" customFormat="1" ht="36" customHeight="1">
      <c r="A649" s="1249"/>
      <c r="B649" s="1513" t="s">
        <v>56</v>
      </c>
      <c r="C649" s="1513"/>
      <c r="D649" s="1513"/>
      <c r="E649" s="1513"/>
      <c r="F649" s="1513"/>
      <c r="G649" s="1513"/>
      <c r="H649" s="985">
        <f t="shared" ref="H649:Q649" si="226">H653+H655+H650</f>
        <v>4015.3999999999996</v>
      </c>
      <c r="I649" s="985">
        <f t="shared" si="226"/>
        <v>3074.3</v>
      </c>
      <c r="J649" s="985">
        <f t="shared" si="226"/>
        <v>3074.3</v>
      </c>
      <c r="K649" s="995">
        <f t="shared" si="226"/>
        <v>157</v>
      </c>
      <c r="L649" s="985">
        <f t="shared" si="226"/>
        <v>10130044</v>
      </c>
      <c r="M649" s="985">
        <f t="shared" si="226"/>
        <v>0</v>
      </c>
      <c r="N649" s="985">
        <f t="shared" si="226"/>
        <v>0</v>
      </c>
      <c r="O649" s="985">
        <f t="shared" si="226"/>
        <v>10130044</v>
      </c>
      <c r="P649" s="985">
        <f t="shared" si="226"/>
        <v>0</v>
      </c>
      <c r="Q649" s="985">
        <f t="shared" si="226"/>
        <v>0</v>
      </c>
      <c r="R649" s="996" t="s">
        <v>40</v>
      </c>
      <c r="S649" s="996" t="s">
        <v>40</v>
      </c>
      <c r="T649" s="996" t="s">
        <v>40</v>
      </c>
    </row>
    <row r="650" spans="1:20" s="997" customFormat="1" ht="36" customHeight="1">
      <c r="A650" s="1249"/>
      <c r="B650" s="1514" t="s">
        <v>1091</v>
      </c>
      <c r="C650" s="1515"/>
      <c r="D650" s="1515"/>
      <c r="E650" s="1515"/>
      <c r="F650" s="1515"/>
      <c r="G650" s="1516"/>
      <c r="H650" s="985">
        <f>H651+H652</f>
        <v>1822.2</v>
      </c>
      <c r="I650" s="985">
        <f t="shared" ref="I650:Q650" si="227">I651+I652</f>
        <v>1279.8</v>
      </c>
      <c r="J650" s="985">
        <f t="shared" si="227"/>
        <v>1279.8</v>
      </c>
      <c r="K650" s="995">
        <f t="shared" si="227"/>
        <v>66</v>
      </c>
      <c r="L650" s="985">
        <f t="shared" si="227"/>
        <v>7139153</v>
      </c>
      <c r="M650" s="985">
        <f t="shared" si="227"/>
        <v>0</v>
      </c>
      <c r="N650" s="985">
        <f t="shared" si="227"/>
        <v>0</v>
      </c>
      <c r="O650" s="985">
        <f t="shared" si="227"/>
        <v>7139153</v>
      </c>
      <c r="P650" s="985">
        <f t="shared" si="227"/>
        <v>0</v>
      </c>
      <c r="Q650" s="985">
        <f t="shared" si="227"/>
        <v>0</v>
      </c>
      <c r="R650" s="996" t="s">
        <v>40</v>
      </c>
      <c r="S650" s="996" t="s">
        <v>40</v>
      </c>
      <c r="T650" s="996" t="s">
        <v>40</v>
      </c>
    </row>
    <row r="651" spans="1:20" s="997" customFormat="1" ht="40.799999999999997" customHeight="1">
      <c r="A651" s="1249">
        <v>157</v>
      </c>
      <c r="B651" s="1245" t="s">
        <v>1306</v>
      </c>
      <c r="C651" s="1255">
        <v>1965</v>
      </c>
      <c r="D651" s="1245"/>
      <c r="E651" s="1249" t="s">
        <v>218</v>
      </c>
      <c r="F651" s="1255">
        <v>5</v>
      </c>
      <c r="G651" s="1255">
        <v>2</v>
      </c>
      <c r="H651" s="985">
        <v>1586.7</v>
      </c>
      <c r="I651" s="985">
        <v>1067.3</v>
      </c>
      <c r="J651" s="985">
        <v>1067.3</v>
      </c>
      <c r="K651" s="995">
        <v>56</v>
      </c>
      <c r="L651" s="985">
        <v>5713050</v>
      </c>
      <c r="M651" s="985">
        <v>0</v>
      </c>
      <c r="N651" s="985">
        <v>0</v>
      </c>
      <c r="O651" s="985">
        <v>5713050</v>
      </c>
      <c r="P651" s="985">
        <v>0</v>
      </c>
      <c r="Q651" s="985">
        <v>0</v>
      </c>
      <c r="R651" s="1038">
        <f>L651/I651</f>
        <v>5352.8061463506046</v>
      </c>
      <c r="S651" s="1098" t="s">
        <v>1273</v>
      </c>
      <c r="T651" s="1098" t="s">
        <v>1273</v>
      </c>
    </row>
    <row r="652" spans="1:20" s="997" customFormat="1" ht="36" customHeight="1">
      <c r="A652" s="1249">
        <v>158</v>
      </c>
      <c r="B652" s="1245" t="s">
        <v>1307</v>
      </c>
      <c r="C652" s="1255">
        <v>1965</v>
      </c>
      <c r="D652" s="1245"/>
      <c r="E652" s="1249" t="s">
        <v>221</v>
      </c>
      <c r="F652" s="1255">
        <v>1</v>
      </c>
      <c r="G652" s="1255">
        <v>4</v>
      </c>
      <c r="H652" s="985">
        <v>235.5</v>
      </c>
      <c r="I652" s="985">
        <v>212.5</v>
      </c>
      <c r="J652" s="985">
        <v>212.5</v>
      </c>
      <c r="K652" s="995">
        <v>10</v>
      </c>
      <c r="L652" s="985">
        <v>1426103</v>
      </c>
      <c r="M652" s="985">
        <v>0</v>
      </c>
      <c r="N652" s="985">
        <v>0</v>
      </c>
      <c r="O652" s="985">
        <v>1426103</v>
      </c>
      <c r="P652" s="985">
        <v>0</v>
      </c>
      <c r="Q652" s="985">
        <v>0</v>
      </c>
      <c r="R652" s="1038">
        <f>L652/I652</f>
        <v>6711.0729411764705</v>
      </c>
      <c r="S652" s="1098" t="s">
        <v>1273</v>
      </c>
      <c r="T652" s="1098" t="s">
        <v>1273</v>
      </c>
    </row>
    <row r="653" spans="1:20" s="997" customFormat="1" ht="36" customHeight="1">
      <c r="A653" s="1249"/>
      <c r="B653" s="1514" t="s">
        <v>1092</v>
      </c>
      <c r="C653" s="1515"/>
      <c r="D653" s="1515"/>
      <c r="E653" s="1515"/>
      <c r="F653" s="1515"/>
      <c r="G653" s="1516"/>
      <c r="H653" s="985">
        <f>H654</f>
        <v>642</v>
      </c>
      <c r="I653" s="985">
        <f t="shared" ref="I653:Q653" si="228">I654</f>
        <v>416.6</v>
      </c>
      <c r="J653" s="985">
        <f t="shared" si="228"/>
        <v>416.6</v>
      </c>
      <c r="K653" s="995">
        <f t="shared" si="228"/>
        <v>23</v>
      </c>
      <c r="L653" s="985">
        <f t="shared" si="228"/>
        <v>1461133</v>
      </c>
      <c r="M653" s="985">
        <f t="shared" si="228"/>
        <v>0</v>
      </c>
      <c r="N653" s="985">
        <f t="shared" si="228"/>
        <v>0</v>
      </c>
      <c r="O653" s="985">
        <f t="shared" si="228"/>
        <v>1461133</v>
      </c>
      <c r="P653" s="985">
        <f t="shared" si="228"/>
        <v>0</v>
      </c>
      <c r="Q653" s="985">
        <f t="shared" si="228"/>
        <v>0</v>
      </c>
      <c r="R653" s="996" t="s">
        <v>40</v>
      </c>
      <c r="S653" s="996" t="s">
        <v>40</v>
      </c>
      <c r="T653" s="996" t="s">
        <v>40</v>
      </c>
    </row>
    <row r="654" spans="1:20" s="997" customFormat="1" ht="43.8" customHeight="1">
      <c r="A654" s="1249">
        <v>159</v>
      </c>
      <c r="B654" s="1260" t="s">
        <v>1144</v>
      </c>
      <c r="C654" s="1249">
        <v>1960</v>
      </c>
      <c r="D654" s="1255"/>
      <c r="E654" s="1249" t="s">
        <v>218</v>
      </c>
      <c r="F654" s="1255">
        <v>2</v>
      </c>
      <c r="G654" s="1255">
        <v>2</v>
      </c>
      <c r="H654" s="985">
        <v>642</v>
      </c>
      <c r="I654" s="985">
        <v>416.6</v>
      </c>
      <c r="J654" s="985">
        <v>416.6</v>
      </c>
      <c r="K654" s="995">
        <v>23</v>
      </c>
      <c r="L654" s="987">
        <v>1461133</v>
      </c>
      <c r="M654" s="987">
        <v>0</v>
      </c>
      <c r="N654" s="987">
        <v>0</v>
      </c>
      <c r="O654" s="987">
        <f>L654</f>
        <v>1461133</v>
      </c>
      <c r="P654" s="998">
        <v>0</v>
      </c>
      <c r="Q654" s="987">
        <v>0</v>
      </c>
      <c r="R654" s="985">
        <f>L654/I654</f>
        <v>3507.2803648583772</v>
      </c>
      <c r="S654" s="988">
        <v>2021</v>
      </c>
      <c r="T654" s="988">
        <v>2021</v>
      </c>
    </row>
    <row r="655" spans="1:20" s="997" customFormat="1" ht="36" customHeight="1">
      <c r="A655" s="1249"/>
      <c r="B655" s="1514" t="s">
        <v>1093</v>
      </c>
      <c r="C655" s="1515"/>
      <c r="D655" s="1515"/>
      <c r="E655" s="1515"/>
      <c r="F655" s="1515"/>
      <c r="G655" s="1516"/>
      <c r="H655" s="985">
        <f>H656</f>
        <v>1551.2</v>
      </c>
      <c r="I655" s="985">
        <f t="shared" ref="I655:Q655" si="229">I656</f>
        <v>1377.9</v>
      </c>
      <c r="J655" s="985">
        <f t="shared" si="229"/>
        <v>1377.9</v>
      </c>
      <c r="K655" s="995">
        <f t="shared" si="229"/>
        <v>68</v>
      </c>
      <c r="L655" s="985">
        <f t="shared" si="229"/>
        <v>1529758</v>
      </c>
      <c r="M655" s="985">
        <f t="shared" si="229"/>
        <v>0</v>
      </c>
      <c r="N655" s="985">
        <f t="shared" si="229"/>
        <v>0</v>
      </c>
      <c r="O655" s="985">
        <f t="shared" si="229"/>
        <v>1529758</v>
      </c>
      <c r="P655" s="985">
        <f t="shared" si="229"/>
        <v>0</v>
      </c>
      <c r="Q655" s="985">
        <f t="shared" si="229"/>
        <v>0</v>
      </c>
      <c r="R655" s="996" t="s">
        <v>40</v>
      </c>
      <c r="S655" s="996" t="s">
        <v>40</v>
      </c>
      <c r="T655" s="996" t="s">
        <v>40</v>
      </c>
    </row>
    <row r="656" spans="1:20" s="997" customFormat="1" ht="36" customHeight="1">
      <c r="A656" s="1249">
        <v>160</v>
      </c>
      <c r="B656" s="1260" t="s">
        <v>1284</v>
      </c>
      <c r="C656" s="1249">
        <v>1977</v>
      </c>
      <c r="D656" s="1255"/>
      <c r="E656" s="1249" t="s">
        <v>219</v>
      </c>
      <c r="F656" s="1255">
        <v>3</v>
      </c>
      <c r="G656" s="1255">
        <v>3</v>
      </c>
      <c r="H656" s="985">
        <v>1551.2</v>
      </c>
      <c r="I656" s="985">
        <v>1377.9</v>
      </c>
      <c r="J656" s="985">
        <v>1377.9</v>
      </c>
      <c r="K656" s="995">
        <v>68</v>
      </c>
      <c r="L656" s="987">
        <v>1529758</v>
      </c>
      <c r="M656" s="987">
        <v>0</v>
      </c>
      <c r="N656" s="987">
        <v>0</v>
      </c>
      <c r="O656" s="987">
        <v>1529758</v>
      </c>
      <c r="P656" s="998">
        <v>0</v>
      </c>
      <c r="Q656" s="987">
        <v>0</v>
      </c>
      <c r="R656" s="985">
        <f>L656/I656</f>
        <v>1110.2097394585962</v>
      </c>
      <c r="S656" s="988">
        <v>2021</v>
      </c>
      <c r="T656" s="988">
        <v>2021</v>
      </c>
    </row>
    <row r="657" spans="1:20" s="997" customFormat="1" ht="36" customHeight="1">
      <c r="A657" s="1249"/>
      <c r="B657" s="1513" t="s">
        <v>1357</v>
      </c>
      <c r="C657" s="1513"/>
      <c r="D657" s="1513"/>
      <c r="E657" s="1513"/>
      <c r="F657" s="1513"/>
      <c r="G657" s="1513"/>
      <c r="H657" s="985">
        <f>H658</f>
        <v>4426</v>
      </c>
      <c r="I657" s="985">
        <f t="shared" ref="I657:Q657" si="230">I658</f>
        <v>3042</v>
      </c>
      <c r="J657" s="985">
        <f t="shared" si="230"/>
        <v>2913</v>
      </c>
      <c r="K657" s="995">
        <f t="shared" si="230"/>
        <v>113</v>
      </c>
      <c r="L657" s="985">
        <f t="shared" si="230"/>
        <v>8642732</v>
      </c>
      <c r="M657" s="985">
        <f t="shared" si="230"/>
        <v>0</v>
      </c>
      <c r="N657" s="985">
        <f t="shared" si="230"/>
        <v>0</v>
      </c>
      <c r="O657" s="985">
        <f t="shared" si="230"/>
        <v>8642732</v>
      </c>
      <c r="P657" s="985">
        <f t="shared" si="230"/>
        <v>0</v>
      </c>
      <c r="Q657" s="985">
        <f t="shared" si="230"/>
        <v>0</v>
      </c>
      <c r="R657" s="996" t="s">
        <v>40</v>
      </c>
      <c r="S657" s="996" t="s">
        <v>40</v>
      </c>
      <c r="T657" s="996" t="s">
        <v>40</v>
      </c>
    </row>
    <row r="658" spans="1:20" s="997" customFormat="1" ht="36" customHeight="1">
      <c r="A658" s="1249"/>
      <c r="B658" s="1514" t="s">
        <v>1358</v>
      </c>
      <c r="C658" s="1515"/>
      <c r="D658" s="1515"/>
      <c r="E658" s="1515"/>
      <c r="F658" s="1515"/>
      <c r="G658" s="1516"/>
      <c r="H658" s="985">
        <f>H659+H661+H660+H662</f>
        <v>4426</v>
      </c>
      <c r="I658" s="985">
        <f t="shared" ref="I658:Q658" si="231">I659+I661+I660+I662</f>
        <v>3042</v>
      </c>
      <c r="J658" s="985">
        <f t="shared" si="231"/>
        <v>2913</v>
      </c>
      <c r="K658" s="995">
        <f t="shared" si="231"/>
        <v>113</v>
      </c>
      <c r="L658" s="985">
        <f t="shared" si="231"/>
        <v>8642732</v>
      </c>
      <c r="M658" s="985">
        <f t="shared" si="231"/>
        <v>0</v>
      </c>
      <c r="N658" s="985">
        <f t="shared" si="231"/>
        <v>0</v>
      </c>
      <c r="O658" s="985">
        <f t="shared" si="231"/>
        <v>8642732</v>
      </c>
      <c r="P658" s="985">
        <f t="shared" si="231"/>
        <v>0</v>
      </c>
      <c r="Q658" s="985">
        <f t="shared" si="231"/>
        <v>0</v>
      </c>
      <c r="R658" s="996" t="s">
        <v>40</v>
      </c>
      <c r="S658" s="996" t="s">
        <v>40</v>
      </c>
      <c r="T658" s="996" t="s">
        <v>40</v>
      </c>
    </row>
    <row r="659" spans="1:20" s="997" customFormat="1" ht="36" customHeight="1">
      <c r="A659" s="1249">
        <v>161</v>
      </c>
      <c r="B659" s="1260" t="s">
        <v>1359</v>
      </c>
      <c r="C659" s="1249">
        <v>1971</v>
      </c>
      <c r="D659" s="1255"/>
      <c r="E659" s="1249" t="s">
        <v>219</v>
      </c>
      <c r="F659" s="1255">
        <v>2</v>
      </c>
      <c r="G659" s="1255">
        <v>1</v>
      </c>
      <c r="H659" s="985">
        <v>351</v>
      </c>
      <c r="I659" s="985">
        <v>234</v>
      </c>
      <c r="J659" s="985">
        <v>234</v>
      </c>
      <c r="K659" s="995">
        <v>13</v>
      </c>
      <c r="L659" s="987">
        <f>O659+Q659</f>
        <v>944102</v>
      </c>
      <c r="M659" s="987">
        <v>0</v>
      </c>
      <c r="N659" s="987">
        <v>0</v>
      </c>
      <c r="O659" s="987">
        <v>944102</v>
      </c>
      <c r="P659" s="998">
        <v>0</v>
      </c>
      <c r="Q659" s="987">
        <v>0</v>
      </c>
      <c r="R659" s="985">
        <f>L659/I659</f>
        <v>4034.6239316239316</v>
      </c>
      <c r="S659" s="988">
        <v>2021</v>
      </c>
      <c r="T659" s="988">
        <v>2021</v>
      </c>
    </row>
    <row r="660" spans="1:20" s="997" customFormat="1" ht="36" customHeight="1">
      <c r="A660" s="1249">
        <v>162</v>
      </c>
      <c r="B660" s="1260" t="s">
        <v>1680</v>
      </c>
      <c r="C660" s="1249">
        <v>1993</v>
      </c>
      <c r="D660" s="1255"/>
      <c r="E660" s="1249" t="s">
        <v>219</v>
      </c>
      <c r="F660" s="1255">
        <v>3</v>
      </c>
      <c r="G660" s="1255">
        <v>3</v>
      </c>
      <c r="H660" s="985">
        <v>1391</v>
      </c>
      <c r="I660" s="985">
        <v>842</v>
      </c>
      <c r="J660" s="985">
        <v>774</v>
      </c>
      <c r="K660" s="995">
        <v>36</v>
      </c>
      <c r="L660" s="987">
        <v>1465252</v>
      </c>
      <c r="M660" s="987">
        <v>0</v>
      </c>
      <c r="N660" s="987">
        <v>0</v>
      </c>
      <c r="O660" s="987">
        <v>1465252</v>
      </c>
      <c r="P660" s="998">
        <v>0</v>
      </c>
      <c r="Q660" s="987">
        <v>0</v>
      </c>
      <c r="R660" s="985">
        <f>L660/I660</f>
        <v>1740.2042755344419</v>
      </c>
      <c r="S660" s="988">
        <v>2021</v>
      </c>
      <c r="T660" s="988">
        <v>2021</v>
      </c>
    </row>
    <row r="661" spans="1:20" s="1015" customFormat="1" ht="34.200000000000003" customHeight="1">
      <c r="A661" s="1249">
        <v>163</v>
      </c>
      <c r="B661" s="1260" t="s">
        <v>1892</v>
      </c>
      <c r="C661" s="1249">
        <v>1998</v>
      </c>
      <c r="D661" s="1255"/>
      <c r="E661" s="1249" t="s">
        <v>219</v>
      </c>
      <c r="F661" s="1255">
        <v>3</v>
      </c>
      <c r="G661" s="1255">
        <v>3</v>
      </c>
      <c r="H661" s="985">
        <v>1271</v>
      </c>
      <c r="I661" s="985">
        <v>717</v>
      </c>
      <c r="J661" s="985">
        <v>717</v>
      </c>
      <c r="K661" s="995">
        <v>39</v>
      </c>
      <c r="L661" s="987">
        <f>O661+Q661</f>
        <v>3492567</v>
      </c>
      <c r="M661" s="987">
        <v>0</v>
      </c>
      <c r="N661" s="987">
        <v>0</v>
      </c>
      <c r="O661" s="987">
        <v>3492567</v>
      </c>
      <c r="P661" s="998">
        <v>0</v>
      </c>
      <c r="Q661" s="987">
        <v>0</v>
      </c>
      <c r="R661" s="985">
        <f t="shared" ref="R661:R662" si="232">L661/I661</f>
        <v>4871.0836820083678</v>
      </c>
      <c r="S661" s="988">
        <v>2021</v>
      </c>
      <c r="T661" s="988">
        <v>2021</v>
      </c>
    </row>
    <row r="662" spans="1:20" s="1015" customFormat="1" ht="39" customHeight="1">
      <c r="A662" s="1249">
        <v>164</v>
      </c>
      <c r="B662" s="1260" t="s">
        <v>1679</v>
      </c>
      <c r="C662" s="1249">
        <v>1995</v>
      </c>
      <c r="D662" s="1255"/>
      <c r="E662" s="1249" t="s">
        <v>219</v>
      </c>
      <c r="F662" s="1255">
        <v>3</v>
      </c>
      <c r="G662" s="1255">
        <v>3</v>
      </c>
      <c r="H662" s="985">
        <v>1413</v>
      </c>
      <c r="I662" s="985">
        <v>1249</v>
      </c>
      <c r="J662" s="985">
        <v>1188</v>
      </c>
      <c r="K662" s="995">
        <v>25</v>
      </c>
      <c r="L662" s="987">
        <v>2740811</v>
      </c>
      <c r="M662" s="987">
        <v>0</v>
      </c>
      <c r="N662" s="987">
        <v>0</v>
      </c>
      <c r="O662" s="987">
        <v>2740811</v>
      </c>
      <c r="P662" s="998">
        <v>0</v>
      </c>
      <c r="Q662" s="987">
        <v>0</v>
      </c>
      <c r="R662" s="985">
        <f t="shared" si="232"/>
        <v>2194.4043234587671</v>
      </c>
      <c r="S662" s="988">
        <v>2021</v>
      </c>
      <c r="T662" s="988">
        <v>2021</v>
      </c>
    </row>
    <row r="663" spans="1:20" s="997" customFormat="1" ht="36" customHeight="1">
      <c r="A663" s="1249"/>
      <c r="B663" s="1513" t="s">
        <v>1220</v>
      </c>
      <c r="C663" s="1513"/>
      <c r="D663" s="1513"/>
      <c r="E663" s="1513"/>
      <c r="F663" s="1513"/>
      <c r="G663" s="1513"/>
      <c r="H663" s="985">
        <f>H664+H665+H666</f>
        <v>2606.69</v>
      </c>
      <c r="I663" s="985">
        <f t="shared" ref="I663:Q663" si="233">I664+I665+I666</f>
        <v>2401</v>
      </c>
      <c r="J663" s="985">
        <f t="shared" si="233"/>
        <v>2240.6</v>
      </c>
      <c r="K663" s="995">
        <f t="shared" si="233"/>
        <v>82</v>
      </c>
      <c r="L663" s="985">
        <f t="shared" si="233"/>
        <v>6743673</v>
      </c>
      <c r="M663" s="985">
        <f t="shared" si="233"/>
        <v>0</v>
      </c>
      <c r="N663" s="985">
        <f t="shared" si="233"/>
        <v>0</v>
      </c>
      <c r="O663" s="985">
        <f t="shared" si="233"/>
        <v>6743673</v>
      </c>
      <c r="P663" s="985">
        <f t="shared" si="233"/>
        <v>0</v>
      </c>
      <c r="Q663" s="985">
        <f t="shared" si="233"/>
        <v>0</v>
      </c>
      <c r="R663" s="996" t="s">
        <v>40</v>
      </c>
      <c r="S663" s="996" t="s">
        <v>40</v>
      </c>
      <c r="T663" s="996" t="s">
        <v>40</v>
      </c>
    </row>
    <row r="664" spans="1:20" s="1015" customFormat="1" ht="42" customHeight="1">
      <c r="A664" s="1249">
        <v>165</v>
      </c>
      <c r="B664" s="1260" t="s">
        <v>1350</v>
      </c>
      <c r="C664" s="1249">
        <v>1953</v>
      </c>
      <c r="D664" s="1255"/>
      <c r="E664" s="1249" t="s">
        <v>218</v>
      </c>
      <c r="F664" s="1255">
        <v>4</v>
      </c>
      <c r="G664" s="1255">
        <v>2</v>
      </c>
      <c r="H664" s="1067">
        <v>1396.5</v>
      </c>
      <c r="I664" s="1067">
        <v>1298.0999999999999</v>
      </c>
      <c r="J664" s="1067">
        <v>1178.5999999999999</v>
      </c>
      <c r="K664" s="995">
        <v>39</v>
      </c>
      <c r="L664" s="987">
        <v>1658455</v>
      </c>
      <c r="M664" s="987">
        <v>0</v>
      </c>
      <c r="N664" s="987">
        <v>0</v>
      </c>
      <c r="O664" s="987">
        <f>L664</f>
        <v>1658455</v>
      </c>
      <c r="P664" s="998">
        <v>0</v>
      </c>
      <c r="Q664" s="987">
        <v>0</v>
      </c>
      <c r="R664" s="985">
        <f>L664/I664</f>
        <v>1277.6018796702874</v>
      </c>
      <c r="S664" s="1255">
        <v>2021</v>
      </c>
      <c r="T664" s="1255">
        <v>2021</v>
      </c>
    </row>
    <row r="665" spans="1:20" s="1015" customFormat="1" ht="42" customHeight="1">
      <c r="A665" s="1249">
        <v>166</v>
      </c>
      <c r="B665" s="1260" t="s">
        <v>1576</v>
      </c>
      <c r="C665" s="1249">
        <v>1955</v>
      </c>
      <c r="D665" s="1255"/>
      <c r="E665" s="1249" t="s">
        <v>218</v>
      </c>
      <c r="F665" s="1255">
        <v>2</v>
      </c>
      <c r="G665" s="1255">
        <v>2</v>
      </c>
      <c r="H665" s="1107">
        <v>798.09</v>
      </c>
      <c r="I665" s="1107">
        <v>731.4</v>
      </c>
      <c r="J665" s="1107">
        <v>731.4</v>
      </c>
      <c r="K665" s="995">
        <v>31</v>
      </c>
      <c r="L665" s="987">
        <v>3310141</v>
      </c>
      <c r="M665" s="987">
        <v>0</v>
      </c>
      <c r="N665" s="987">
        <v>0</v>
      </c>
      <c r="O665" s="987">
        <f t="shared" ref="O665:O666" si="234">L665</f>
        <v>3310141</v>
      </c>
      <c r="P665" s="998">
        <v>0</v>
      </c>
      <c r="Q665" s="987">
        <v>0</v>
      </c>
      <c r="R665" s="985">
        <f t="shared" ref="R665:R666" si="235">L665/I665</f>
        <v>4525.7601859447632</v>
      </c>
      <c r="S665" s="1255">
        <v>2021</v>
      </c>
      <c r="T665" s="1255">
        <v>2021</v>
      </c>
    </row>
    <row r="666" spans="1:20" s="1015" customFormat="1" ht="42" customHeight="1">
      <c r="A666" s="1249">
        <v>167</v>
      </c>
      <c r="B666" s="1260" t="s">
        <v>1135</v>
      </c>
      <c r="C666" s="1249">
        <v>1953</v>
      </c>
      <c r="D666" s="1255"/>
      <c r="E666" s="1249" t="s">
        <v>218</v>
      </c>
      <c r="F666" s="1255">
        <v>2</v>
      </c>
      <c r="G666" s="1255">
        <v>2</v>
      </c>
      <c r="H666" s="1067">
        <v>412.1</v>
      </c>
      <c r="I666" s="1067">
        <v>371.5</v>
      </c>
      <c r="J666" s="1067">
        <v>330.6</v>
      </c>
      <c r="K666" s="995">
        <v>12</v>
      </c>
      <c r="L666" s="987">
        <v>1775077</v>
      </c>
      <c r="M666" s="987">
        <v>0</v>
      </c>
      <c r="N666" s="987">
        <v>0</v>
      </c>
      <c r="O666" s="987">
        <f t="shared" si="234"/>
        <v>1775077</v>
      </c>
      <c r="P666" s="998">
        <v>0</v>
      </c>
      <c r="Q666" s="987">
        <v>0</v>
      </c>
      <c r="R666" s="985">
        <f t="shared" si="235"/>
        <v>4778.1345895020186</v>
      </c>
      <c r="S666" s="1255">
        <v>2021</v>
      </c>
      <c r="T666" s="1255">
        <v>2021</v>
      </c>
    </row>
    <row r="667" spans="1:20" s="1015" customFormat="1" ht="42" customHeight="1">
      <c r="A667" s="1249"/>
      <c r="B667" s="1513" t="s">
        <v>1158</v>
      </c>
      <c r="C667" s="1513"/>
      <c r="D667" s="1513"/>
      <c r="E667" s="1513"/>
      <c r="F667" s="1513"/>
      <c r="G667" s="1513"/>
      <c r="H667" s="985">
        <f>SUM(H668:H675)</f>
        <v>18897.399999999998</v>
      </c>
      <c r="I667" s="985">
        <f t="shared" ref="I667:Q667" si="236">SUM(I668:I675)</f>
        <v>18897.399999999998</v>
      </c>
      <c r="J667" s="985">
        <f t="shared" si="236"/>
        <v>17197.099999999999</v>
      </c>
      <c r="K667" s="995">
        <f t="shared" si="236"/>
        <v>732</v>
      </c>
      <c r="L667" s="985">
        <f t="shared" si="236"/>
        <v>30896667</v>
      </c>
      <c r="M667" s="985">
        <f t="shared" si="236"/>
        <v>0</v>
      </c>
      <c r="N667" s="985">
        <f t="shared" si="236"/>
        <v>0</v>
      </c>
      <c r="O667" s="985">
        <f t="shared" si="236"/>
        <v>30896667</v>
      </c>
      <c r="P667" s="985">
        <f t="shared" si="236"/>
        <v>0</v>
      </c>
      <c r="Q667" s="985">
        <f t="shared" si="236"/>
        <v>0</v>
      </c>
      <c r="R667" s="996" t="s">
        <v>40</v>
      </c>
      <c r="S667" s="996" t="s">
        <v>40</v>
      </c>
      <c r="T667" s="996" t="s">
        <v>40</v>
      </c>
    </row>
    <row r="668" spans="1:20" s="1015" customFormat="1" ht="42" customHeight="1">
      <c r="A668" s="1249">
        <v>168</v>
      </c>
      <c r="B668" s="1248" t="s">
        <v>1893</v>
      </c>
      <c r="C668" s="1255">
        <v>1963</v>
      </c>
      <c r="D668" s="1255">
        <v>2015</v>
      </c>
      <c r="E668" s="1249" t="s">
        <v>218</v>
      </c>
      <c r="F668" s="1255">
        <v>2</v>
      </c>
      <c r="G668" s="1255">
        <v>2</v>
      </c>
      <c r="H668" s="985">
        <v>357</v>
      </c>
      <c r="I668" s="985">
        <v>357</v>
      </c>
      <c r="J668" s="985">
        <v>316.5</v>
      </c>
      <c r="K668" s="995">
        <v>11</v>
      </c>
      <c r="L668" s="985">
        <v>1497815</v>
      </c>
      <c r="M668" s="985">
        <v>0</v>
      </c>
      <c r="N668" s="985">
        <v>0</v>
      </c>
      <c r="O668" s="985">
        <v>1497815</v>
      </c>
      <c r="P668" s="985">
        <v>0</v>
      </c>
      <c r="Q668" s="985">
        <v>0</v>
      </c>
      <c r="R668" s="985">
        <f>L668/I668</f>
        <v>4195.560224089636</v>
      </c>
      <c r="S668" s="1255">
        <v>2021</v>
      </c>
      <c r="T668" s="1255">
        <v>2021</v>
      </c>
    </row>
    <row r="669" spans="1:20" s="997" customFormat="1" ht="42" customHeight="1">
      <c r="A669" s="1249">
        <v>169</v>
      </c>
      <c r="B669" s="1265" t="s">
        <v>1398</v>
      </c>
      <c r="C669" s="1255">
        <v>1992</v>
      </c>
      <c r="D669" s="1255"/>
      <c r="E669" s="1249" t="s">
        <v>218</v>
      </c>
      <c r="F669" s="1255">
        <v>5</v>
      </c>
      <c r="G669" s="1255">
        <v>6</v>
      </c>
      <c r="H669" s="985">
        <v>4734.5</v>
      </c>
      <c r="I669" s="985">
        <v>4734.5</v>
      </c>
      <c r="J669" s="985">
        <v>4279</v>
      </c>
      <c r="K669" s="995">
        <v>191</v>
      </c>
      <c r="L669" s="998">
        <v>3586643</v>
      </c>
      <c r="M669" s="985">
        <v>0</v>
      </c>
      <c r="N669" s="985">
        <v>0</v>
      </c>
      <c r="O669" s="998">
        <v>3586643</v>
      </c>
      <c r="P669" s="985">
        <v>0</v>
      </c>
      <c r="Q669" s="985">
        <v>0</v>
      </c>
      <c r="R669" s="985">
        <f t="shared" ref="R669:R675" si="237">L669/I669</f>
        <v>757.55475763016159</v>
      </c>
      <c r="S669" s="1255">
        <v>2021</v>
      </c>
      <c r="T669" s="1255">
        <v>2021</v>
      </c>
    </row>
    <row r="670" spans="1:20" s="997" customFormat="1" ht="39.6" customHeight="1">
      <c r="A670" s="1249">
        <v>170</v>
      </c>
      <c r="B670" s="1265" t="s">
        <v>1400</v>
      </c>
      <c r="C670" s="1255">
        <v>1981</v>
      </c>
      <c r="D670" s="1255"/>
      <c r="E670" s="1249" t="s">
        <v>218</v>
      </c>
      <c r="F670" s="1255">
        <v>5</v>
      </c>
      <c r="G670" s="1255">
        <v>4</v>
      </c>
      <c r="H670" s="985">
        <v>2903.6</v>
      </c>
      <c r="I670" s="985">
        <v>2903.6</v>
      </c>
      <c r="J670" s="985">
        <v>2603.5</v>
      </c>
      <c r="K670" s="995">
        <v>106</v>
      </c>
      <c r="L670" s="1153">
        <v>1692787</v>
      </c>
      <c r="M670" s="985">
        <v>0</v>
      </c>
      <c r="N670" s="985">
        <v>0</v>
      </c>
      <c r="O670" s="1153">
        <v>1692787</v>
      </c>
      <c r="P670" s="985">
        <v>0</v>
      </c>
      <c r="Q670" s="985">
        <v>0</v>
      </c>
      <c r="R670" s="985">
        <f t="shared" si="237"/>
        <v>582.9959360793498</v>
      </c>
      <c r="S670" s="1255">
        <v>2021</v>
      </c>
      <c r="T670" s="1255">
        <v>2021</v>
      </c>
    </row>
    <row r="671" spans="1:20" s="997" customFormat="1" ht="42" customHeight="1">
      <c r="A671" s="1249">
        <v>171</v>
      </c>
      <c r="B671" s="1265" t="s">
        <v>1894</v>
      </c>
      <c r="C671" s="1255">
        <v>1959</v>
      </c>
      <c r="D671" s="1255"/>
      <c r="E671" s="1249" t="s">
        <v>218</v>
      </c>
      <c r="F671" s="1255">
        <v>2</v>
      </c>
      <c r="G671" s="1255">
        <v>2</v>
      </c>
      <c r="H671" s="985">
        <v>424</v>
      </c>
      <c r="I671" s="985">
        <v>424</v>
      </c>
      <c r="J671" s="985">
        <v>384.4</v>
      </c>
      <c r="K671" s="995">
        <v>13</v>
      </c>
      <c r="L671" s="998">
        <v>1902957</v>
      </c>
      <c r="M671" s="985">
        <v>0</v>
      </c>
      <c r="N671" s="985">
        <v>0</v>
      </c>
      <c r="O671" s="998">
        <v>1902957</v>
      </c>
      <c r="P671" s="985">
        <v>0</v>
      </c>
      <c r="Q671" s="985">
        <v>0</v>
      </c>
      <c r="R671" s="985">
        <f t="shared" si="237"/>
        <v>4488.1061320754716</v>
      </c>
      <c r="S671" s="1255">
        <v>2021</v>
      </c>
      <c r="T671" s="1255">
        <v>2021</v>
      </c>
    </row>
    <row r="672" spans="1:20" s="997" customFormat="1" ht="43.2" customHeight="1">
      <c r="A672" s="1249">
        <v>172</v>
      </c>
      <c r="B672" s="1265" t="s">
        <v>1393</v>
      </c>
      <c r="C672" s="1255">
        <v>1984</v>
      </c>
      <c r="D672" s="1255">
        <v>2013</v>
      </c>
      <c r="E672" s="1249" t="s">
        <v>218</v>
      </c>
      <c r="F672" s="1255">
        <v>5</v>
      </c>
      <c r="G672" s="1255">
        <v>12</v>
      </c>
      <c r="H672" s="985">
        <v>9023.4</v>
      </c>
      <c r="I672" s="985">
        <v>9023.4</v>
      </c>
      <c r="J672" s="985">
        <v>8242.4</v>
      </c>
      <c r="K672" s="995">
        <v>340</v>
      </c>
      <c r="L672" s="985">
        <v>16756157</v>
      </c>
      <c r="M672" s="985">
        <v>0</v>
      </c>
      <c r="N672" s="985">
        <v>0</v>
      </c>
      <c r="O672" s="985">
        <v>16756157</v>
      </c>
      <c r="P672" s="985">
        <v>0</v>
      </c>
      <c r="Q672" s="985">
        <v>0</v>
      </c>
      <c r="R672" s="985">
        <f t="shared" si="237"/>
        <v>1856.9671077420928</v>
      </c>
      <c r="S672" s="1255">
        <v>2021</v>
      </c>
      <c r="T672" s="1255">
        <v>2021</v>
      </c>
    </row>
    <row r="673" spans="1:20" s="997" customFormat="1" ht="42" customHeight="1">
      <c r="A673" s="1249">
        <v>173</v>
      </c>
      <c r="B673" s="1265" t="s">
        <v>1401</v>
      </c>
      <c r="C673" s="1255">
        <v>1959</v>
      </c>
      <c r="D673" s="1256"/>
      <c r="E673" s="1249" t="s">
        <v>218</v>
      </c>
      <c r="F673" s="1255">
        <v>2</v>
      </c>
      <c r="G673" s="1255">
        <v>2</v>
      </c>
      <c r="H673" s="985">
        <v>306.60000000000002</v>
      </c>
      <c r="I673" s="985">
        <v>306.60000000000002</v>
      </c>
      <c r="J673" s="985">
        <v>273.60000000000002</v>
      </c>
      <c r="K673" s="995">
        <v>22</v>
      </c>
      <c r="L673" s="998">
        <v>1460295</v>
      </c>
      <c r="M673" s="985">
        <v>0</v>
      </c>
      <c r="N673" s="985">
        <v>0</v>
      </c>
      <c r="O673" s="998">
        <v>1460295</v>
      </c>
      <c r="P673" s="985">
        <v>0</v>
      </c>
      <c r="Q673" s="985">
        <v>0</v>
      </c>
      <c r="R673" s="985">
        <f t="shared" si="237"/>
        <v>4762.8669275929542</v>
      </c>
      <c r="S673" s="1255">
        <v>2021</v>
      </c>
      <c r="T673" s="1255">
        <v>2021</v>
      </c>
    </row>
    <row r="674" spans="1:20" s="997" customFormat="1" ht="42" customHeight="1">
      <c r="A674" s="1249">
        <v>174</v>
      </c>
      <c r="B674" s="1265" t="s">
        <v>1402</v>
      </c>
      <c r="C674" s="1255">
        <v>1962</v>
      </c>
      <c r="D674" s="1256"/>
      <c r="E674" s="1249" t="s">
        <v>218</v>
      </c>
      <c r="F674" s="1255">
        <v>2</v>
      </c>
      <c r="G674" s="1255">
        <v>2</v>
      </c>
      <c r="H674" s="985">
        <v>685.8</v>
      </c>
      <c r="I674" s="985">
        <v>685.8</v>
      </c>
      <c r="J674" s="985">
        <v>637.20000000000005</v>
      </c>
      <c r="K674" s="995">
        <v>30</v>
      </c>
      <c r="L674" s="998">
        <v>2355097</v>
      </c>
      <c r="M674" s="985">
        <v>0</v>
      </c>
      <c r="N674" s="985">
        <v>0</v>
      </c>
      <c r="O674" s="998">
        <v>2355097</v>
      </c>
      <c r="P674" s="985">
        <v>0</v>
      </c>
      <c r="Q674" s="985">
        <v>0</v>
      </c>
      <c r="R674" s="985">
        <f t="shared" si="237"/>
        <v>3434.0871974336542</v>
      </c>
      <c r="S674" s="1255">
        <v>2021</v>
      </c>
      <c r="T674" s="1255">
        <v>2021</v>
      </c>
    </row>
    <row r="675" spans="1:20" s="997" customFormat="1" ht="42" customHeight="1">
      <c r="A675" s="1249">
        <v>175</v>
      </c>
      <c r="B675" s="1265" t="s">
        <v>1403</v>
      </c>
      <c r="C675" s="1255">
        <v>1994</v>
      </c>
      <c r="D675" s="1256"/>
      <c r="E675" s="1249" t="s">
        <v>218</v>
      </c>
      <c r="F675" s="1255">
        <v>2</v>
      </c>
      <c r="G675" s="1255">
        <v>2</v>
      </c>
      <c r="H675" s="985">
        <v>462.5</v>
      </c>
      <c r="I675" s="985">
        <v>462.5</v>
      </c>
      <c r="J675" s="985">
        <v>460.5</v>
      </c>
      <c r="K675" s="995">
        <v>19</v>
      </c>
      <c r="L675" s="998">
        <v>1644916</v>
      </c>
      <c r="M675" s="985">
        <v>0</v>
      </c>
      <c r="N675" s="985">
        <v>0</v>
      </c>
      <c r="O675" s="998">
        <v>1644916</v>
      </c>
      <c r="P675" s="985">
        <v>0</v>
      </c>
      <c r="Q675" s="985">
        <v>0</v>
      </c>
      <c r="R675" s="985">
        <f t="shared" si="237"/>
        <v>3556.575135135135</v>
      </c>
      <c r="S675" s="1255">
        <v>2021</v>
      </c>
      <c r="T675" s="1255">
        <v>2021</v>
      </c>
    </row>
    <row r="676" spans="1:20" s="997" customFormat="1" ht="42" customHeight="1">
      <c r="A676" s="1249"/>
      <c r="B676" s="1539" t="s">
        <v>2013</v>
      </c>
      <c r="C676" s="1540"/>
      <c r="D676" s="1540"/>
      <c r="E676" s="1540"/>
      <c r="F676" s="1540"/>
      <c r="G676" s="1541"/>
      <c r="H676" s="985">
        <f>H677</f>
        <v>830.8</v>
      </c>
      <c r="I676" s="985">
        <f t="shared" ref="I676:Q676" si="238">I677</f>
        <v>764.7</v>
      </c>
      <c r="J676" s="985">
        <f t="shared" si="238"/>
        <v>764.7</v>
      </c>
      <c r="K676" s="995">
        <f t="shared" si="238"/>
        <v>23</v>
      </c>
      <c r="L676" s="985">
        <f t="shared" si="238"/>
        <v>6692193</v>
      </c>
      <c r="M676" s="985">
        <f t="shared" si="238"/>
        <v>0</v>
      </c>
      <c r="N676" s="985">
        <f t="shared" si="238"/>
        <v>0</v>
      </c>
      <c r="O676" s="985">
        <f t="shared" si="238"/>
        <v>6692193</v>
      </c>
      <c r="P676" s="985">
        <f t="shared" si="238"/>
        <v>0</v>
      </c>
      <c r="Q676" s="985">
        <f t="shared" si="238"/>
        <v>0</v>
      </c>
      <c r="R676" s="996" t="s">
        <v>40</v>
      </c>
      <c r="S676" s="996" t="s">
        <v>40</v>
      </c>
      <c r="T676" s="996" t="s">
        <v>40</v>
      </c>
    </row>
    <row r="677" spans="1:20" s="997" customFormat="1" ht="44.4" customHeight="1">
      <c r="A677" s="1249">
        <v>176</v>
      </c>
      <c r="B677" s="1265" t="s">
        <v>1414</v>
      </c>
      <c r="C677" s="1255">
        <v>1974</v>
      </c>
      <c r="D677" s="1256"/>
      <c r="E677" s="1249" t="s">
        <v>218</v>
      </c>
      <c r="F677" s="1255">
        <v>2</v>
      </c>
      <c r="G677" s="1255">
        <v>2</v>
      </c>
      <c r="H677" s="985">
        <v>830.8</v>
      </c>
      <c r="I677" s="985">
        <v>764.7</v>
      </c>
      <c r="J677" s="985">
        <v>764.7</v>
      </c>
      <c r="K677" s="995">
        <v>23</v>
      </c>
      <c r="L677" s="998">
        <v>6692193</v>
      </c>
      <c r="M677" s="985">
        <v>0</v>
      </c>
      <c r="N677" s="985">
        <v>0</v>
      </c>
      <c r="O677" s="998">
        <v>6692193</v>
      </c>
      <c r="P677" s="985">
        <v>0</v>
      </c>
      <c r="Q677" s="985">
        <v>0</v>
      </c>
      <c r="R677" s="985">
        <f t="shared" ref="R677" si="239">L677/I677</f>
        <v>8751.3966261278929</v>
      </c>
      <c r="S677" s="1255">
        <v>2021</v>
      </c>
      <c r="T677" s="1255">
        <v>2021</v>
      </c>
    </row>
    <row r="678" spans="1:20" s="997" customFormat="1" ht="36" customHeight="1">
      <c r="A678" s="1249"/>
      <c r="B678" s="1513" t="s">
        <v>61</v>
      </c>
      <c r="C678" s="1513"/>
      <c r="D678" s="1513"/>
      <c r="E678" s="1513"/>
      <c r="F678" s="1513"/>
      <c r="G678" s="1513"/>
      <c r="H678" s="985">
        <f>H679</f>
        <v>810.3</v>
      </c>
      <c r="I678" s="985">
        <f t="shared" ref="I678:Q678" si="240">I679</f>
        <v>810.3</v>
      </c>
      <c r="J678" s="985">
        <f t="shared" si="240"/>
        <v>153.71</v>
      </c>
      <c r="K678" s="995">
        <f t="shared" si="240"/>
        <v>40</v>
      </c>
      <c r="L678" s="985">
        <f t="shared" si="240"/>
        <v>1213752</v>
      </c>
      <c r="M678" s="985">
        <f t="shared" si="240"/>
        <v>0</v>
      </c>
      <c r="N678" s="985">
        <f t="shared" si="240"/>
        <v>0</v>
      </c>
      <c r="O678" s="985">
        <f t="shared" si="240"/>
        <v>1213752</v>
      </c>
      <c r="P678" s="985">
        <f t="shared" si="240"/>
        <v>0</v>
      </c>
      <c r="Q678" s="985">
        <f t="shared" si="240"/>
        <v>0</v>
      </c>
      <c r="R678" s="996" t="s">
        <v>40</v>
      </c>
      <c r="S678" s="996" t="s">
        <v>40</v>
      </c>
      <c r="T678" s="996" t="s">
        <v>40</v>
      </c>
    </row>
    <row r="679" spans="1:20" s="997" customFormat="1" ht="36" customHeight="1">
      <c r="A679" s="1249"/>
      <c r="B679" s="1513" t="s">
        <v>1095</v>
      </c>
      <c r="C679" s="1513"/>
      <c r="D679" s="1513"/>
      <c r="E679" s="1513"/>
      <c r="F679" s="1513"/>
      <c r="G679" s="1513"/>
      <c r="H679" s="985">
        <f>H680</f>
        <v>810.3</v>
      </c>
      <c r="I679" s="985">
        <f t="shared" ref="I679:Q679" si="241">I680</f>
        <v>810.3</v>
      </c>
      <c r="J679" s="985">
        <f t="shared" si="241"/>
        <v>153.71</v>
      </c>
      <c r="K679" s="995">
        <f t="shared" si="241"/>
        <v>40</v>
      </c>
      <c r="L679" s="985">
        <f t="shared" si="241"/>
        <v>1213752</v>
      </c>
      <c r="M679" s="985">
        <f t="shared" si="241"/>
        <v>0</v>
      </c>
      <c r="N679" s="985">
        <f t="shared" si="241"/>
        <v>0</v>
      </c>
      <c r="O679" s="985">
        <f t="shared" si="241"/>
        <v>1213752</v>
      </c>
      <c r="P679" s="985">
        <f t="shared" si="241"/>
        <v>0</v>
      </c>
      <c r="Q679" s="985">
        <f t="shared" si="241"/>
        <v>0</v>
      </c>
      <c r="R679" s="996" t="s">
        <v>40</v>
      </c>
      <c r="S679" s="996" t="s">
        <v>40</v>
      </c>
      <c r="T679" s="996" t="s">
        <v>40</v>
      </c>
    </row>
    <row r="680" spans="1:20" s="997" customFormat="1" ht="42" customHeight="1">
      <c r="A680" s="1249">
        <v>177</v>
      </c>
      <c r="B680" s="1260" t="s">
        <v>1257</v>
      </c>
      <c r="C680" s="1249">
        <v>1978</v>
      </c>
      <c r="D680" s="1255">
        <v>2013</v>
      </c>
      <c r="E680" s="1249" t="s">
        <v>218</v>
      </c>
      <c r="F680" s="1255">
        <v>2</v>
      </c>
      <c r="G680" s="1255">
        <v>1</v>
      </c>
      <c r="H680" s="985">
        <v>810.3</v>
      </c>
      <c r="I680" s="985">
        <v>810.3</v>
      </c>
      <c r="J680" s="985">
        <v>153.71</v>
      </c>
      <c r="K680" s="995">
        <v>40</v>
      </c>
      <c r="L680" s="987">
        <v>1213752</v>
      </c>
      <c r="M680" s="987">
        <v>0</v>
      </c>
      <c r="N680" s="987">
        <v>0</v>
      </c>
      <c r="O680" s="987">
        <v>1213752</v>
      </c>
      <c r="P680" s="998">
        <v>0</v>
      </c>
      <c r="Q680" s="987">
        <v>0</v>
      </c>
      <c r="R680" s="985">
        <f>L680/I680</f>
        <v>1497.9044798222881</v>
      </c>
      <c r="S680" s="988">
        <v>2021</v>
      </c>
      <c r="T680" s="988">
        <v>2021</v>
      </c>
    </row>
    <row r="681" spans="1:20" s="997" customFormat="1" ht="36" customHeight="1">
      <c r="A681" s="1249"/>
      <c r="B681" s="1261" t="s">
        <v>2014</v>
      </c>
      <c r="C681" s="991"/>
      <c r="D681" s="992"/>
      <c r="E681" s="993"/>
      <c r="F681" s="991"/>
      <c r="G681" s="994"/>
      <c r="H681" s="985">
        <f>H682+H683</f>
        <v>1514.2</v>
      </c>
      <c r="I681" s="985">
        <f t="shared" ref="I681:Q681" si="242">I682+I683</f>
        <v>1363.3000000000002</v>
      </c>
      <c r="J681" s="985">
        <f t="shared" si="242"/>
        <v>1363.3000000000002</v>
      </c>
      <c r="K681" s="985">
        <f t="shared" si="242"/>
        <v>38</v>
      </c>
      <c r="L681" s="985">
        <f t="shared" si="242"/>
        <v>1640171</v>
      </c>
      <c r="M681" s="985">
        <f t="shared" si="242"/>
        <v>0</v>
      </c>
      <c r="N681" s="985">
        <f t="shared" si="242"/>
        <v>0</v>
      </c>
      <c r="O681" s="985">
        <f t="shared" si="242"/>
        <v>1640171</v>
      </c>
      <c r="P681" s="985">
        <f t="shared" si="242"/>
        <v>0</v>
      </c>
      <c r="Q681" s="985">
        <f t="shared" si="242"/>
        <v>0</v>
      </c>
      <c r="R681" s="996" t="s">
        <v>40</v>
      </c>
      <c r="S681" s="996" t="s">
        <v>40</v>
      </c>
      <c r="T681" s="996" t="s">
        <v>40</v>
      </c>
    </row>
    <row r="682" spans="1:20" s="997" customFormat="1" ht="40.200000000000003" customHeight="1">
      <c r="A682" s="1249">
        <v>178</v>
      </c>
      <c r="B682" s="1245" t="s">
        <v>1895</v>
      </c>
      <c r="C682" s="1249">
        <v>1981</v>
      </c>
      <c r="D682" s="1255"/>
      <c r="E682" s="1249" t="s">
        <v>218</v>
      </c>
      <c r="F682" s="1255">
        <v>2</v>
      </c>
      <c r="G682" s="1255">
        <v>2</v>
      </c>
      <c r="H682" s="985">
        <v>953.1</v>
      </c>
      <c r="I682" s="985">
        <v>849.2</v>
      </c>
      <c r="J682" s="985">
        <v>849.2</v>
      </c>
      <c r="K682" s="995">
        <v>26</v>
      </c>
      <c r="L682" s="987">
        <v>35870</v>
      </c>
      <c r="M682" s="987">
        <v>0</v>
      </c>
      <c r="N682" s="987">
        <v>0</v>
      </c>
      <c r="O682" s="987">
        <v>35870</v>
      </c>
      <c r="P682" s="998">
        <v>0</v>
      </c>
      <c r="Q682" s="987">
        <v>0</v>
      </c>
      <c r="R682" s="985">
        <f>L682/I682</f>
        <v>42.239755063589257</v>
      </c>
      <c r="S682" s="988">
        <v>2021</v>
      </c>
      <c r="T682" s="988">
        <v>2021</v>
      </c>
    </row>
    <row r="683" spans="1:20" s="997" customFormat="1" ht="40.799999999999997" customHeight="1">
      <c r="A683" s="1249">
        <v>179</v>
      </c>
      <c r="B683" s="1245" t="s">
        <v>1896</v>
      </c>
      <c r="C683" s="1249">
        <v>1967</v>
      </c>
      <c r="D683" s="1255"/>
      <c r="E683" s="1249" t="s">
        <v>218</v>
      </c>
      <c r="F683" s="1255">
        <v>2</v>
      </c>
      <c r="G683" s="1255">
        <v>2</v>
      </c>
      <c r="H683" s="985">
        <v>561.1</v>
      </c>
      <c r="I683" s="985">
        <v>514.1</v>
      </c>
      <c r="J683" s="985">
        <v>514.1</v>
      </c>
      <c r="K683" s="995">
        <v>12</v>
      </c>
      <c r="L683" s="987">
        <v>1604301</v>
      </c>
      <c r="M683" s="987">
        <v>0</v>
      </c>
      <c r="N683" s="987">
        <v>0</v>
      </c>
      <c r="O683" s="987">
        <v>1604301</v>
      </c>
      <c r="P683" s="998">
        <v>0</v>
      </c>
      <c r="Q683" s="987">
        <v>0</v>
      </c>
      <c r="R683" s="985">
        <f>L683/I683</f>
        <v>3120.6010503793036</v>
      </c>
      <c r="S683" s="988">
        <v>2021</v>
      </c>
      <c r="T683" s="988">
        <v>2021</v>
      </c>
    </row>
    <row r="684" spans="1:20" s="997" customFormat="1" ht="36" customHeight="1">
      <c r="A684" s="1249"/>
      <c r="B684" s="1513" t="s">
        <v>2016</v>
      </c>
      <c r="C684" s="1513"/>
      <c r="D684" s="1513"/>
      <c r="E684" s="1513"/>
      <c r="F684" s="1513"/>
      <c r="G684" s="1513"/>
      <c r="H684" s="985">
        <f>H685+H686+H687</f>
        <v>1643.8000000000002</v>
      </c>
      <c r="I684" s="985">
        <f t="shared" ref="I684:Q684" si="243">I685+I686+I687</f>
        <v>1544</v>
      </c>
      <c r="J684" s="985">
        <f t="shared" si="243"/>
        <v>1544</v>
      </c>
      <c r="K684" s="985">
        <f t="shared" si="243"/>
        <v>69</v>
      </c>
      <c r="L684" s="985">
        <f t="shared" si="243"/>
        <v>4281862</v>
      </c>
      <c r="M684" s="985">
        <f t="shared" si="243"/>
        <v>0</v>
      </c>
      <c r="N684" s="985">
        <f t="shared" si="243"/>
        <v>0</v>
      </c>
      <c r="O684" s="985">
        <f t="shared" si="243"/>
        <v>4281862</v>
      </c>
      <c r="P684" s="985">
        <f t="shared" si="243"/>
        <v>0</v>
      </c>
      <c r="Q684" s="985">
        <f t="shared" si="243"/>
        <v>0</v>
      </c>
      <c r="R684" s="996" t="s">
        <v>40</v>
      </c>
      <c r="S684" s="996" t="s">
        <v>40</v>
      </c>
      <c r="T684" s="996" t="s">
        <v>40</v>
      </c>
    </row>
    <row r="685" spans="1:20" s="997" customFormat="1" ht="39.6" customHeight="1">
      <c r="A685" s="1249">
        <v>180</v>
      </c>
      <c r="B685" s="1260" t="s">
        <v>1245</v>
      </c>
      <c r="C685" s="1249">
        <v>1965</v>
      </c>
      <c r="D685" s="1249"/>
      <c r="E685" s="1249" t="s">
        <v>218</v>
      </c>
      <c r="F685" s="1249">
        <v>2</v>
      </c>
      <c r="G685" s="1249">
        <v>3</v>
      </c>
      <c r="H685" s="985">
        <v>577.5</v>
      </c>
      <c r="I685" s="985">
        <v>577.5</v>
      </c>
      <c r="J685" s="985">
        <v>577.5</v>
      </c>
      <c r="K685" s="995">
        <v>26</v>
      </c>
      <c r="L685" s="985">
        <v>1614456</v>
      </c>
      <c r="M685" s="985">
        <v>0</v>
      </c>
      <c r="N685" s="985">
        <v>0</v>
      </c>
      <c r="O685" s="985">
        <v>1614456</v>
      </c>
      <c r="P685" s="998">
        <v>0</v>
      </c>
      <c r="Q685" s="985">
        <v>0</v>
      </c>
      <c r="R685" s="996">
        <f>L685/I685</f>
        <v>2795.5948051948053</v>
      </c>
      <c r="S685" s="1116">
        <v>2021</v>
      </c>
      <c r="T685" s="1116">
        <v>2021</v>
      </c>
    </row>
    <row r="686" spans="1:20" s="997" customFormat="1" ht="40.200000000000003" customHeight="1">
      <c r="A686" s="1249">
        <v>181</v>
      </c>
      <c r="B686" s="1260" t="s">
        <v>1246</v>
      </c>
      <c r="C686" s="1249">
        <v>1969</v>
      </c>
      <c r="D686" s="1249"/>
      <c r="E686" s="1249" t="s">
        <v>218</v>
      </c>
      <c r="F686" s="1249">
        <v>2</v>
      </c>
      <c r="G686" s="1249">
        <v>2</v>
      </c>
      <c r="H686" s="985">
        <v>438.1</v>
      </c>
      <c r="I686" s="985">
        <v>388.1</v>
      </c>
      <c r="J686" s="985">
        <v>388.1</v>
      </c>
      <c r="K686" s="995">
        <v>19</v>
      </c>
      <c r="L686" s="985">
        <v>1228611</v>
      </c>
      <c r="M686" s="985">
        <v>0</v>
      </c>
      <c r="N686" s="985">
        <v>0</v>
      </c>
      <c r="O686" s="985">
        <v>1228611</v>
      </c>
      <c r="P686" s="998">
        <v>0</v>
      </c>
      <c r="Q686" s="985">
        <v>0</v>
      </c>
      <c r="R686" s="996">
        <f>L686/I686</f>
        <v>3165.707291935068</v>
      </c>
      <c r="S686" s="1116">
        <v>2021</v>
      </c>
      <c r="T686" s="1116">
        <v>2021</v>
      </c>
    </row>
    <row r="687" spans="1:20" s="997" customFormat="1" ht="42" customHeight="1">
      <c r="A687" s="1249">
        <v>182</v>
      </c>
      <c r="B687" s="1115" t="s">
        <v>1247</v>
      </c>
      <c r="C687" s="1116">
        <v>1980</v>
      </c>
      <c r="D687" s="1116"/>
      <c r="E687" s="1249" t="s">
        <v>218</v>
      </c>
      <c r="F687" s="988">
        <v>2</v>
      </c>
      <c r="G687" s="988">
        <v>2</v>
      </c>
      <c r="H687" s="998">
        <v>628.20000000000005</v>
      </c>
      <c r="I687" s="998">
        <v>578.4</v>
      </c>
      <c r="J687" s="998">
        <v>578.4</v>
      </c>
      <c r="K687" s="986">
        <v>24</v>
      </c>
      <c r="L687" s="987">
        <v>1438795</v>
      </c>
      <c r="M687" s="987">
        <v>0</v>
      </c>
      <c r="N687" s="987">
        <v>0</v>
      </c>
      <c r="O687" s="987">
        <v>1438795</v>
      </c>
      <c r="P687" s="998">
        <v>0</v>
      </c>
      <c r="Q687" s="987">
        <v>0</v>
      </c>
      <c r="R687" s="998">
        <f>L687/I687</f>
        <v>2487.543222683264</v>
      </c>
      <c r="S687" s="1116">
        <v>2021</v>
      </c>
      <c r="T687" s="1116">
        <v>2021</v>
      </c>
    </row>
    <row r="688" spans="1:20" s="997" customFormat="1" ht="36" customHeight="1">
      <c r="A688" s="1249"/>
      <c r="B688" s="1118" t="s">
        <v>64</v>
      </c>
      <c r="C688" s="1119"/>
      <c r="D688" s="1120"/>
      <c r="E688" s="993"/>
      <c r="F688" s="1121"/>
      <c r="G688" s="1122"/>
      <c r="H688" s="998">
        <f>H689+H695</f>
        <v>4177.3</v>
      </c>
      <c r="I688" s="998">
        <f t="shared" ref="I688:Q688" si="244">I689+I695</f>
        <v>3529.1</v>
      </c>
      <c r="J688" s="998">
        <f t="shared" si="244"/>
        <v>3529.1</v>
      </c>
      <c r="K688" s="998">
        <f t="shared" si="244"/>
        <v>149</v>
      </c>
      <c r="L688" s="998">
        <f t="shared" si="244"/>
        <v>10080672</v>
      </c>
      <c r="M688" s="998">
        <f t="shared" si="244"/>
        <v>0</v>
      </c>
      <c r="N688" s="998">
        <f t="shared" si="244"/>
        <v>0</v>
      </c>
      <c r="O688" s="998">
        <f t="shared" si="244"/>
        <v>10080672</v>
      </c>
      <c r="P688" s="998">
        <f t="shared" si="244"/>
        <v>0</v>
      </c>
      <c r="Q688" s="998">
        <f t="shared" si="244"/>
        <v>0</v>
      </c>
      <c r="R688" s="996" t="s">
        <v>40</v>
      </c>
      <c r="S688" s="996" t="s">
        <v>40</v>
      </c>
      <c r="T688" s="996" t="s">
        <v>40</v>
      </c>
    </row>
    <row r="689" spans="1:20" s="997" customFormat="1" ht="36" customHeight="1">
      <c r="A689" s="1249"/>
      <c r="B689" s="1513" t="s">
        <v>1097</v>
      </c>
      <c r="C689" s="1513"/>
      <c r="D689" s="1513"/>
      <c r="E689" s="1513"/>
      <c r="F689" s="1513"/>
      <c r="G689" s="1513"/>
      <c r="H689" s="1060">
        <f>SUM(H690:H694)</f>
        <v>3624.4000000000005</v>
      </c>
      <c r="I689" s="1060">
        <f t="shared" ref="I689:Q689" si="245">SUM(I690:I694)</f>
        <v>3218.2999999999997</v>
      </c>
      <c r="J689" s="1060">
        <f t="shared" si="245"/>
        <v>3218.2999999999997</v>
      </c>
      <c r="K689" s="995">
        <f t="shared" si="245"/>
        <v>129</v>
      </c>
      <c r="L689" s="1060">
        <f t="shared" si="245"/>
        <v>8557601</v>
      </c>
      <c r="M689" s="1060">
        <f t="shared" si="245"/>
        <v>0</v>
      </c>
      <c r="N689" s="1060">
        <f t="shared" si="245"/>
        <v>0</v>
      </c>
      <c r="O689" s="1060">
        <f t="shared" si="245"/>
        <v>8557601</v>
      </c>
      <c r="P689" s="1060">
        <f t="shared" si="245"/>
        <v>0</v>
      </c>
      <c r="Q689" s="1060">
        <f t="shared" si="245"/>
        <v>0</v>
      </c>
      <c r="R689" s="996" t="s">
        <v>40</v>
      </c>
      <c r="S689" s="996" t="s">
        <v>40</v>
      </c>
      <c r="T689" s="996" t="s">
        <v>40</v>
      </c>
    </row>
    <row r="690" spans="1:20" s="997" customFormat="1" ht="40.200000000000003" customHeight="1">
      <c r="A690" s="1046">
        <v>183</v>
      </c>
      <c r="B690" s="1076" t="s">
        <v>1332</v>
      </c>
      <c r="C690" s="1048">
        <v>1964</v>
      </c>
      <c r="D690" s="1048"/>
      <c r="E690" s="1249" t="s">
        <v>218</v>
      </c>
      <c r="F690" s="1048">
        <v>2</v>
      </c>
      <c r="G690" s="1048">
        <v>2</v>
      </c>
      <c r="H690" s="1067">
        <v>671.7</v>
      </c>
      <c r="I690" s="1067">
        <v>620.5</v>
      </c>
      <c r="J690" s="1067">
        <v>620.5</v>
      </c>
      <c r="K690" s="1077">
        <v>22</v>
      </c>
      <c r="L690" s="1067">
        <v>1883192</v>
      </c>
      <c r="M690" s="1067">
        <v>0</v>
      </c>
      <c r="N690" s="1067">
        <v>0</v>
      </c>
      <c r="O690" s="1067">
        <v>1883192</v>
      </c>
      <c r="P690" s="1067">
        <v>0</v>
      </c>
      <c r="Q690" s="1067">
        <v>0</v>
      </c>
      <c r="R690" s="1038">
        <f>L690/I690</f>
        <v>3034.9589041095892</v>
      </c>
      <c r="S690" s="1022">
        <v>2021</v>
      </c>
      <c r="T690" s="1022">
        <v>2021</v>
      </c>
    </row>
    <row r="691" spans="1:20" s="997" customFormat="1" ht="40.200000000000003" customHeight="1">
      <c r="A691" s="1249">
        <v>184</v>
      </c>
      <c r="B691" s="1076" t="s">
        <v>1333</v>
      </c>
      <c r="C691" s="1048">
        <v>1958</v>
      </c>
      <c r="D691" s="1048"/>
      <c r="E691" s="1249" t="s">
        <v>218</v>
      </c>
      <c r="F691" s="1048">
        <v>2</v>
      </c>
      <c r="G691" s="1048">
        <v>2</v>
      </c>
      <c r="H691" s="1067">
        <v>732.2</v>
      </c>
      <c r="I691" s="1067">
        <v>673</v>
      </c>
      <c r="J691" s="1067">
        <v>673</v>
      </c>
      <c r="K691" s="1077">
        <v>28</v>
      </c>
      <c r="L691" s="1067">
        <v>2054454</v>
      </c>
      <c r="M691" s="1067">
        <v>0</v>
      </c>
      <c r="N691" s="1067">
        <v>0</v>
      </c>
      <c r="O691" s="1067">
        <v>2054454</v>
      </c>
      <c r="P691" s="1067">
        <v>0</v>
      </c>
      <c r="Q691" s="1067">
        <v>0</v>
      </c>
      <c r="R691" s="1038">
        <f>L691/I691</f>
        <v>3052.6805349182764</v>
      </c>
      <c r="S691" s="1022">
        <v>2021</v>
      </c>
      <c r="T691" s="1022">
        <v>2021</v>
      </c>
    </row>
    <row r="692" spans="1:20" s="997" customFormat="1" ht="39.6" customHeight="1">
      <c r="A692" s="1046">
        <v>185</v>
      </c>
      <c r="B692" s="1076" t="s">
        <v>1334</v>
      </c>
      <c r="C692" s="1048">
        <v>1964</v>
      </c>
      <c r="D692" s="1048"/>
      <c r="E692" s="1249" t="s">
        <v>218</v>
      </c>
      <c r="F692" s="1048">
        <v>2</v>
      </c>
      <c r="G692" s="1048">
        <v>1</v>
      </c>
      <c r="H692" s="1067">
        <v>504.2</v>
      </c>
      <c r="I692" s="1067">
        <v>445.8</v>
      </c>
      <c r="J692" s="1067">
        <v>445.8</v>
      </c>
      <c r="K692" s="1077">
        <v>17</v>
      </c>
      <c r="L692" s="1067">
        <v>1499379</v>
      </c>
      <c r="M692" s="1067">
        <v>0</v>
      </c>
      <c r="N692" s="1067">
        <v>0</v>
      </c>
      <c r="O692" s="1067">
        <v>1499379</v>
      </c>
      <c r="P692" s="1067">
        <v>0</v>
      </c>
      <c r="Q692" s="1067">
        <v>0</v>
      </c>
      <c r="R692" s="1038">
        <f>L692/I692</f>
        <v>3363.3445491251682</v>
      </c>
      <c r="S692" s="1022">
        <v>2021</v>
      </c>
      <c r="T692" s="1022">
        <v>2021</v>
      </c>
    </row>
    <row r="693" spans="1:20" s="997" customFormat="1" ht="42.6" customHeight="1">
      <c r="A693" s="1249">
        <v>186</v>
      </c>
      <c r="B693" s="1076" t="s">
        <v>1335</v>
      </c>
      <c r="C693" s="1048">
        <v>1972</v>
      </c>
      <c r="D693" s="1048"/>
      <c r="E693" s="1249" t="s">
        <v>218</v>
      </c>
      <c r="F693" s="1048">
        <v>2</v>
      </c>
      <c r="G693" s="1048">
        <v>1</v>
      </c>
      <c r="H693" s="1067">
        <v>926</v>
      </c>
      <c r="I693" s="1067">
        <v>788.4</v>
      </c>
      <c r="J693" s="1067">
        <v>788.4</v>
      </c>
      <c r="K693" s="1077">
        <v>41</v>
      </c>
      <c r="L693" s="1067">
        <v>1157507</v>
      </c>
      <c r="M693" s="1067">
        <v>0</v>
      </c>
      <c r="N693" s="1067">
        <v>0</v>
      </c>
      <c r="O693" s="1067">
        <v>1157507</v>
      </c>
      <c r="P693" s="1067">
        <v>0</v>
      </c>
      <c r="Q693" s="1067">
        <v>0</v>
      </c>
      <c r="R693" s="1038">
        <f>L693/I693</f>
        <v>1468.1722475900558</v>
      </c>
      <c r="S693" s="1022">
        <v>2021</v>
      </c>
      <c r="T693" s="1022">
        <v>2021</v>
      </c>
    </row>
    <row r="694" spans="1:20" s="997" customFormat="1" ht="42.6" customHeight="1">
      <c r="A694" s="1046">
        <v>187</v>
      </c>
      <c r="B694" s="1076" t="s">
        <v>1336</v>
      </c>
      <c r="C694" s="1048">
        <v>1968</v>
      </c>
      <c r="D694" s="1048"/>
      <c r="E694" s="1249" t="s">
        <v>218</v>
      </c>
      <c r="F694" s="1048">
        <v>2</v>
      </c>
      <c r="G694" s="1048">
        <v>2</v>
      </c>
      <c r="H694" s="1067">
        <v>790.3</v>
      </c>
      <c r="I694" s="1067">
        <v>690.6</v>
      </c>
      <c r="J694" s="1067">
        <v>690.6</v>
      </c>
      <c r="K694" s="1077">
        <v>21</v>
      </c>
      <c r="L694" s="1067">
        <v>1963069</v>
      </c>
      <c r="M694" s="1067">
        <v>0</v>
      </c>
      <c r="N694" s="1067">
        <v>0</v>
      </c>
      <c r="O694" s="1067">
        <v>1963069</v>
      </c>
      <c r="P694" s="1067">
        <v>0</v>
      </c>
      <c r="Q694" s="1067">
        <v>0</v>
      </c>
      <c r="R694" s="1038">
        <f>L694/I694</f>
        <v>2842.5557486243847</v>
      </c>
      <c r="S694" s="1022">
        <v>2021</v>
      </c>
      <c r="T694" s="1022">
        <v>2021</v>
      </c>
    </row>
    <row r="695" spans="1:20" s="1018" customFormat="1" ht="37.799999999999997" customHeight="1">
      <c r="A695" s="1249"/>
      <c r="B695" s="1542" t="s">
        <v>1390</v>
      </c>
      <c r="C695" s="1513"/>
      <c r="D695" s="1513"/>
      <c r="E695" s="1513"/>
      <c r="F695" s="1513"/>
      <c r="G695" s="1513"/>
      <c r="H695" s="1107">
        <f>H696</f>
        <v>552.9</v>
      </c>
      <c r="I695" s="1107">
        <f t="shared" ref="I695:Q695" si="246">I696</f>
        <v>310.8</v>
      </c>
      <c r="J695" s="1107">
        <f t="shared" si="246"/>
        <v>310.8</v>
      </c>
      <c r="K695" s="1108">
        <f t="shared" si="246"/>
        <v>20</v>
      </c>
      <c r="L695" s="1107">
        <f t="shared" si="246"/>
        <v>1523071</v>
      </c>
      <c r="M695" s="1107">
        <f t="shared" si="246"/>
        <v>0</v>
      </c>
      <c r="N695" s="1107">
        <f t="shared" si="246"/>
        <v>0</v>
      </c>
      <c r="O695" s="1107">
        <f t="shared" si="246"/>
        <v>1523071</v>
      </c>
      <c r="P695" s="1107">
        <f t="shared" si="246"/>
        <v>0</v>
      </c>
      <c r="Q695" s="1107">
        <f t="shared" si="246"/>
        <v>0</v>
      </c>
      <c r="R695" s="996" t="s">
        <v>40</v>
      </c>
      <c r="S695" s="996" t="s">
        <v>40</v>
      </c>
      <c r="T695" s="996" t="s">
        <v>40</v>
      </c>
    </row>
    <row r="696" spans="1:20" s="1018" customFormat="1" ht="40.200000000000003" customHeight="1">
      <c r="A696" s="1249">
        <v>188</v>
      </c>
      <c r="B696" s="1260" t="s">
        <v>890</v>
      </c>
      <c r="C696" s="1255">
        <v>1964</v>
      </c>
      <c r="D696" s="1245"/>
      <c r="E696" s="1249" t="s">
        <v>218</v>
      </c>
      <c r="F696" s="1255">
        <v>2</v>
      </c>
      <c r="G696" s="1255">
        <v>3</v>
      </c>
      <c r="H696" s="1107">
        <v>552.9</v>
      </c>
      <c r="I696" s="1067">
        <v>310.8</v>
      </c>
      <c r="J696" s="1067">
        <v>310.8</v>
      </c>
      <c r="K696" s="1077">
        <v>20</v>
      </c>
      <c r="L696" s="1067">
        <v>1523071</v>
      </c>
      <c r="M696" s="1038">
        <v>0</v>
      </c>
      <c r="N696" s="1038">
        <v>0</v>
      </c>
      <c r="O696" s="1067">
        <v>1523071</v>
      </c>
      <c r="P696" s="1038">
        <v>0</v>
      </c>
      <c r="Q696" s="1038">
        <v>0</v>
      </c>
      <c r="R696" s="1038">
        <f t="shared" ref="R696" si="247">L696/I696</f>
        <v>4900.4858429858432</v>
      </c>
      <c r="S696" s="1048">
        <v>2021</v>
      </c>
      <c r="T696" s="1048">
        <v>2021</v>
      </c>
    </row>
    <row r="697" spans="1:20" s="997" customFormat="1" ht="36" customHeight="1">
      <c r="A697" s="1249"/>
      <c r="B697" s="1118" t="s">
        <v>1036</v>
      </c>
      <c r="C697" s="1119"/>
      <c r="D697" s="1120"/>
      <c r="E697" s="993"/>
      <c r="F697" s="1121"/>
      <c r="G697" s="1122"/>
      <c r="H697" s="998">
        <f>H698</f>
        <v>479.7</v>
      </c>
      <c r="I697" s="998">
        <f t="shared" ref="I697:Q697" si="248">I698</f>
        <v>443.6</v>
      </c>
      <c r="J697" s="998">
        <f t="shared" si="248"/>
        <v>443.6</v>
      </c>
      <c r="K697" s="986">
        <f t="shared" si="248"/>
        <v>11</v>
      </c>
      <c r="L697" s="998">
        <f t="shared" si="248"/>
        <v>1523071</v>
      </c>
      <c r="M697" s="998">
        <f t="shared" si="248"/>
        <v>0</v>
      </c>
      <c r="N697" s="998">
        <f t="shared" si="248"/>
        <v>0</v>
      </c>
      <c r="O697" s="998">
        <f t="shared" si="248"/>
        <v>1523071</v>
      </c>
      <c r="P697" s="998">
        <f t="shared" si="248"/>
        <v>0</v>
      </c>
      <c r="Q697" s="998">
        <f t="shared" si="248"/>
        <v>0</v>
      </c>
      <c r="R697" s="996" t="s">
        <v>40</v>
      </c>
      <c r="S697" s="996" t="s">
        <v>40</v>
      </c>
      <c r="T697" s="996" t="s">
        <v>40</v>
      </c>
    </row>
    <row r="698" spans="1:20" s="997" customFormat="1" ht="36" customHeight="1">
      <c r="A698" s="1249"/>
      <c r="B698" s="1513" t="s">
        <v>1096</v>
      </c>
      <c r="C698" s="1513"/>
      <c r="D698" s="1513"/>
      <c r="E698" s="1513"/>
      <c r="F698" s="1513"/>
      <c r="G698" s="1513"/>
      <c r="H698" s="998">
        <f>H699</f>
        <v>479.7</v>
      </c>
      <c r="I698" s="998">
        <f t="shared" ref="I698:Q698" si="249">I699</f>
        <v>443.6</v>
      </c>
      <c r="J698" s="998">
        <f t="shared" si="249"/>
        <v>443.6</v>
      </c>
      <c r="K698" s="986">
        <f t="shared" si="249"/>
        <v>11</v>
      </c>
      <c r="L698" s="998">
        <f t="shared" si="249"/>
        <v>1523071</v>
      </c>
      <c r="M698" s="998">
        <f t="shared" si="249"/>
        <v>0</v>
      </c>
      <c r="N698" s="998">
        <f t="shared" si="249"/>
        <v>0</v>
      </c>
      <c r="O698" s="998">
        <f t="shared" si="249"/>
        <v>1523071</v>
      </c>
      <c r="P698" s="998">
        <f t="shared" si="249"/>
        <v>0</v>
      </c>
      <c r="Q698" s="998">
        <f t="shared" si="249"/>
        <v>0</v>
      </c>
      <c r="R698" s="996" t="s">
        <v>40</v>
      </c>
      <c r="S698" s="996" t="s">
        <v>40</v>
      </c>
      <c r="T698" s="996" t="s">
        <v>40</v>
      </c>
    </row>
    <row r="699" spans="1:20" s="997" customFormat="1" ht="36" customHeight="1">
      <c r="A699" s="1249">
        <v>189</v>
      </c>
      <c r="B699" s="1115" t="s">
        <v>1288</v>
      </c>
      <c r="C699" s="1116">
        <v>1973</v>
      </c>
      <c r="D699" s="1116"/>
      <c r="E699" s="1249" t="s">
        <v>222</v>
      </c>
      <c r="F699" s="988">
        <v>2</v>
      </c>
      <c r="G699" s="988">
        <v>2</v>
      </c>
      <c r="H699" s="998">
        <v>479.7</v>
      </c>
      <c r="I699" s="998">
        <v>443.6</v>
      </c>
      <c r="J699" s="998">
        <v>443.6</v>
      </c>
      <c r="K699" s="986">
        <v>11</v>
      </c>
      <c r="L699" s="987">
        <v>1523071</v>
      </c>
      <c r="M699" s="987">
        <v>0</v>
      </c>
      <c r="N699" s="987">
        <v>0</v>
      </c>
      <c r="O699" s="987">
        <v>1523071</v>
      </c>
      <c r="P699" s="998">
        <v>0</v>
      </c>
      <c r="Q699" s="987">
        <v>0</v>
      </c>
      <c r="R699" s="998">
        <f>L699/I699</f>
        <v>3433.433273219116</v>
      </c>
      <c r="S699" s="1116">
        <v>2021</v>
      </c>
      <c r="T699" s="1116">
        <v>2021</v>
      </c>
    </row>
    <row r="700" spans="1:20" s="997" customFormat="1" ht="36" customHeight="1">
      <c r="A700" s="1249"/>
      <c r="B700" s="1513" t="s">
        <v>66</v>
      </c>
      <c r="C700" s="1513"/>
      <c r="D700" s="1513"/>
      <c r="E700" s="1513"/>
      <c r="F700" s="1513"/>
      <c r="G700" s="1513"/>
      <c r="H700" s="985">
        <f>H701</f>
        <v>501.4</v>
      </c>
      <c r="I700" s="985">
        <f t="shared" ref="I700:Q701" si="250">I701</f>
        <v>451.8</v>
      </c>
      <c r="J700" s="985">
        <f t="shared" si="250"/>
        <v>412.3</v>
      </c>
      <c r="K700" s="995">
        <f t="shared" si="250"/>
        <v>13</v>
      </c>
      <c r="L700" s="985">
        <f t="shared" si="250"/>
        <v>1523071</v>
      </c>
      <c r="M700" s="985">
        <f t="shared" si="250"/>
        <v>0</v>
      </c>
      <c r="N700" s="985">
        <f t="shared" si="250"/>
        <v>0</v>
      </c>
      <c r="O700" s="985">
        <f t="shared" si="250"/>
        <v>1523071</v>
      </c>
      <c r="P700" s="985">
        <f t="shared" si="250"/>
        <v>0</v>
      </c>
      <c r="Q700" s="985">
        <f t="shared" si="250"/>
        <v>0</v>
      </c>
      <c r="R700" s="996" t="s">
        <v>40</v>
      </c>
      <c r="S700" s="996" t="s">
        <v>40</v>
      </c>
      <c r="T700" s="996" t="s">
        <v>40</v>
      </c>
    </row>
    <row r="701" spans="1:20" s="997" customFormat="1" ht="36" customHeight="1">
      <c r="A701" s="1249"/>
      <c r="B701" s="1513" t="s">
        <v>1101</v>
      </c>
      <c r="C701" s="1513"/>
      <c r="D701" s="1513"/>
      <c r="E701" s="1513"/>
      <c r="F701" s="1513"/>
      <c r="G701" s="1513"/>
      <c r="H701" s="985">
        <f>H702</f>
        <v>501.4</v>
      </c>
      <c r="I701" s="985">
        <f t="shared" si="250"/>
        <v>451.8</v>
      </c>
      <c r="J701" s="985">
        <f t="shared" si="250"/>
        <v>412.3</v>
      </c>
      <c r="K701" s="995">
        <f t="shared" si="250"/>
        <v>13</v>
      </c>
      <c r="L701" s="985">
        <f t="shared" si="250"/>
        <v>1523071</v>
      </c>
      <c r="M701" s="985">
        <f t="shared" si="250"/>
        <v>0</v>
      </c>
      <c r="N701" s="985">
        <f t="shared" si="250"/>
        <v>0</v>
      </c>
      <c r="O701" s="985">
        <f t="shared" si="250"/>
        <v>1523071</v>
      </c>
      <c r="P701" s="985">
        <f t="shared" si="250"/>
        <v>0</v>
      </c>
      <c r="Q701" s="985">
        <f t="shared" si="250"/>
        <v>0</v>
      </c>
      <c r="R701" s="996" t="s">
        <v>40</v>
      </c>
      <c r="S701" s="996" t="s">
        <v>40</v>
      </c>
      <c r="T701" s="996" t="s">
        <v>40</v>
      </c>
    </row>
    <row r="702" spans="1:20" s="997" customFormat="1" ht="42" customHeight="1">
      <c r="A702" s="1249">
        <v>190</v>
      </c>
      <c r="B702" s="1245" t="s">
        <v>1277</v>
      </c>
      <c r="C702" s="1245">
        <v>1964</v>
      </c>
      <c r="D702" s="1245"/>
      <c r="E702" s="1249" t="s">
        <v>218</v>
      </c>
      <c r="F702" s="1245">
        <v>2</v>
      </c>
      <c r="G702" s="1245">
        <v>2</v>
      </c>
      <c r="H702" s="985">
        <v>501.4</v>
      </c>
      <c r="I702" s="985">
        <v>451.8</v>
      </c>
      <c r="J702" s="985">
        <v>412.3</v>
      </c>
      <c r="K702" s="995">
        <v>13</v>
      </c>
      <c r="L702" s="985">
        <v>1523071</v>
      </c>
      <c r="M702" s="985">
        <v>0</v>
      </c>
      <c r="N702" s="985">
        <v>0</v>
      </c>
      <c r="O702" s="985">
        <v>1523071</v>
      </c>
      <c r="P702" s="985">
        <v>0</v>
      </c>
      <c r="Q702" s="985">
        <v>0</v>
      </c>
      <c r="R702" s="985">
        <f>L702/I702</f>
        <v>3371.1177512173526</v>
      </c>
      <c r="S702" s="988">
        <v>2021</v>
      </c>
      <c r="T702" s="988">
        <v>2021</v>
      </c>
    </row>
    <row r="703" spans="1:20" s="997" customFormat="1" ht="36" customHeight="1">
      <c r="A703" s="1249"/>
      <c r="B703" s="1513" t="s">
        <v>1161</v>
      </c>
      <c r="C703" s="1513"/>
      <c r="D703" s="1513"/>
      <c r="E703" s="1513"/>
      <c r="F703" s="1513"/>
      <c r="G703" s="1513"/>
      <c r="H703" s="985">
        <f>H704+H705+H706+H707</f>
        <v>23746.32</v>
      </c>
      <c r="I703" s="985">
        <f t="shared" ref="I703:Q703" si="251">I704+I705+I706+I707</f>
        <v>19144.660000000003</v>
      </c>
      <c r="J703" s="985">
        <f t="shared" si="251"/>
        <v>17992.920000000002</v>
      </c>
      <c r="K703" s="995">
        <f t="shared" si="251"/>
        <v>879</v>
      </c>
      <c r="L703" s="985">
        <f t="shared" si="251"/>
        <v>33565442</v>
      </c>
      <c r="M703" s="985">
        <f t="shared" si="251"/>
        <v>0</v>
      </c>
      <c r="N703" s="985">
        <f t="shared" si="251"/>
        <v>0</v>
      </c>
      <c r="O703" s="985">
        <f t="shared" si="251"/>
        <v>33565442</v>
      </c>
      <c r="P703" s="985">
        <f t="shared" si="251"/>
        <v>0</v>
      </c>
      <c r="Q703" s="985">
        <f t="shared" si="251"/>
        <v>0</v>
      </c>
      <c r="R703" s="996" t="s">
        <v>40</v>
      </c>
      <c r="S703" s="996" t="s">
        <v>40</v>
      </c>
      <c r="T703" s="996" t="s">
        <v>40</v>
      </c>
    </row>
    <row r="704" spans="1:20" s="1009" customFormat="1" ht="42.6" customHeight="1">
      <c r="A704" s="1048">
        <v>191</v>
      </c>
      <c r="B704" s="1069" t="s">
        <v>1552</v>
      </c>
      <c r="C704" s="1048">
        <v>1982</v>
      </c>
      <c r="D704" s="1123"/>
      <c r="E704" s="1249" t="s">
        <v>218</v>
      </c>
      <c r="F704" s="1048">
        <v>9</v>
      </c>
      <c r="G704" s="1048">
        <v>2</v>
      </c>
      <c r="H704" s="1067">
        <v>5734.6</v>
      </c>
      <c r="I704" s="1067">
        <v>3409.24</v>
      </c>
      <c r="J704" s="1067">
        <v>2296.4</v>
      </c>
      <c r="K704" s="1108">
        <v>204</v>
      </c>
      <c r="L704" s="1067">
        <v>14135381</v>
      </c>
      <c r="M704" s="1107">
        <v>0</v>
      </c>
      <c r="N704" s="1107">
        <v>0</v>
      </c>
      <c r="O704" s="1067">
        <f t="shared" ref="O704" si="252">L704</f>
        <v>14135381</v>
      </c>
      <c r="P704" s="1107">
        <v>0</v>
      </c>
      <c r="Q704" s="1107">
        <v>0</v>
      </c>
      <c r="R704" s="1067">
        <f t="shared" ref="R704" si="253">L704/I704</f>
        <v>4146.1970996468426</v>
      </c>
      <c r="S704" s="988">
        <v>2021</v>
      </c>
      <c r="T704" s="988">
        <v>2021</v>
      </c>
    </row>
    <row r="705" spans="1:20" s="997" customFormat="1" ht="36" customHeight="1">
      <c r="A705" s="1048">
        <v>192</v>
      </c>
      <c r="B705" s="1069" t="s">
        <v>1553</v>
      </c>
      <c r="C705" s="1048">
        <v>1984</v>
      </c>
      <c r="D705" s="1123"/>
      <c r="E705" s="1249" t="s">
        <v>219</v>
      </c>
      <c r="F705" s="1048">
        <v>9</v>
      </c>
      <c r="G705" s="1048">
        <v>4</v>
      </c>
      <c r="H705" s="1067">
        <v>8464.92</v>
      </c>
      <c r="I705" s="1067">
        <v>7406.52</v>
      </c>
      <c r="J705" s="1067">
        <v>7406.52</v>
      </c>
      <c r="K705" s="1108">
        <v>318</v>
      </c>
      <c r="L705" s="1067">
        <v>9726097</v>
      </c>
      <c r="M705" s="1107">
        <v>0</v>
      </c>
      <c r="N705" s="1107">
        <v>0</v>
      </c>
      <c r="O705" s="1067">
        <f>L705</f>
        <v>9726097</v>
      </c>
      <c r="P705" s="1107">
        <v>0</v>
      </c>
      <c r="Q705" s="1107">
        <v>0</v>
      </c>
      <c r="R705" s="1067">
        <f>L705/I705</f>
        <v>1313.1804140135987</v>
      </c>
      <c r="S705" s="988">
        <v>2021</v>
      </c>
      <c r="T705" s="988">
        <v>2021</v>
      </c>
    </row>
    <row r="706" spans="1:20" s="997" customFormat="1" ht="36" customHeight="1">
      <c r="A706" s="1048">
        <v>193</v>
      </c>
      <c r="B706" s="1069" t="s">
        <v>1897</v>
      </c>
      <c r="C706" s="1048">
        <v>1992</v>
      </c>
      <c r="D706" s="1123"/>
      <c r="E706" s="1249" t="s">
        <v>219</v>
      </c>
      <c r="F706" s="1048">
        <v>5</v>
      </c>
      <c r="G706" s="1048">
        <v>8</v>
      </c>
      <c r="H706" s="1067">
        <v>7003.4</v>
      </c>
      <c r="I706" s="1067">
        <v>6128.5</v>
      </c>
      <c r="J706" s="1067">
        <v>6089.6</v>
      </c>
      <c r="K706" s="1108">
        <v>253</v>
      </c>
      <c r="L706" s="1067">
        <v>7272440</v>
      </c>
      <c r="M706" s="1107">
        <v>0</v>
      </c>
      <c r="N706" s="1107">
        <v>0</v>
      </c>
      <c r="O706" s="1067">
        <f>L706</f>
        <v>7272440</v>
      </c>
      <c r="P706" s="1107">
        <v>0</v>
      </c>
      <c r="Q706" s="1107">
        <v>0</v>
      </c>
      <c r="R706" s="1067">
        <f>L706/I706</f>
        <v>1186.6590519703027</v>
      </c>
      <c r="S706" s="988">
        <v>2021</v>
      </c>
      <c r="T706" s="988">
        <v>2021</v>
      </c>
    </row>
    <row r="707" spans="1:20" s="997" customFormat="1" ht="36" customHeight="1">
      <c r="A707" s="1048">
        <v>194</v>
      </c>
      <c r="B707" s="1069" t="s">
        <v>1898</v>
      </c>
      <c r="C707" s="1048">
        <v>1983</v>
      </c>
      <c r="D707" s="1123"/>
      <c r="E707" s="1249" t="s">
        <v>219</v>
      </c>
      <c r="F707" s="1048">
        <v>9</v>
      </c>
      <c r="G707" s="1048">
        <v>1</v>
      </c>
      <c r="H707" s="1067">
        <v>2543.4</v>
      </c>
      <c r="I707" s="1067">
        <v>2200.4</v>
      </c>
      <c r="J707" s="1067">
        <v>2200.4</v>
      </c>
      <c r="K707" s="1108">
        <v>104</v>
      </c>
      <c r="L707" s="1067">
        <v>2431524</v>
      </c>
      <c r="M707" s="1107">
        <v>0</v>
      </c>
      <c r="N707" s="1107">
        <v>0</v>
      </c>
      <c r="O707" s="1067">
        <f>L707</f>
        <v>2431524</v>
      </c>
      <c r="P707" s="1107">
        <v>0</v>
      </c>
      <c r="Q707" s="1107">
        <v>0</v>
      </c>
      <c r="R707" s="1067">
        <f>L707/I707</f>
        <v>1105.0372659516452</v>
      </c>
      <c r="S707" s="988">
        <v>2021</v>
      </c>
      <c r="T707" s="988">
        <v>2021</v>
      </c>
    </row>
    <row r="708" spans="1:20" s="997" customFormat="1" ht="36" customHeight="1">
      <c r="A708" s="1249"/>
      <c r="B708" s="1513" t="s">
        <v>67</v>
      </c>
      <c r="C708" s="1513"/>
      <c r="D708" s="1513"/>
      <c r="E708" s="1513"/>
      <c r="F708" s="1513"/>
      <c r="G708" s="1513"/>
      <c r="H708" s="985">
        <f>H709</f>
        <v>3942</v>
      </c>
      <c r="I708" s="985">
        <f t="shared" ref="I708:Q708" si="254">I709</f>
        <v>3942</v>
      </c>
      <c r="J708" s="985">
        <f t="shared" si="254"/>
        <v>3535</v>
      </c>
      <c r="K708" s="995">
        <f t="shared" si="254"/>
        <v>122</v>
      </c>
      <c r="L708" s="985">
        <f t="shared" si="254"/>
        <v>3066010</v>
      </c>
      <c r="M708" s="985">
        <f t="shared" si="254"/>
        <v>0</v>
      </c>
      <c r="N708" s="985">
        <f t="shared" si="254"/>
        <v>0</v>
      </c>
      <c r="O708" s="985">
        <f t="shared" si="254"/>
        <v>3066010</v>
      </c>
      <c r="P708" s="985">
        <f t="shared" si="254"/>
        <v>0</v>
      </c>
      <c r="Q708" s="985">
        <f t="shared" si="254"/>
        <v>0</v>
      </c>
      <c r="R708" s="996" t="s">
        <v>40</v>
      </c>
      <c r="S708" s="996" t="s">
        <v>40</v>
      </c>
      <c r="T708" s="996" t="s">
        <v>40</v>
      </c>
    </row>
    <row r="709" spans="1:20" s="997" customFormat="1" ht="36" customHeight="1">
      <c r="A709" s="1249"/>
      <c r="B709" s="1265" t="s">
        <v>1345</v>
      </c>
      <c r="C709" s="1011"/>
      <c r="D709" s="1012"/>
      <c r="E709" s="1010"/>
      <c r="F709" s="1011"/>
      <c r="G709" s="1011"/>
      <c r="H709" s="985">
        <f>H710+H711</f>
        <v>3942</v>
      </c>
      <c r="I709" s="985">
        <f t="shared" ref="I709:Q709" si="255">I710+I711</f>
        <v>3942</v>
      </c>
      <c r="J709" s="985">
        <f t="shared" si="255"/>
        <v>3535</v>
      </c>
      <c r="K709" s="995">
        <f t="shared" si="255"/>
        <v>122</v>
      </c>
      <c r="L709" s="985">
        <f t="shared" si="255"/>
        <v>3066010</v>
      </c>
      <c r="M709" s="985">
        <f t="shared" si="255"/>
        <v>0</v>
      </c>
      <c r="N709" s="985">
        <f t="shared" si="255"/>
        <v>0</v>
      </c>
      <c r="O709" s="985">
        <f t="shared" si="255"/>
        <v>3066010</v>
      </c>
      <c r="P709" s="985">
        <f t="shared" si="255"/>
        <v>0</v>
      </c>
      <c r="Q709" s="985">
        <f t="shared" si="255"/>
        <v>0</v>
      </c>
      <c r="R709" s="996" t="s">
        <v>40</v>
      </c>
      <c r="S709" s="996" t="s">
        <v>40</v>
      </c>
      <c r="T709" s="996" t="s">
        <v>40</v>
      </c>
    </row>
    <row r="710" spans="1:20" s="997" customFormat="1" ht="45" customHeight="1">
      <c r="A710" s="1249">
        <v>195</v>
      </c>
      <c r="B710" s="1260" t="s">
        <v>2359</v>
      </c>
      <c r="C710" s="1245">
        <v>1990</v>
      </c>
      <c r="D710" s="1245"/>
      <c r="E710" s="1249" t="s">
        <v>219</v>
      </c>
      <c r="F710" s="1255">
        <v>5</v>
      </c>
      <c r="G710" s="1255">
        <v>4</v>
      </c>
      <c r="H710" s="985">
        <v>3529</v>
      </c>
      <c r="I710" s="985">
        <v>3529</v>
      </c>
      <c r="J710" s="985">
        <v>3160</v>
      </c>
      <c r="K710" s="995">
        <v>99</v>
      </c>
      <c r="L710" s="985">
        <v>2483859</v>
      </c>
      <c r="M710" s="985">
        <v>0</v>
      </c>
      <c r="N710" s="985">
        <v>0</v>
      </c>
      <c r="O710" s="985">
        <v>2483859</v>
      </c>
      <c r="P710" s="985">
        <v>0</v>
      </c>
      <c r="Q710" s="985">
        <v>0</v>
      </c>
      <c r="R710" s="985">
        <f>L710/I710</f>
        <v>703.84216491924053</v>
      </c>
      <c r="S710" s="988">
        <v>2021</v>
      </c>
      <c r="T710" s="988">
        <v>2021</v>
      </c>
    </row>
    <row r="711" spans="1:20" s="997" customFormat="1" ht="45" customHeight="1">
      <c r="A711" s="1249">
        <v>196</v>
      </c>
      <c r="B711" s="1260" t="s">
        <v>2360</v>
      </c>
      <c r="C711" s="1245">
        <v>1954</v>
      </c>
      <c r="D711" s="1245"/>
      <c r="E711" s="1249" t="s">
        <v>218</v>
      </c>
      <c r="F711" s="1255">
        <v>2</v>
      </c>
      <c r="G711" s="1255">
        <v>2</v>
      </c>
      <c r="H711" s="985">
        <v>413</v>
      </c>
      <c r="I711" s="985">
        <v>413</v>
      </c>
      <c r="J711" s="985">
        <v>375</v>
      </c>
      <c r="K711" s="995">
        <v>23</v>
      </c>
      <c r="L711" s="985">
        <v>582151</v>
      </c>
      <c r="M711" s="985">
        <v>0</v>
      </c>
      <c r="N711" s="985">
        <v>0</v>
      </c>
      <c r="O711" s="985">
        <v>582151</v>
      </c>
      <c r="P711" s="985">
        <v>0</v>
      </c>
      <c r="Q711" s="985">
        <v>0</v>
      </c>
      <c r="R711" s="985">
        <f>L711/I711</f>
        <v>1409.5665859564165</v>
      </c>
      <c r="S711" s="988">
        <v>2021</v>
      </c>
      <c r="T711" s="988">
        <v>2021</v>
      </c>
    </row>
    <row r="712" spans="1:20" s="997" customFormat="1" ht="45" customHeight="1">
      <c r="A712" s="1529" t="s">
        <v>35</v>
      </c>
      <c r="B712" s="1529"/>
      <c r="C712" s="1529"/>
      <c r="D712" s="1529"/>
      <c r="E712" s="1529"/>
      <c r="F712" s="1529"/>
      <c r="G712" s="1529"/>
      <c r="H712" s="1529"/>
      <c r="I712" s="1529"/>
      <c r="J712" s="1529"/>
      <c r="K712" s="1529"/>
      <c r="L712" s="1529"/>
      <c r="M712" s="1529"/>
      <c r="N712" s="1529"/>
      <c r="O712" s="1529"/>
      <c r="P712" s="1529"/>
      <c r="Q712" s="1529"/>
      <c r="R712" s="1529"/>
      <c r="S712" s="1529"/>
      <c r="T712" s="1529"/>
    </row>
    <row r="713" spans="1:20" s="997" customFormat="1" ht="45" customHeight="1">
      <c r="A713" s="1249"/>
      <c r="B713" s="1517" t="s">
        <v>42</v>
      </c>
      <c r="C713" s="1517"/>
      <c r="D713" s="1517"/>
      <c r="E713" s="1517"/>
      <c r="F713" s="1517"/>
      <c r="G713" s="1517"/>
      <c r="H713" s="985">
        <v>0</v>
      </c>
      <c r="I713" s="985">
        <v>0</v>
      </c>
      <c r="J713" s="985">
        <v>0</v>
      </c>
      <c r="K713" s="995">
        <v>0</v>
      </c>
      <c r="L713" s="987">
        <v>0</v>
      </c>
      <c r="M713" s="987">
        <v>0</v>
      </c>
      <c r="N713" s="987">
        <v>0</v>
      </c>
      <c r="O713" s="987">
        <v>0</v>
      </c>
      <c r="P713" s="987">
        <v>0</v>
      </c>
      <c r="Q713" s="987">
        <v>0</v>
      </c>
      <c r="R713" s="996" t="s">
        <v>40</v>
      </c>
      <c r="S713" s="1255" t="s">
        <v>40</v>
      </c>
      <c r="T713" s="996" t="s">
        <v>40</v>
      </c>
    </row>
    <row r="714" spans="1:20" s="997" customFormat="1" ht="45" customHeight="1">
      <c r="A714" s="1529" t="s">
        <v>1159</v>
      </c>
      <c r="B714" s="1529"/>
      <c r="C714" s="1529"/>
      <c r="D714" s="1529"/>
      <c r="E714" s="1529"/>
      <c r="F714" s="1529"/>
      <c r="G714" s="1529"/>
      <c r="H714" s="1529"/>
      <c r="I714" s="1529"/>
      <c r="J714" s="1529"/>
      <c r="K714" s="1529"/>
      <c r="L714" s="1529"/>
      <c r="M714" s="1529"/>
      <c r="N714" s="1529"/>
      <c r="O714" s="1529"/>
      <c r="P714" s="1529"/>
      <c r="Q714" s="1529"/>
      <c r="R714" s="1529"/>
      <c r="S714" s="1529"/>
      <c r="T714" s="1529"/>
    </row>
    <row r="715" spans="1:20" s="997" customFormat="1" ht="45" customHeight="1">
      <c r="A715" s="1249"/>
      <c r="B715" s="1517" t="s">
        <v>42</v>
      </c>
      <c r="C715" s="1517"/>
      <c r="D715" s="1517"/>
      <c r="E715" s="1517"/>
      <c r="F715" s="1517"/>
      <c r="G715" s="1517"/>
      <c r="H715" s="985">
        <v>0</v>
      </c>
      <c r="I715" s="985">
        <v>0</v>
      </c>
      <c r="J715" s="985">
        <v>0</v>
      </c>
      <c r="K715" s="995">
        <v>0</v>
      </c>
      <c r="L715" s="985">
        <v>0</v>
      </c>
      <c r="M715" s="985">
        <v>0</v>
      </c>
      <c r="N715" s="985">
        <v>0</v>
      </c>
      <c r="O715" s="985">
        <v>0</v>
      </c>
      <c r="P715" s="985">
        <v>0</v>
      </c>
      <c r="Q715" s="985">
        <v>0</v>
      </c>
      <c r="R715" s="996" t="s">
        <v>40</v>
      </c>
      <c r="S715" s="1255" t="s">
        <v>40</v>
      </c>
      <c r="T715" s="996" t="s">
        <v>40</v>
      </c>
    </row>
    <row r="716" spans="1:20" s="997" customFormat="1" ht="45" customHeight="1">
      <c r="A716" s="1529" t="s">
        <v>2386</v>
      </c>
      <c r="B716" s="1513"/>
      <c r="C716" s="1513"/>
      <c r="D716" s="1513"/>
      <c r="E716" s="1513"/>
      <c r="F716" s="1513"/>
      <c r="G716" s="1513"/>
      <c r="H716" s="1513"/>
      <c r="I716" s="1513"/>
      <c r="J716" s="1513"/>
      <c r="K716" s="1513"/>
      <c r="L716" s="1513"/>
      <c r="M716" s="1513"/>
      <c r="N716" s="1513"/>
      <c r="O716" s="1513"/>
      <c r="P716" s="1513"/>
      <c r="Q716" s="1513"/>
      <c r="R716" s="1513"/>
      <c r="S716" s="1513"/>
      <c r="T716" s="1513"/>
    </row>
    <row r="717" spans="1:20" s="997" customFormat="1" ht="45" customHeight="1">
      <c r="A717" s="1529" t="s">
        <v>1116</v>
      </c>
      <c r="B717" s="1529"/>
      <c r="C717" s="1529"/>
      <c r="D717" s="1529"/>
      <c r="E717" s="1529"/>
      <c r="F717" s="1529"/>
      <c r="G717" s="1529"/>
      <c r="H717" s="1529"/>
      <c r="I717" s="1529"/>
      <c r="J717" s="1529"/>
      <c r="K717" s="1529"/>
      <c r="L717" s="1529"/>
      <c r="M717" s="1529"/>
      <c r="N717" s="1529"/>
      <c r="O717" s="1529"/>
      <c r="P717" s="1529"/>
      <c r="Q717" s="1529"/>
      <c r="R717" s="1529"/>
      <c r="S717" s="1529"/>
      <c r="T717" s="1529"/>
    </row>
    <row r="718" spans="1:20" s="997" customFormat="1" ht="38.4" customHeight="1">
      <c r="A718" s="1249"/>
      <c r="B718" s="1517" t="s">
        <v>42</v>
      </c>
      <c r="C718" s="1517"/>
      <c r="D718" s="1517"/>
      <c r="E718" s="1517"/>
      <c r="F718" s="1517"/>
      <c r="G718" s="1517"/>
      <c r="H718" s="998">
        <f t="shared" ref="H718:Q718" si="256">H719+H741+H762+H776+H780+H783+H790+H794+H805+H808+H811+H814+H819+H824+H830+H833+H848+H850+H855+H865+H868+H872+H884+H886+H889+H891+H894+H897+H900+H905+H908+H913</f>
        <v>338872.06999999995</v>
      </c>
      <c r="I718" s="998">
        <f t="shared" si="256"/>
        <v>304682.62</v>
      </c>
      <c r="J718" s="998">
        <f t="shared" si="256"/>
        <v>267362.89999999991</v>
      </c>
      <c r="K718" s="986">
        <f t="shared" si="256"/>
        <v>11849</v>
      </c>
      <c r="L718" s="998">
        <f t="shared" si="256"/>
        <v>600137766</v>
      </c>
      <c r="M718" s="998">
        <f t="shared" si="256"/>
        <v>0</v>
      </c>
      <c r="N718" s="998">
        <f t="shared" si="256"/>
        <v>203305.58</v>
      </c>
      <c r="O718" s="998">
        <f t="shared" si="256"/>
        <v>599934460.41999996</v>
      </c>
      <c r="P718" s="998">
        <f t="shared" si="256"/>
        <v>0</v>
      </c>
      <c r="Q718" s="998">
        <f t="shared" si="256"/>
        <v>0</v>
      </c>
      <c r="R718" s="996" t="s">
        <v>40</v>
      </c>
      <c r="S718" s="996" t="s">
        <v>40</v>
      </c>
      <c r="T718" s="996" t="s">
        <v>40</v>
      </c>
    </row>
    <row r="719" spans="1:20" s="997" customFormat="1" ht="36" customHeight="1">
      <c r="A719" s="1249"/>
      <c r="B719" s="1257" t="s">
        <v>1103</v>
      </c>
      <c r="C719" s="1258"/>
      <c r="D719" s="1258"/>
      <c r="E719" s="1258"/>
      <c r="F719" s="1258"/>
      <c r="G719" s="1259"/>
      <c r="H719" s="998">
        <f>SUM(H720:H740)</f>
        <v>96783.900000000009</v>
      </c>
      <c r="I719" s="998">
        <f t="shared" ref="I719:Q719" si="257">SUM(I720:I740)</f>
        <v>85943.200000000026</v>
      </c>
      <c r="J719" s="998">
        <f t="shared" si="257"/>
        <v>77779.039999999994</v>
      </c>
      <c r="K719" s="986">
        <f t="shared" si="257"/>
        <v>3527</v>
      </c>
      <c r="L719" s="998">
        <f t="shared" si="257"/>
        <v>275527858</v>
      </c>
      <c r="M719" s="998">
        <f t="shared" si="257"/>
        <v>0</v>
      </c>
      <c r="N719" s="998">
        <f t="shared" si="257"/>
        <v>0</v>
      </c>
      <c r="O719" s="998">
        <f t="shared" si="257"/>
        <v>275527858</v>
      </c>
      <c r="P719" s="998">
        <f t="shared" si="257"/>
        <v>0</v>
      </c>
      <c r="Q719" s="998">
        <f t="shared" si="257"/>
        <v>0</v>
      </c>
      <c r="R719" s="996" t="s">
        <v>40</v>
      </c>
      <c r="S719" s="996" t="s">
        <v>40</v>
      </c>
      <c r="T719" s="996" t="s">
        <v>40</v>
      </c>
    </row>
    <row r="720" spans="1:20" s="997" customFormat="1" ht="36" customHeight="1">
      <c r="A720" s="1249">
        <v>1</v>
      </c>
      <c r="B720" s="1248" t="s">
        <v>1901</v>
      </c>
      <c r="C720" s="1249">
        <v>1978</v>
      </c>
      <c r="D720" s="1249"/>
      <c r="E720" s="1249" t="s">
        <v>219</v>
      </c>
      <c r="F720" s="1249">
        <v>9</v>
      </c>
      <c r="G720" s="1249">
        <v>4</v>
      </c>
      <c r="H720" s="1057">
        <v>8775.2000000000007</v>
      </c>
      <c r="I720" s="1057">
        <v>7844.3</v>
      </c>
      <c r="J720" s="1057">
        <v>7541.2</v>
      </c>
      <c r="K720" s="986">
        <v>368</v>
      </c>
      <c r="L720" s="1128">
        <v>30227553</v>
      </c>
      <c r="M720" s="1128">
        <v>0</v>
      </c>
      <c r="N720" s="1128">
        <v>0</v>
      </c>
      <c r="O720" s="1128">
        <v>30227553</v>
      </c>
      <c r="P720" s="1128">
        <v>0</v>
      </c>
      <c r="Q720" s="1128">
        <v>0</v>
      </c>
      <c r="R720" s="1057">
        <f t="shared" ref="R720:R740" si="258">L720/I720</f>
        <v>3853.4417347628214</v>
      </c>
      <c r="S720" s="1249">
        <v>2022</v>
      </c>
      <c r="T720" s="1129" t="s">
        <v>1670</v>
      </c>
    </row>
    <row r="721" spans="1:20" s="997" customFormat="1" ht="36" customHeight="1">
      <c r="A721" s="1249">
        <v>2</v>
      </c>
      <c r="B721" s="1371" t="s">
        <v>2038</v>
      </c>
      <c r="C721" s="1249">
        <v>1975</v>
      </c>
      <c r="D721" s="1249"/>
      <c r="E721" s="1249" t="s">
        <v>219</v>
      </c>
      <c r="F721" s="1249">
        <v>5</v>
      </c>
      <c r="G721" s="1249">
        <v>4</v>
      </c>
      <c r="H721" s="1057">
        <v>3380.4</v>
      </c>
      <c r="I721" s="1057">
        <v>2669.3</v>
      </c>
      <c r="J721" s="1057">
        <v>2593.4</v>
      </c>
      <c r="K721" s="986">
        <v>113</v>
      </c>
      <c r="L721" s="1128">
        <v>3430773</v>
      </c>
      <c r="M721" s="1128">
        <v>0</v>
      </c>
      <c r="N721" s="1128">
        <v>0</v>
      </c>
      <c r="O721" s="1128">
        <v>3430773</v>
      </c>
      <c r="P721" s="1128">
        <v>0</v>
      </c>
      <c r="Q721" s="1128">
        <v>0</v>
      </c>
      <c r="R721" s="1057">
        <f t="shared" si="258"/>
        <v>1285.2706702131645</v>
      </c>
      <c r="S721" s="1249">
        <v>2022</v>
      </c>
      <c r="T721" s="1129" t="s">
        <v>1670</v>
      </c>
    </row>
    <row r="722" spans="1:20" s="997" customFormat="1" ht="36" customHeight="1">
      <c r="A722" s="1249">
        <v>3</v>
      </c>
      <c r="B722" s="1371" t="s">
        <v>325</v>
      </c>
      <c r="C722" s="1249">
        <v>1978</v>
      </c>
      <c r="D722" s="1249"/>
      <c r="E722" s="1249" t="s">
        <v>219</v>
      </c>
      <c r="F722" s="1249">
        <v>9</v>
      </c>
      <c r="G722" s="1249">
        <v>5</v>
      </c>
      <c r="H722" s="1057">
        <v>10953.9</v>
      </c>
      <c r="I722" s="1057">
        <v>9753.7000000000007</v>
      </c>
      <c r="J722" s="1057">
        <v>9378.6</v>
      </c>
      <c r="K722" s="986">
        <v>395</v>
      </c>
      <c r="L722" s="1128">
        <v>36905734</v>
      </c>
      <c r="M722" s="1128">
        <v>0</v>
      </c>
      <c r="N722" s="1128">
        <v>0</v>
      </c>
      <c r="O722" s="1128">
        <v>36905734</v>
      </c>
      <c r="P722" s="1128">
        <v>0</v>
      </c>
      <c r="Q722" s="1128">
        <v>0</v>
      </c>
      <c r="R722" s="1057">
        <f t="shared" si="258"/>
        <v>3783.7675958866889</v>
      </c>
      <c r="S722" s="1249">
        <v>2022</v>
      </c>
      <c r="T722" s="1129" t="s">
        <v>1670</v>
      </c>
    </row>
    <row r="723" spans="1:20" s="997" customFormat="1" ht="36" customHeight="1">
      <c r="A723" s="1249">
        <v>4</v>
      </c>
      <c r="B723" s="1248" t="s">
        <v>1902</v>
      </c>
      <c r="C723" s="1249">
        <v>1972</v>
      </c>
      <c r="D723" s="1249"/>
      <c r="E723" s="1249" t="s">
        <v>219</v>
      </c>
      <c r="F723" s="1249">
        <v>5</v>
      </c>
      <c r="G723" s="1249">
        <v>6</v>
      </c>
      <c r="H723" s="1057">
        <v>4792.2</v>
      </c>
      <c r="I723" s="1057">
        <v>4391.3999999999996</v>
      </c>
      <c r="J723" s="1057">
        <v>4211.8999999999996</v>
      </c>
      <c r="K723" s="986">
        <v>215</v>
      </c>
      <c r="L723" s="1128">
        <v>14681142</v>
      </c>
      <c r="M723" s="1128">
        <v>0</v>
      </c>
      <c r="N723" s="1128">
        <v>0</v>
      </c>
      <c r="O723" s="1128">
        <v>14681142</v>
      </c>
      <c r="P723" s="1128">
        <v>0</v>
      </c>
      <c r="Q723" s="1128">
        <v>0</v>
      </c>
      <c r="R723" s="1057">
        <f t="shared" si="258"/>
        <v>3343.1575351824022</v>
      </c>
      <c r="S723" s="1249">
        <v>2022</v>
      </c>
      <c r="T723" s="1129" t="s">
        <v>1670</v>
      </c>
    </row>
    <row r="724" spans="1:20" s="997" customFormat="1" ht="43.8" customHeight="1">
      <c r="A724" s="1249">
        <v>5</v>
      </c>
      <c r="B724" s="1248" t="s">
        <v>1903</v>
      </c>
      <c r="C724" s="1249">
        <v>1975</v>
      </c>
      <c r="D724" s="1249"/>
      <c r="E724" s="1249" t="s">
        <v>218</v>
      </c>
      <c r="F724" s="1249">
        <v>5</v>
      </c>
      <c r="G724" s="1249">
        <v>4</v>
      </c>
      <c r="H724" s="1057">
        <v>3496.2</v>
      </c>
      <c r="I724" s="1057">
        <v>3143.2</v>
      </c>
      <c r="J724" s="1057">
        <v>2803.7</v>
      </c>
      <c r="K724" s="986">
        <v>169</v>
      </c>
      <c r="L724" s="1128">
        <v>11866538</v>
      </c>
      <c r="M724" s="1128">
        <v>0</v>
      </c>
      <c r="N724" s="1128">
        <v>0</v>
      </c>
      <c r="O724" s="1128">
        <v>11866538</v>
      </c>
      <c r="P724" s="1128">
        <v>0</v>
      </c>
      <c r="Q724" s="1128">
        <v>0</v>
      </c>
      <c r="R724" s="1057">
        <f t="shared" si="258"/>
        <v>3775.304784932553</v>
      </c>
      <c r="S724" s="1249">
        <v>2022</v>
      </c>
      <c r="T724" s="1129" t="s">
        <v>1670</v>
      </c>
    </row>
    <row r="725" spans="1:20" s="997" customFormat="1" ht="40.799999999999997" customHeight="1">
      <c r="A725" s="1249">
        <v>6</v>
      </c>
      <c r="B725" s="1248" t="s">
        <v>1904</v>
      </c>
      <c r="C725" s="1249">
        <v>1960</v>
      </c>
      <c r="D725" s="1249"/>
      <c r="E725" s="1249" t="s">
        <v>218</v>
      </c>
      <c r="F725" s="1249">
        <v>5</v>
      </c>
      <c r="G725" s="1249">
        <v>4</v>
      </c>
      <c r="H725" s="1057">
        <v>3084</v>
      </c>
      <c r="I725" s="1057">
        <v>2725.9</v>
      </c>
      <c r="J725" s="1057">
        <v>2145.5</v>
      </c>
      <c r="K725" s="986">
        <v>82</v>
      </c>
      <c r="L725" s="1128">
        <v>4092143</v>
      </c>
      <c r="M725" s="1128">
        <v>0</v>
      </c>
      <c r="N725" s="1128">
        <v>0</v>
      </c>
      <c r="O725" s="1128">
        <v>4092143</v>
      </c>
      <c r="P725" s="1128">
        <v>0</v>
      </c>
      <c r="Q725" s="1128">
        <v>0</v>
      </c>
      <c r="R725" s="1057">
        <f t="shared" si="258"/>
        <v>1501.2080413808283</v>
      </c>
      <c r="S725" s="1249">
        <v>2022</v>
      </c>
      <c r="T725" s="1129" t="s">
        <v>1670</v>
      </c>
    </row>
    <row r="726" spans="1:20" s="997" customFormat="1" ht="42.6" customHeight="1">
      <c r="A726" s="1249">
        <v>7</v>
      </c>
      <c r="B726" s="1248" t="s">
        <v>1905</v>
      </c>
      <c r="C726" s="1249">
        <v>1977</v>
      </c>
      <c r="D726" s="1249"/>
      <c r="E726" s="1249" t="s">
        <v>218</v>
      </c>
      <c r="F726" s="1249">
        <v>5</v>
      </c>
      <c r="G726" s="1249">
        <v>6</v>
      </c>
      <c r="H726" s="1057">
        <v>5003.7</v>
      </c>
      <c r="I726" s="1057">
        <v>4552.5</v>
      </c>
      <c r="J726" s="1057">
        <v>4461.8</v>
      </c>
      <c r="K726" s="986">
        <v>191</v>
      </c>
      <c r="L726" s="1128">
        <v>21208937</v>
      </c>
      <c r="M726" s="1128">
        <v>0</v>
      </c>
      <c r="N726" s="1128">
        <v>0</v>
      </c>
      <c r="O726" s="1128">
        <v>21208937</v>
      </c>
      <c r="P726" s="1128">
        <v>0</v>
      </c>
      <c r="Q726" s="1128">
        <v>0</v>
      </c>
      <c r="R726" s="1057">
        <f t="shared" si="258"/>
        <v>4658.7450851180674</v>
      </c>
      <c r="S726" s="1249">
        <v>2022</v>
      </c>
      <c r="T726" s="1129" t="s">
        <v>1670</v>
      </c>
    </row>
    <row r="727" spans="1:20" s="997" customFormat="1" ht="36" customHeight="1">
      <c r="A727" s="1249">
        <v>8</v>
      </c>
      <c r="B727" s="1248" t="s">
        <v>264</v>
      </c>
      <c r="C727" s="1249">
        <v>1950</v>
      </c>
      <c r="D727" s="1249"/>
      <c r="E727" s="1249" t="s">
        <v>823</v>
      </c>
      <c r="F727" s="1249">
        <v>2</v>
      </c>
      <c r="G727" s="1249">
        <v>3</v>
      </c>
      <c r="H727" s="1057">
        <v>1372.8</v>
      </c>
      <c r="I727" s="1057">
        <v>1247.4000000000001</v>
      </c>
      <c r="J727" s="1057">
        <v>1028.0999999999999</v>
      </c>
      <c r="K727" s="986">
        <v>71</v>
      </c>
      <c r="L727" s="1128">
        <v>4018741</v>
      </c>
      <c r="M727" s="1128">
        <v>0</v>
      </c>
      <c r="N727" s="1128">
        <v>0</v>
      </c>
      <c r="O727" s="1128">
        <v>4018741</v>
      </c>
      <c r="P727" s="1128">
        <v>0</v>
      </c>
      <c r="Q727" s="1128">
        <v>0</v>
      </c>
      <c r="R727" s="1057">
        <f t="shared" si="258"/>
        <v>3221.6939233605899</v>
      </c>
      <c r="S727" s="1249">
        <v>2022</v>
      </c>
      <c r="T727" s="1129" t="s">
        <v>1670</v>
      </c>
    </row>
    <row r="728" spans="1:20" s="997" customFormat="1" ht="36" customHeight="1">
      <c r="A728" s="1249">
        <v>9</v>
      </c>
      <c r="B728" s="1248" t="s">
        <v>1906</v>
      </c>
      <c r="C728" s="1249">
        <v>1974</v>
      </c>
      <c r="D728" s="1249"/>
      <c r="E728" s="1249" t="s">
        <v>219</v>
      </c>
      <c r="F728" s="1249">
        <v>9</v>
      </c>
      <c r="G728" s="1249">
        <v>6</v>
      </c>
      <c r="H728" s="1057">
        <v>13115.8</v>
      </c>
      <c r="I728" s="1057">
        <v>11200</v>
      </c>
      <c r="J728" s="1057">
        <v>10798.94</v>
      </c>
      <c r="K728" s="986">
        <v>491</v>
      </c>
      <c r="L728" s="1128">
        <v>39573749</v>
      </c>
      <c r="M728" s="1128">
        <v>0</v>
      </c>
      <c r="N728" s="1128">
        <v>0</v>
      </c>
      <c r="O728" s="1128">
        <v>39573749</v>
      </c>
      <c r="P728" s="1128">
        <v>0</v>
      </c>
      <c r="Q728" s="1128">
        <v>0</v>
      </c>
      <c r="R728" s="1057">
        <f t="shared" si="258"/>
        <v>3533.3704464285715</v>
      </c>
      <c r="S728" s="1249">
        <v>2022</v>
      </c>
      <c r="T728" s="1129" t="s">
        <v>1670</v>
      </c>
    </row>
    <row r="729" spans="1:20" s="997" customFormat="1" ht="36" customHeight="1">
      <c r="A729" s="1249">
        <v>10</v>
      </c>
      <c r="B729" s="1371" t="s">
        <v>2236</v>
      </c>
      <c r="C729" s="1249">
        <v>1972</v>
      </c>
      <c r="D729" s="1249"/>
      <c r="E729" s="1249" t="s">
        <v>219</v>
      </c>
      <c r="F729" s="1249">
        <v>5</v>
      </c>
      <c r="G729" s="1249">
        <v>8</v>
      </c>
      <c r="H729" s="1057">
        <v>6342.7</v>
      </c>
      <c r="I729" s="1057">
        <v>5742.4</v>
      </c>
      <c r="J729" s="1057">
        <v>4987.5</v>
      </c>
      <c r="K729" s="986">
        <v>252</v>
      </c>
      <c r="L729" s="1128">
        <v>15399460</v>
      </c>
      <c r="M729" s="1128">
        <v>0</v>
      </c>
      <c r="N729" s="1128">
        <v>0</v>
      </c>
      <c r="O729" s="1128">
        <v>15399460</v>
      </c>
      <c r="P729" s="1128">
        <v>0</v>
      </c>
      <c r="Q729" s="1128">
        <v>0</v>
      </c>
      <c r="R729" s="1057">
        <f t="shared" si="258"/>
        <v>2681.7114795207581</v>
      </c>
      <c r="S729" s="1249">
        <v>2022</v>
      </c>
      <c r="T729" s="1129" t="s">
        <v>1670</v>
      </c>
    </row>
    <row r="730" spans="1:20" s="997" customFormat="1" ht="40.799999999999997" customHeight="1">
      <c r="A730" s="1249">
        <v>11</v>
      </c>
      <c r="B730" s="1248" t="s">
        <v>1907</v>
      </c>
      <c r="C730" s="1249">
        <v>1958</v>
      </c>
      <c r="D730" s="1249"/>
      <c r="E730" s="1249" t="s">
        <v>218</v>
      </c>
      <c r="F730" s="1249">
        <v>4</v>
      </c>
      <c r="G730" s="1249">
        <v>5</v>
      </c>
      <c r="H730" s="1057">
        <v>6247.5</v>
      </c>
      <c r="I730" s="1057">
        <v>5713.3</v>
      </c>
      <c r="J730" s="1057">
        <v>3999.9</v>
      </c>
      <c r="K730" s="986">
        <v>117</v>
      </c>
      <c r="L730" s="1128">
        <v>7346435</v>
      </c>
      <c r="M730" s="1128">
        <v>0</v>
      </c>
      <c r="N730" s="1128">
        <v>0</v>
      </c>
      <c r="O730" s="1128">
        <v>7346435</v>
      </c>
      <c r="P730" s="1128">
        <v>0</v>
      </c>
      <c r="Q730" s="1128">
        <v>0</v>
      </c>
      <c r="R730" s="1057">
        <f t="shared" si="258"/>
        <v>1285.8479337685751</v>
      </c>
      <c r="S730" s="1249">
        <v>2022</v>
      </c>
      <c r="T730" s="1129" t="s">
        <v>1670</v>
      </c>
    </row>
    <row r="731" spans="1:20" s="997" customFormat="1" ht="45" customHeight="1">
      <c r="A731" s="1249">
        <v>12</v>
      </c>
      <c r="B731" s="1248" t="s">
        <v>1908</v>
      </c>
      <c r="C731" s="1249">
        <v>1960</v>
      </c>
      <c r="D731" s="1249"/>
      <c r="E731" s="1249" t="s">
        <v>218</v>
      </c>
      <c r="F731" s="1249">
        <v>4</v>
      </c>
      <c r="G731" s="1249">
        <v>4</v>
      </c>
      <c r="H731" s="1057">
        <v>2758.7</v>
      </c>
      <c r="I731" s="1057">
        <v>2563.4</v>
      </c>
      <c r="J731" s="1057">
        <v>2405.4</v>
      </c>
      <c r="K731" s="986">
        <v>105</v>
      </c>
      <c r="L731" s="1128">
        <v>16634339</v>
      </c>
      <c r="M731" s="1128">
        <v>0</v>
      </c>
      <c r="N731" s="1128">
        <v>0</v>
      </c>
      <c r="O731" s="1128">
        <v>16634339</v>
      </c>
      <c r="P731" s="1128">
        <v>0</v>
      </c>
      <c r="Q731" s="1128">
        <v>0</v>
      </c>
      <c r="R731" s="1057">
        <f t="shared" si="258"/>
        <v>6489.1702426464853</v>
      </c>
      <c r="S731" s="1249">
        <v>2022</v>
      </c>
      <c r="T731" s="1129" t="s">
        <v>1670</v>
      </c>
    </row>
    <row r="732" spans="1:20" s="997" customFormat="1" ht="36" customHeight="1">
      <c r="A732" s="1249">
        <v>13</v>
      </c>
      <c r="B732" s="1248" t="s">
        <v>1909</v>
      </c>
      <c r="C732" s="1249">
        <v>1973</v>
      </c>
      <c r="D732" s="1249"/>
      <c r="E732" s="1249" t="s">
        <v>219</v>
      </c>
      <c r="F732" s="1249">
        <v>5</v>
      </c>
      <c r="G732" s="1249">
        <v>4</v>
      </c>
      <c r="H732" s="1057">
        <v>3984.3</v>
      </c>
      <c r="I732" s="1057">
        <v>3386.1</v>
      </c>
      <c r="J732" s="1057">
        <v>3270.6</v>
      </c>
      <c r="K732" s="986">
        <v>68</v>
      </c>
      <c r="L732" s="1128">
        <v>10683407</v>
      </c>
      <c r="M732" s="1128">
        <v>0</v>
      </c>
      <c r="N732" s="1128">
        <v>0</v>
      </c>
      <c r="O732" s="1128">
        <v>10683407</v>
      </c>
      <c r="P732" s="1128">
        <v>0</v>
      </c>
      <c r="Q732" s="1128">
        <v>0</v>
      </c>
      <c r="R732" s="1057">
        <f t="shared" si="258"/>
        <v>3155.0772274888513</v>
      </c>
      <c r="S732" s="1249">
        <v>2022</v>
      </c>
      <c r="T732" s="1129" t="s">
        <v>1670</v>
      </c>
    </row>
    <row r="733" spans="1:20" s="997" customFormat="1" ht="42" customHeight="1">
      <c r="A733" s="1249">
        <v>14</v>
      </c>
      <c r="B733" s="1248" t="s">
        <v>1910</v>
      </c>
      <c r="C733" s="1249">
        <v>1965</v>
      </c>
      <c r="D733" s="1249"/>
      <c r="E733" s="1249" t="s">
        <v>218</v>
      </c>
      <c r="F733" s="1249">
        <v>5</v>
      </c>
      <c r="G733" s="1249">
        <v>4</v>
      </c>
      <c r="H733" s="1057">
        <v>4172.8</v>
      </c>
      <c r="I733" s="1057">
        <v>3652.6</v>
      </c>
      <c r="J733" s="1057">
        <f>I733-84.2</f>
        <v>3568.4</v>
      </c>
      <c r="K733" s="986">
        <v>132</v>
      </c>
      <c r="L733" s="1128">
        <v>5852161</v>
      </c>
      <c r="M733" s="1128">
        <v>0</v>
      </c>
      <c r="N733" s="1128">
        <v>0</v>
      </c>
      <c r="O733" s="1128">
        <v>5852161</v>
      </c>
      <c r="P733" s="1128">
        <v>0</v>
      </c>
      <c r="Q733" s="1128">
        <v>0</v>
      </c>
      <c r="R733" s="1057">
        <f t="shared" si="258"/>
        <v>1602.1904944423152</v>
      </c>
      <c r="S733" s="1249">
        <v>2022</v>
      </c>
      <c r="T733" s="1129" t="s">
        <v>1670</v>
      </c>
    </row>
    <row r="734" spans="1:20" s="997" customFormat="1" ht="42" customHeight="1">
      <c r="A734" s="1249">
        <v>15</v>
      </c>
      <c r="B734" s="1248" t="s">
        <v>1911</v>
      </c>
      <c r="C734" s="1249">
        <v>1961</v>
      </c>
      <c r="D734" s="1249"/>
      <c r="E734" s="1249" t="s">
        <v>218</v>
      </c>
      <c r="F734" s="1249">
        <v>4</v>
      </c>
      <c r="G734" s="1249">
        <v>2</v>
      </c>
      <c r="H734" s="1057">
        <v>1376</v>
      </c>
      <c r="I734" s="1057">
        <v>1278.0999999999999</v>
      </c>
      <c r="J734" s="1057">
        <v>1114.8</v>
      </c>
      <c r="K734" s="986">
        <v>46</v>
      </c>
      <c r="L734" s="1128">
        <v>3488103</v>
      </c>
      <c r="M734" s="1128">
        <v>0</v>
      </c>
      <c r="N734" s="1128">
        <v>0</v>
      </c>
      <c r="O734" s="1128">
        <v>3488103</v>
      </c>
      <c r="P734" s="1128">
        <v>0</v>
      </c>
      <c r="Q734" s="1128">
        <v>0</v>
      </c>
      <c r="R734" s="1057">
        <f t="shared" si="258"/>
        <v>2729.1315233549803</v>
      </c>
      <c r="S734" s="1249">
        <v>2022</v>
      </c>
      <c r="T734" s="1129" t="s">
        <v>1670</v>
      </c>
    </row>
    <row r="735" spans="1:20" s="997" customFormat="1" ht="36" customHeight="1">
      <c r="A735" s="1249">
        <v>16</v>
      </c>
      <c r="B735" s="1248" t="s">
        <v>1912</v>
      </c>
      <c r="C735" s="1249">
        <v>1950</v>
      </c>
      <c r="D735" s="1249"/>
      <c r="E735" s="1249" t="s">
        <v>823</v>
      </c>
      <c r="F735" s="1249">
        <v>2</v>
      </c>
      <c r="G735" s="1249">
        <v>2</v>
      </c>
      <c r="H735" s="1057">
        <v>769.5</v>
      </c>
      <c r="I735" s="1057">
        <v>696.6</v>
      </c>
      <c r="J735" s="1057">
        <v>620.29999999999995</v>
      </c>
      <c r="K735" s="986">
        <v>45</v>
      </c>
      <c r="L735" s="1128">
        <v>3795072</v>
      </c>
      <c r="M735" s="1128">
        <v>0</v>
      </c>
      <c r="N735" s="1128">
        <v>0</v>
      </c>
      <c r="O735" s="1128">
        <v>3795072</v>
      </c>
      <c r="P735" s="1128">
        <v>0</v>
      </c>
      <c r="Q735" s="1128">
        <v>0</v>
      </c>
      <c r="R735" s="1057">
        <f t="shared" si="258"/>
        <v>5447.9931093884579</v>
      </c>
      <c r="S735" s="1249">
        <v>2022</v>
      </c>
      <c r="T735" s="1129" t="s">
        <v>1670</v>
      </c>
    </row>
    <row r="736" spans="1:20" s="997" customFormat="1" ht="42" customHeight="1">
      <c r="A736" s="1249">
        <v>17</v>
      </c>
      <c r="B736" s="1248" t="s">
        <v>1913</v>
      </c>
      <c r="C736" s="1249">
        <v>1963</v>
      </c>
      <c r="D736" s="1249"/>
      <c r="E736" s="1249" t="s">
        <v>218</v>
      </c>
      <c r="F736" s="1249">
        <v>4</v>
      </c>
      <c r="G736" s="1249">
        <v>4</v>
      </c>
      <c r="H736" s="1057">
        <v>2911.1</v>
      </c>
      <c r="I736" s="1057">
        <v>2503.3000000000002</v>
      </c>
      <c r="J736" s="1057">
        <v>2331.4</v>
      </c>
      <c r="K736" s="986">
        <v>95</v>
      </c>
      <c r="L736" s="1128">
        <v>13906531</v>
      </c>
      <c r="M736" s="1128">
        <v>0</v>
      </c>
      <c r="N736" s="1128">
        <v>0</v>
      </c>
      <c r="O736" s="1128">
        <v>13906531</v>
      </c>
      <c r="P736" s="1128">
        <v>0</v>
      </c>
      <c r="Q736" s="1128">
        <v>0</v>
      </c>
      <c r="R736" s="1057">
        <f t="shared" si="258"/>
        <v>5555.2794311508806</v>
      </c>
      <c r="S736" s="1249">
        <v>2022</v>
      </c>
      <c r="T736" s="1129" t="s">
        <v>1670</v>
      </c>
    </row>
    <row r="737" spans="1:20" s="997" customFormat="1" ht="43.8" customHeight="1">
      <c r="A737" s="1249">
        <v>18</v>
      </c>
      <c r="B737" s="1248" t="s">
        <v>294</v>
      </c>
      <c r="C737" s="1249">
        <v>1960</v>
      </c>
      <c r="D737" s="1249"/>
      <c r="E737" s="1249" t="s">
        <v>218</v>
      </c>
      <c r="F737" s="1249">
        <v>5</v>
      </c>
      <c r="G737" s="1249">
        <v>2</v>
      </c>
      <c r="H737" s="1057">
        <v>1748.6</v>
      </c>
      <c r="I737" s="1057">
        <v>1625.2</v>
      </c>
      <c r="J737" s="1057">
        <v>1172</v>
      </c>
      <c r="K737" s="986">
        <v>79</v>
      </c>
      <c r="L737" s="1128">
        <v>3934409</v>
      </c>
      <c r="M737" s="1128">
        <v>0</v>
      </c>
      <c r="N737" s="1128">
        <v>0</v>
      </c>
      <c r="O737" s="1128">
        <v>3934409</v>
      </c>
      <c r="P737" s="1128">
        <v>0</v>
      </c>
      <c r="Q737" s="1128">
        <v>0</v>
      </c>
      <c r="R737" s="1057">
        <f t="shared" si="258"/>
        <v>2420.8768151612107</v>
      </c>
      <c r="S737" s="1249">
        <v>2022</v>
      </c>
      <c r="T737" s="1129" t="s">
        <v>1670</v>
      </c>
    </row>
    <row r="738" spans="1:20" s="997" customFormat="1" ht="36" customHeight="1">
      <c r="A738" s="1249">
        <v>19</v>
      </c>
      <c r="B738" s="1248" t="s">
        <v>1914</v>
      </c>
      <c r="C738" s="1249">
        <v>1997</v>
      </c>
      <c r="D738" s="1249"/>
      <c r="E738" s="1249" t="s">
        <v>219</v>
      </c>
      <c r="F738" s="1249">
        <v>10</v>
      </c>
      <c r="G738" s="1249">
        <v>4</v>
      </c>
      <c r="H738" s="1057">
        <v>9952.9</v>
      </c>
      <c r="I738" s="1057">
        <v>8939.5</v>
      </c>
      <c r="J738" s="1057">
        <v>8298</v>
      </c>
      <c r="K738" s="986">
        <v>370</v>
      </c>
      <c r="L738" s="1128">
        <v>17016051</v>
      </c>
      <c r="M738" s="1128">
        <v>0</v>
      </c>
      <c r="N738" s="1128">
        <v>0</v>
      </c>
      <c r="O738" s="1128">
        <v>17016051</v>
      </c>
      <c r="P738" s="1128">
        <v>0</v>
      </c>
      <c r="Q738" s="1128">
        <v>0</v>
      </c>
      <c r="R738" s="1057">
        <f t="shared" si="258"/>
        <v>1903.4678673303877</v>
      </c>
      <c r="S738" s="1249">
        <v>2022</v>
      </c>
      <c r="T738" s="1129" t="s">
        <v>1670</v>
      </c>
    </row>
    <row r="739" spans="1:20" s="997" customFormat="1" ht="42.6" customHeight="1">
      <c r="A739" s="1249">
        <v>20</v>
      </c>
      <c r="B739" s="1248" t="s">
        <v>1915</v>
      </c>
      <c r="C739" s="1249">
        <v>1965</v>
      </c>
      <c r="D739" s="1249"/>
      <c r="E739" s="1249" t="s">
        <v>218</v>
      </c>
      <c r="F739" s="1249">
        <v>5</v>
      </c>
      <c r="G739" s="1249">
        <v>2</v>
      </c>
      <c r="H739" s="1057">
        <v>1746.3</v>
      </c>
      <c r="I739" s="1057">
        <v>1592.2</v>
      </c>
      <c r="J739" s="1057">
        <v>504.4</v>
      </c>
      <c r="K739" s="986">
        <v>84</v>
      </c>
      <c r="L739" s="1128">
        <v>8045555</v>
      </c>
      <c r="M739" s="1128">
        <v>0</v>
      </c>
      <c r="N739" s="1128">
        <v>0</v>
      </c>
      <c r="O739" s="1128">
        <v>8045555</v>
      </c>
      <c r="P739" s="1128">
        <v>0</v>
      </c>
      <c r="Q739" s="1128">
        <v>0</v>
      </c>
      <c r="R739" s="1057">
        <f t="shared" si="258"/>
        <v>5053.1057656073353</v>
      </c>
      <c r="S739" s="1249">
        <v>2022</v>
      </c>
      <c r="T739" s="1129" t="s">
        <v>1670</v>
      </c>
    </row>
    <row r="740" spans="1:20" s="997" customFormat="1" ht="36" customHeight="1">
      <c r="A740" s="1249">
        <v>21</v>
      </c>
      <c r="B740" s="1248" t="s">
        <v>1916</v>
      </c>
      <c r="C740" s="1249">
        <v>1950</v>
      </c>
      <c r="D740" s="1249"/>
      <c r="E740" s="1249" t="s">
        <v>823</v>
      </c>
      <c r="F740" s="1249">
        <v>2</v>
      </c>
      <c r="G740" s="1249">
        <v>2</v>
      </c>
      <c r="H740" s="1057">
        <v>799.3</v>
      </c>
      <c r="I740" s="1057">
        <v>722.8</v>
      </c>
      <c r="J740" s="1057">
        <v>543.20000000000005</v>
      </c>
      <c r="K740" s="986">
        <v>39</v>
      </c>
      <c r="L740" s="1128">
        <v>3421025</v>
      </c>
      <c r="M740" s="1128">
        <v>0</v>
      </c>
      <c r="N740" s="1128">
        <v>0</v>
      </c>
      <c r="O740" s="1128">
        <v>3421025</v>
      </c>
      <c r="P740" s="1128">
        <v>0</v>
      </c>
      <c r="Q740" s="1128">
        <v>0</v>
      </c>
      <c r="R740" s="1057">
        <f t="shared" si="258"/>
        <v>4733.0174322080802</v>
      </c>
      <c r="S740" s="1249">
        <v>2022</v>
      </c>
      <c r="T740" s="1129" t="s">
        <v>1670</v>
      </c>
    </row>
    <row r="741" spans="1:20" s="997" customFormat="1" ht="36" customHeight="1">
      <c r="A741" s="1249"/>
      <c r="B741" s="1539" t="s">
        <v>1619</v>
      </c>
      <c r="C741" s="1540"/>
      <c r="D741" s="1540"/>
      <c r="E741" s="1540"/>
      <c r="F741" s="1540"/>
      <c r="G741" s="1541"/>
      <c r="H741" s="998">
        <f>SUM(H742:H761)</f>
        <v>31739.789999999997</v>
      </c>
      <c r="I741" s="998">
        <f t="shared" ref="I741:Q741" si="259">SUM(I742:I761)</f>
        <v>30563.96</v>
      </c>
      <c r="J741" s="998">
        <f t="shared" si="259"/>
        <v>22300.799999999999</v>
      </c>
      <c r="K741" s="986">
        <f t="shared" si="259"/>
        <v>1275</v>
      </c>
      <c r="L741" s="998">
        <f t="shared" si="259"/>
        <v>39453351</v>
      </c>
      <c r="M741" s="998">
        <f t="shared" si="259"/>
        <v>0</v>
      </c>
      <c r="N741" s="998">
        <f t="shared" si="259"/>
        <v>0</v>
      </c>
      <c r="O741" s="998">
        <f t="shared" si="259"/>
        <v>39453351</v>
      </c>
      <c r="P741" s="998">
        <f t="shared" si="259"/>
        <v>0</v>
      </c>
      <c r="Q741" s="998">
        <f t="shared" si="259"/>
        <v>0</v>
      </c>
      <c r="R741" s="996" t="s">
        <v>40</v>
      </c>
      <c r="S741" s="996" t="s">
        <v>40</v>
      </c>
      <c r="T741" s="996" t="s">
        <v>40</v>
      </c>
    </row>
    <row r="742" spans="1:20" s="997" customFormat="1" ht="43.8" customHeight="1">
      <c r="A742" s="1046">
        <v>22</v>
      </c>
      <c r="B742" s="1076" t="s">
        <v>1493</v>
      </c>
      <c r="C742" s="1048">
        <v>1961</v>
      </c>
      <c r="D742" s="1048"/>
      <c r="E742" s="1249" t="s">
        <v>218</v>
      </c>
      <c r="F742" s="1048">
        <v>3</v>
      </c>
      <c r="G742" s="1048">
        <v>3</v>
      </c>
      <c r="H742" s="1067">
        <v>1481.3</v>
      </c>
      <c r="I742" s="1067">
        <v>1481.3</v>
      </c>
      <c r="J742" s="1067">
        <v>1069.6400000000001</v>
      </c>
      <c r="K742" s="1077">
        <v>56</v>
      </c>
      <c r="L742" s="1067">
        <v>2944031</v>
      </c>
      <c r="M742" s="987">
        <v>0</v>
      </c>
      <c r="N742" s="987">
        <v>0</v>
      </c>
      <c r="O742" s="1067">
        <v>2944031</v>
      </c>
      <c r="P742" s="987">
        <v>0</v>
      </c>
      <c r="Q742" s="987">
        <v>0</v>
      </c>
      <c r="R742" s="1067">
        <f>L742/I742</f>
        <v>1987.4643893877001</v>
      </c>
      <c r="S742" s="1048">
        <v>2022</v>
      </c>
      <c r="T742" s="1048">
        <v>2022</v>
      </c>
    </row>
    <row r="743" spans="1:20" s="997" customFormat="1" ht="40.799999999999997" customHeight="1">
      <c r="A743" s="1046">
        <v>23</v>
      </c>
      <c r="B743" s="1076" t="s">
        <v>1494</v>
      </c>
      <c r="C743" s="1048">
        <v>1966</v>
      </c>
      <c r="D743" s="1048"/>
      <c r="E743" s="1249" t="s">
        <v>218</v>
      </c>
      <c r="F743" s="1048">
        <v>5</v>
      </c>
      <c r="G743" s="1048">
        <v>4</v>
      </c>
      <c r="H743" s="1067">
        <v>3238.8</v>
      </c>
      <c r="I743" s="1067">
        <v>3238.8</v>
      </c>
      <c r="J743" s="1067">
        <v>2190.0700000000002</v>
      </c>
      <c r="K743" s="1077">
        <v>135</v>
      </c>
      <c r="L743" s="1067">
        <v>2617271</v>
      </c>
      <c r="M743" s="987">
        <v>0</v>
      </c>
      <c r="N743" s="987">
        <v>0</v>
      </c>
      <c r="O743" s="1067">
        <v>2617271</v>
      </c>
      <c r="P743" s="987">
        <v>0</v>
      </c>
      <c r="Q743" s="987">
        <v>0</v>
      </c>
      <c r="R743" s="1067">
        <f t="shared" ref="R743:R752" si="260">L743/I743</f>
        <v>808.09898727923917</v>
      </c>
      <c r="S743" s="1048">
        <v>2022</v>
      </c>
      <c r="T743" s="1048">
        <v>2022</v>
      </c>
    </row>
    <row r="744" spans="1:20" s="997" customFormat="1" ht="42.6" customHeight="1">
      <c r="A744" s="1046">
        <v>24</v>
      </c>
      <c r="B744" s="1076" t="s">
        <v>1917</v>
      </c>
      <c r="C744" s="1048">
        <v>1985</v>
      </c>
      <c r="D744" s="1048"/>
      <c r="E744" s="1249" t="s">
        <v>218</v>
      </c>
      <c r="F744" s="1048">
        <v>5</v>
      </c>
      <c r="G744" s="1048">
        <v>2</v>
      </c>
      <c r="H744" s="1067">
        <v>1480.7</v>
      </c>
      <c r="I744" s="1067">
        <v>1480.7</v>
      </c>
      <c r="J744" s="1067">
        <v>1285.24</v>
      </c>
      <c r="K744" s="1077">
        <v>59</v>
      </c>
      <c r="L744" s="1067">
        <v>1255325</v>
      </c>
      <c r="M744" s="987">
        <v>0</v>
      </c>
      <c r="N744" s="987">
        <v>0</v>
      </c>
      <c r="O744" s="1067">
        <v>1255325</v>
      </c>
      <c r="P744" s="987">
        <v>0</v>
      </c>
      <c r="Q744" s="987">
        <v>0</v>
      </c>
      <c r="R744" s="1067">
        <f t="shared" si="260"/>
        <v>847.79158506111969</v>
      </c>
      <c r="S744" s="1048">
        <v>2022</v>
      </c>
      <c r="T744" s="1048">
        <v>2022</v>
      </c>
    </row>
    <row r="745" spans="1:20" s="997" customFormat="1" ht="40.799999999999997" customHeight="1">
      <c r="A745" s="1046">
        <v>25</v>
      </c>
      <c r="B745" s="1076" t="s">
        <v>1495</v>
      </c>
      <c r="C745" s="1048">
        <v>1958</v>
      </c>
      <c r="D745" s="1048"/>
      <c r="E745" s="1249" t="s">
        <v>218</v>
      </c>
      <c r="F745" s="1048">
        <v>2</v>
      </c>
      <c r="G745" s="1048">
        <v>4</v>
      </c>
      <c r="H745" s="1067">
        <v>1207.3</v>
      </c>
      <c r="I745" s="1067">
        <v>1207.3</v>
      </c>
      <c r="J745" s="1067">
        <v>1084.3</v>
      </c>
      <c r="K745" s="1077">
        <v>32</v>
      </c>
      <c r="L745" s="1067">
        <v>4603059</v>
      </c>
      <c r="M745" s="987">
        <v>0</v>
      </c>
      <c r="N745" s="987">
        <v>0</v>
      </c>
      <c r="O745" s="1067">
        <v>4603059</v>
      </c>
      <c r="P745" s="987">
        <v>0</v>
      </c>
      <c r="Q745" s="987">
        <v>0</v>
      </c>
      <c r="R745" s="1067">
        <f t="shared" si="260"/>
        <v>3812.6886440818357</v>
      </c>
      <c r="S745" s="1048">
        <v>2022</v>
      </c>
      <c r="T745" s="1048">
        <v>2022</v>
      </c>
    </row>
    <row r="746" spans="1:20" s="997" customFormat="1" ht="42.6" customHeight="1">
      <c r="A746" s="1046">
        <v>26</v>
      </c>
      <c r="B746" s="1076" t="s">
        <v>1918</v>
      </c>
      <c r="C746" s="1048">
        <v>1931</v>
      </c>
      <c r="D746" s="1048"/>
      <c r="E746" s="1249" t="s">
        <v>218</v>
      </c>
      <c r="F746" s="1048">
        <v>4</v>
      </c>
      <c r="G746" s="1048">
        <v>6</v>
      </c>
      <c r="H746" s="1067">
        <v>3183.9</v>
      </c>
      <c r="I746" s="1067">
        <v>2757.87</v>
      </c>
      <c r="J746" s="1067">
        <v>453.3</v>
      </c>
      <c r="K746" s="1077">
        <v>110</v>
      </c>
      <c r="L746" s="1067">
        <v>437146</v>
      </c>
      <c r="M746" s="987">
        <v>0</v>
      </c>
      <c r="N746" s="987">
        <v>0</v>
      </c>
      <c r="O746" s="1067">
        <v>437146</v>
      </c>
      <c r="P746" s="987">
        <v>0</v>
      </c>
      <c r="Q746" s="987">
        <v>0</v>
      </c>
      <c r="R746" s="1067">
        <f t="shared" si="260"/>
        <v>158.50855914165643</v>
      </c>
      <c r="S746" s="1048">
        <v>2022</v>
      </c>
      <c r="T746" s="1048">
        <v>2022</v>
      </c>
    </row>
    <row r="747" spans="1:20" s="997" customFormat="1" ht="36" customHeight="1">
      <c r="A747" s="1046">
        <v>27</v>
      </c>
      <c r="B747" s="1076" t="s">
        <v>1188</v>
      </c>
      <c r="C747" s="1048">
        <v>1923</v>
      </c>
      <c r="D747" s="1048"/>
      <c r="E747" s="1048" t="s">
        <v>221</v>
      </c>
      <c r="F747" s="1048">
        <v>2</v>
      </c>
      <c r="G747" s="1048">
        <v>2</v>
      </c>
      <c r="H747" s="1067">
        <v>413.3</v>
      </c>
      <c r="I747" s="1067">
        <v>413.3</v>
      </c>
      <c r="J747" s="1067">
        <v>413.3</v>
      </c>
      <c r="K747" s="1077">
        <v>20</v>
      </c>
      <c r="L747" s="1067">
        <v>60340</v>
      </c>
      <c r="M747" s="987">
        <v>0</v>
      </c>
      <c r="N747" s="987">
        <v>0</v>
      </c>
      <c r="O747" s="1067">
        <v>60340</v>
      </c>
      <c r="P747" s="987">
        <v>0</v>
      </c>
      <c r="Q747" s="987">
        <v>0</v>
      </c>
      <c r="R747" s="1067">
        <f t="shared" si="260"/>
        <v>145.99564481006533</v>
      </c>
      <c r="S747" s="1048">
        <v>2022</v>
      </c>
      <c r="T747" s="1048">
        <v>2022</v>
      </c>
    </row>
    <row r="748" spans="1:20" s="1109" customFormat="1" ht="42" customHeight="1">
      <c r="A748" s="1046">
        <v>28</v>
      </c>
      <c r="B748" s="1248" t="s">
        <v>1019</v>
      </c>
      <c r="C748" s="1048">
        <v>1932</v>
      </c>
      <c r="D748" s="1048"/>
      <c r="E748" s="1249" t="s">
        <v>218</v>
      </c>
      <c r="F748" s="1048">
        <v>2</v>
      </c>
      <c r="G748" s="1048">
        <v>1</v>
      </c>
      <c r="H748" s="1067">
        <v>288.69</v>
      </c>
      <c r="I748" s="1067">
        <v>288.69</v>
      </c>
      <c r="J748" s="1067">
        <v>259.19</v>
      </c>
      <c r="K748" s="1077">
        <v>11</v>
      </c>
      <c r="L748" s="1067">
        <v>977101</v>
      </c>
      <c r="M748" s="987">
        <v>0</v>
      </c>
      <c r="N748" s="987">
        <v>0</v>
      </c>
      <c r="O748" s="1067">
        <v>977101</v>
      </c>
      <c r="P748" s="987">
        <v>0</v>
      </c>
      <c r="Q748" s="987">
        <v>0</v>
      </c>
      <c r="R748" s="1067">
        <f t="shared" si="260"/>
        <v>3384.6028612005957</v>
      </c>
      <c r="S748" s="1048">
        <v>2022</v>
      </c>
      <c r="T748" s="1048">
        <v>2022</v>
      </c>
    </row>
    <row r="749" spans="1:20" s="1109" customFormat="1" ht="42" customHeight="1">
      <c r="A749" s="1046">
        <v>29</v>
      </c>
      <c r="B749" s="1248" t="s">
        <v>941</v>
      </c>
      <c r="C749" s="1048">
        <v>1961</v>
      </c>
      <c r="D749" s="1048"/>
      <c r="E749" s="1249" t="s">
        <v>218</v>
      </c>
      <c r="F749" s="1048">
        <v>2</v>
      </c>
      <c r="G749" s="1048">
        <v>2</v>
      </c>
      <c r="H749" s="1067">
        <v>852</v>
      </c>
      <c r="I749" s="1067">
        <v>852</v>
      </c>
      <c r="J749" s="1067">
        <v>653.6</v>
      </c>
      <c r="K749" s="1077">
        <v>22</v>
      </c>
      <c r="L749" s="1067">
        <v>806809</v>
      </c>
      <c r="M749" s="987">
        <v>0</v>
      </c>
      <c r="N749" s="987">
        <v>0</v>
      </c>
      <c r="O749" s="1067">
        <v>806809</v>
      </c>
      <c r="P749" s="987">
        <v>0</v>
      </c>
      <c r="Q749" s="987">
        <v>0</v>
      </c>
      <c r="R749" s="1067">
        <f t="shared" si="260"/>
        <v>946.95892018779341</v>
      </c>
      <c r="S749" s="1048">
        <v>2022</v>
      </c>
      <c r="T749" s="1048">
        <v>2022</v>
      </c>
    </row>
    <row r="750" spans="1:20" s="1109" customFormat="1" ht="33.6" customHeight="1">
      <c r="A750" s="1046">
        <v>30</v>
      </c>
      <c r="B750" s="1248" t="s">
        <v>1496</v>
      </c>
      <c r="C750" s="1048">
        <v>1917</v>
      </c>
      <c r="D750" s="1048"/>
      <c r="E750" s="1048" t="s">
        <v>824</v>
      </c>
      <c r="F750" s="1048">
        <v>1</v>
      </c>
      <c r="G750" s="1048">
        <v>4</v>
      </c>
      <c r="H750" s="1067">
        <v>163.80000000000001</v>
      </c>
      <c r="I750" s="1067">
        <v>163.80000000000001</v>
      </c>
      <c r="J750" s="1067">
        <v>163.80000000000001</v>
      </c>
      <c r="K750" s="1077">
        <v>17</v>
      </c>
      <c r="L750" s="1067">
        <v>1187996</v>
      </c>
      <c r="M750" s="987">
        <v>0</v>
      </c>
      <c r="N750" s="987">
        <v>0</v>
      </c>
      <c r="O750" s="1067">
        <v>1187996</v>
      </c>
      <c r="P750" s="987">
        <v>0</v>
      </c>
      <c r="Q750" s="987">
        <v>0</v>
      </c>
      <c r="R750" s="1067">
        <f t="shared" si="260"/>
        <v>7252.7228327228322</v>
      </c>
      <c r="S750" s="1048">
        <v>2022</v>
      </c>
      <c r="T750" s="1048">
        <v>2022</v>
      </c>
    </row>
    <row r="751" spans="1:20" s="1109" customFormat="1" ht="39.6" customHeight="1">
      <c r="A751" s="1046">
        <v>31</v>
      </c>
      <c r="B751" s="1076" t="s">
        <v>1131</v>
      </c>
      <c r="C751" s="1048" t="s">
        <v>190</v>
      </c>
      <c r="D751" s="1048"/>
      <c r="E751" s="1249" t="s">
        <v>218</v>
      </c>
      <c r="F751" s="1048">
        <v>3</v>
      </c>
      <c r="G751" s="1048">
        <v>2</v>
      </c>
      <c r="H751" s="1067">
        <v>681.3</v>
      </c>
      <c r="I751" s="1067">
        <v>681.3</v>
      </c>
      <c r="J751" s="1067">
        <v>681.3</v>
      </c>
      <c r="K751" s="1077">
        <v>25</v>
      </c>
      <c r="L751" s="1067">
        <v>1556917</v>
      </c>
      <c r="M751" s="987">
        <v>0</v>
      </c>
      <c r="N751" s="987">
        <v>0</v>
      </c>
      <c r="O751" s="1067">
        <v>1556917</v>
      </c>
      <c r="P751" s="987">
        <v>0</v>
      </c>
      <c r="Q751" s="987">
        <v>0</v>
      </c>
      <c r="R751" s="1067">
        <f t="shared" si="260"/>
        <v>2285.215030089535</v>
      </c>
      <c r="S751" s="1048">
        <v>2022</v>
      </c>
      <c r="T751" s="1048">
        <v>2022</v>
      </c>
    </row>
    <row r="752" spans="1:20" s="1109" customFormat="1" ht="39" customHeight="1">
      <c r="A752" s="1046">
        <v>32</v>
      </c>
      <c r="B752" s="1076" t="s">
        <v>1497</v>
      </c>
      <c r="C752" s="1049">
        <v>1963</v>
      </c>
      <c r="D752" s="1049"/>
      <c r="E752" s="1249" t="s">
        <v>218</v>
      </c>
      <c r="F752" s="1049">
        <v>4</v>
      </c>
      <c r="G752" s="1049">
        <v>4</v>
      </c>
      <c r="H752" s="1050">
        <v>2548</v>
      </c>
      <c r="I752" s="1050">
        <v>2548</v>
      </c>
      <c r="J752" s="1050">
        <v>405.7</v>
      </c>
      <c r="K752" s="1051">
        <v>98</v>
      </c>
      <c r="L752" s="1047">
        <v>2510650</v>
      </c>
      <c r="M752" s="987">
        <v>0</v>
      </c>
      <c r="N752" s="987">
        <v>0</v>
      </c>
      <c r="O752" s="1038">
        <v>2510650</v>
      </c>
      <c r="P752" s="987">
        <v>0</v>
      </c>
      <c r="Q752" s="987">
        <v>0</v>
      </c>
      <c r="R752" s="1067">
        <f t="shared" si="260"/>
        <v>985.3414442700157</v>
      </c>
      <c r="S752" s="1048">
        <v>2022</v>
      </c>
      <c r="T752" s="1048">
        <v>2022</v>
      </c>
    </row>
    <row r="753" spans="1:20" s="1109" customFormat="1" ht="37.200000000000003" customHeight="1">
      <c r="A753" s="1046">
        <v>33</v>
      </c>
      <c r="B753" s="1025" t="s">
        <v>1498</v>
      </c>
      <c r="C753" s="1049">
        <v>1925</v>
      </c>
      <c r="D753" s="1049"/>
      <c r="E753" s="1048" t="s">
        <v>824</v>
      </c>
      <c r="F753" s="1049">
        <v>2</v>
      </c>
      <c r="G753" s="1049">
        <v>2</v>
      </c>
      <c r="H753" s="1050">
        <v>564.29999999999995</v>
      </c>
      <c r="I753" s="1050">
        <v>564.29999999999995</v>
      </c>
      <c r="J753" s="1050">
        <v>564.29999999999995</v>
      </c>
      <c r="K753" s="1051">
        <v>17</v>
      </c>
      <c r="L753" s="1047">
        <v>1124771</v>
      </c>
      <c r="M753" s="987">
        <v>0</v>
      </c>
      <c r="N753" s="987">
        <v>0</v>
      </c>
      <c r="O753" s="1038">
        <v>1124771</v>
      </c>
      <c r="P753" s="987">
        <v>0</v>
      </c>
      <c r="Q753" s="987">
        <v>0</v>
      </c>
      <c r="R753" s="1038">
        <f>L753/I753</f>
        <v>1993.2146021619708</v>
      </c>
      <c r="S753" s="1048">
        <v>2022</v>
      </c>
      <c r="T753" s="1048">
        <v>2022</v>
      </c>
    </row>
    <row r="754" spans="1:20" s="997" customFormat="1" ht="42.6" customHeight="1">
      <c r="A754" s="1046">
        <v>34</v>
      </c>
      <c r="B754" s="1025" t="s">
        <v>1499</v>
      </c>
      <c r="C754" s="1049">
        <v>1966</v>
      </c>
      <c r="D754" s="1049"/>
      <c r="E754" s="1249" t="s">
        <v>218</v>
      </c>
      <c r="F754" s="1049">
        <v>5</v>
      </c>
      <c r="G754" s="1049">
        <v>3</v>
      </c>
      <c r="H754" s="1050">
        <v>2510.9</v>
      </c>
      <c r="I754" s="1050">
        <v>2510.9</v>
      </c>
      <c r="J754" s="1050">
        <v>1790.28</v>
      </c>
      <c r="K754" s="1051">
        <v>96</v>
      </c>
      <c r="L754" s="1047">
        <v>5182636</v>
      </c>
      <c r="M754" s="987">
        <v>0</v>
      </c>
      <c r="N754" s="987">
        <v>0</v>
      </c>
      <c r="O754" s="1038">
        <v>5182636</v>
      </c>
      <c r="P754" s="987">
        <v>0</v>
      </c>
      <c r="Q754" s="987">
        <v>0</v>
      </c>
      <c r="R754" s="1038">
        <v>2064.055119678203</v>
      </c>
      <c r="S754" s="1048">
        <v>2022</v>
      </c>
      <c r="T754" s="1048">
        <v>2022</v>
      </c>
    </row>
    <row r="755" spans="1:20" s="1009" customFormat="1" ht="36" customHeight="1">
      <c r="A755" s="1046">
        <v>35</v>
      </c>
      <c r="B755" s="1025" t="s">
        <v>1500</v>
      </c>
      <c r="C755" s="1049">
        <v>1960</v>
      </c>
      <c r="D755" s="1049"/>
      <c r="E755" s="1048" t="s">
        <v>824</v>
      </c>
      <c r="F755" s="1049">
        <v>2</v>
      </c>
      <c r="G755" s="1049">
        <v>1</v>
      </c>
      <c r="H755" s="1050">
        <v>260.89999999999998</v>
      </c>
      <c r="I755" s="1050">
        <v>260.89999999999998</v>
      </c>
      <c r="J755" s="1050">
        <v>232.5</v>
      </c>
      <c r="K755" s="1051">
        <v>13</v>
      </c>
      <c r="L755" s="1047">
        <v>609228</v>
      </c>
      <c r="M755" s="987">
        <v>0</v>
      </c>
      <c r="N755" s="987">
        <v>0</v>
      </c>
      <c r="O755" s="1038">
        <v>609228</v>
      </c>
      <c r="P755" s="987">
        <v>0</v>
      </c>
      <c r="Q755" s="987">
        <v>0</v>
      </c>
      <c r="R755" s="1038">
        <f>L755/I755</f>
        <v>2335.101571483327</v>
      </c>
      <c r="S755" s="1048">
        <v>2022</v>
      </c>
      <c r="T755" s="1048">
        <v>2022</v>
      </c>
    </row>
    <row r="756" spans="1:20" s="1009" customFormat="1" ht="40.799999999999997" customHeight="1">
      <c r="A756" s="1046">
        <v>36</v>
      </c>
      <c r="B756" s="1025" t="s">
        <v>1501</v>
      </c>
      <c r="C756" s="1049" t="s">
        <v>190</v>
      </c>
      <c r="D756" s="1049"/>
      <c r="E756" s="1249" t="s">
        <v>218</v>
      </c>
      <c r="F756" s="1049">
        <v>2</v>
      </c>
      <c r="G756" s="1049">
        <v>2</v>
      </c>
      <c r="H756" s="1050">
        <v>337.8</v>
      </c>
      <c r="I756" s="1050">
        <v>337.8</v>
      </c>
      <c r="J756" s="1050">
        <v>337.8</v>
      </c>
      <c r="K756" s="1051">
        <v>11</v>
      </c>
      <c r="L756" s="1047">
        <v>1465413</v>
      </c>
      <c r="M756" s="987">
        <v>0</v>
      </c>
      <c r="N756" s="987">
        <v>0</v>
      </c>
      <c r="O756" s="1038">
        <v>1465413</v>
      </c>
      <c r="P756" s="987">
        <v>0</v>
      </c>
      <c r="Q756" s="987">
        <v>0</v>
      </c>
      <c r="R756" s="1038">
        <v>4338.1083481349906</v>
      </c>
      <c r="S756" s="1048">
        <v>2022</v>
      </c>
      <c r="T756" s="1048">
        <v>2022</v>
      </c>
    </row>
    <row r="757" spans="1:20" s="997" customFormat="1" ht="40.200000000000003" customHeight="1">
      <c r="A757" s="1046">
        <v>37</v>
      </c>
      <c r="B757" s="1076" t="s">
        <v>1489</v>
      </c>
      <c r="C757" s="1046">
        <v>1918</v>
      </c>
      <c r="D757" s="1046"/>
      <c r="E757" s="1249" t="s">
        <v>218</v>
      </c>
      <c r="F757" s="1046">
        <v>3</v>
      </c>
      <c r="G757" s="1046">
        <v>3</v>
      </c>
      <c r="H757" s="1107">
        <v>918.8</v>
      </c>
      <c r="I757" s="1107">
        <v>918.8</v>
      </c>
      <c r="J757" s="1107">
        <v>634.98</v>
      </c>
      <c r="K757" s="1108">
        <v>45</v>
      </c>
      <c r="L757" s="1107">
        <v>1560301</v>
      </c>
      <c r="M757" s="987">
        <v>0</v>
      </c>
      <c r="N757" s="987">
        <v>0</v>
      </c>
      <c r="O757" s="1107">
        <v>1560301</v>
      </c>
      <c r="P757" s="987">
        <v>0</v>
      </c>
      <c r="Q757" s="987">
        <v>0</v>
      </c>
      <c r="R757" s="1107">
        <f>L757/I757</f>
        <v>1698.1943839791033</v>
      </c>
      <c r="S757" s="1048">
        <v>2022</v>
      </c>
      <c r="T757" s="1048">
        <v>2022</v>
      </c>
    </row>
    <row r="758" spans="1:20" s="997" customFormat="1" ht="36" customHeight="1">
      <c r="A758" s="1046">
        <v>38</v>
      </c>
      <c r="B758" s="1025" t="s">
        <v>2361</v>
      </c>
      <c r="C758" s="1053">
        <v>1975</v>
      </c>
      <c r="D758" s="1053"/>
      <c r="E758" s="1249" t="s">
        <v>219</v>
      </c>
      <c r="F758" s="1053">
        <v>5</v>
      </c>
      <c r="G758" s="1053">
        <v>8</v>
      </c>
      <c r="H758" s="1054">
        <v>6317.7</v>
      </c>
      <c r="I758" s="1054">
        <v>5663.2</v>
      </c>
      <c r="J758" s="1054">
        <v>5431</v>
      </c>
      <c r="K758" s="1055">
        <v>316</v>
      </c>
      <c r="L758" s="1056">
        <v>6113596</v>
      </c>
      <c r="M758" s="987">
        <v>0</v>
      </c>
      <c r="N758" s="987">
        <v>0</v>
      </c>
      <c r="O758" s="1057">
        <v>6113596</v>
      </c>
      <c r="P758" s="987">
        <v>0</v>
      </c>
      <c r="Q758" s="987">
        <v>0</v>
      </c>
      <c r="R758" s="1107">
        <f t="shared" ref="R758:R761" si="261">L758/I758</f>
        <v>1079.5303008899562</v>
      </c>
      <c r="S758" s="1048">
        <v>2022</v>
      </c>
      <c r="T758" s="1048">
        <v>2022</v>
      </c>
    </row>
    <row r="759" spans="1:20" s="997" customFormat="1" ht="36" customHeight="1">
      <c r="A759" s="1046">
        <v>39</v>
      </c>
      <c r="B759" s="1025" t="s">
        <v>1919</v>
      </c>
      <c r="C759" s="1053">
        <v>1988</v>
      </c>
      <c r="D759" s="1053"/>
      <c r="E759" s="1249" t="s">
        <v>219</v>
      </c>
      <c r="F759" s="1053">
        <v>5</v>
      </c>
      <c r="G759" s="1053">
        <v>4</v>
      </c>
      <c r="H759" s="1054">
        <v>3770</v>
      </c>
      <c r="I759" s="1054">
        <v>3770</v>
      </c>
      <c r="J759" s="1054">
        <v>3321.3</v>
      </c>
      <c r="K759" s="1055">
        <v>136</v>
      </c>
      <c r="L759" s="1056">
        <v>2553309</v>
      </c>
      <c r="M759" s="987">
        <v>0</v>
      </c>
      <c r="N759" s="987">
        <v>0</v>
      </c>
      <c r="O759" s="1057">
        <v>2553309</v>
      </c>
      <c r="P759" s="987">
        <v>0</v>
      </c>
      <c r="Q759" s="987">
        <v>0</v>
      </c>
      <c r="R759" s="1107">
        <f t="shared" si="261"/>
        <v>677.27029177718828</v>
      </c>
      <c r="S759" s="1048">
        <v>2022</v>
      </c>
      <c r="T759" s="1048">
        <v>2022</v>
      </c>
    </row>
    <row r="760" spans="1:20" s="997" customFormat="1" ht="39.6" customHeight="1">
      <c r="A760" s="1046">
        <v>40</v>
      </c>
      <c r="B760" s="1025" t="s">
        <v>2362</v>
      </c>
      <c r="C760" s="1053">
        <v>1971</v>
      </c>
      <c r="D760" s="1053"/>
      <c r="E760" s="1249" t="s">
        <v>218</v>
      </c>
      <c r="F760" s="1053">
        <v>2</v>
      </c>
      <c r="G760" s="1053">
        <v>2</v>
      </c>
      <c r="H760" s="1054">
        <v>561.79999999999995</v>
      </c>
      <c r="I760" s="1054">
        <v>511.8</v>
      </c>
      <c r="J760" s="1054">
        <v>460.3</v>
      </c>
      <c r="K760" s="1055">
        <v>22</v>
      </c>
      <c r="L760" s="1056">
        <v>172136</v>
      </c>
      <c r="M760" s="987">
        <v>0</v>
      </c>
      <c r="N760" s="987">
        <v>0</v>
      </c>
      <c r="O760" s="1057">
        <v>172136</v>
      </c>
      <c r="P760" s="987">
        <v>0</v>
      </c>
      <c r="Q760" s="987">
        <v>0</v>
      </c>
      <c r="R760" s="1107">
        <f t="shared" si="261"/>
        <v>336.3345056662759</v>
      </c>
      <c r="S760" s="1048">
        <v>2022</v>
      </c>
      <c r="T760" s="1048">
        <v>2022</v>
      </c>
    </row>
    <row r="761" spans="1:20" ht="45" customHeight="1">
      <c r="A761" s="1046">
        <v>41</v>
      </c>
      <c r="B761" s="1025" t="s">
        <v>2383</v>
      </c>
      <c r="C761" s="1053">
        <v>1972</v>
      </c>
      <c r="D761" s="1053"/>
      <c r="E761" s="1249" t="s">
        <v>218</v>
      </c>
      <c r="F761" s="1053">
        <v>2</v>
      </c>
      <c r="G761" s="1053">
        <v>3</v>
      </c>
      <c r="H761" s="1054">
        <v>958.5</v>
      </c>
      <c r="I761" s="1054">
        <v>913.2</v>
      </c>
      <c r="J761" s="1054">
        <v>868.9</v>
      </c>
      <c r="K761" s="1055">
        <v>34</v>
      </c>
      <c r="L761" s="1056">
        <v>1715316</v>
      </c>
      <c r="M761" s="987">
        <v>0</v>
      </c>
      <c r="N761" s="987">
        <v>0</v>
      </c>
      <c r="O761" s="1057">
        <v>1715316</v>
      </c>
      <c r="P761" s="987">
        <v>0</v>
      </c>
      <c r="Q761" s="987">
        <v>0</v>
      </c>
      <c r="R761" s="1107">
        <f t="shared" si="261"/>
        <v>1878.3574244415242</v>
      </c>
      <c r="S761" s="1048">
        <v>2022</v>
      </c>
      <c r="T761" s="1048">
        <v>2022</v>
      </c>
    </row>
    <row r="762" spans="1:20" s="997" customFormat="1" ht="36" customHeight="1">
      <c r="A762" s="1249"/>
      <c r="B762" s="1543" t="s">
        <v>1074</v>
      </c>
      <c r="C762" s="1544"/>
      <c r="D762" s="1544"/>
      <c r="E762" s="1544"/>
      <c r="F762" s="1544"/>
      <c r="G762" s="1545"/>
      <c r="H762" s="985">
        <f>SUM(H763:H775)</f>
        <v>18087.099999999999</v>
      </c>
      <c r="I762" s="985">
        <f t="shared" ref="I762:Q762" si="262">SUM(I763:I775)</f>
        <v>18087.099999999999</v>
      </c>
      <c r="J762" s="985">
        <f t="shared" si="262"/>
        <v>13459.199999999999</v>
      </c>
      <c r="K762" s="985">
        <f t="shared" si="262"/>
        <v>497</v>
      </c>
      <c r="L762" s="985">
        <f t="shared" si="262"/>
        <v>27018448</v>
      </c>
      <c r="M762" s="985">
        <f t="shared" si="262"/>
        <v>0</v>
      </c>
      <c r="N762" s="985">
        <f t="shared" si="262"/>
        <v>0</v>
      </c>
      <c r="O762" s="985">
        <f t="shared" si="262"/>
        <v>27018448</v>
      </c>
      <c r="P762" s="985">
        <f t="shared" si="262"/>
        <v>0</v>
      </c>
      <c r="Q762" s="985">
        <f t="shared" si="262"/>
        <v>0</v>
      </c>
      <c r="R762" s="996" t="s">
        <v>40</v>
      </c>
      <c r="S762" s="996" t="s">
        <v>40</v>
      </c>
      <c r="T762" s="996" t="s">
        <v>40</v>
      </c>
    </row>
    <row r="763" spans="1:20" s="997" customFormat="1" ht="39.6" customHeight="1">
      <c r="A763" s="1393">
        <v>42</v>
      </c>
      <c r="B763" s="1390" t="s">
        <v>1428</v>
      </c>
      <c r="C763" s="1393">
        <v>1917</v>
      </c>
      <c r="D763" s="1393"/>
      <c r="E763" s="1383" t="s">
        <v>218</v>
      </c>
      <c r="F763" s="1393">
        <v>2</v>
      </c>
      <c r="G763" s="1393">
        <v>2</v>
      </c>
      <c r="H763" s="985">
        <v>552.5</v>
      </c>
      <c r="I763" s="985">
        <v>552.5</v>
      </c>
      <c r="J763" s="985">
        <v>289.2</v>
      </c>
      <c r="K763" s="995">
        <v>24</v>
      </c>
      <c r="L763" s="985">
        <v>265969</v>
      </c>
      <c r="M763" s="985">
        <v>0</v>
      </c>
      <c r="N763" s="985">
        <v>0</v>
      </c>
      <c r="O763" s="985">
        <f>L763</f>
        <v>265969</v>
      </c>
      <c r="P763" s="985">
        <v>0</v>
      </c>
      <c r="Q763" s="985">
        <v>0</v>
      </c>
      <c r="R763" s="985">
        <f t="shared" ref="R763:R774" si="263">L763/I763</f>
        <v>481.39185520361991</v>
      </c>
      <c r="S763" s="988">
        <v>2022</v>
      </c>
      <c r="T763" s="988">
        <v>2022</v>
      </c>
    </row>
    <row r="764" spans="1:20" s="997" customFormat="1" ht="40.200000000000003" customHeight="1">
      <c r="A764" s="1393">
        <v>43</v>
      </c>
      <c r="B764" s="1390" t="s">
        <v>1920</v>
      </c>
      <c r="C764" s="1393">
        <v>1987</v>
      </c>
      <c r="D764" s="1393"/>
      <c r="E764" s="1383" t="s">
        <v>218</v>
      </c>
      <c r="F764" s="1393">
        <v>5</v>
      </c>
      <c r="G764" s="1393">
        <v>10</v>
      </c>
      <c r="H764" s="985">
        <v>7955.4</v>
      </c>
      <c r="I764" s="985">
        <v>7955.4</v>
      </c>
      <c r="J764" s="985">
        <v>4819.5</v>
      </c>
      <c r="K764" s="995">
        <v>190</v>
      </c>
      <c r="L764" s="985">
        <v>11916426</v>
      </c>
      <c r="M764" s="985">
        <v>0</v>
      </c>
      <c r="N764" s="985">
        <v>0</v>
      </c>
      <c r="O764" s="985">
        <f t="shared" ref="O764:O774" si="264">L764</f>
        <v>11916426</v>
      </c>
      <c r="P764" s="985">
        <v>0</v>
      </c>
      <c r="Q764" s="985">
        <v>0</v>
      </c>
      <c r="R764" s="985">
        <f t="shared" si="263"/>
        <v>1497.9040651632854</v>
      </c>
      <c r="S764" s="988">
        <v>2022</v>
      </c>
      <c r="T764" s="988">
        <v>2022</v>
      </c>
    </row>
    <row r="765" spans="1:20" s="997" customFormat="1" ht="42.6" customHeight="1">
      <c r="A765" s="1393">
        <v>44</v>
      </c>
      <c r="B765" s="1390" t="s">
        <v>1921</v>
      </c>
      <c r="C765" s="1393">
        <v>1977</v>
      </c>
      <c r="D765" s="1393"/>
      <c r="E765" s="1383" t="s">
        <v>218</v>
      </c>
      <c r="F765" s="1393">
        <v>2</v>
      </c>
      <c r="G765" s="1393">
        <v>1</v>
      </c>
      <c r="H765" s="985">
        <v>374.5</v>
      </c>
      <c r="I765" s="985">
        <v>374.5</v>
      </c>
      <c r="J765" s="985">
        <v>334.9</v>
      </c>
      <c r="K765" s="995">
        <v>18</v>
      </c>
      <c r="L765" s="985">
        <v>566752</v>
      </c>
      <c r="M765" s="985">
        <v>0</v>
      </c>
      <c r="N765" s="985">
        <v>0</v>
      </c>
      <c r="O765" s="985">
        <f t="shared" si="264"/>
        <v>566752</v>
      </c>
      <c r="P765" s="985">
        <v>0</v>
      </c>
      <c r="Q765" s="985">
        <v>0</v>
      </c>
      <c r="R765" s="985">
        <f t="shared" si="263"/>
        <v>1513.3564753004005</v>
      </c>
      <c r="S765" s="988">
        <v>2022</v>
      </c>
      <c r="T765" s="988">
        <v>2022</v>
      </c>
    </row>
    <row r="766" spans="1:20" s="997" customFormat="1" ht="39.6" customHeight="1">
      <c r="A766" s="1393">
        <v>45</v>
      </c>
      <c r="B766" s="1390" t="s">
        <v>1922</v>
      </c>
      <c r="C766" s="1393">
        <v>1940</v>
      </c>
      <c r="D766" s="1393"/>
      <c r="E766" s="1383" t="s">
        <v>218</v>
      </c>
      <c r="F766" s="1393">
        <v>3</v>
      </c>
      <c r="G766" s="1393">
        <v>2</v>
      </c>
      <c r="H766" s="985">
        <v>755.4</v>
      </c>
      <c r="I766" s="985">
        <v>755.4</v>
      </c>
      <c r="J766" s="985">
        <v>656.1</v>
      </c>
      <c r="K766" s="995">
        <v>16</v>
      </c>
      <c r="L766" s="985">
        <v>1415102</v>
      </c>
      <c r="M766" s="985">
        <v>0</v>
      </c>
      <c r="N766" s="985">
        <v>0</v>
      </c>
      <c r="O766" s="985">
        <f t="shared" si="264"/>
        <v>1415102</v>
      </c>
      <c r="P766" s="985">
        <v>0</v>
      </c>
      <c r="Q766" s="985">
        <v>0</v>
      </c>
      <c r="R766" s="985">
        <f t="shared" si="263"/>
        <v>1873.3148001059042</v>
      </c>
      <c r="S766" s="988">
        <v>2022</v>
      </c>
      <c r="T766" s="988">
        <v>2022</v>
      </c>
    </row>
    <row r="767" spans="1:20" s="997" customFormat="1" ht="40.799999999999997" customHeight="1">
      <c r="A767" s="1393">
        <v>46</v>
      </c>
      <c r="B767" s="1390" t="s">
        <v>1434</v>
      </c>
      <c r="C767" s="1393">
        <v>2001</v>
      </c>
      <c r="D767" s="1393"/>
      <c r="E767" s="1383" t="s">
        <v>218</v>
      </c>
      <c r="F767" s="1393">
        <v>5</v>
      </c>
      <c r="G767" s="1393">
        <v>2</v>
      </c>
      <c r="H767" s="985">
        <v>3429.7</v>
      </c>
      <c r="I767" s="985">
        <v>3429.7</v>
      </c>
      <c r="J767" s="985">
        <v>3098</v>
      </c>
      <c r="K767" s="995">
        <v>113</v>
      </c>
      <c r="L767" s="985">
        <v>2391096</v>
      </c>
      <c r="M767" s="985">
        <v>0</v>
      </c>
      <c r="N767" s="985">
        <v>0</v>
      </c>
      <c r="O767" s="985">
        <f t="shared" si="264"/>
        <v>2391096</v>
      </c>
      <c r="P767" s="985">
        <v>0</v>
      </c>
      <c r="Q767" s="985">
        <v>0</v>
      </c>
      <c r="R767" s="985">
        <f t="shared" si="263"/>
        <v>697.17351371840107</v>
      </c>
      <c r="S767" s="988">
        <v>2022</v>
      </c>
      <c r="T767" s="988">
        <v>2022</v>
      </c>
    </row>
    <row r="768" spans="1:20" s="1028" customFormat="1" ht="42.6" customHeight="1">
      <c r="A768" s="1393">
        <v>47</v>
      </c>
      <c r="B768" s="1390" t="s">
        <v>1435</v>
      </c>
      <c r="C768" s="1393">
        <v>1959</v>
      </c>
      <c r="D768" s="1393"/>
      <c r="E768" s="1383" t="s">
        <v>218</v>
      </c>
      <c r="F768" s="1393">
        <v>2</v>
      </c>
      <c r="G768" s="1393">
        <v>1</v>
      </c>
      <c r="H768" s="985">
        <v>373.4</v>
      </c>
      <c r="I768" s="985">
        <v>373.4</v>
      </c>
      <c r="J768" s="985">
        <v>235.3</v>
      </c>
      <c r="K768" s="995">
        <v>13</v>
      </c>
      <c r="L768" s="985">
        <v>59818</v>
      </c>
      <c r="M768" s="985">
        <v>0</v>
      </c>
      <c r="N768" s="985">
        <v>0</v>
      </c>
      <c r="O768" s="985">
        <f t="shared" si="264"/>
        <v>59818</v>
      </c>
      <c r="P768" s="985">
        <v>0</v>
      </c>
      <c r="Q768" s="985">
        <v>0</v>
      </c>
      <c r="R768" s="985">
        <f t="shared" si="263"/>
        <v>160.19817889662562</v>
      </c>
      <c r="S768" s="988">
        <v>2022</v>
      </c>
      <c r="T768" s="988">
        <v>2022</v>
      </c>
    </row>
    <row r="769" spans="1:20" s="1028" customFormat="1" ht="39.6" customHeight="1">
      <c r="A769" s="1393">
        <v>48</v>
      </c>
      <c r="B769" s="1390" t="s">
        <v>1436</v>
      </c>
      <c r="C769" s="1393">
        <v>1956</v>
      </c>
      <c r="D769" s="1393"/>
      <c r="E769" s="1383" t="s">
        <v>218</v>
      </c>
      <c r="F769" s="1393">
        <v>2</v>
      </c>
      <c r="G769" s="1393">
        <v>2</v>
      </c>
      <c r="H769" s="985">
        <v>855.4</v>
      </c>
      <c r="I769" s="985">
        <v>855.4</v>
      </c>
      <c r="J769" s="985">
        <v>802.2</v>
      </c>
      <c r="K769" s="995">
        <v>19</v>
      </c>
      <c r="L769" s="985">
        <v>2495129</v>
      </c>
      <c r="M769" s="985">
        <v>0</v>
      </c>
      <c r="N769" s="985">
        <v>0</v>
      </c>
      <c r="O769" s="985">
        <f t="shared" si="264"/>
        <v>2495129</v>
      </c>
      <c r="P769" s="985">
        <v>0</v>
      </c>
      <c r="Q769" s="985">
        <v>0</v>
      </c>
      <c r="R769" s="985">
        <f t="shared" si="263"/>
        <v>2916.9148936170213</v>
      </c>
      <c r="S769" s="988">
        <v>2022</v>
      </c>
      <c r="T769" s="988">
        <v>2022</v>
      </c>
    </row>
    <row r="770" spans="1:20" s="1028" customFormat="1" ht="37.950000000000003" customHeight="1">
      <c r="A770" s="1393">
        <v>49</v>
      </c>
      <c r="B770" s="1390" t="s">
        <v>1437</v>
      </c>
      <c r="C770" s="1393">
        <v>1958</v>
      </c>
      <c r="D770" s="1393"/>
      <c r="E770" s="1393" t="s">
        <v>221</v>
      </c>
      <c r="F770" s="1393">
        <v>2</v>
      </c>
      <c r="G770" s="1393">
        <v>2</v>
      </c>
      <c r="H770" s="985">
        <v>518.9</v>
      </c>
      <c r="I770" s="985">
        <v>518.9</v>
      </c>
      <c r="J770" s="985">
        <v>455.6</v>
      </c>
      <c r="K770" s="995">
        <v>19</v>
      </c>
      <c r="L770" s="985">
        <v>862736</v>
      </c>
      <c r="M770" s="985">
        <v>0</v>
      </c>
      <c r="N770" s="985">
        <v>0</v>
      </c>
      <c r="O770" s="985">
        <f t="shared" si="264"/>
        <v>862736</v>
      </c>
      <c r="P770" s="985">
        <v>0</v>
      </c>
      <c r="Q770" s="985">
        <v>0</v>
      </c>
      <c r="R770" s="985">
        <f t="shared" si="263"/>
        <v>1662.6247831952207</v>
      </c>
      <c r="S770" s="988">
        <v>2022</v>
      </c>
      <c r="T770" s="988">
        <v>2022</v>
      </c>
    </row>
    <row r="771" spans="1:20" s="997" customFormat="1" ht="39.6" customHeight="1">
      <c r="A771" s="1393">
        <v>50</v>
      </c>
      <c r="B771" s="1390" t="s">
        <v>1430</v>
      </c>
      <c r="C771" s="1393">
        <v>1952</v>
      </c>
      <c r="D771" s="1393"/>
      <c r="E771" s="1383" t="s">
        <v>218</v>
      </c>
      <c r="F771" s="1393">
        <v>2</v>
      </c>
      <c r="G771" s="1393">
        <v>1</v>
      </c>
      <c r="H771" s="985">
        <v>487.8</v>
      </c>
      <c r="I771" s="985">
        <v>487.8</v>
      </c>
      <c r="J771" s="985">
        <v>305.3</v>
      </c>
      <c r="K771" s="995">
        <v>12</v>
      </c>
      <c r="L771" s="985">
        <v>1604978</v>
      </c>
      <c r="M771" s="985">
        <v>0</v>
      </c>
      <c r="N771" s="985">
        <v>0</v>
      </c>
      <c r="O771" s="985">
        <f t="shared" si="264"/>
        <v>1604978</v>
      </c>
      <c r="P771" s="985">
        <v>0</v>
      </c>
      <c r="Q771" s="985">
        <v>0</v>
      </c>
      <c r="R771" s="985">
        <f t="shared" si="263"/>
        <v>3290.2378023780238</v>
      </c>
      <c r="S771" s="988">
        <v>2022</v>
      </c>
      <c r="T771" s="988">
        <v>2022</v>
      </c>
    </row>
    <row r="772" spans="1:20" s="997" customFormat="1" ht="42.6" customHeight="1">
      <c r="A772" s="1393">
        <v>51</v>
      </c>
      <c r="B772" s="1390" t="s">
        <v>1431</v>
      </c>
      <c r="C772" s="1393">
        <v>1951</v>
      </c>
      <c r="D772" s="1393"/>
      <c r="E772" s="1383" t="s">
        <v>218</v>
      </c>
      <c r="F772" s="1393">
        <v>2</v>
      </c>
      <c r="G772" s="1393">
        <v>1</v>
      </c>
      <c r="H772" s="985">
        <v>402.4</v>
      </c>
      <c r="I772" s="985">
        <v>402.4</v>
      </c>
      <c r="J772" s="985">
        <v>369.1</v>
      </c>
      <c r="K772" s="995">
        <v>12</v>
      </c>
      <c r="L772" s="985">
        <v>1167688</v>
      </c>
      <c r="M772" s="985">
        <v>0</v>
      </c>
      <c r="N772" s="985">
        <v>0</v>
      </c>
      <c r="O772" s="985">
        <f t="shared" si="264"/>
        <v>1167688</v>
      </c>
      <c r="P772" s="985">
        <v>0</v>
      </c>
      <c r="Q772" s="985">
        <v>0</v>
      </c>
      <c r="R772" s="985">
        <f t="shared" si="263"/>
        <v>2901.8091451292248</v>
      </c>
      <c r="S772" s="988">
        <v>2022</v>
      </c>
      <c r="T772" s="988">
        <v>2022</v>
      </c>
    </row>
    <row r="773" spans="1:20" s="997" customFormat="1" ht="39.6" customHeight="1">
      <c r="A773" s="1393">
        <v>52</v>
      </c>
      <c r="B773" s="1390" t="s">
        <v>1432</v>
      </c>
      <c r="C773" s="1393">
        <v>1956</v>
      </c>
      <c r="D773" s="1393"/>
      <c r="E773" s="1383" t="s">
        <v>218</v>
      </c>
      <c r="F773" s="1393">
        <v>2</v>
      </c>
      <c r="G773" s="1393">
        <v>1</v>
      </c>
      <c r="H773" s="985">
        <v>386.2</v>
      </c>
      <c r="I773" s="985">
        <v>386.2</v>
      </c>
      <c r="J773" s="985">
        <v>245.4</v>
      </c>
      <c r="K773" s="995">
        <v>14</v>
      </c>
      <c r="L773" s="985">
        <v>1235380</v>
      </c>
      <c r="M773" s="985">
        <v>0</v>
      </c>
      <c r="N773" s="985">
        <v>0</v>
      </c>
      <c r="O773" s="985">
        <f t="shared" si="264"/>
        <v>1235380</v>
      </c>
      <c r="P773" s="985">
        <v>0</v>
      </c>
      <c r="Q773" s="985">
        <v>0</v>
      </c>
      <c r="R773" s="985">
        <f t="shared" si="263"/>
        <v>3198.8089073019164</v>
      </c>
      <c r="S773" s="988">
        <v>2022</v>
      </c>
      <c r="T773" s="988">
        <v>2022</v>
      </c>
    </row>
    <row r="774" spans="1:20" s="997" customFormat="1" ht="42" customHeight="1">
      <c r="A774" s="1393">
        <v>53</v>
      </c>
      <c r="B774" s="1390" t="s">
        <v>1433</v>
      </c>
      <c r="C774" s="1393">
        <v>1959</v>
      </c>
      <c r="D774" s="1393"/>
      <c r="E774" s="1383" t="s">
        <v>218</v>
      </c>
      <c r="F774" s="1393">
        <v>3</v>
      </c>
      <c r="G774" s="1393">
        <v>2</v>
      </c>
      <c r="H774" s="985">
        <v>996.5</v>
      </c>
      <c r="I774" s="985">
        <v>996.5</v>
      </c>
      <c r="J774" s="985">
        <v>919.3</v>
      </c>
      <c r="K774" s="995">
        <v>14</v>
      </c>
      <c r="L774" s="985">
        <v>1863563</v>
      </c>
      <c r="M774" s="985">
        <v>0</v>
      </c>
      <c r="N774" s="985">
        <v>0</v>
      </c>
      <c r="O774" s="985">
        <f t="shared" si="264"/>
        <v>1863563</v>
      </c>
      <c r="P774" s="985">
        <v>0</v>
      </c>
      <c r="Q774" s="985">
        <v>0</v>
      </c>
      <c r="R774" s="985">
        <f t="shared" si="263"/>
        <v>1870.1083793276468</v>
      </c>
      <c r="S774" s="988">
        <v>2022</v>
      </c>
      <c r="T774" s="988">
        <v>2022</v>
      </c>
    </row>
    <row r="775" spans="1:20" s="997" customFormat="1" ht="40.200000000000003" customHeight="1">
      <c r="A775" s="1393">
        <v>54</v>
      </c>
      <c r="B775" s="1390" t="s">
        <v>1872</v>
      </c>
      <c r="C775" s="1393">
        <v>1963</v>
      </c>
      <c r="D775" s="1393"/>
      <c r="E775" s="1383" t="s">
        <v>218</v>
      </c>
      <c r="F775" s="1393">
        <v>3</v>
      </c>
      <c r="G775" s="1393">
        <v>2</v>
      </c>
      <c r="H775" s="985">
        <v>999</v>
      </c>
      <c r="I775" s="985">
        <v>999</v>
      </c>
      <c r="J775" s="985">
        <v>929.3</v>
      </c>
      <c r="K775" s="995">
        <v>33</v>
      </c>
      <c r="L775" s="985">
        <v>1173811</v>
      </c>
      <c r="M775" s="985">
        <v>0</v>
      </c>
      <c r="N775" s="985">
        <v>0</v>
      </c>
      <c r="O775" s="985">
        <f>L775</f>
        <v>1173811</v>
      </c>
      <c r="P775" s="985">
        <v>0</v>
      </c>
      <c r="Q775" s="985">
        <v>0</v>
      </c>
      <c r="R775" s="985">
        <f>L775/I775</f>
        <v>1174.985985985986</v>
      </c>
      <c r="S775" s="1393">
        <v>2022</v>
      </c>
      <c r="T775" s="1393">
        <v>2022</v>
      </c>
    </row>
    <row r="776" spans="1:20" s="1028" customFormat="1" ht="37.950000000000003" customHeight="1">
      <c r="A776" s="1249"/>
      <c r="B776" s="1543" t="s">
        <v>1163</v>
      </c>
      <c r="C776" s="1544"/>
      <c r="D776" s="1544"/>
      <c r="E776" s="1544"/>
      <c r="F776" s="1544"/>
      <c r="G776" s="1545"/>
      <c r="H776" s="985">
        <f>SUM(H777:H779)</f>
        <v>9704.9599999999991</v>
      </c>
      <c r="I776" s="985">
        <f t="shared" ref="I776:Q776" si="265">SUM(I777:I779)</f>
        <v>7445.4</v>
      </c>
      <c r="J776" s="985">
        <f t="shared" si="265"/>
        <v>3146.8999999999996</v>
      </c>
      <c r="K776" s="995">
        <f t="shared" si="265"/>
        <v>229</v>
      </c>
      <c r="L776" s="985">
        <f t="shared" si="265"/>
        <v>11450500</v>
      </c>
      <c r="M776" s="985">
        <f t="shared" si="265"/>
        <v>0</v>
      </c>
      <c r="N776" s="985">
        <f t="shared" si="265"/>
        <v>0</v>
      </c>
      <c r="O776" s="985">
        <f t="shared" si="265"/>
        <v>11450500</v>
      </c>
      <c r="P776" s="985">
        <f t="shared" si="265"/>
        <v>0</v>
      </c>
      <c r="Q776" s="985">
        <f t="shared" si="265"/>
        <v>0</v>
      </c>
      <c r="R776" s="996" t="s">
        <v>40</v>
      </c>
      <c r="S776" s="1255" t="s">
        <v>40</v>
      </c>
      <c r="T776" s="996" t="s">
        <v>40</v>
      </c>
    </row>
    <row r="777" spans="1:20" s="1028" customFormat="1" ht="43.2" customHeight="1">
      <c r="A777" s="1154">
        <v>55</v>
      </c>
      <c r="B777" s="1260" t="s">
        <v>1525</v>
      </c>
      <c r="C777" s="1260">
        <v>1937</v>
      </c>
      <c r="D777" s="1260"/>
      <c r="E777" s="1249" t="s">
        <v>218</v>
      </c>
      <c r="F777" s="1249">
        <v>4</v>
      </c>
      <c r="G777" s="1249">
        <v>4</v>
      </c>
      <c r="H777" s="998">
        <v>3100.5</v>
      </c>
      <c r="I777" s="998">
        <v>2302.1999999999998</v>
      </c>
      <c r="J777" s="998">
        <v>653.79999999999995</v>
      </c>
      <c r="K777" s="986">
        <v>80</v>
      </c>
      <c r="L777" s="998">
        <v>3746481</v>
      </c>
      <c r="M777" s="985">
        <v>0</v>
      </c>
      <c r="N777" s="985">
        <v>0</v>
      </c>
      <c r="O777" s="998">
        <v>3746481</v>
      </c>
      <c r="P777" s="985">
        <v>0</v>
      </c>
      <c r="Q777" s="985">
        <v>0</v>
      </c>
      <c r="R777" s="998">
        <f>ROUND(L777/I777,2)</f>
        <v>1627.35</v>
      </c>
      <c r="S777" s="988">
        <v>2022</v>
      </c>
      <c r="T777" s="988">
        <v>2022</v>
      </c>
    </row>
    <row r="778" spans="1:20" s="1028" customFormat="1" ht="42.6" customHeight="1">
      <c r="A778" s="1155">
        <v>56</v>
      </c>
      <c r="B778" s="1260" t="s">
        <v>1526</v>
      </c>
      <c r="C778" s="1156">
        <v>1936</v>
      </c>
      <c r="D778" s="1156"/>
      <c r="E778" s="1249" t="s">
        <v>218</v>
      </c>
      <c r="F778" s="1254">
        <v>4</v>
      </c>
      <c r="G778" s="1254">
        <v>4</v>
      </c>
      <c r="H778" s="1157">
        <v>3206.3</v>
      </c>
      <c r="I778" s="1157">
        <v>2598.8000000000002</v>
      </c>
      <c r="J778" s="1157">
        <v>1050.8</v>
      </c>
      <c r="K778" s="1158">
        <v>76</v>
      </c>
      <c r="L778" s="1157">
        <v>3892752</v>
      </c>
      <c r="M778" s="985">
        <v>0</v>
      </c>
      <c r="N778" s="985">
        <v>0</v>
      </c>
      <c r="O778" s="1157">
        <v>3892752</v>
      </c>
      <c r="P778" s="985">
        <v>0</v>
      </c>
      <c r="Q778" s="985">
        <v>0</v>
      </c>
      <c r="R778" s="998">
        <f>ROUND(L778/I778,2)</f>
        <v>1497.9</v>
      </c>
      <c r="S778" s="988">
        <v>2022</v>
      </c>
      <c r="T778" s="988">
        <v>2022</v>
      </c>
    </row>
    <row r="779" spans="1:20" s="1028" customFormat="1" ht="42.6" customHeight="1">
      <c r="A779" s="1154">
        <v>57</v>
      </c>
      <c r="B779" s="1260" t="s">
        <v>1527</v>
      </c>
      <c r="C779" s="1260">
        <v>1934</v>
      </c>
      <c r="D779" s="1260"/>
      <c r="E779" s="1249" t="s">
        <v>218</v>
      </c>
      <c r="F779" s="1249">
        <v>4</v>
      </c>
      <c r="G779" s="1249">
        <v>4</v>
      </c>
      <c r="H779" s="998">
        <v>3398.16</v>
      </c>
      <c r="I779" s="998">
        <v>2544.4</v>
      </c>
      <c r="J779" s="998">
        <v>1442.3</v>
      </c>
      <c r="K779" s="986">
        <v>73</v>
      </c>
      <c r="L779" s="998">
        <v>3811267</v>
      </c>
      <c r="M779" s="985">
        <v>0</v>
      </c>
      <c r="N779" s="985">
        <v>0</v>
      </c>
      <c r="O779" s="998">
        <v>3811267</v>
      </c>
      <c r="P779" s="985">
        <v>0</v>
      </c>
      <c r="Q779" s="985">
        <v>0</v>
      </c>
      <c r="R779" s="998">
        <f>ROUND(L779/I779,2)</f>
        <v>1497.9</v>
      </c>
      <c r="S779" s="988">
        <v>2022</v>
      </c>
      <c r="T779" s="988">
        <v>2022</v>
      </c>
    </row>
    <row r="780" spans="1:20" s="1028" customFormat="1" ht="39" customHeight="1">
      <c r="A780" s="1249"/>
      <c r="B780" s="1513" t="s">
        <v>1681</v>
      </c>
      <c r="C780" s="1513"/>
      <c r="D780" s="1513"/>
      <c r="E780" s="1513"/>
      <c r="F780" s="1513"/>
      <c r="G780" s="1513"/>
      <c r="H780" s="985">
        <f>H781+H782</f>
        <v>1303.6999999999998</v>
      </c>
      <c r="I780" s="985">
        <f t="shared" ref="I780:Q780" si="266">I781+I782</f>
        <v>878.2</v>
      </c>
      <c r="J780" s="985">
        <f t="shared" si="266"/>
        <v>846.5</v>
      </c>
      <c r="K780" s="995">
        <f t="shared" si="266"/>
        <v>34</v>
      </c>
      <c r="L780" s="985">
        <f t="shared" si="266"/>
        <v>3519986</v>
      </c>
      <c r="M780" s="985">
        <f t="shared" si="266"/>
        <v>0</v>
      </c>
      <c r="N780" s="985">
        <f t="shared" si="266"/>
        <v>0</v>
      </c>
      <c r="O780" s="985">
        <f t="shared" si="266"/>
        <v>3519986</v>
      </c>
      <c r="P780" s="985">
        <f t="shared" si="266"/>
        <v>0</v>
      </c>
      <c r="Q780" s="985">
        <f t="shared" si="266"/>
        <v>0</v>
      </c>
      <c r="R780" s="996" t="s">
        <v>40</v>
      </c>
      <c r="S780" s="1255" t="s">
        <v>40</v>
      </c>
      <c r="T780" s="996" t="s">
        <v>40</v>
      </c>
    </row>
    <row r="781" spans="1:20" s="1041" customFormat="1" ht="37.950000000000003" customHeight="1">
      <c r="A781" s="1249">
        <v>58</v>
      </c>
      <c r="B781" s="1260" t="s">
        <v>619</v>
      </c>
      <c r="C781" s="1255">
        <v>1972</v>
      </c>
      <c r="D781" s="1255"/>
      <c r="E781" s="1249" t="s">
        <v>220</v>
      </c>
      <c r="F781" s="1255">
        <v>2</v>
      </c>
      <c r="G781" s="1255">
        <v>1</v>
      </c>
      <c r="H781" s="985">
        <v>383.9</v>
      </c>
      <c r="I781" s="985">
        <v>351.1</v>
      </c>
      <c r="J781" s="985">
        <v>351.1</v>
      </c>
      <c r="K781" s="995">
        <v>8</v>
      </c>
      <c r="L781" s="987">
        <v>1556917</v>
      </c>
      <c r="M781" s="987">
        <v>0</v>
      </c>
      <c r="N781" s="987">
        <v>0</v>
      </c>
      <c r="O781" s="987">
        <v>1556917</v>
      </c>
      <c r="P781" s="998">
        <v>0</v>
      </c>
      <c r="Q781" s="987">
        <v>0</v>
      </c>
      <c r="R781" s="985">
        <f t="shared" ref="R781:R782" si="267">L781/I781</f>
        <v>4434.3976075192249</v>
      </c>
      <c r="S781" s="988">
        <v>2022</v>
      </c>
      <c r="T781" s="988">
        <v>2022</v>
      </c>
    </row>
    <row r="782" spans="1:20" s="1041" customFormat="1" ht="37.950000000000003" customHeight="1">
      <c r="A782" s="1249">
        <v>59</v>
      </c>
      <c r="B782" s="1260" t="s">
        <v>1529</v>
      </c>
      <c r="C782" s="1255">
        <v>1978</v>
      </c>
      <c r="D782" s="1255"/>
      <c r="E782" s="1249" t="s">
        <v>220</v>
      </c>
      <c r="F782" s="1255">
        <v>2</v>
      </c>
      <c r="G782" s="1255">
        <v>2</v>
      </c>
      <c r="H782" s="985">
        <v>919.8</v>
      </c>
      <c r="I782" s="985">
        <v>527.1</v>
      </c>
      <c r="J782" s="985">
        <v>495.4</v>
      </c>
      <c r="K782" s="995">
        <v>26</v>
      </c>
      <c r="L782" s="987">
        <v>1963069</v>
      </c>
      <c r="M782" s="987">
        <v>0</v>
      </c>
      <c r="N782" s="987">
        <v>0</v>
      </c>
      <c r="O782" s="987">
        <f t="shared" ref="O782" si="268">L782</f>
        <v>1963069</v>
      </c>
      <c r="P782" s="998">
        <v>0</v>
      </c>
      <c r="Q782" s="987">
        <v>0</v>
      </c>
      <c r="R782" s="985">
        <f t="shared" si="267"/>
        <v>3724.2819199392902</v>
      </c>
      <c r="S782" s="988">
        <v>2022</v>
      </c>
      <c r="T782" s="988">
        <v>2022</v>
      </c>
    </row>
    <row r="783" spans="1:20" s="1041" customFormat="1" ht="37.950000000000003" customHeight="1">
      <c r="A783" s="1249"/>
      <c r="B783" s="1542" t="s">
        <v>41</v>
      </c>
      <c r="C783" s="1542"/>
      <c r="D783" s="1542"/>
      <c r="E783" s="1542"/>
      <c r="F783" s="1542"/>
      <c r="G783" s="1542"/>
      <c r="H783" s="985">
        <f>H784</f>
        <v>8351.6299999999992</v>
      </c>
      <c r="I783" s="985">
        <f t="shared" ref="I783:Q783" si="269">I784</f>
        <v>8351.6299999999992</v>
      </c>
      <c r="J783" s="985">
        <f t="shared" si="269"/>
        <v>6624.83</v>
      </c>
      <c r="K783" s="995">
        <f t="shared" si="269"/>
        <v>365</v>
      </c>
      <c r="L783" s="987">
        <f t="shared" si="269"/>
        <v>20749518</v>
      </c>
      <c r="M783" s="987">
        <f t="shared" si="269"/>
        <v>0</v>
      </c>
      <c r="N783" s="987">
        <f t="shared" si="269"/>
        <v>0</v>
      </c>
      <c r="O783" s="987">
        <f t="shared" si="269"/>
        <v>20749518</v>
      </c>
      <c r="P783" s="998">
        <v>0</v>
      </c>
      <c r="Q783" s="987">
        <f t="shared" si="269"/>
        <v>0</v>
      </c>
      <c r="R783" s="996" t="s">
        <v>40</v>
      </c>
      <c r="S783" s="996" t="s">
        <v>40</v>
      </c>
      <c r="T783" s="1017" t="s">
        <v>40</v>
      </c>
    </row>
    <row r="784" spans="1:20" s="1041" customFormat="1" ht="37.950000000000003" customHeight="1">
      <c r="A784" s="1249"/>
      <c r="B784" s="1542" t="s">
        <v>1075</v>
      </c>
      <c r="C784" s="1513"/>
      <c r="D784" s="1513"/>
      <c r="E784" s="1513"/>
      <c r="F784" s="1513"/>
      <c r="G784" s="1513"/>
      <c r="H784" s="1060">
        <f>SUM(H785:H789)</f>
        <v>8351.6299999999992</v>
      </c>
      <c r="I784" s="1060">
        <f t="shared" ref="I784:Q784" si="270">SUM(I785:I789)</f>
        <v>8351.6299999999992</v>
      </c>
      <c r="J784" s="1060">
        <f t="shared" si="270"/>
        <v>6624.83</v>
      </c>
      <c r="K784" s="995">
        <f t="shared" si="270"/>
        <v>365</v>
      </c>
      <c r="L784" s="1060">
        <f t="shared" si="270"/>
        <v>20749518</v>
      </c>
      <c r="M784" s="1060">
        <f t="shared" si="270"/>
        <v>0</v>
      </c>
      <c r="N784" s="1060">
        <f t="shared" si="270"/>
        <v>0</v>
      </c>
      <c r="O784" s="1060">
        <f t="shared" si="270"/>
        <v>20749518</v>
      </c>
      <c r="P784" s="1060">
        <f t="shared" si="270"/>
        <v>0</v>
      </c>
      <c r="Q784" s="1060">
        <f t="shared" si="270"/>
        <v>0</v>
      </c>
      <c r="R784" s="996" t="s">
        <v>40</v>
      </c>
      <c r="S784" s="996" t="s">
        <v>40</v>
      </c>
      <c r="T784" s="1017" t="s">
        <v>40</v>
      </c>
    </row>
    <row r="785" spans="1:20" s="1041" customFormat="1" ht="37.950000000000003" customHeight="1">
      <c r="A785" s="1026">
        <v>60</v>
      </c>
      <c r="B785" s="1381" t="s">
        <v>1880</v>
      </c>
      <c r="C785" s="1380">
        <v>1987</v>
      </c>
      <c r="D785" s="1061"/>
      <c r="E785" s="1378" t="s">
        <v>219</v>
      </c>
      <c r="F785" s="1380">
        <v>5</v>
      </c>
      <c r="G785" s="1380">
        <v>4</v>
      </c>
      <c r="H785" s="1060">
        <v>2769</v>
      </c>
      <c r="I785" s="1060">
        <v>2769</v>
      </c>
      <c r="J785" s="1060">
        <v>1151.5999999999999</v>
      </c>
      <c r="K785" s="1039">
        <v>117</v>
      </c>
      <c r="L785" s="1060">
        <v>6681834</v>
      </c>
      <c r="M785" s="1060">
        <v>0</v>
      </c>
      <c r="N785" s="1060">
        <v>0</v>
      </c>
      <c r="O785" s="1060">
        <v>6681834</v>
      </c>
      <c r="P785" s="1060">
        <v>0</v>
      </c>
      <c r="Q785" s="1060">
        <v>0</v>
      </c>
      <c r="R785" s="1060">
        <v>2413.09</v>
      </c>
      <c r="S785" s="988">
        <v>2022</v>
      </c>
      <c r="T785" s="988">
        <v>2022</v>
      </c>
    </row>
    <row r="786" spans="1:20" s="1041" customFormat="1" ht="37.950000000000003" customHeight="1">
      <c r="A786" s="1026">
        <v>61</v>
      </c>
      <c r="B786" s="1025" t="s">
        <v>1923</v>
      </c>
      <c r="C786" s="1026">
        <v>1960</v>
      </c>
      <c r="D786" s="1026"/>
      <c r="E786" s="1026" t="s">
        <v>218</v>
      </c>
      <c r="F786" s="1026">
        <v>2</v>
      </c>
      <c r="G786" s="1026">
        <v>2</v>
      </c>
      <c r="H786" s="1057">
        <v>651.92999999999995</v>
      </c>
      <c r="I786" s="1057">
        <v>651.92999999999995</v>
      </c>
      <c r="J786" s="1057">
        <v>651.92999999999995</v>
      </c>
      <c r="K786" s="1036">
        <v>45</v>
      </c>
      <c r="L786" s="1057">
        <v>2771746</v>
      </c>
      <c r="M786" s="1057">
        <v>0</v>
      </c>
      <c r="N786" s="1057">
        <v>0</v>
      </c>
      <c r="O786" s="1057">
        <v>2771746</v>
      </c>
      <c r="P786" s="1057">
        <v>0</v>
      </c>
      <c r="Q786" s="1057">
        <v>0</v>
      </c>
      <c r="R786" s="1057">
        <f t="shared" ref="R786:R789" si="271">L786/I786</f>
        <v>4251.6006319696908</v>
      </c>
      <c r="S786" s="988">
        <v>2022</v>
      </c>
      <c r="T786" s="988">
        <v>2022</v>
      </c>
    </row>
    <row r="787" spans="1:20" s="1041" customFormat="1" ht="37.950000000000003" customHeight="1">
      <c r="A787" s="1026">
        <v>62</v>
      </c>
      <c r="B787" s="1025" t="s">
        <v>1924</v>
      </c>
      <c r="C787" s="1026">
        <v>1949</v>
      </c>
      <c r="D787" s="1026"/>
      <c r="E787" s="1026" t="s">
        <v>218</v>
      </c>
      <c r="F787" s="1026">
        <v>2</v>
      </c>
      <c r="G787" s="1026">
        <v>1</v>
      </c>
      <c r="H787" s="1057">
        <v>386.3</v>
      </c>
      <c r="I787" s="1057">
        <v>386.3</v>
      </c>
      <c r="J787" s="1057">
        <v>386.3</v>
      </c>
      <c r="K787" s="1036">
        <v>17</v>
      </c>
      <c r="L787" s="1057">
        <v>1857606</v>
      </c>
      <c r="M787" s="1057">
        <v>0</v>
      </c>
      <c r="N787" s="1057">
        <v>0</v>
      </c>
      <c r="O787" s="1057">
        <v>1857606</v>
      </c>
      <c r="P787" s="1057">
        <v>0</v>
      </c>
      <c r="Q787" s="1057">
        <v>0</v>
      </c>
      <c r="R787" s="1057">
        <f>L787/I787</f>
        <v>4808.7134351540253</v>
      </c>
      <c r="S787" s="988">
        <v>2022</v>
      </c>
      <c r="T787" s="988">
        <v>2022</v>
      </c>
    </row>
    <row r="788" spans="1:20" s="1041" customFormat="1" ht="37.950000000000003" customHeight="1">
      <c r="A788" s="1026">
        <v>63</v>
      </c>
      <c r="B788" s="1025" t="s">
        <v>1925</v>
      </c>
      <c r="C788" s="1026">
        <v>1965</v>
      </c>
      <c r="D788" s="1061"/>
      <c r="E788" s="1026" t="s">
        <v>218</v>
      </c>
      <c r="F788" s="1026">
        <v>4</v>
      </c>
      <c r="G788" s="1026">
        <v>2</v>
      </c>
      <c r="H788" s="1057">
        <v>1276</v>
      </c>
      <c r="I788" s="1057">
        <v>1276</v>
      </c>
      <c r="J788" s="1057">
        <v>1232.7</v>
      </c>
      <c r="K788" s="1039">
        <v>41</v>
      </c>
      <c r="L788" s="1057">
        <v>5662886</v>
      </c>
      <c r="M788" s="1057">
        <v>0</v>
      </c>
      <c r="N788" s="1057">
        <v>0</v>
      </c>
      <c r="O788" s="1057">
        <v>5662886</v>
      </c>
      <c r="P788" s="1057">
        <v>0</v>
      </c>
      <c r="Q788" s="1057">
        <v>0</v>
      </c>
      <c r="R788" s="1057">
        <f t="shared" si="271"/>
        <v>4437.9984326018812</v>
      </c>
      <c r="S788" s="988">
        <v>2022</v>
      </c>
      <c r="T788" s="988">
        <v>2022</v>
      </c>
    </row>
    <row r="789" spans="1:20" s="1041" customFormat="1" ht="37.950000000000003" customHeight="1">
      <c r="A789" s="1026">
        <v>64</v>
      </c>
      <c r="B789" s="1025" t="s">
        <v>1926</v>
      </c>
      <c r="C789" s="1026">
        <v>1973</v>
      </c>
      <c r="D789" s="1061"/>
      <c r="E789" s="1026" t="s">
        <v>218</v>
      </c>
      <c r="F789" s="1026">
        <v>5</v>
      </c>
      <c r="G789" s="1026">
        <v>4</v>
      </c>
      <c r="H789" s="1057">
        <v>3268.4</v>
      </c>
      <c r="I789" s="1057">
        <v>3268.4</v>
      </c>
      <c r="J789" s="1057">
        <v>3202.3</v>
      </c>
      <c r="K789" s="1039">
        <v>145</v>
      </c>
      <c r="L789" s="1057">
        <v>3775446</v>
      </c>
      <c r="M789" s="1057">
        <v>0</v>
      </c>
      <c r="N789" s="1057">
        <v>0</v>
      </c>
      <c r="O789" s="1057">
        <v>3775446</v>
      </c>
      <c r="P789" s="1057">
        <v>0</v>
      </c>
      <c r="Q789" s="1057">
        <v>0</v>
      </c>
      <c r="R789" s="1057">
        <f t="shared" si="271"/>
        <v>1155.1358462856442</v>
      </c>
      <c r="S789" s="988">
        <v>2022</v>
      </c>
      <c r="T789" s="988">
        <v>2022</v>
      </c>
    </row>
    <row r="790" spans="1:20" s="1041" customFormat="1" ht="37.950000000000003" customHeight="1">
      <c r="A790" s="1249"/>
      <c r="B790" s="1542" t="s">
        <v>68</v>
      </c>
      <c r="C790" s="1542"/>
      <c r="D790" s="1542"/>
      <c r="E790" s="1542"/>
      <c r="F790" s="1542"/>
      <c r="G790" s="1542"/>
      <c r="H790" s="998">
        <f>H791</f>
        <v>732.9</v>
      </c>
      <c r="I790" s="998">
        <f t="shared" ref="I790:Q790" si="272">I791</f>
        <v>540.6</v>
      </c>
      <c r="J790" s="1159">
        <f t="shared" si="272"/>
        <v>459.20000000000005</v>
      </c>
      <c r="K790" s="986">
        <f t="shared" si="272"/>
        <v>33</v>
      </c>
      <c r="L790" s="998">
        <f t="shared" si="272"/>
        <v>363137</v>
      </c>
      <c r="M790" s="998">
        <f t="shared" si="272"/>
        <v>0</v>
      </c>
      <c r="N790" s="998">
        <f t="shared" si="272"/>
        <v>0</v>
      </c>
      <c r="O790" s="998">
        <f t="shared" si="272"/>
        <v>363137</v>
      </c>
      <c r="P790" s="998">
        <f t="shared" si="272"/>
        <v>0</v>
      </c>
      <c r="Q790" s="998">
        <f t="shared" si="272"/>
        <v>0</v>
      </c>
      <c r="R790" s="996" t="s">
        <v>40</v>
      </c>
      <c r="S790" s="996" t="s">
        <v>40</v>
      </c>
      <c r="T790" s="1017" t="s">
        <v>40</v>
      </c>
    </row>
    <row r="791" spans="1:20" s="1041" customFormat="1" ht="37.950000000000003" customHeight="1">
      <c r="A791" s="1249"/>
      <c r="B791" s="1542" t="s">
        <v>1076</v>
      </c>
      <c r="C791" s="1542"/>
      <c r="D791" s="1542"/>
      <c r="E791" s="1542"/>
      <c r="F791" s="1542"/>
      <c r="G791" s="1542"/>
      <c r="H791" s="998">
        <f>H792+H793</f>
        <v>732.9</v>
      </c>
      <c r="I791" s="998">
        <f t="shared" ref="I791:Q791" si="273">I792+I793</f>
        <v>540.6</v>
      </c>
      <c r="J791" s="998">
        <f t="shared" si="273"/>
        <v>459.20000000000005</v>
      </c>
      <c r="K791" s="986">
        <f t="shared" si="273"/>
        <v>33</v>
      </c>
      <c r="L791" s="998">
        <f t="shared" si="273"/>
        <v>363137</v>
      </c>
      <c r="M791" s="998">
        <f t="shared" si="273"/>
        <v>0</v>
      </c>
      <c r="N791" s="998">
        <f t="shared" si="273"/>
        <v>0</v>
      </c>
      <c r="O791" s="998">
        <f t="shared" si="273"/>
        <v>363137</v>
      </c>
      <c r="P791" s="998">
        <f t="shared" si="273"/>
        <v>0</v>
      </c>
      <c r="Q791" s="998">
        <f t="shared" si="273"/>
        <v>0</v>
      </c>
      <c r="R791" s="996" t="s">
        <v>40</v>
      </c>
      <c r="S791" s="996" t="s">
        <v>40</v>
      </c>
      <c r="T791" s="1017" t="s">
        <v>40</v>
      </c>
    </row>
    <row r="792" spans="1:20" s="1041" customFormat="1" ht="41.4" customHeight="1">
      <c r="A792" s="1249">
        <v>65</v>
      </c>
      <c r="B792" s="1260" t="s">
        <v>1571</v>
      </c>
      <c r="C792" s="1249">
        <v>1962</v>
      </c>
      <c r="D792" s="1260"/>
      <c r="E792" s="1249" t="s">
        <v>218</v>
      </c>
      <c r="F792" s="1249">
        <v>2</v>
      </c>
      <c r="G792" s="1249">
        <v>3</v>
      </c>
      <c r="H792" s="998">
        <v>466.9</v>
      </c>
      <c r="I792" s="998">
        <v>386.7</v>
      </c>
      <c r="J792" s="998">
        <v>305.3</v>
      </c>
      <c r="K792" s="986">
        <v>18</v>
      </c>
      <c r="L792" s="998">
        <v>241432</v>
      </c>
      <c r="M792" s="987">
        <v>0</v>
      </c>
      <c r="N792" s="987">
        <v>0</v>
      </c>
      <c r="O792" s="987">
        <f>L792</f>
        <v>241432</v>
      </c>
      <c r="P792" s="998">
        <v>0</v>
      </c>
      <c r="Q792" s="987">
        <v>0</v>
      </c>
      <c r="R792" s="985">
        <f t="shared" ref="R792:R793" si="274">L792/I792</f>
        <v>624.33928109645717</v>
      </c>
      <c r="S792" s="988">
        <v>2022</v>
      </c>
      <c r="T792" s="988">
        <v>2022</v>
      </c>
    </row>
    <row r="793" spans="1:20" s="1041" customFormat="1" ht="42" customHeight="1">
      <c r="A793" s="1249">
        <v>66</v>
      </c>
      <c r="B793" s="1260" t="s">
        <v>1572</v>
      </c>
      <c r="C793" s="1249">
        <v>1940</v>
      </c>
      <c r="D793" s="1260"/>
      <c r="E793" s="1249" t="s">
        <v>218</v>
      </c>
      <c r="F793" s="1249">
        <v>2</v>
      </c>
      <c r="G793" s="1249">
        <v>1</v>
      </c>
      <c r="H793" s="998">
        <v>266</v>
      </c>
      <c r="I793" s="998">
        <v>153.9</v>
      </c>
      <c r="J793" s="998">
        <v>153.9</v>
      </c>
      <c r="K793" s="986">
        <v>15</v>
      </c>
      <c r="L793" s="998">
        <v>121705</v>
      </c>
      <c r="M793" s="987">
        <v>0</v>
      </c>
      <c r="N793" s="987">
        <v>0</v>
      </c>
      <c r="O793" s="987">
        <f t="shared" ref="O793" si="275">L793</f>
        <v>121705</v>
      </c>
      <c r="P793" s="998">
        <v>0</v>
      </c>
      <c r="Q793" s="987">
        <v>0</v>
      </c>
      <c r="R793" s="985">
        <f t="shared" si="274"/>
        <v>790.8057179987004</v>
      </c>
      <c r="S793" s="988">
        <v>2022</v>
      </c>
      <c r="T793" s="988">
        <v>2022</v>
      </c>
    </row>
    <row r="794" spans="1:20" s="1028" customFormat="1" ht="42" customHeight="1">
      <c r="A794" s="1249"/>
      <c r="B794" s="1513" t="s">
        <v>43</v>
      </c>
      <c r="C794" s="1513"/>
      <c r="D794" s="1513"/>
      <c r="E794" s="1513"/>
      <c r="F794" s="1513"/>
      <c r="G794" s="1513"/>
      <c r="H794" s="985">
        <f>H795</f>
        <v>13804.44</v>
      </c>
      <c r="I794" s="985">
        <f t="shared" ref="I794:Q794" si="276">I795</f>
        <v>11695.6</v>
      </c>
      <c r="J794" s="985">
        <f t="shared" si="276"/>
        <v>11695.6</v>
      </c>
      <c r="K794" s="995">
        <f t="shared" si="276"/>
        <v>432</v>
      </c>
      <c r="L794" s="985">
        <f t="shared" si="276"/>
        <v>18020534</v>
      </c>
      <c r="M794" s="985">
        <f t="shared" si="276"/>
        <v>0</v>
      </c>
      <c r="N794" s="985">
        <f t="shared" si="276"/>
        <v>0</v>
      </c>
      <c r="O794" s="985">
        <f t="shared" si="276"/>
        <v>18020534</v>
      </c>
      <c r="P794" s="985">
        <f t="shared" si="276"/>
        <v>0</v>
      </c>
      <c r="Q794" s="985">
        <f t="shared" si="276"/>
        <v>0</v>
      </c>
      <c r="R794" s="996" t="s">
        <v>40</v>
      </c>
      <c r="S794" s="996" t="s">
        <v>40</v>
      </c>
      <c r="T794" s="996" t="s">
        <v>40</v>
      </c>
    </row>
    <row r="795" spans="1:20" s="1028" customFormat="1" ht="42" customHeight="1">
      <c r="A795" s="1249"/>
      <c r="B795" s="1542" t="s">
        <v>1115</v>
      </c>
      <c r="C795" s="1542"/>
      <c r="D795" s="1542"/>
      <c r="E795" s="1542"/>
      <c r="F795" s="1542"/>
      <c r="G795" s="1542"/>
      <c r="H795" s="1060">
        <f>SUM(H796:H804)</f>
        <v>13804.44</v>
      </c>
      <c r="I795" s="1060">
        <f t="shared" ref="I795:Q795" si="277">SUM(I796:I804)</f>
        <v>11695.6</v>
      </c>
      <c r="J795" s="1060">
        <f t="shared" si="277"/>
        <v>11695.6</v>
      </c>
      <c r="K795" s="995">
        <f t="shared" si="277"/>
        <v>432</v>
      </c>
      <c r="L795" s="1060">
        <f t="shared" si="277"/>
        <v>18020534</v>
      </c>
      <c r="M795" s="1060">
        <f t="shared" si="277"/>
        <v>0</v>
      </c>
      <c r="N795" s="1060">
        <f t="shared" si="277"/>
        <v>0</v>
      </c>
      <c r="O795" s="1060">
        <f t="shared" si="277"/>
        <v>18020534</v>
      </c>
      <c r="P795" s="1060">
        <f t="shared" si="277"/>
        <v>0</v>
      </c>
      <c r="Q795" s="1060">
        <f t="shared" si="277"/>
        <v>0</v>
      </c>
      <c r="R795" s="996" t="s">
        <v>40</v>
      </c>
      <c r="S795" s="996" t="s">
        <v>40</v>
      </c>
      <c r="T795" s="996" t="s">
        <v>40</v>
      </c>
    </row>
    <row r="796" spans="1:20" s="1028" customFormat="1" ht="42" customHeight="1">
      <c r="A796" s="1249">
        <v>67</v>
      </c>
      <c r="B796" s="1004" t="s">
        <v>1537</v>
      </c>
      <c r="C796" s="1249">
        <v>1955</v>
      </c>
      <c r="D796" s="1249"/>
      <c r="E796" s="1249" t="s">
        <v>218</v>
      </c>
      <c r="F796" s="1255">
        <v>2</v>
      </c>
      <c r="G796" s="1255">
        <v>2</v>
      </c>
      <c r="H796" s="987">
        <v>410</v>
      </c>
      <c r="I796" s="987">
        <v>407.5</v>
      </c>
      <c r="J796" s="987">
        <v>407.5</v>
      </c>
      <c r="K796" s="995">
        <v>8</v>
      </c>
      <c r="L796" s="987">
        <v>1523071</v>
      </c>
      <c r="M796" s="987">
        <v>0</v>
      </c>
      <c r="N796" s="987">
        <v>0</v>
      </c>
      <c r="O796" s="987">
        <f>L796</f>
        <v>1523071</v>
      </c>
      <c r="P796" s="998">
        <v>0</v>
      </c>
      <c r="Q796" s="987">
        <v>0</v>
      </c>
      <c r="R796" s="985">
        <f t="shared" ref="R796:R804" si="278">L796/I796</f>
        <v>3737.59754601227</v>
      </c>
      <c r="S796" s="988">
        <v>2022</v>
      </c>
      <c r="T796" s="988">
        <v>2022</v>
      </c>
    </row>
    <row r="797" spans="1:20" s="1028" customFormat="1" ht="42" customHeight="1">
      <c r="A797" s="1249">
        <v>68</v>
      </c>
      <c r="B797" s="1260" t="s">
        <v>1538</v>
      </c>
      <c r="C797" s="1249">
        <v>2010</v>
      </c>
      <c r="D797" s="1249"/>
      <c r="E797" s="1249" t="s">
        <v>222</v>
      </c>
      <c r="F797" s="1255">
        <v>3</v>
      </c>
      <c r="G797" s="1255">
        <v>1</v>
      </c>
      <c r="H797" s="987">
        <v>1380.7</v>
      </c>
      <c r="I797" s="987">
        <v>1063.3</v>
      </c>
      <c r="J797" s="987">
        <v>1063.3</v>
      </c>
      <c r="K797" s="995">
        <v>47</v>
      </c>
      <c r="L797" s="987">
        <v>1967908</v>
      </c>
      <c r="M797" s="987">
        <v>0</v>
      </c>
      <c r="N797" s="987">
        <v>0</v>
      </c>
      <c r="O797" s="987">
        <f t="shared" ref="O797:O804" si="279">L797</f>
        <v>1967908</v>
      </c>
      <c r="P797" s="998">
        <v>0</v>
      </c>
      <c r="Q797" s="987">
        <v>0</v>
      </c>
      <c r="R797" s="985">
        <f t="shared" si="278"/>
        <v>1850.7551960876517</v>
      </c>
      <c r="S797" s="988">
        <v>2022</v>
      </c>
      <c r="T797" s="988">
        <v>2022</v>
      </c>
    </row>
    <row r="798" spans="1:20" s="1028" customFormat="1" ht="42" customHeight="1">
      <c r="A798" s="1249">
        <v>69</v>
      </c>
      <c r="B798" s="1260" t="s">
        <v>1927</v>
      </c>
      <c r="C798" s="1249">
        <v>1980</v>
      </c>
      <c r="D798" s="1249"/>
      <c r="E798" s="1249" t="s">
        <v>218</v>
      </c>
      <c r="F798" s="1255">
        <v>2</v>
      </c>
      <c r="G798" s="1255">
        <v>3</v>
      </c>
      <c r="H798" s="987">
        <v>1056.3</v>
      </c>
      <c r="I798" s="987">
        <v>929.1</v>
      </c>
      <c r="J798" s="987">
        <v>929.1</v>
      </c>
      <c r="K798" s="995">
        <v>28</v>
      </c>
      <c r="L798" s="987">
        <v>2193560</v>
      </c>
      <c r="M798" s="987">
        <v>0</v>
      </c>
      <c r="N798" s="987">
        <v>0</v>
      </c>
      <c r="O798" s="987">
        <f t="shared" si="279"/>
        <v>2193560</v>
      </c>
      <c r="P798" s="998">
        <v>0</v>
      </c>
      <c r="Q798" s="987">
        <v>0</v>
      </c>
      <c r="R798" s="985">
        <f t="shared" si="278"/>
        <v>2360.9514584006029</v>
      </c>
      <c r="S798" s="988">
        <v>2022</v>
      </c>
      <c r="T798" s="988">
        <v>2022</v>
      </c>
    </row>
    <row r="799" spans="1:20" s="1028" customFormat="1" ht="42" customHeight="1">
      <c r="A799" s="1249">
        <v>70</v>
      </c>
      <c r="B799" s="1260" t="s">
        <v>1450</v>
      </c>
      <c r="C799" s="1249">
        <v>1938</v>
      </c>
      <c r="D799" s="1249"/>
      <c r="E799" s="1249" t="s">
        <v>221</v>
      </c>
      <c r="F799" s="1255">
        <v>2</v>
      </c>
      <c r="G799" s="1255">
        <v>2</v>
      </c>
      <c r="H799" s="987">
        <v>479.9</v>
      </c>
      <c r="I799" s="987">
        <v>479.9</v>
      </c>
      <c r="J799" s="987">
        <v>479.9</v>
      </c>
      <c r="K799" s="995">
        <v>10</v>
      </c>
      <c r="L799" s="987">
        <v>53033</v>
      </c>
      <c r="M799" s="987">
        <v>0</v>
      </c>
      <c r="N799" s="987">
        <v>0</v>
      </c>
      <c r="O799" s="987">
        <f t="shared" si="279"/>
        <v>53033</v>
      </c>
      <c r="P799" s="998">
        <v>0</v>
      </c>
      <c r="Q799" s="987">
        <v>0</v>
      </c>
      <c r="R799" s="985">
        <f t="shared" si="278"/>
        <v>110.5084392581788</v>
      </c>
      <c r="S799" s="988">
        <v>2022</v>
      </c>
      <c r="T799" s="988">
        <v>2022</v>
      </c>
    </row>
    <row r="800" spans="1:20" s="1028" customFormat="1" ht="42" customHeight="1">
      <c r="A800" s="1249">
        <v>71</v>
      </c>
      <c r="B800" s="1260" t="s">
        <v>1032</v>
      </c>
      <c r="C800" s="1249">
        <v>1946</v>
      </c>
      <c r="D800" s="1249"/>
      <c r="E800" s="1249" t="s">
        <v>221</v>
      </c>
      <c r="F800" s="1255">
        <v>2</v>
      </c>
      <c r="G800" s="1255">
        <v>2</v>
      </c>
      <c r="H800" s="1160">
        <v>840.64</v>
      </c>
      <c r="I800" s="1160">
        <v>481.1</v>
      </c>
      <c r="J800" s="1160">
        <v>481.1</v>
      </c>
      <c r="K800" s="995">
        <v>23</v>
      </c>
      <c r="L800" s="987">
        <v>67897</v>
      </c>
      <c r="M800" s="987">
        <v>0</v>
      </c>
      <c r="N800" s="987">
        <v>0</v>
      </c>
      <c r="O800" s="987">
        <f t="shared" si="279"/>
        <v>67897</v>
      </c>
      <c r="P800" s="998">
        <v>0</v>
      </c>
      <c r="Q800" s="987">
        <v>0</v>
      </c>
      <c r="R800" s="985">
        <f t="shared" si="278"/>
        <v>141.12866347952607</v>
      </c>
      <c r="S800" s="988">
        <v>2022</v>
      </c>
      <c r="T800" s="988">
        <v>2022</v>
      </c>
    </row>
    <row r="801" spans="1:20" s="1028" customFormat="1" ht="42" customHeight="1">
      <c r="A801" s="1249">
        <v>72</v>
      </c>
      <c r="B801" s="1260" t="s">
        <v>758</v>
      </c>
      <c r="C801" s="1249">
        <v>1881</v>
      </c>
      <c r="D801" s="1249"/>
      <c r="E801" s="1249" t="s">
        <v>221</v>
      </c>
      <c r="F801" s="1255">
        <v>2</v>
      </c>
      <c r="G801" s="1255">
        <v>2</v>
      </c>
      <c r="H801" s="987">
        <v>516.20000000000005</v>
      </c>
      <c r="I801" s="987">
        <v>515.5</v>
      </c>
      <c r="J801" s="987">
        <v>515.5</v>
      </c>
      <c r="K801" s="995">
        <v>24</v>
      </c>
      <c r="L801" s="987">
        <v>708406</v>
      </c>
      <c r="M801" s="987">
        <v>0</v>
      </c>
      <c r="N801" s="987">
        <v>0</v>
      </c>
      <c r="O801" s="987">
        <f t="shared" si="279"/>
        <v>708406</v>
      </c>
      <c r="P801" s="998">
        <v>0</v>
      </c>
      <c r="Q801" s="987">
        <v>0</v>
      </c>
      <c r="R801" s="985">
        <f t="shared" si="278"/>
        <v>1374.2114451988361</v>
      </c>
      <c r="S801" s="988">
        <v>2022</v>
      </c>
      <c r="T801" s="988">
        <v>2022</v>
      </c>
    </row>
    <row r="802" spans="1:20" s="1028" customFormat="1" ht="42" customHeight="1">
      <c r="A802" s="1249">
        <v>73</v>
      </c>
      <c r="B802" s="1260" t="s">
        <v>1539</v>
      </c>
      <c r="C802" s="1249">
        <v>1986</v>
      </c>
      <c r="D802" s="1249"/>
      <c r="E802" s="1249" t="s">
        <v>218</v>
      </c>
      <c r="F802" s="1255">
        <v>2</v>
      </c>
      <c r="G802" s="1255">
        <v>3</v>
      </c>
      <c r="H802" s="987">
        <v>929.8</v>
      </c>
      <c r="I802" s="987">
        <v>884.7</v>
      </c>
      <c r="J802" s="987">
        <v>884.7</v>
      </c>
      <c r="K802" s="995">
        <v>32</v>
      </c>
      <c r="L802" s="987">
        <v>2037865</v>
      </c>
      <c r="M802" s="987">
        <v>0</v>
      </c>
      <c r="N802" s="987">
        <v>0</v>
      </c>
      <c r="O802" s="987">
        <f t="shared" si="279"/>
        <v>2037865</v>
      </c>
      <c r="P802" s="998">
        <v>0</v>
      </c>
      <c r="Q802" s="987">
        <v>0</v>
      </c>
      <c r="R802" s="985">
        <f t="shared" si="278"/>
        <v>2303.4531479597604</v>
      </c>
      <c r="S802" s="988">
        <v>2022</v>
      </c>
      <c r="T802" s="988">
        <v>2022</v>
      </c>
    </row>
    <row r="803" spans="1:20" s="1028" customFormat="1" ht="42" customHeight="1">
      <c r="A803" s="1249">
        <v>74</v>
      </c>
      <c r="B803" s="1260" t="s">
        <v>1419</v>
      </c>
      <c r="C803" s="1249">
        <v>1975</v>
      </c>
      <c r="D803" s="1249"/>
      <c r="E803" s="1249" t="s">
        <v>219</v>
      </c>
      <c r="F803" s="1255">
        <v>5</v>
      </c>
      <c r="G803" s="1255">
        <v>4</v>
      </c>
      <c r="H803" s="987">
        <v>3420.5</v>
      </c>
      <c r="I803" s="987">
        <v>2587.4</v>
      </c>
      <c r="J803" s="987">
        <v>2587.4</v>
      </c>
      <c r="K803" s="995">
        <v>104</v>
      </c>
      <c r="L803" s="987">
        <v>2587273</v>
      </c>
      <c r="M803" s="987">
        <v>0</v>
      </c>
      <c r="N803" s="987">
        <v>0</v>
      </c>
      <c r="O803" s="987">
        <f t="shared" si="279"/>
        <v>2587273</v>
      </c>
      <c r="P803" s="998">
        <v>0</v>
      </c>
      <c r="Q803" s="987">
        <v>0</v>
      </c>
      <c r="R803" s="985">
        <f t="shared" si="278"/>
        <v>999.95091597742908</v>
      </c>
      <c r="S803" s="988">
        <v>2022</v>
      </c>
      <c r="T803" s="988">
        <v>2022</v>
      </c>
    </row>
    <row r="804" spans="1:20" s="1028" customFormat="1" ht="42" customHeight="1">
      <c r="A804" s="1249">
        <v>75</v>
      </c>
      <c r="B804" s="1260" t="s">
        <v>1540</v>
      </c>
      <c r="C804" s="1249">
        <v>1979</v>
      </c>
      <c r="D804" s="1249"/>
      <c r="E804" s="1249" t="s">
        <v>218</v>
      </c>
      <c r="F804" s="1255">
        <v>5</v>
      </c>
      <c r="G804" s="1255">
        <v>6</v>
      </c>
      <c r="H804" s="987">
        <v>4770.3999999999996</v>
      </c>
      <c r="I804" s="987">
        <v>4347.1000000000004</v>
      </c>
      <c r="J804" s="987">
        <v>4347.1000000000004</v>
      </c>
      <c r="K804" s="995">
        <v>156</v>
      </c>
      <c r="L804" s="987">
        <v>6881521</v>
      </c>
      <c r="M804" s="987">
        <v>0</v>
      </c>
      <c r="N804" s="987">
        <v>0</v>
      </c>
      <c r="O804" s="987">
        <f t="shared" si="279"/>
        <v>6881521</v>
      </c>
      <c r="P804" s="998">
        <v>0</v>
      </c>
      <c r="Q804" s="987">
        <v>0</v>
      </c>
      <c r="R804" s="985">
        <f t="shared" si="278"/>
        <v>1583.0141933702928</v>
      </c>
      <c r="S804" s="988">
        <v>2022</v>
      </c>
      <c r="T804" s="988">
        <v>2022</v>
      </c>
    </row>
    <row r="805" spans="1:20" s="1028" customFormat="1" ht="42" customHeight="1">
      <c r="A805" s="1249"/>
      <c r="B805" s="1513" t="s">
        <v>1588</v>
      </c>
      <c r="C805" s="1513"/>
      <c r="D805" s="1513"/>
      <c r="E805" s="1513"/>
      <c r="F805" s="1513"/>
      <c r="G805" s="1513"/>
      <c r="H805" s="985">
        <f>H806+H807</f>
        <v>3282</v>
      </c>
      <c r="I805" s="985">
        <f t="shared" ref="I805:Q805" si="280">I806+I807</f>
        <v>3282</v>
      </c>
      <c r="J805" s="985">
        <f t="shared" si="280"/>
        <v>2924.8</v>
      </c>
      <c r="K805" s="995">
        <f t="shared" si="280"/>
        <v>57</v>
      </c>
      <c r="L805" s="985">
        <f t="shared" si="280"/>
        <v>3652572</v>
      </c>
      <c r="M805" s="985">
        <f t="shared" si="280"/>
        <v>0</v>
      </c>
      <c r="N805" s="985">
        <f t="shared" si="280"/>
        <v>108602.48</v>
      </c>
      <c r="O805" s="985">
        <f t="shared" si="280"/>
        <v>3543969.52</v>
      </c>
      <c r="P805" s="985">
        <f t="shared" si="280"/>
        <v>0</v>
      </c>
      <c r="Q805" s="985">
        <f t="shared" si="280"/>
        <v>0</v>
      </c>
      <c r="R805" s="996" t="s">
        <v>40</v>
      </c>
      <c r="S805" s="996" t="s">
        <v>40</v>
      </c>
      <c r="T805" s="996" t="s">
        <v>40</v>
      </c>
    </row>
    <row r="806" spans="1:20" s="1041" customFormat="1" ht="39.6" customHeight="1">
      <c r="A806" s="1249">
        <v>76</v>
      </c>
      <c r="B806" s="1260" t="s">
        <v>1294</v>
      </c>
      <c r="C806" s="1249">
        <v>1972</v>
      </c>
      <c r="D806" s="1255"/>
      <c r="E806" s="1249" t="s">
        <v>218</v>
      </c>
      <c r="F806" s="1255">
        <v>2</v>
      </c>
      <c r="G806" s="1255">
        <v>2</v>
      </c>
      <c r="H806" s="985">
        <v>526</v>
      </c>
      <c r="I806" s="985">
        <v>526</v>
      </c>
      <c r="J806" s="985">
        <v>466</v>
      </c>
      <c r="K806" s="995">
        <v>12</v>
      </c>
      <c r="L806" s="987">
        <v>1205505</v>
      </c>
      <c r="M806" s="987">
        <v>0</v>
      </c>
      <c r="N806" s="987">
        <v>0</v>
      </c>
      <c r="O806" s="987">
        <v>1205505</v>
      </c>
      <c r="P806" s="998">
        <v>0</v>
      </c>
      <c r="Q806" s="987">
        <v>0</v>
      </c>
      <c r="R806" s="1139">
        <f>L806/I806</f>
        <v>2291.8346007604564</v>
      </c>
      <c r="S806" s="988">
        <v>2022</v>
      </c>
      <c r="T806" s="988">
        <v>2022</v>
      </c>
    </row>
    <row r="807" spans="1:20" s="1041" customFormat="1" ht="41.4" customHeight="1">
      <c r="A807" s="1249">
        <v>77</v>
      </c>
      <c r="B807" s="1260" t="s">
        <v>1295</v>
      </c>
      <c r="C807" s="1249">
        <v>1985</v>
      </c>
      <c r="D807" s="1255"/>
      <c r="E807" s="1249" t="s">
        <v>218</v>
      </c>
      <c r="F807" s="1255">
        <v>5</v>
      </c>
      <c r="G807" s="1255">
        <v>4</v>
      </c>
      <c r="H807" s="985">
        <v>2756</v>
      </c>
      <c r="I807" s="985">
        <v>2756</v>
      </c>
      <c r="J807" s="985">
        <v>2458.8000000000002</v>
      </c>
      <c r="K807" s="995">
        <v>45</v>
      </c>
      <c r="L807" s="987">
        <f>N807+O807</f>
        <v>2447067</v>
      </c>
      <c r="M807" s="987">
        <v>0</v>
      </c>
      <c r="N807" s="987">
        <v>108602.48</v>
      </c>
      <c r="O807" s="987">
        <v>2338464.52</v>
      </c>
      <c r="P807" s="998">
        <v>0</v>
      </c>
      <c r="Q807" s="987">
        <v>0</v>
      </c>
      <c r="R807" s="1139">
        <f t="shared" ref="R807" si="281">L807/I807</f>
        <v>887.90529753265605</v>
      </c>
      <c r="S807" s="988">
        <v>2022</v>
      </c>
      <c r="T807" s="988">
        <v>2022</v>
      </c>
    </row>
    <row r="808" spans="1:20" s="1041" customFormat="1" ht="37.950000000000003" customHeight="1">
      <c r="A808" s="1249"/>
      <c r="B808" s="1513" t="s">
        <v>46</v>
      </c>
      <c r="C808" s="1513"/>
      <c r="D808" s="1513"/>
      <c r="E808" s="1513"/>
      <c r="F808" s="1513"/>
      <c r="G808" s="1513"/>
      <c r="H808" s="985">
        <f>H809</f>
        <v>1653.4</v>
      </c>
      <c r="I808" s="985">
        <f t="shared" ref="I808:Q809" si="282">I809</f>
        <v>1510.4</v>
      </c>
      <c r="J808" s="985">
        <f t="shared" si="282"/>
        <v>1186.9000000000001</v>
      </c>
      <c r="K808" s="995">
        <f t="shared" si="282"/>
        <v>46</v>
      </c>
      <c r="L808" s="987">
        <f t="shared" si="282"/>
        <v>2262435</v>
      </c>
      <c r="M808" s="987">
        <f t="shared" si="282"/>
        <v>0</v>
      </c>
      <c r="N808" s="987">
        <f t="shared" si="282"/>
        <v>0</v>
      </c>
      <c r="O808" s="987">
        <f t="shared" si="282"/>
        <v>2262435</v>
      </c>
      <c r="P808" s="998">
        <v>0</v>
      </c>
      <c r="Q808" s="987">
        <f t="shared" si="282"/>
        <v>0</v>
      </c>
      <c r="R808" s="996" t="s">
        <v>40</v>
      </c>
      <c r="S808" s="996" t="s">
        <v>40</v>
      </c>
      <c r="T808" s="996" t="s">
        <v>40</v>
      </c>
    </row>
    <row r="809" spans="1:20" s="1041" customFormat="1" ht="37.950000000000003" customHeight="1">
      <c r="A809" s="1249"/>
      <c r="B809" s="1513" t="s">
        <v>1077</v>
      </c>
      <c r="C809" s="1513"/>
      <c r="D809" s="1513"/>
      <c r="E809" s="1513"/>
      <c r="F809" s="1513"/>
      <c r="G809" s="1513"/>
      <c r="H809" s="985">
        <f>H810</f>
        <v>1653.4</v>
      </c>
      <c r="I809" s="985">
        <f t="shared" si="282"/>
        <v>1510.4</v>
      </c>
      <c r="J809" s="985">
        <f t="shared" si="282"/>
        <v>1186.9000000000001</v>
      </c>
      <c r="K809" s="995">
        <f t="shared" si="282"/>
        <v>46</v>
      </c>
      <c r="L809" s="985">
        <f t="shared" si="282"/>
        <v>2262435</v>
      </c>
      <c r="M809" s="985">
        <f t="shared" si="282"/>
        <v>0</v>
      </c>
      <c r="N809" s="985">
        <f t="shared" si="282"/>
        <v>0</v>
      </c>
      <c r="O809" s="985">
        <f t="shared" si="282"/>
        <v>2262435</v>
      </c>
      <c r="P809" s="985">
        <f t="shared" si="282"/>
        <v>0</v>
      </c>
      <c r="Q809" s="985">
        <f t="shared" si="282"/>
        <v>0</v>
      </c>
      <c r="R809" s="996" t="s">
        <v>40</v>
      </c>
      <c r="S809" s="996" t="s">
        <v>40</v>
      </c>
      <c r="T809" s="996" t="s">
        <v>40</v>
      </c>
    </row>
    <row r="810" spans="1:20" s="997" customFormat="1" ht="37.799999999999997" customHeight="1">
      <c r="A810" s="1249">
        <v>78</v>
      </c>
      <c r="B810" s="1260" t="s">
        <v>1281</v>
      </c>
      <c r="C810" s="1255">
        <v>1974</v>
      </c>
      <c r="D810" s="1161"/>
      <c r="E810" s="1249" t="s">
        <v>218</v>
      </c>
      <c r="F810" s="1255">
        <v>3</v>
      </c>
      <c r="G810" s="1255">
        <v>3</v>
      </c>
      <c r="H810" s="985">
        <v>1653.4</v>
      </c>
      <c r="I810" s="985">
        <v>1510.4</v>
      </c>
      <c r="J810" s="985">
        <v>1186.9000000000001</v>
      </c>
      <c r="K810" s="995">
        <v>46</v>
      </c>
      <c r="L810" s="987">
        <v>2262435</v>
      </c>
      <c r="M810" s="987">
        <v>0</v>
      </c>
      <c r="N810" s="987">
        <v>0</v>
      </c>
      <c r="O810" s="987">
        <v>2262435</v>
      </c>
      <c r="P810" s="998">
        <v>0</v>
      </c>
      <c r="Q810" s="987">
        <v>0</v>
      </c>
      <c r="R810" s="985">
        <f>L810/I810</f>
        <v>1497.9045286016949</v>
      </c>
      <c r="S810" s="988">
        <v>2022</v>
      </c>
      <c r="T810" s="988">
        <v>2022</v>
      </c>
    </row>
    <row r="811" spans="1:20" s="1013" customFormat="1" ht="37.950000000000003" customHeight="1">
      <c r="A811" s="1249"/>
      <c r="B811" s="1513" t="s">
        <v>2012</v>
      </c>
      <c r="C811" s="1513"/>
      <c r="D811" s="1513"/>
      <c r="E811" s="1513"/>
      <c r="F811" s="1513"/>
      <c r="G811" s="1513"/>
      <c r="H811" s="985">
        <f>H812+H813</f>
        <v>2539.1999999999998</v>
      </c>
      <c r="I811" s="985">
        <f t="shared" ref="I811:Q811" si="283">I812+I813</f>
        <v>2448</v>
      </c>
      <c r="J811" s="985">
        <f t="shared" si="283"/>
        <v>2448</v>
      </c>
      <c r="K811" s="985">
        <f t="shared" si="283"/>
        <v>101</v>
      </c>
      <c r="L811" s="985">
        <f t="shared" si="283"/>
        <v>4283052</v>
      </c>
      <c r="M811" s="985">
        <f t="shared" si="283"/>
        <v>0</v>
      </c>
      <c r="N811" s="985">
        <f t="shared" si="283"/>
        <v>0</v>
      </c>
      <c r="O811" s="985">
        <f t="shared" si="283"/>
        <v>4283052</v>
      </c>
      <c r="P811" s="985">
        <f t="shared" si="283"/>
        <v>0</v>
      </c>
      <c r="Q811" s="985">
        <f t="shared" si="283"/>
        <v>0</v>
      </c>
      <c r="R811" s="996" t="s">
        <v>40</v>
      </c>
      <c r="S811" s="996" t="s">
        <v>40</v>
      </c>
      <c r="T811" s="996" t="s">
        <v>40</v>
      </c>
    </row>
    <row r="812" spans="1:20" s="1013" customFormat="1" ht="40.200000000000003" customHeight="1">
      <c r="A812" s="1249">
        <v>79</v>
      </c>
      <c r="B812" s="1260" t="s">
        <v>1928</v>
      </c>
      <c r="C812" s="1034" t="s">
        <v>1265</v>
      </c>
      <c r="D812" s="1034"/>
      <c r="E812" s="1249" t="s">
        <v>218</v>
      </c>
      <c r="F812" s="1255">
        <v>4</v>
      </c>
      <c r="G812" s="1255">
        <v>2</v>
      </c>
      <c r="H812" s="985">
        <v>1738.1</v>
      </c>
      <c r="I812" s="985">
        <v>1727.3</v>
      </c>
      <c r="J812" s="985">
        <v>1727.3</v>
      </c>
      <c r="K812" s="995">
        <v>67</v>
      </c>
      <c r="L812" s="987">
        <v>1738978</v>
      </c>
      <c r="M812" s="987">
        <v>0</v>
      </c>
      <c r="N812" s="987">
        <v>0</v>
      </c>
      <c r="O812" s="985">
        <v>1738978</v>
      </c>
      <c r="P812" s="998">
        <v>0</v>
      </c>
      <c r="Q812" s="987">
        <v>0</v>
      </c>
      <c r="R812" s="985">
        <f>L812/I812</f>
        <v>1006.760840618306</v>
      </c>
      <c r="S812" s="988">
        <v>2022</v>
      </c>
      <c r="T812" s="988">
        <v>2022</v>
      </c>
    </row>
    <row r="813" spans="1:20" s="997" customFormat="1" ht="42.6" customHeight="1">
      <c r="A813" s="1249">
        <v>80</v>
      </c>
      <c r="B813" s="1076" t="s">
        <v>1261</v>
      </c>
      <c r="C813" s="1048">
        <v>1974</v>
      </c>
      <c r="D813" s="1048"/>
      <c r="E813" s="1046" t="s">
        <v>218</v>
      </c>
      <c r="F813" s="1048">
        <v>2</v>
      </c>
      <c r="G813" s="1048">
        <v>1</v>
      </c>
      <c r="H813" s="1067">
        <v>801.1</v>
      </c>
      <c r="I813" s="1067">
        <v>720.7</v>
      </c>
      <c r="J813" s="1067">
        <v>720.7</v>
      </c>
      <c r="K813" s="1077">
        <v>34</v>
      </c>
      <c r="L813" s="1067">
        <v>2544074</v>
      </c>
      <c r="M813" s="1067">
        <v>0</v>
      </c>
      <c r="N813" s="1067">
        <v>0</v>
      </c>
      <c r="O813" s="1067">
        <v>2544074</v>
      </c>
      <c r="P813" s="1067">
        <v>0</v>
      </c>
      <c r="Q813" s="1067">
        <v>0</v>
      </c>
      <c r="R813" s="1078">
        <f>L813/I813</f>
        <v>3530.0041626196753</v>
      </c>
      <c r="S813" s="1026">
        <v>2022</v>
      </c>
      <c r="T813" s="1026">
        <v>2022</v>
      </c>
    </row>
    <row r="814" spans="1:20" s="1013" customFormat="1" ht="37.950000000000003" customHeight="1">
      <c r="A814" s="1249"/>
      <c r="B814" s="1513" t="s">
        <v>49</v>
      </c>
      <c r="C814" s="1513"/>
      <c r="D814" s="1513"/>
      <c r="E814" s="1513"/>
      <c r="F814" s="1513"/>
      <c r="G814" s="1513"/>
      <c r="H814" s="985">
        <f>H815+H817</f>
        <v>2114.3999999999996</v>
      </c>
      <c r="I814" s="985">
        <f t="shared" ref="I814:Q814" si="284">I815+I817</f>
        <v>1785.8</v>
      </c>
      <c r="J814" s="985">
        <f t="shared" si="284"/>
        <v>1606.2</v>
      </c>
      <c r="K814" s="995">
        <f t="shared" si="284"/>
        <v>96</v>
      </c>
      <c r="L814" s="985">
        <f t="shared" si="284"/>
        <v>3929574</v>
      </c>
      <c r="M814" s="985">
        <f t="shared" si="284"/>
        <v>0</v>
      </c>
      <c r="N814" s="985">
        <f t="shared" si="284"/>
        <v>28228</v>
      </c>
      <c r="O814" s="985">
        <f t="shared" si="284"/>
        <v>3901346</v>
      </c>
      <c r="P814" s="985">
        <f t="shared" si="284"/>
        <v>0</v>
      </c>
      <c r="Q814" s="985">
        <f t="shared" si="284"/>
        <v>0</v>
      </c>
      <c r="R814" s="996" t="s">
        <v>40</v>
      </c>
      <c r="S814" s="996" t="s">
        <v>40</v>
      </c>
      <c r="T814" s="996" t="s">
        <v>40</v>
      </c>
    </row>
    <row r="815" spans="1:20" s="1013" customFormat="1" ht="37.950000000000003" customHeight="1">
      <c r="A815" s="1249"/>
      <c r="B815" s="1513" t="s">
        <v>1079</v>
      </c>
      <c r="C815" s="1513"/>
      <c r="D815" s="1513"/>
      <c r="E815" s="1513"/>
      <c r="F815" s="1513"/>
      <c r="G815" s="1513"/>
      <c r="H815" s="985">
        <f>H816</f>
        <v>631.29999999999995</v>
      </c>
      <c r="I815" s="985">
        <f t="shared" ref="I815:Q815" si="285">I816</f>
        <v>410.7</v>
      </c>
      <c r="J815" s="985">
        <f t="shared" si="285"/>
        <v>410.7</v>
      </c>
      <c r="K815" s="995">
        <f t="shared" si="285"/>
        <v>32</v>
      </c>
      <c r="L815" s="985">
        <f t="shared" si="285"/>
        <v>1973223</v>
      </c>
      <c r="M815" s="985">
        <f t="shared" si="285"/>
        <v>0</v>
      </c>
      <c r="N815" s="985">
        <f t="shared" si="285"/>
        <v>0</v>
      </c>
      <c r="O815" s="985">
        <f t="shared" si="285"/>
        <v>1973223</v>
      </c>
      <c r="P815" s="998">
        <v>0</v>
      </c>
      <c r="Q815" s="985">
        <f t="shared" si="285"/>
        <v>0</v>
      </c>
      <c r="R815" s="996" t="s">
        <v>40</v>
      </c>
      <c r="S815" s="996" t="s">
        <v>40</v>
      </c>
      <c r="T815" s="996" t="s">
        <v>40</v>
      </c>
    </row>
    <row r="816" spans="1:20" s="1013" customFormat="1" ht="39.6" customHeight="1">
      <c r="A816" s="1249">
        <v>81</v>
      </c>
      <c r="B816" s="1245" t="s">
        <v>1255</v>
      </c>
      <c r="C816" s="1255">
        <v>1966</v>
      </c>
      <c r="D816" s="1255"/>
      <c r="E816" s="1249" t="s">
        <v>218</v>
      </c>
      <c r="F816" s="1255">
        <v>2</v>
      </c>
      <c r="G816" s="1255">
        <v>2</v>
      </c>
      <c r="H816" s="985">
        <v>631.29999999999995</v>
      </c>
      <c r="I816" s="985">
        <v>410.7</v>
      </c>
      <c r="J816" s="985">
        <v>410.7</v>
      </c>
      <c r="K816" s="995">
        <v>32</v>
      </c>
      <c r="L816" s="987">
        <v>1973223</v>
      </c>
      <c r="M816" s="987">
        <v>0</v>
      </c>
      <c r="N816" s="987">
        <v>0</v>
      </c>
      <c r="O816" s="987">
        <f>L816</f>
        <v>1973223</v>
      </c>
      <c r="P816" s="998">
        <v>0</v>
      </c>
      <c r="Q816" s="987">
        <v>0</v>
      </c>
      <c r="R816" s="985">
        <f>L816/I816</f>
        <v>4804.536157779401</v>
      </c>
      <c r="S816" s="988">
        <v>2022</v>
      </c>
      <c r="T816" s="988">
        <v>2022</v>
      </c>
    </row>
    <row r="817" spans="1:20" s="1013" customFormat="1" ht="37.950000000000003" customHeight="1">
      <c r="A817" s="1249"/>
      <c r="B817" s="1510" t="s">
        <v>1165</v>
      </c>
      <c r="C817" s="1511"/>
      <c r="D817" s="1511"/>
      <c r="E817" s="1511"/>
      <c r="F817" s="1511"/>
      <c r="G817" s="1512"/>
      <c r="H817" s="985">
        <f>H818</f>
        <v>1483.1</v>
      </c>
      <c r="I817" s="985">
        <f t="shared" ref="I817:Q817" si="286">I818</f>
        <v>1375.1</v>
      </c>
      <c r="J817" s="985">
        <f t="shared" si="286"/>
        <v>1195.5</v>
      </c>
      <c r="K817" s="995">
        <f t="shared" si="286"/>
        <v>64</v>
      </c>
      <c r="L817" s="985">
        <f t="shared" si="286"/>
        <v>1956351</v>
      </c>
      <c r="M817" s="985">
        <f t="shared" si="286"/>
        <v>0</v>
      </c>
      <c r="N817" s="985">
        <f t="shared" si="286"/>
        <v>28228</v>
      </c>
      <c r="O817" s="985">
        <f t="shared" si="286"/>
        <v>1928123</v>
      </c>
      <c r="P817" s="985">
        <f t="shared" si="286"/>
        <v>0</v>
      </c>
      <c r="Q817" s="985">
        <f t="shared" si="286"/>
        <v>0</v>
      </c>
      <c r="R817" s="996" t="s">
        <v>40</v>
      </c>
      <c r="S817" s="996" t="s">
        <v>40</v>
      </c>
      <c r="T817" s="996" t="s">
        <v>40</v>
      </c>
    </row>
    <row r="818" spans="1:20" s="1013" customFormat="1" ht="37.950000000000003" customHeight="1">
      <c r="A818" s="1249">
        <v>82</v>
      </c>
      <c r="B818" s="1245" t="s">
        <v>1323</v>
      </c>
      <c r="C818" s="1255">
        <v>1982</v>
      </c>
      <c r="D818" s="1255"/>
      <c r="E818" s="1249" t="s">
        <v>219</v>
      </c>
      <c r="F818" s="1255">
        <v>3</v>
      </c>
      <c r="G818" s="1255">
        <v>3</v>
      </c>
      <c r="H818" s="985">
        <v>1483.1</v>
      </c>
      <c r="I818" s="985">
        <v>1375.1</v>
      </c>
      <c r="J818" s="985">
        <v>1195.5</v>
      </c>
      <c r="K818" s="995">
        <v>64</v>
      </c>
      <c r="L818" s="987">
        <f>N818+O818</f>
        <v>1956351</v>
      </c>
      <c r="M818" s="987">
        <v>0</v>
      </c>
      <c r="N818" s="987">
        <v>28228</v>
      </c>
      <c r="O818" s="987">
        <v>1928123</v>
      </c>
      <c r="P818" s="998">
        <v>0</v>
      </c>
      <c r="Q818" s="987">
        <v>0</v>
      </c>
      <c r="R818" s="985">
        <f>L818/I818</f>
        <v>1422.6972583812087</v>
      </c>
      <c r="S818" s="988">
        <v>2022</v>
      </c>
      <c r="T818" s="988">
        <v>2022</v>
      </c>
    </row>
    <row r="819" spans="1:20" s="1013" customFormat="1" ht="37.950000000000003" customHeight="1">
      <c r="A819" s="1249"/>
      <c r="B819" s="1513" t="s">
        <v>50</v>
      </c>
      <c r="C819" s="1513"/>
      <c r="D819" s="1513"/>
      <c r="E819" s="1513"/>
      <c r="F819" s="1513"/>
      <c r="G819" s="1513"/>
      <c r="H819" s="985">
        <f>H820</f>
        <v>5638.2999999999993</v>
      </c>
      <c r="I819" s="985">
        <f t="shared" ref="I819:Q819" si="287">I820</f>
        <v>4985.2</v>
      </c>
      <c r="J819" s="985">
        <f t="shared" si="287"/>
        <v>4592.7</v>
      </c>
      <c r="K819" s="995">
        <f t="shared" si="287"/>
        <v>201</v>
      </c>
      <c r="L819" s="987">
        <f t="shared" si="287"/>
        <v>7674183</v>
      </c>
      <c r="M819" s="987">
        <f t="shared" si="287"/>
        <v>0</v>
      </c>
      <c r="N819" s="987">
        <f t="shared" si="287"/>
        <v>0</v>
      </c>
      <c r="O819" s="987">
        <f>O820</f>
        <v>7674183</v>
      </c>
      <c r="P819" s="998">
        <v>0</v>
      </c>
      <c r="Q819" s="987">
        <f t="shared" si="287"/>
        <v>0</v>
      </c>
      <c r="R819" s="996" t="s">
        <v>40</v>
      </c>
      <c r="S819" s="996" t="s">
        <v>40</v>
      </c>
      <c r="T819" s="996" t="s">
        <v>40</v>
      </c>
    </row>
    <row r="820" spans="1:20" s="1013" customFormat="1" ht="37.950000000000003" customHeight="1">
      <c r="A820" s="1249"/>
      <c r="B820" s="1513" t="s">
        <v>1081</v>
      </c>
      <c r="C820" s="1513"/>
      <c r="D820" s="1513"/>
      <c r="E820" s="1513"/>
      <c r="F820" s="1513"/>
      <c r="G820" s="1513"/>
      <c r="H820" s="985">
        <f>SUM(H821:H823)</f>
        <v>5638.2999999999993</v>
      </c>
      <c r="I820" s="985">
        <f t="shared" ref="I820:Q820" si="288">SUM(I821:I823)</f>
        <v>4985.2</v>
      </c>
      <c r="J820" s="985">
        <f t="shared" si="288"/>
        <v>4592.7</v>
      </c>
      <c r="K820" s="995">
        <f t="shared" si="288"/>
        <v>201</v>
      </c>
      <c r="L820" s="985">
        <f t="shared" si="288"/>
        <v>7674183</v>
      </c>
      <c r="M820" s="1060">
        <f t="shared" si="288"/>
        <v>0</v>
      </c>
      <c r="N820" s="1060">
        <f t="shared" si="288"/>
        <v>0</v>
      </c>
      <c r="O820" s="985">
        <f t="shared" si="288"/>
        <v>7674183</v>
      </c>
      <c r="P820" s="985">
        <f t="shared" si="288"/>
        <v>0</v>
      </c>
      <c r="Q820" s="985">
        <f t="shared" si="288"/>
        <v>0</v>
      </c>
      <c r="R820" s="996" t="s">
        <v>40</v>
      </c>
      <c r="S820" s="996" t="s">
        <v>40</v>
      </c>
      <c r="T820" s="996" t="s">
        <v>40</v>
      </c>
    </row>
    <row r="821" spans="1:20" s="1013" customFormat="1" ht="41.4" customHeight="1">
      <c r="A821" s="1046">
        <v>83</v>
      </c>
      <c r="B821" s="1146" t="s">
        <v>1378</v>
      </c>
      <c r="C821" s="1085">
        <v>1992</v>
      </c>
      <c r="D821" s="1147"/>
      <c r="E821" s="1249" t="s">
        <v>218</v>
      </c>
      <c r="F821" s="1085">
        <v>5</v>
      </c>
      <c r="G821" s="1085">
        <v>6</v>
      </c>
      <c r="H821" s="1088">
        <v>4511.3999999999996</v>
      </c>
      <c r="I821" s="1148">
        <v>3995.1</v>
      </c>
      <c r="J821" s="1148">
        <v>3995.1</v>
      </c>
      <c r="K821" s="1149">
        <v>152</v>
      </c>
      <c r="L821" s="1150">
        <v>4059428</v>
      </c>
      <c r="M821" s="1151">
        <v>0</v>
      </c>
      <c r="N821" s="1151">
        <v>0</v>
      </c>
      <c r="O821" s="1150">
        <v>4059428</v>
      </c>
      <c r="P821" s="1107">
        <v>0</v>
      </c>
      <c r="Q821" s="1107">
        <v>0</v>
      </c>
      <c r="R821" s="1162">
        <f>L821/I821</f>
        <v>1016.1017246126505</v>
      </c>
      <c r="S821" s="1046">
        <v>2022</v>
      </c>
      <c r="T821" s="1046">
        <v>2022</v>
      </c>
    </row>
    <row r="822" spans="1:20" s="1013" customFormat="1" ht="42" customHeight="1">
      <c r="A822" s="1046">
        <v>84</v>
      </c>
      <c r="B822" s="1146" t="s">
        <v>1379</v>
      </c>
      <c r="C822" s="1085">
        <v>1949</v>
      </c>
      <c r="D822" s="1147"/>
      <c r="E822" s="1249" t="s">
        <v>218</v>
      </c>
      <c r="F822" s="1085">
        <v>2</v>
      </c>
      <c r="G822" s="1085">
        <v>2</v>
      </c>
      <c r="H822" s="1088">
        <v>606.4</v>
      </c>
      <c r="I822" s="1148">
        <v>542.4</v>
      </c>
      <c r="J822" s="1148">
        <v>269.39999999999998</v>
      </c>
      <c r="K822" s="1149">
        <v>26</v>
      </c>
      <c r="L822" s="1150">
        <v>1990146</v>
      </c>
      <c r="M822" s="1151">
        <v>0</v>
      </c>
      <c r="N822" s="1151">
        <v>0</v>
      </c>
      <c r="O822" s="1150">
        <v>1990146</v>
      </c>
      <c r="P822" s="1107">
        <v>0</v>
      </c>
      <c r="Q822" s="1107">
        <v>0</v>
      </c>
      <c r="R822" s="1162">
        <f>L822/I822</f>
        <v>3669.1482300884959</v>
      </c>
      <c r="S822" s="1046">
        <v>2022</v>
      </c>
      <c r="T822" s="1046">
        <v>2022</v>
      </c>
    </row>
    <row r="823" spans="1:20" s="1013" customFormat="1" ht="42" customHeight="1">
      <c r="A823" s="1046">
        <v>85</v>
      </c>
      <c r="B823" s="1146" t="s">
        <v>1380</v>
      </c>
      <c r="C823" s="1085">
        <v>1963</v>
      </c>
      <c r="D823" s="1147"/>
      <c r="E823" s="1249" t="s">
        <v>218</v>
      </c>
      <c r="F823" s="1085">
        <v>2</v>
      </c>
      <c r="G823" s="1085">
        <v>2</v>
      </c>
      <c r="H823" s="1088">
        <v>520.5</v>
      </c>
      <c r="I823" s="1148">
        <v>447.7</v>
      </c>
      <c r="J823" s="1148">
        <v>328.2</v>
      </c>
      <c r="K823" s="1149">
        <v>23</v>
      </c>
      <c r="L823" s="1150">
        <v>1624609</v>
      </c>
      <c r="M823" s="1151">
        <v>0</v>
      </c>
      <c r="N823" s="1151">
        <v>0</v>
      </c>
      <c r="O823" s="1150">
        <v>1624609</v>
      </c>
      <c r="P823" s="1107">
        <v>0</v>
      </c>
      <c r="Q823" s="1107">
        <v>0</v>
      </c>
      <c r="R823" s="1162">
        <f>L823/I823</f>
        <v>3628.789367880277</v>
      </c>
      <c r="S823" s="1046">
        <v>2022</v>
      </c>
      <c r="T823" s="1046">
        <v>2022</v>
      </c>
    </row>
    <row r="824" spans="1:20" s="1013" customFormat="1" ht="37.950000000000003" customHeight="1">
      <c r="A824" s="1249"/>
      <c r="B824" s="1513" t="s">
        <v>1221</v>
      </c>
      <c r="C824" s="1513"/>
      <c r="D824" s="1513"/>
      <c r="E824" s="1513"/>
      <c r="F824" s="1513"/>
      <c r="G824" s="1513"/>
      <c r="H824" s="985">
        <f>H825+H826+H827+H828+H829</f>
        <v>16811</v>
      </c>
      <c r="I824" s="985">
        <f t="shared" ref="I824:Q824" si="289">I825+I826+I827+I828+I829</f>
        <v>16811</v>
      </c>
      <c r="J824" s="985">
        <f t="shared" si="289"/>
        <v>12343.1</v>
      </c>
      <c r="K824" s="995">
        <f t="shared" si="289"/>
        <v>532</v>
      </c>
      <c r="L824" s="985">
        <f t="shared" si="289"/>
        <v>11807368</v>
      </c>
      <c r="M824" s="985">
        <f t="shared" si="289"/>
        <v>0</v>
      </c>
      <c r="N824" s="985">
        <f t="shared" si="289"/>
        <v>0</v>
      </c>
      <c r="O824" s="985">
        <f t="shared" si="289"/>
        <v>11807368</v>
      </c>
      <c r="P824" s="985">
        <f t="shared" si="289"/>
        <v>0</v>
      </c>
      <c r="Q824" s="985">
        <f t="shared" si="289"/>
        <v>0</v>
      </c>
      <c r="R824" s="996" t="s">
        <v>40</v>
      </c>
      <c r="S824" s="996" t="s">
        <v>40</v>
      </c>
      <c r="T824" s="996" t="s">
        <v>40</v>
      </c>
    </row>
    <row r="825" spans="1:20" s="1013" customFormat="1" ht="41.4" customHeight="1">
      <c r="A825" s="1249">
        <v>86</v>
      </c>
      <c r="B825" s="1105" t="s">
        <v>1929</v>
      </c>
      <c r="C825" s="1048">
        <v>1980</v>
      </c>
      <c r="D825" s="1048"/>
      <c r="E825" s="1249" t="s">
        <v>218</v>
      </c>
      <c r="F825" s="1048">
        <v>5</v>
      </c>
      <c r="G825" s="1048">
        <v>5</v>
      </c>
      <c r="H825" s="1067">
        <v>3502.1</v>
      </c>
      <c r="I825" s="1067">
        <v>3502.1</v>
      </c>
      <c r="J825" s="1067">
        <v>2091.9</v>
      </c>
      <c r="K825" s="1077">
        <v>129</v>
      </c>
      <c r="L825" s="985">
        <v>2799891</v>
      </c>
      <c r="M825" s="985">
        <v>0</v>
      </c>
      <c r="N825" s="985">
        <v>0</v>
      </c>
      <c r="O825" s="985">
        <v>2799891</v>
      </c>
      <c r="P825" s="1067">
        <v>0</v>
      </c>
      <c r="Q825" s="1067">
        <v>0</v>
      </c>
      <c r="R825" s="1163">
        <f t="shared" ref="R825:R829" si="290">L825/I825</f>
        <v>799.48916364467038</v>
      </c>
      <c r="S825" s="1048">
        <v>2022</v>
      </c>
      <c r="T825" s="1048">
        <v>2022</v>
      </c>
    </row>
    <row r="826" spans="1:20" s="1013" customFormat="1" ht="42" customHeight="1">
      <c r="A826" s="1046">
        <v>87</v>
      </c>
      <c r="B826" s="1025" t="s">
        <v>1571</v>
      </c>
      <c r="C826" s="1046">
        <v>1968</v>
      </c>
      <c r="D826" s="1046"/>
      <c r="E826" s="1249" t="s">
        <v>218</v>
      </c>
      <c r="F826" s="1046">
        <v>5</v>
      </c>
      <c r="G826" s="1046">
        <v>4</v>
      </c>
      <c r="H826" s="1107">
        <v>4073.8</v>
      </c>
      <c r="I826" s="1107">
        <v>4073.8</v>
      </c>
      <c r="J826" s="1107">
        <v>3309.9</v>
      </c>
      <c r="K826" s="1108">
        <v>126</v>
      </c>
      <c r="L826" s="998">
        <v>2498424</v>
      </c>
      <c r="M826" s="998">
        <v>0</v>
      </c>
      <c r="N826" s="998">
        <v>0</v>
      </c>
      <c r="O826" s="998">
        <v>2498424</v>
      </c>
      <c r="P826" s="1107">
        <v>0</v>
      </c>
      <c r="Q826" s="1107">
        <v>0</v>
      </c>
      <c r="R826" s="1163">
        <f t="shared" si="290"/>
        <v>613.29078501644653</v>
      </c>
      <c r="S826" s="1048">
        <v>2022</v>
      </c>
      <c r="T826" s="1048">
        <v>2022</v>
      </c>
    </row>
    <row r="827" spans="1:20" s="1013" customFormat="1" ht="40.200000000000003" customHeight="1">
      <c r="A827" s="1249">
        <v>88</v>
      </c>
      <c r="B827" s="1105" t="s">
        <v>989</v>
      </c>
      <c r="C827" s="1048">
        <v>1971</v>
      </c>
      <c r="D827" s="1048"/>
      <c r="E827" s="1249" t="s">
        <v>218</v>
      </c>
      <c r="F827" s="1048">
        <v>5</v>
      </c>
      <c r="G827" s="1048">
        <v>4</v>
      </c>
      <c r="H827" s="1067">
        <v>4334.6000000000004</v>
      </c>
      <c r="I827" s="1067">
        <v>4334.6000000000004</v>
      </c>
      <c r="J827" s="1067">
        <v>3379.1</v>
      </c>
      <c r="K827" s="1077">
        <v>122</v>
      </c>
      <c r="L827" s="985">
        <v>2503042</v>
      </c>
      <c r="M827" s="985">
        <v>0</v>
      </c>
      <c r="N827" s="985">
        <v>0</v>
      </c>
      <c r="O827" s="985">
        <v>2503042</v>
      </c>
      <c r="P827" s="1067">
        <v>0</v>
      </c>
      <c r="Q827" s="1067">
        <v>0</v>
      </c>
      <c r="R827" s="1163">
        <f t="shared" si="290"/>
        <v>577.45628200987403</v>
      </c>
      <c r="S827" s="1048">
        <v>2022</v>
      </c>
      <c r="T827" s="1048">
        <v>2022</v>
      </c>
    </row>
    <row r="828" spans="1:20" s="1013" customFormat="1" ht="41.4" customHeight="1">
      <c r="A828" s="1046">
        <v>89</v>
      </c>
      <c r="B828" s="1105" t="s">
        <v>1930</v>
      </c>
      <c r="C828" s="1026">
        <v>1973</v>
      </c>
      <c r="D828" s="1026"/>
      <c r="E828" s="1249" t="s">
        <v>218</v>
      </c>
      <c r="F828" s="1026">
        <v>5</v>
      </c>
      <c r="G828" s="1026">
        <v>4</v>
      </c>
      <c r="H828" s="1057">
        <v>4431.2</v>
      </c>
      <c r="I828" s="1057">
        <v>4431.2</v>
      </c>
      <c r="J828" s="1057">
        <v>3259.3</v>
      </c>
      <c r="K828" s="1036">
        <v>125</v>
      </c>
      <c r="L828" s="998">
        <v>2503586</v>
      </c>
      <c r="M828" s="998">
        <v>0</v>
      </c>
      <c r="N828" s="998">
        <v>0</v>
      </c>
      <c r="O828" s="998">
        <v>2503586</v>
      </c>
      <c r="P828" s="1057">
        <v>0</v>
      </c>
      <c r="Q828" s="1057">
        <v>0</v>
      </c>
      <c r="R828" s="1163">
        <f t="shared" si="290"/>
        <v>564.99052175482939</v>
      </c>
      <c r="S828" s="1048">
        <v>2022</v>
      </c>
      <c r="T828" s="1048">
        <v>2022</v>
      </c>
    </row>
    <row r="829" spans="1:20" s="997" customFormat="1" ht="39.6" customHeight="1">
      <c r="A829" s="1249">
        <v>90</v>
      </c>
      <c r="B829" s="1025" t="s">
        <v>1931</v>
      </c>
      <c r="C829" s="1037">
        <v>1962</v>
      </c>
      <c r="D829" s="1164"/>
      <c r="E829" s="1249" t="s">
        <v>218</v>
      </c>
      <c r="F829" s="1037">
        <v>2</v>
      </c>
      <c r="G829" s="1037">
        <v>2</v>
      </c>
      <c r="H829" s="1038">
        <v>469.3</v>
      </c>
      <c r="I829" s="1038">
        <v>469.3</v>
      </c>
      <c r="J829" s="1038">
        <v>302.89999999999998</v>
      </c>
      <c r="K829" s="1039">
        <v>30</v>
      </c>
      <c r="L829" s="985">
        <v>1502425</v>
      </c>
      <c r="M829" s="985">
        <v>0</v>
      </c>
      <c r="N829" s="985">
        <v>0</v>
      </c>
      <c r="O829" s="985">
        <v>1502425</v>
      </c>
      <c r="P829" s="1038">
        <v>0</v>
      </c>
      <c r="Q829" s="1038">
        <v>0</v>
      </c>
      <c r="R829" s="1163">
        <f t="shared" si="290"/>
        <v>3201.4170040485828</v>
      </c>
      <c r="S829" s="1048">
        <v>2022</v>
      </c>
      <c r="T829" s="1048">
        <v>2022</v>
      </c>
    </row>
    <row r="830" spans="1:20" s="997" customFormat="1" ht="37.950000000000003" customHeight="1">
      <c r="A830" s="1249"/>
      <c r="B830" s="1261" t="s">
        <v>52</v>
      </c>
      <c r="C830" s="991"/>
      <c r="D830" s="992"/>
      <c r="E830" s="993"/>
      <c r="F830" s="991"/>
      <c r="G830" s="994"/>
      <c r="H830" s="1038">
        <f>H831</f>
        <v>724.4</v>
      </c>
      <c r="I830" s="1038">
        <f t="shared" ref="I830:Q830" si="291">I831</f>
        <v>724.4</v>
      </c>
      <c r="J830" s="1038">
        <f t="shared" si="291"/>
        <v>724.4</v>
      </c>
      <c r="K830" s="1039">
        <f t="shared" si="291"/>
        <v>59</v>
      </c>
      <c r="L830" s="1038">
        <f t="shared" si="291"/>
        <v>1378249</v>
      </c>
      <c r="M830" s="1038">
        <f t="shared" si="291"/>
        <v>0</v>
      </c>
      <c r="N830" s="1038">
        <f t="shared" si="291"/>
        <v>0</v>
      </c>
      <c r="O830" s="1038">
        <f t="shared" si="291"/>
        <v>1378249</v>
      </c>
      <c r="P830" s="1038">
        <f t="shared" si="291"/>
        <v>0</v>
      </c>
      <c r="Q830" s="1038">
        <f t="shared" si="291"/>
        <v>0</v>
      </c>
      <c r="R830" s="996" t="s">
        <v>40</v>
      </c>
      <c r="S830" s="996" t="s">
        <v>40</v>
      </c>
      <c r="T830" s="996" t="s">
        <v>40</v>
      </c>
    </row>
    <row r="831" spans="1:20" s="997" customFormat="1" ht="37.950000000000003" customHeight="1">
      <c r="A831" s="1249"/>
      <c r="B831" s="1513" t="s">
        <v>1512</v>
      </c>
      <c r="C831" s="1513"/>
      <c r="D831" s="1513"/>
      <c r="E831" s="1513"/>
      <c r="F831" s="1513"/>
      <c r="G831" s="1513"/>
      <c r="H831" s="998">
        <f>H832</f>
        <v>724.4</v>
      </c>
      <c r="I831" s="998">
        <f t="shared" ref="I831:Q831" si="292">I832</f>
        <v>724.4</v>
      </c>
      <c r="J831" s="998">
        <f t="shared" si="292"/>
        <v>724.4</v>
      </c>
      <c r="K831" s="986">
        <f t="shared" si="292"/>
        <v>59</v>
      </c>
      <c r="L831" s="998">
        <f t="shared" si="292"/>
        <v>1378249</v>
      </c>
      <c r="M831" s="998">
        <f t="shared" si="292"/>
        <v>0</v>
      </c>
      <c r="N831" s="998">
        <f t="shared" si="292"/>
        <v>0</v>
      </c>
      <c r="O831" s="998">
        <f t="shared" si="292"/>
        <v>1378249</v>
      </c>
      <c r="P831" s="998">
        <f t="shared" si="292"/>
        <v>0</v>
      </c>
      <c r="Q831" s="998">
        <f t="shared" si="292"/>
        <v>0</v>
      </c>
      <c r="R831" s="996" t="s">
        <v>40</v>
      </c>
      <c r="S831" s="996" t="s">
        <v>40</v>
      </c>
      <c r="T831" s="996" t="s">
        <v>40</v>
      </c>
    </row>
    <row r="832" spans="1:20" s="997" customFormat="1" ht="37.950000000000003" customHeight="1">
      <c r="A832" s="1249">
        <v>91</v>
      </c>
      <c r="B832" s="1260" t="s">
        <v>1514</v>
      </c>
      <c r="C832" s="1249">
        <v>1966</v>
      </c>
      <c r="D832" s="1249"/>
      <c r="E832" s="1249" t="s">
        <v>218</v>
      </c>
      <c r="F832" s="1249">
        <v>2</v>
      </c>
      <c r="G832" s="1249">
        <v>2</v>
      </c>
      <c r="H832" s="998">
        <v>724.4</v>
      </c>
      <c r="I832" s="998">
        <v>724.4</v>
      </c>
      <c r="J832" s="998">
        <v>724.4</v>
      </c>
      <c r="K832" s="988">
        <v>59</v>
      </c>
      <c r="L832" s="987">
        <v>1378249</v>
      </c>
      <c r="M832" s="987">
        <v>0</v>
      </c>
      <c r="N832" s="987">
        <v>0</v>
      </c>
      <c r="O832" s="987">
        <v>1378249</v>
      </c>
      <c r="P832" s="998">
        <v>0</v>
      </c>
      <c r="Q832" s="987">
        <v>0</v>
      </c>
      <c r="R832" s="985">
        <f t="shared" ref="R832" si="293">L832/I832</f>
        <v>1902.6076753175041</v>
      </c>
      <c r="S832" s="988">
        <v>2022</v>
      </c>
      <c r="T832" s="988">
        <v>2022</v>
      </c>
    </row>
    <row r="833" spans="1:20" s="997" customFormat="1" ht="37.950000000000003" customHeight="1">
      <c r="A833" s="1249"/>
      <c r="B833" s="1513" t="s">
        <v>53</v>
      </c>
      <c r="C833" s="1513"/>
      <c r="D833" s="1513"/>
      <c r="E833" s="1513"/>
      <c r="F833" s="1513"/>
      <c r="G833" s="1513"/>
      <c r="H833" s="985">
        <f>H834+H846+H840+H842+H844</f>
        <v>48603.6</v>
      </c>
      <c r="I833" s="985">
        <f t="shared" ref="I833:Q833" si="294">I834+I846+I840+I842+I844</f>
        <v>41493.9</v>
      </c>
      <c r="J833" s="985">
        <f t="shared" si="294"/>
        <v>39747.099999999991</v>
      </c>
      <c r="K833" s="1116">
        <f t="shared" si="294"/>
        <v>1634</v>
      </c>
      <c r="L833" s="985">
        <f t="shared" si="294"/>
        <v>71897355</v>
      </c>
      <c r="M833" s="985">
        <f t="shared" si="294"/>
        <v>0</v>
      </c>
      <c r="N833" s="985">
        <f t="shared" si="294"/>
        <v>0</v>
      </c>
      <c r="O833" s="985">
        <f t="shared" si="294"/>
        <v>71897355</v>
      </c>
      <c r="P833" s="985">
        <f t="shared" si="294"/>
        <v>0</v>
      </c>
      <c r="Q833" s="985">
        <f t="shared" si="294"/>
        <v>0</v>
      </c>
      <c r="R833" s="996" t="s">
        <v>40</v>
      </c>
      <c r="S833" s="996" t="s">
        <v>40</v>
      </c>
      <c r="T833" s="996" t="s">
        <v>40</v>
      </c>
    </row>
    <row r="834" spans="1:20" s="997" customFormat="1" ht="37.950000000000003" customHeight="1">
      <c r="A834" s="1249"/>
      <c r="B834" s="1513" t="s">
        <v>1083</v>
      </c>
      <c r="C834" s="1513"/>
      <c r="D834" s="1513"/>
      <c r="E834" s="1513"/>
      <c r="F834" s="1513"/>
      <c r="G834" s="1513"/>
      <c r="H834" s="985">
        <f>SUM(H835:H839)</f>
        <v>33010.5</v>
      </c>
      <c r="I834" s="985">
        <f t="shared" ref="I834:Q834" si="295">SUM(I835:I839)</f>
        <v>26272.799999999999</v>
      </c>
      <c r="J834" s="985">
        <f t="shared" si="295"/>
        <v>25768.199999999997</v>
      </c>
      <c r="K834" s="1116">
        <f t="shared" si="295"/>
        <v>1066</v>
      </c>
      <c r="L834" s="985">
        <f t="shared" si="295"/>
        <v>57241206</v>
      </c>
      <c r="M834" s="985">
        <f t="shared" si="295"/>
        <v>0</v>
      </c>
      <c r="N834" s="985">
        <f t="shared" si="295"/>
        <v>0</v>
      </c>
      <c r="O834" s="985">
        <f t="shared" si="295"/>
        <v>57241206</v>
      </c>
      <c r="P834" s="985">
        <f t="shared" si="295"/>
        <v>0</v>
      </c>
      <c r="Q834" s="985">
        <f t="shared" si="295"/>
        <v>0</v>
      </c>
      <c r="R834" s="996" t="s">
        <v>40</v>
      </c>
      <c r="S834" s="996" t="s">
        <v>40</v>
      </c>
      <c r="T834" s="996" t="s">
        <v>40</v>
      </c>
    </row>
    <row r="835" spans="1:20" s="997" customFormat="1" ht="37.950000000000003" customHeight="1">
      <c r="A835" s="1407">
        <v>92</v>
      </c>
      <c r="B835" s="1260" t="s">
        <v>1447</v>
      </c>
      <c r="C835" s="1116"/>
      <c r="D835" s="1116">
        <v>1994</v>
      </c>
      <c r="E835" s="1249" t="s">
        <v>219</v>
      </c>
      <c r="F835" s="995">
        <v>9</v>
      </c>
      <c r="G835" s="995">
        <v>5</v>
      </c>
      <c r="H835" s="985">
        <v>12100.9</v>
      </c>
      <c r="I835" s="985">
        <v>10253.799999999999</v>
      </c>
      <c r="J835" s="985">
        <f>I835-240.4</f>
        <v>10013.4</v>
      </c>
      <c r="K835" s="1116">
        <v>423</v>
      </c>
      <c r="L835" s="985">
        <v>12157622</v>
      </c>
      <c r="M835" s="987">
        <v>0</v>
      </c>
      <c r="N835" s="987">
        <v>0</v>
      </c>
      <c r="O835" s="985">
        <f>L835</f>
        <v>12157622</v>
      </c>
      <c r="P835" s="998">
        <v>0</v>
      </c>
      <c r="Q835" s="987">
        <v>0</v>
      </c>
      <c r="R835" s="985">
        <f t="shared" ref="R835:R839" si="296">L835/I835</f>
        <v>1185.6698979890382</v>
      </c>
      <c r="S835" s="988">
        <v>2022</v>
      </c>
      <c r="T835" s="988">
        <v>2022</v>
      </c>
    </row>
    <row r="836" spans="1:20" s="997" customFormat="1" ht="37.950000000000003" customHeight="1">
      <c r="A836" s="1407">
        <v>93</v>
      </c>
      <c r="B836" s="1260" t="s">
        <v>1448</v>
      </c>
      <c r="C836" s="1116"/>
      <c r="D836" s="1116">
        <v>1994</v>
      </c>
      <c r="E836" s="1249" t="s">
        <v>219</v>
      </c>
      <c r="F836" s="1255">
        <v>5</v>
      </c>
      <c r="G836" s="1255">
        <v>4</v>
      </c>
      <c r="H836" s="998">
        <v>5493.7</v>
      </c>
      <c r="I836" s="998">
        <v>3577.3</v>
      </c>
      <c r="J836" s="998">
        <f>I836-57.2</f>
        <v>3520.1000000000004</v>
      </c>
      <c r="K836" s="988">
        <v>169</v>
      </c>
      <c r="L836" s="985">
        <v>14001917</v>
      </c>
      <c r="M836" s="987">
        <v>0</v>
      </c>
      <c r="N836" s="987">
        <v>0</v>
      </c>
      <c r="O836" s="985">
        <f t="shared" ref="O836:O839" si="297">L836</f>
        <v>14001917</v>
      </c>
      <c r="P836" s="998">
        <v>0</v>
      </c>
      <c r="Q836" s="987">
        <v>0</v>
      </c>
      <c r="R836" s="985">
        <f t="shared" si="296"/>
        <v>3914.1019763508789</v>
      </c>
      <c r="S836" s="988">
        <v>2022</v>
      </c>
      <c r="T836" s="988">
        <v>2022</v>
      </c>
    </row>
    <row r="837" spans="1:20" s="997" customFormat="1" ht="37.950000000000003" customHeight="1">
      <c r="A837" s="1407">
        <v>94</v>
      </c>
      <c r="B837" s="1260" t="s">
        <v>1449</v>
      </c>
      <c r="C837" s="1116"/>
      <c r="D837" s="1116">
        <v>1993</v>
      </c>
      <c r="E837" s="1249" t="s">
        <v>220</v>
      </c>
      <c r="F837" s="1255">
        <v>5</v>
      </c>
      <c r="G837" s="1255">
        <v>4</v>
      </c>
      <c r="H837" s="998">
        <v>5425.3</v>
      </c>
      <c r="I837" s="998">
        <v>3461.7</v>
      </c>
      <c r="J837" s="998">
        <f>I837-71.6</f>
        <v>3390.1</v>
      </c>
      <c r="K837" s="988">
        <v>126</v>
      </c>
      <c r="L837" s="985">
        <v>13294422</v>
      </c>
      <c r="M837" s="987">
        <v>0</v>
      </c>
      <c r="N837" s="987">
        <v>0</v>
      </c>
      <c r="O837" s="985">
        <f t="shared" si="297"/>
        <v>13294422</v>
      </c>
      <c r="P837" s="998">
        <v>0</v>
      </c>
      <c r="Q837" s="987">
        <v>0</v>
      </c>
      <c r="R837" s="985">
        <f t="shared" si="296"/>
        <v>3840.4315798596067</v>
      </c>
      <c r="S837" s="988">
        <v>2022</v>
      </c>
      <c r="T837" s="988">
        <v>2022</v>
      </c>
    </row>
    <row r="838" spans="1:20" s="997" customFormat="1" ht="37.950000000000003" customHeight="1">
      <c r="A838" s="1407">
        <v>95</v>
      </c>
      <c r="B838" s="1260" t="s">
        <v>1450</v>
      </c>
      <c r="C838" s="1116"/>
      <c r="D838" s="1116">
        <v>1667</v>
      </c>
      <c r="E838" s="1249" t="s">
        <v>218</v>
      </c>
      <c r="F838" s="1255">
        <v>5</v>
      </c>
      <c r="G838" s="1255">
        <v>4</v>
      </c>
      <c r="H838" s="998">
        <v>2944.9</v>
      </c>
      <c r="I838" s="998">
        <v>2630</v>
      </c>
      <c r="J838" s="998">
        <f>I838</f>
        <v>2630</v>
      </c>
      <c r="K838" s="988">
        <v>104</v>
      </c>
      <c r="L838" s="985">
        <v>10492672</v>
      </c>
      <c r="M838" s="987">
        <v>0</v>
      </c>
      <c r="N838" s="987">
        <v>0</v>
      </c>
      <c r="O838" s="985">
        <f t="shared" si="297"/>
        <v>10492672</v>
      </c>
      <c r="P838" s="998">
        <v>0</v>
      </c>
      <c r="Q838" s="987">
        <v>0</v>
      </c>
      <c r="R838" s="985">
        <f t="shared" si="296"/>
        <v>3989.6091254752851</v>
      </c>
      <c r="S838" s="988">
        <v>2022</v>
      </c>
      <c r="T838" s="988">
        <v>2022</v>
      </c>
    </row>
    <row r="839" spans="1:20" s="997" customFormat="1" ht="37.950000000000003" customHeight="1">
      <c r="A839" s="1407">
        <v>96</v>
      </c>
      <c r="B839" s="1409" t="s">
        <v>1451</v>
      </c>
      <c r="C839" s="1116"/>
      <c r="D839" s="1116">
        <v>1993</v>
      </c>
      <c r="E839" s="1249" t="s">
        <v>219</v>
      </c>
      <c r="F839" s="1408">
        <v>9</v>
      </c>
      <c r="G839" s="1408">
        <v>3</v>
      </c>
      <c r="H839" s="998">
        <v>7045.7</v>
      </c>
      <c r="I839" s="998">
        <v>6350</v>
      </c>
      <c r="J839" s="998">
        <f>I839-135.4</f>
        <v>6214.6</v>
      </c>
      <c r="K839" s="988">
        <v>244</v>
      </c>
      <c r="L839" s="985">
        <v>7294573</v>
      </c>
      <c r="M839" s="987">
        <v>0</v>
      </c>
      <c r="N839" s="987">
        <v>0</v>
      </c>
      <c r="O839" s="985">
        <f t="shared" si="297"/>
        <v>7294573</v>
      </c>
      <c r="P839" s="998">
        <v>0</v>
      </c>
      <c r="Q839" s="987">
        <v>0</v>
      </c>
      <c r="R839" s="985">
        <f t="shared" si="296"/>
        <v>1148.7516535433072</v>
      </c>
      <c r="S839" s="988">
        <v>2022</v>
      </c>
      <c r="T839" s="988">
        <v>2022</v>
      </c>
    </row>
    <row r="840" spans="1:20" s="997" customFormat="1" ht="37.950000000000003" customHeight="1">
      <c r="A840" s="1249"/>
      <c r="B840" s="1517" t="s">
        <v>1088</v>
      </c>
      <c r="C840" s="1513"/>
      <c r="D840" s="1513"/>
      <c r="E840" s="1513"/>
      <c r="F840" s="1513"/>
      <c r="G840" s="1513"/>
      <c r="H840" s="985">
        <f>H841</f>
        <v>3390.7</v>
      </c>
      <c r="I840" s="985">
        <f t="shared" ref="I840:Q840" si="298">I841</f>
        <v>3115.7</v>
      </c>
      <c r="J840" s="985">
        <f t="shared" si="298"/>
        <v>3115.7</v>
      </c>
      <c r="K840" s="1116">
        <f t="shared" si="298"/>
        <v>126</v>
      </c>
      <c r="L840" s="985">
        <f t="shared" si="298"/>
        <v>3550451</v>
      </c>
      <c r="M840" s="985">
        <f t="shared" si="298"/>
        <v>0</v>
      </c>
      <c r="N840" s="985">
        <f t="shared" si="298"/>
        <v>0</v>
      </c>
      <c r="O840" s="985">
        <f t="shared" si="298"/>
        <v>3550451</v>
      </c>
      <c r="P840" s="985">
        <f t="shared" si="298"/>
        <v>0</v>
      </c>
      <c r="Q840" s="985">
        <f t="shared" si="298"/>
        <v>0</v>
      </c>
      <c r="R840" s="1165" t="s">
        <v>40</v>
      </c>
      <c r="S840" s="1165" t="s">
        <v>40</v>
      </c>
      <c r="T840" s="996" t="s">
        <v>40</v>
      </c>
    </row>
    <row r="841" spans="1:20" s="997" customFormat="1" ht="37.950000000000003" customHeight="1">
      <c r="A841" s="1249">
        <v>97</v>
      </c>
      <c r="B841" s="1260" t="s">
        <v>1562</v>
      </c>
      <c r="C841" s="1249">
        <v>1972</v>
      </c>
      <c r="D841" s="1255"/>
      <c r="E841" s="1249" t="s">
        <v>218</v>
      </c>
      <c r="F841" s="1249">
        <v>5</v>
      </c>
      <c r="G841" s="1249">
        <v>4</v>
      </c>
      <c r="H841" s="998">
        <v>3390.7</v>
      </c>
      <c r="I841" s="998">
        <v>3115.7</v>
      </c>
      <c r="J841" s="998">
        <v>3115.7</v>
      </c>
      <c r="K841" s="988">
        <v>126</v>
      </c>
      <c r="L841" s="998">
        <v>3550451</v>
      </c>
      <c r="M841" s="998">
        <v>0</v>
      </c>
      <c r="N841" s="998">
        <v>0</v>
      </c>
      <c r="O841" s="998">
        <f>L841</f>
        <v>3550451</v>
      </c>
      <c r="P841" s="998">
        <v>0</v>
      </c>
      <c r="Q841" s="998">
        <v>0</v>
      </c>
      <c r="R841" s="998">
        <f t="shared" ref="R841" si="299">L841/I841</f>
        <v>1139.5355778797702</v>
      </c>
      <c r="S841" s="988">
        <v>2022</v>
      </c>
      <c r="T841" s="988">
        <v>2022</v>
      </c>
    </row>
    <row r="842" spans="1:20" s="997" customFormat="1" ht="37.950000000000003" customHeight="1">
      <c r="A842" s="1249"/>
      <c r="B842" s="1517" t="s">
        <v>1087</v>
      </c>
      <c r="C842" s="1513"/>
      <c r="D842" s="1513"/>
      <c r="E842" s="1513"/>
      <c r="F842" s="1513"/>
      <c r="G842" s="1513"/>
      <c r="H842" s="998">
        <f>H843</f>
        <v>11049.9</v>
      </c>
      <c r="I842" s="998">
        <f t="shared" ref="I842:Q842" si="300">I843</f>
        <v>11049.9</v>
      </c>
      <c r="J842" s="998">
        <f t="shared" si="300"/>
        <v>10039.4</v>
      </c>
      <c r="K842" s="988">
        <f t="shared" si="300"/>
        <v>385</v>
      </c>
      <c r="L842" s="998">
        <f t="shared" si="300"/>
        <v>8518278</v>
      </c>
      <c r="M842" s="998">
        <f t="shared" si="300"/>
        <v>0</v>
      </c>
      <c r="N842" s="998">
        <f t="shared" si="300"/>
        <v>0</v>
      </c>
      <c r="O842" s="998">
        <f t="shared" si="300"/>
        <v>8518278</v>
      </c>
      <c r="P842" s="998">
        <f t="shared" si="300"/>
        <v>0</v>
      </c>
      <c r="Q842" s="998">
        <f t="shared" si="300"/>
        <v>0</v>
      </c>
      <c r="R842" s="1165" t="s">
        <v>40</v>
      </c>
      <c r="S842" s="1165" t="s">
        <v>40</v>
      </c>
      <c r="T842" s="996" t="s">
        <v>40</v>
      </c>
    </row>
    <row r="843" spans="1:20" s="997" customFormat="1" ht="37.950000000000003" customHeight="1">
      <c r="A843" s="1249">
        <v>98</v>
      </c>
      <c r="B843" s="1260" t="s">
        <v>1044</v>
      </c>
      <c r="C843" s="1249">
        <v>1977</v>
      </c>
      <c r="D843" s="1255">
        <v>2010</v>
      </c>
      <c r="E843" s="1249" t="s">
        <v>219</v>
      </c>
      <c r="F843" s="1249">
        <v>5</v>
      </c>
      <c r="G843" s="1249">
        <v>14</v>
      </c>
      <c r="H843" s="998">
        <v>11049.9</v>
      </c>
      <c r="I843" s="998">
        <v>11049.9</v>
      </c>
      <c r="J843" s="998">
        <v>10039.4</v>
      </c>
      <c r="K843" s="988">
        <v>385</v>
      </c>
      <c r="L843" s="998">
        <v>8518278</v>
      </c>
      <c r="M843" s="998">
        <v>0</v>
      </c>
      <c r="N843" s="998">
        <v>0</v>
      </c>
      <c r="O843" s="998">
        <v>8518278</v>
      </c>
      <c r="P843" s="998">
        <v>0</v>
      </c>
      <c r="Q843" s="998">
        <v>0</v>
      </c>
      <c r="R843" s="998">
        <f t="shared" ref="R843" si="301">L843/I843</f>
        <v>770.8918632747808</v>
      </c>
      <c r="S843" s="988">
        <v>2022</v>
      </c>
      <c r="T843" s="988">
        <v>2022</v>
      </c>
    </row>
    <row r="844" spans="1:20" s="997" customFormat="1" ht="37.950000000000003" customHeight="1">
      <c r="A844" s="1249"/>
      <c r="B844" s="1513" t="s">
        <v>2007</v>
      </c>
      <c r="C844" s="1513"/>
      <c r="D844" s="1513"/>
      <c r="E844" s="1513"/>
      <c r="F844" s="1513"/>
      <c r="G844" s="1513"/>
      <c r="H844" s="998">
        <f>H845</f>
        <v>525.4</v>
      </c>
      <c r="I844" s="998">
        <f t="shared" ref="I844:Q844" si="302">I845</f>
        <v>525.4</v>
      </c>
      <c r="J844" s="998">
        <f t="shared" si="302"/>
        <v>293.7</v>
      </c>
      <c r="K844" s="988">
        <f t="shared" si="302"/>
        <v>24</v>
      </c>
      <c r="L844" s="998">
        <f t="shared" si="302"/>
        <v>1547837</v>
      </c>
      <c r="M844" s="998">
        <f t="shared" si="302"/>
        <v>0</v>
      </c>
      <c r="N844" s="998">
        <f t="shared" si="302"/>
        <v>0</v>
      </c>
      <c r="O844" s="998">
        <f t="shared" si="302"/>
        <v>1547837</v>
      </c>
      <c r="P844" s="998">
        <f t="shared" si="302"/>
        <v>0</v>
      </c>
      <c r="Q844" s="998">
        <f t="shared" si="302"/>
        <v>0</v>
      </c>
      <c r="R844" s="1165" t="s">
        <v>40</v>
      </c>
      <c r="S844" s="1165" t="s">
        <v>40</v>
      </c>
      <c r="T844" s="996" t="s">
        <v>40</v>
      </c>
    </row>
    <row r="845" spans="1:20" s="997" customFormat="1" ht="37.950000000000003" customHeight="1">
      <c r="A845" s="1249">
        <v>99</v>
      </c>
      <c r="B845" s="1260" t="s">
        <v>2008</v>
      </c>
      <c r="C845" s="1249">
        <v>1967</v>
      </c>
      <c r="D845" s="1255"/>
      <c r="E845" s="1249" t="s">
        <v>218</v>
      </c>
      <c r="F845" s="1249">
        <v>2</v>
      </c>
      <c r="G845" s="1249">
        <v>2</v>
      </c>
      <c r="H845" s="998">
        <v>525.4</v>
      </c>
      <c r="I845" s="998">
        <v>525.4</v>
      </c>
      <c r="J845" s="998">
        <v>293.7</v>
      </c>
      <c r="K845" s="988">
        <v>24</v>
      </c>
      <c r="L845" s="998">
        <v>1547837</v>
      </c>
      <c r="M845" s="998">
        <v>0</v>
      </c>
      <c r="N845" s="998">
        <v>0</v>
      </c>
      <c r="O845" s="998">
        <v>1547837</v>
      </c>
      <c r="P845" s="998">
        <v>0</v>
      </c>
      <c r="Q845" s="998">
        <v>0</v>
      </c>
      <c r="R845" s="998">
        <f t="shared" ref="R845" si="303">L845/I845</f>
        <v>2946.0163684811573</v>
      </c>
      <c r="S845" s="988">
        <v>2022</v>
      </c>
      <c r="T845" s="988">
        <v>2022</v>
      </c>
    </row>
    <row r="846" spans="1:20" s="997" customFormat="1" ht="37.950000000000003" customHeight="1">
      <c r="A846" s="1249"/>
      <c r="B846" s="1513" t="s">
        <v>1145</v>
      </c>
      <c r="C846" s="1513"/>
      <c r="D846" s="1513"/>
      <c r="E846" s="1513"/>
      <c r="F846" s="1513"/>
      <c r="G846" s="1513"/>
      <c r="H846" s="985">
        <f>H847</f>
        <v>627.1</v>
      </c>
      <c r="I846" s="985">
        <f t="shared" ref="I846:Q846" si="304">I847</f>
        <v>530.1</v>
      </c>
      <c r="J846" s="985">
        <f t="shared" si="304"/>
        <v>530.1</v>
      </c>
      <c r="K846" s="995">
        <f t="shared" si="304"/>
        <v>33</v>
      </c>
      <c r="L846" s="985">
        <f t="shared" si="304"/>
        <v>1039583</v>
      </c>
      <c r="M846" s="985">
        <f t="shared" si="304"/>
        <v>0</v>
      </c>
      <c r="N846" s="985">
        <f t="shared" si="304"/>
        <v>0</v>
      </c>
      <c r="O846" s="985">
        <f t="shared" si="304"/>
        <v>1039583</v>
      </c>
      <c r="P846" s="985">
        <f t="shared" si="304"/>
        <v>0</v>
      </c>
      <c r="Q846" s="985">
        <f t="shared" si="304"/>
        <v>0</v>
      </c>
      <c r="R846" s="996" t="s">
        <v>40</v>
      </c>
      <c r="S846" s="996" t="s">
        <v>40</v>
      </c>
      <c r="T846" s="996" t="s">
        <v>40</v>
      </c>
    </row>
    <row r="847" spans="1:20" s="997" customFormat="1" ht="37.950000000000003" customHeight="1">
      <c r="A847" s="1249">
        <v>100</v>
      </c>
      <c r="B847" s="1260" t="s">
        <v>2018</v>
      </c>
      <c r="C847" s="1255">
        <v>1986</v>
      </c>
      <c r="D847" s="1255"/>
      <c r="E847" s="1249" t="s">
        <v>219</v>
      </c>
      <c r="F847" s="1255">
        <v>2</v>
      </c>
      <c r="G847" s="1255">
        <v>2</v>
      </c>
      <c r="H847" s="998">
        <v>627.1</v>
      </c>
      <c r="I847" s="985">
        <v>530.1</v>
      </c>
      <c r="J847" s="985">
        <v>530.1</v>
      </c>
      <c r="K847" s="995">
        <v>33</v>
      </c>
      <c r="L847" s="987">
        <v>1039583</v>
      </c>
      <c r="M847" s="987">
        <v>0</v>
      </c>
      <c r="N847" s="987">
        <v>0</v>
      </c>
      <c r="O847" s="987">
        <v>1039583</v>
      </c>
      <c r="P847" s="998">
        <v>0</v>
      </c>
      <c r="Q847" s="987">
        <v>0</v>
      </c>
      <c r="R847" s="985">
        <f>L847/I847</f>
        <v>1961.1073382380682</v>
      </c>
      <c r="S847" s="988">
        <v>2022</v>
      </c>
      <c r="T847" s="988">
        <v>2022</v>
      </c>
    </row>
    <row r="848" spans="1:20" s="997" customFormat="1" ht="37.950000000000003" customHeight="1">
      <c r="A848" s="1249"/>
      <c r="B848" s="1513" t="s">
        <v>2015</v>
      </c>
      <c r="C848" s="1513"/>
      <c r="D848" s="1513"/>
      <c r="E848" s="1513"/>
      <c r="F848" s="1513"/>
      <c r="G848" s="1513"/>
      <c r="H848" s="985">
        <f>H849</f>
        <v>215</v>
      </c>
      <c r="I848" s="985">
        <f t="shared" ref="I848:Q848" si="305">I849</f>
        <v>136</v>
      </c>
      <c r="J848" s="985">
        <f t="shared" si="305"/>
        <v>128.80000000000001</v>
      </c>
      <c r="K848" s="985">
        <f t="shared" si="305"/>
        <v>10</v>
      </c>
      <c r="L848" s="985">
        <f t="shared" si="305"/>
        <v>107550</v>
      </c>
      <c r="M848" s="985">
        <f t="shared" si="305"/>
        <v>0</v>
      </c>
      <c r="N848" s="985">
        <f t="shared" si="305"/>
        <v>0</v>
      </c>
      <c r="O848" s="985">
        <f t="shared" si="305"/>
        <v>107550</v>
      </c>
      <c r="P848" s="985">
        <f t="shared" si="305"/>
        <v>0</v>
      </c>
      <c r="Q848" s="985">
        <f t="shared" si="305"/>
        <v>0</v>
      </c>
      <c r="R848" s="996" t="s">
        <v>40</v>
      </c>
      <c r="S848" s="996" t="s">
        <v>40</v>
      </c>
      <c r="T848" s="996" t="s">
        <v>40</v>
      </c>
    </row>
    <row r="849" spans="1:20" s="997" customFormat="1" ht="37.950000000000003" customHeight="1">
      <c r="A849" s="1249">
        <v>101</v>
      </c>
      <c r="B849" s="1260" t="s">
        <v>1318</v>
      </c>
      <c r="C849" s="1249">
        <v>1972</v>
      </c>
      <c r="D849" s="1249"/>
      <c r="E849" s="1249" t="s">
        <v>218</v>
      </c>
      <c r="F849" s="1255">
        <v>2</v>
      </c>
      <c r="G849" s="1255">
        <v>2</v>
      </c>
      <c r="H849" s="985">
        <v>215</v>
      </c>
      <c r="I849" s="985">
        <v>136</v>
      </c>
      <c r="J849" s="985">
        <v>128.80000000000001</v>
      </c>
      <c r="K849" s="995">
        <v>10</v>
      </c>
      <c r="L849" s="985">
        <v>107550</v>
      </c>
      <c r="M849" s="985">
        <v>0</v>
      </c>
      <c r="N849" s="985">
        <v>0</v>
      </c>
      <c r="O849" s="985">
        <v>107550</v>
      </c>
      <c r="P849" s="998">
        <v>0</v>
      </c>
      <c r="Q849" s="985">
        <v>0</v>
      </c>
      <c r="R849" s="985">
        <f>L849/I849</f>
        <v>790.80882352941171</v>
      </c>
      <c r="S849" s="988">
        <v>2022</v>
      </c>
      <c r="T849" s="988">
        <v>2022</v>
      </c>
    </row>
    <row r="850" spans="1:20" s="997" customFormat="1" ht="37.950000000000003" customHeight="1">
      <c r="A850" s="1249"/>
      <c r="B850" s="1513" t="s">
        <v>55</v>
      </c>
      <c r="C850" s="1513"/>
      <c r="D850" s="1513"/>
      <c r="E850" s="1513"/>
      <c r="F850" s="1513"/>
      <c r="G850" s="1513"/>
      <c r="H850" s="985">
        <f>H851</f>
        <v>2345.6</v>
      </c>
      <c r="I850" s="985">
        <f t="shared" ref="I850:T850" si="306">I851</f>
        <v>2224.1</v>
      </c>
      <c r="J850" s="985">
        <f t="shared" si="306"/>
        <v>1288.8</v>
      </c>
      <c r="K850" s="995">
        <f t="shared" si="306"/>
        <v>62</v>
      </c>
      <c r="L850" s="987">
        <f t="shared" si="306"/>
        <v>5986278</v>
      </c>
      <c r="M850" s="987">
        <f t="shared" si="306"/>
        <v>0</v>
      </c>
      <c r="N850" s="987">
        <f t="shared" si="306"/>
        <v>0</v>
      </c>
      <c r="O850" s="987">
        <f t="shared" si="306"/>
        <v>5986278</v>
      </c>
      <c r="P850" s="998">
        <v>0</v>
      </c>
      <c r="Q850" s="987">
        <f t="shared" si="306"/>
        <v>0</v>
      </c>
      <c r="R850" s="996" t="str">
        <f t="shared" si="306"/>
        <v>Х</v>
      </c>
      <c r="S850" s="996" t="str">
        <f t="shared" si="306"/>
        <v>Х</v>
      </c>
      <c r="T850" s="996" t="str">
        <f t="shared" si="306"/>
        <v>Х</v>
      </c>
    </row>
    <row r="851" spans="1:20" s="997" customFormat="1" ht="37.950000000000003" customHeight="1">
      <c r="A851" s="1249"/>
      <c r="B851" s="1513" t="s">
        <v>1090</v>
      </c>
      <c r="C851" s="1513"/>
      <c r="D851" s="1513"/>
      <c r="E851" s="1513"/>
      <c r="F851" s="1513"/>
      <c r="G851" s="1513"/>
      <c r="H851" s="985">
        <f>H852+H853+H854</f>
        <v>2345.6</v>
      </c>
      <c r="I851" s="985">
        <f t="shared" ref="I851:Q851" si="307">I852+I853+I854</f>
        <v>2224.1</v>
      </c>
      <c r="J851" s="985">
        <f t="shared" si="307"/>
        <v>1288.8</v>
      </c>
      <c r="K851" s="995">
        <f t="shared" si="307"/>
        <v>62</v>
      </c>
      <c r="L851" s="985">
        <f t="shared" si="307"/>
        <v>5986278</v>
      </c>
      <c r="M851" s="985">
        <f t="shared" si="307"/>
        <v>0</v>
      </c>
      <c r="N851" s="985">
        <f t="shared" si="307"/>
        <v>0</v>
      </c>
      <c r="O851" s="985">
        <f t="shared" si="307"/>
        <v>5986278</v>
      </c>
      <c r="P851" s="985">
        <f t="shared" si="307"/>
        <v>0</v>
      </c>
      <c r="Q851" s="985">
        <f t="shared" si="307"/>
        <v>0</v>
      </c>
      <c r="R851" s="996" t="s">
        <v>40</v>
      </c>
      <c r="S851" s="996" t="s">
        <v>40</v>
      </c>
      <c r="T851" s="996" t="s">
        <v>40</v>
      </c>
    </row>
    <row r="852" spans="1:20" s="997" customFormat="1" ht="37.950000000000003" customHeight="1">
      <c r="A852" s="1249">
        <v>102</v>
      </c>
      <c r="B852" s="1260" t="s">
        <v>1518</v>
      </c>
      <c r="C852" s="1034" t="s">
        <v>1519</v>
      </c>
      <c r="D852" s="1255"/>
      <c r="E852" s="1249" t="s">
        <v>218</v>
      </c>
      <c r="F852" s="1255">
        <v>3</v>
      </c>
      <c r="G852" s="1255">
        <v>1</v>
      </c>
      <c r="H852" s="985">
        <v>819.4</v>
      </c>
      <c r="I852" s="985">
        <v>819.4</v>
      </c>
      <c r="J852" s="985">
        <v>460.5</v>
      </c>
      <c r="K852" s="995">
        <v>33</v>
      </c>
      <c r="L852" s="987">
        <v>2114314</v>
      </c>
      <c r="M852" s="987">
        <v>0</v>
      </c>
      <c r="N852" s="987">
        <v>0</v>
      </c>
      <c r="O852" s="987">
        <v>2114314</v>
      </c>
      <c r="P852" s="998">
        <v>0</v>
      </c>
      <c r="Q852" s="987">
        <v>0</v>
      </c>
      <c r="R852" s="985">
        <f>L852/I852</f>
        <v>2580.3197461557238</v>
      </c>
      <c r="S852" s="988">
        <v>2022</v>
      </c>
      <c r="T852" s="988">
        <v>2022</v>
      </c>
    </row>
    <row r="853" spans="1:20" s="997" customFormat="1" ht="37.950000000000003" customHeight="1">
      <c r="A853" s="1249">
        <v>103</v>
      </c>
      <c r="B853" s="1260" t="s">
        <v>390</v>
      </c>
      <c r="C853" s="1034" t="s">
        <v>604</v>
      </c>
      <c r="D853" s="1255"/>
      <c r="E853" s="1249" t="s">
        <v>218</v>
      </c>
      <c r="F853" s="1255">
        <v>2</v>
      </c>
      <c r="G853" s="1255">
        <v>3</v>
      </c>
      <c r="H853" s="985">
        <v>1110.3</v>
      </c>
      <c r="I853" s="985">
        <v>988.8</v>
      </c>
      <c r="J853" s="985">
        <v>525.79999999999995</v>
      </c>
      <c r="K853" s="995">
        <v>14</v>
      </c>
      <c r="L853" s="987">
        <v>2954489</v>
      </c>
      <c r="M853" s="987">
        <v>0</v>
      </c>
      <c r="N853" s="987">
        <v>0</v>
      </c>
      <c r="O853" s="987">
        <v>2954489</v>
      </c>
      <c r="P853" s="998">
        <v>0</v>
      </c>
      <c r="Q853" s="987">
        <v>0</v>
      </c>
      <c r="R853" s="985">
        <f t="shared" ref="R853:R854" si="308">L853/I853</f>
        <v>2987.954085760518</v>
      </c>
      <c r="S853" s="988">
        <v>2022</v>
      </c>
      <c r="T853" s="988">
        <v>2022</v>
      </c>
    </row>
    <row r="854" spans="1:20" s="997" customFormat="1" ht="37.950000000000003" customHeight="1">
      <c r="A854" s="1249">
        <v>104</v>
      </c>
      <c r="B854" s="1260" t="s">
        <v>1148</v>
      </c>
      <c r="C854" s="1034" t="s">
        <v>1233</v>
      </c>
      <c r="D854" s="1255">
        <v>2017</v>
      </c>
      <c r="E854" s="1249" t="s">
        <v>824</v>
      </c>
      <c r="F854" s="1255">
        <v>2</v>
      </c>
      <c r="G854" s="1255">
        <v>2</v>
      </c>
      <c r="H854" s="985">
        <v>415.9</v>
      </c>
      <c r="I854" s="985">
        <v>415.9</v>
      </c>
      <c r="J854" s="985">
        <v>302.5</v>
      </c>
      <c r="K854" s="995">
        <v>15</v>
      </c>
      <c r="L854" s="987">
        <v>917475</v>
      </c>
      <c r="M854" s="987">
        <v>0</v>
      </c>
      <c r="N854" s="987">
        <v>0</v>
      </c>
      <c r="O854" s="987">
        <v>917475</v>
      </c>
      <c r="P854" s="998">
        <v>0</v>
      </c>
      <c r="Q854" s="987">
        <v>0</v>
      </c>
      <c r="R854" s="985">
        <f t="shared" si="308"/>
        <v>2205.999038230344</v>
      </c>
      <c r="S854" s="988">
        <v>2022</v>
      </c>
      <c r="T854" s="988">
        <v>2022</v>
      </c>
    </row>
    <row r="855" spans="1:20" s="997" customFormat="1" ht="37.950000000000003" customHeight="1">
      <c r="A855" s="1249"/>
      <c r="B855" s="1513" t="s">
        <v>56</v>
      </c>
      <c r="C855" s="1513"/>
      <c r="D855" s="1513"/>
      <c r="E855" s="1513"/>
      <c r="F855" s="1513"/>
      <c r="G855" s="1513"/>
      <c r="H855" s="985">
        <f>H856+H858+H861+H863</f>
        <v>9723.0999999999985</v>
      </c>
      <c r="I855" s="985">
        <f t="shared" ref="I855:Q855" si="309">I856+I858+I861+I863</f>
        <v>6495.5000000000009</v>
      </c>
      <c r="J855" s="985">
        <f t="shared" si="309"/>
        <v>9085.7000000000007</v>
      </c>
      <c r="K855" s="995">
        <f t="shared" si="309"/>
        <v>341</v>
      </c>
      <c r="L855" s="985">
        <f t="shared" si="309"/>
        <v>12477151</v>
      </c>
      <c r="M855" s="985">
        <f t="shared" si="309"/>
        <v>0</v>
      </c>
      <c r="N855" s="985">
        <f t="shared" si="309"/>
        <v>0</v>
      </c>
      <c r="O855" s="985">
        <f t="shared" si="309"/>
        <v>12477151</v>
      </c>
      <c r="P855" s="985">
        <f t="shared" si="309"/>
        <v>0</v>
      </c>
      <c r="Q855" s="985">
        <f t="shared" si="309"/>
        <v>0</v>
      </c>
      <c r="R855" s="996" t="str">
        <f t="shared" ref="R855:T855" si="310">R856</f>
        <v>Х</v>
      </c>
      <c r="S855" s="996" t="str">
        <f t="shared" si="310"/>
        <v>Х</v>
      </c>
      <c r="T855" s="996" t="str">
        <f t="shared" si="310"/>
        <v>Х</v>
      </c>
    </row>
    <row r="856" spans="1:20" s="997" customFormat="1" ht="37.950000000000003" customHeight="1">
      <c r="A856" s="1249"/>
      <c r="B856" s="1542" t="s">
        <v>1091</v>
      </c>
      <c r="C856" s="1513"/>
      <c r="D856" s="1513"/>
      <c r="E856" s="1513"/>
      <c r="F856" s="1513"/>
      <c r="G856" s="1513"/>
      <c r="H856" s="985">
        <f t="shared" ref="H856:Q856" si="311">SUM(H857:H857)</f>
        <v>4189.5</v>
      </c>
      <c r="I856" s="985">
        <f t="shared" si="311"/>
        <v>2919.4</v>
      </c>
      <c r="J856" s="985">
        <f t="shared" si="311"/>
        <v>2665.7</v>
      </c>
      <c r="K856" s="995">
        <f t="shared" si="311"/>
        <v>160</v>
      </c>
      <c r="L856" s="985">
        <f t="shared" si="311"/>
        <v>7126787</v>
      </c>
      <c r="M856" s="985">
        <f t="shared" si="311"/>
        <v>0</v>
      </c>
      <c r="N856" s="985">
        <f t="shared" si="311"/>
        <v>0</v>
      </c>
      <c r="O856" s="985">
        <f t="shared" si="311"/>
        <v>7126787</v>
      </c>
      <c r="P856" s="985">
        <f t="shared" si="311"/>
        <v>0</v>
      </c>
      <c r="Q856" s="985">
        <f t="shared" si="311"/>
        <v>0</v>
      </c>
      <c r="R856" s="996" t="s">
        <v>40</v>
      </c>
      <c r="S856" s="996" t="s">
        <v>40</v>
      </c>
      <c r="T856" s="996" t="s">
        <v>40</v>
      </c>
    </row>
    <row r="857" spans="1:20" s="997" customFormat="1" ht="37.950000000000003" customHeight="1">
      <c r="A857" s="1249">
        <v>105</v>
      </c>
      <c r="B857" s="1260" t="s">
        <v>1932</v>
      </c>
      <c r="C857" s="1249">
        <v>1974</v>
      </c>
      <c r="D857" s="1249"/>
      <c r="E857" s="1249" t="s">
        <v>219</v>
      </c>
      <c r="F857" s="1255">
        <v>5</v>
      </c>
      <c r="G857" s="1255">
        <v>6</v>
      </c>
      <c r="H857" s="985">
        <v>4189.5</v>
      </c>
      <c r="I857" s="985">
        <v>2919.4</v>
      </c>
      <c r="J857" s="985">
        <v>2665.7</v>
      </c>
      <c r="K857" s="995">
        <v>160</v>
      </c>
      <c r="L857" s="985">
        <v>7126787</v>
      </c>
      <c r="M857" s="985">
        <v>0</v>
      </c>
      <c r="N857" s="985">
        <v>0</v>
      </c>
      <c r="O857" s="985">
        <v>7126787</v>
      </c>
      <c r="P857" s="998">
        <v>0</v>
      </c>
      <c r="Q857" s="985">
        <v>0</v>
      </c>
      <c r="R857" s="985">
        <f>L857/I857</f>
        <v>2441.1820922107281</v>
      </c>
      <c r="S857" s="988">
        <v>2022</v>
      </c>
      <c r="T857" s="988">
        <v>2022</v>
      </c>
    </row>
    <row r="858" spans="1:20" s="997" customFormat="1" ht="37.950000000000003" customHeight="1">
      <c r="A858" s="1249"/>
      <c r="B858" s="1542" t="s">
        <v>1092</v>
      </c>
      <c r="C858" s="1542"/>
      <c r="D858" s="1542"/>
      <c r="E858" s="1542"/>
      <c r="F858" s="1542"/>
      <c r="G858" s="1542"/>
      <c r="H858" s="985">
        <f>H860+H859</f>
        <v>3692.3</v>
      </c>
      <c r="I858" s="985">
        <f t="shared" ref="I858:Q858" si="312">I860+I859</f>
        <v>2415.6999999999998</v>
      </c>
      <c r="J858" s="985">
        <f t="shared" si="312"/>
        <v>2386.9</v>
      </c>
      <c r="K858" s="995">
        <f t="shared" si="312"/>
        <v>107</v>
      </c>
      <c r="L858" s="985">
        <f t="shared" si="312"/>
        <v>3625770</v>
      </c>
      <c r="M858" s="985">
        <f t="shared" si="312"/>
        <v>0</v>
      </c>
      <c r="N858" s="985">
        <f t="shared" si="312"/>
        <v>0</v>
      </c>
      <c r="O858" s="985">
        <f t="shared" si="312"/>
        <v>3625770</v>
      </c>
      <c r="P858" s="985">
        <f t="shared" si="312"/>
        <v>0</v>
      </c>
      <c r="Q858" s="985">
        <f t="shared" si="312"/>
        <v>0</v>
      </c>
      <c r="R858" s="996" t="s">
        <v>40</v>
      </c>
      <c r="S858" s="996" t="s">
        <v>40</v>
      </c>
      <c r="T858" s="996" t="s">
        <v>40</v>
      </c>
    </row>
    <row r="859" spans="1:20" s="997" customFormat="1" ht="37.950000000000003" customHeight="1">
      <c r="A859" s="1249">
        <v>106</v>
      </c>
      <c r="B859" s="1260" t="s">
        <v>1350</v>
      </c>
      <c r="C859" s="1249">
        <v>1968</v>
      </c>
      <c r="D859" s="1249"/>
      <c r="E859" s="1249" t="s">
        <v>218</v>
      </c>
      <c r="F859" s="1249">
        <v>4</v>
      </c>
      <c r="G859" s="1249">
        <v>4</v>
      </c>
      <c r="H859" s="985">
        <v>2461</v>
      </c>
      <c r="I859" s="985">
        <v>1596.7</v>
      </c>
      <c r="J859" s="985">
        <v>1567.9</v>
      </c>
      <c r="K859" s="995">
        <v>79</v>
      </c>
      <c r="L859" s="987">
        <v>2382401</v>
      </c>
      <c r="M859" s="987">
        <v>0</v>
      </c>
      <c r="N859" s="987">
        <v>0</v>
      </c>
      <c r="O859" s="987">
        <v>2382401</v>
      </c>
      <c r="P859" s="998">
        <v>0</v>
      </c>
      <c r="Q859" s="987">
        <v>0</v>
      </c>
      <c r="R859" s="985">
        <f>L859/I859</f>
        <v>1492.078035949145</v>
      </c>
      <c r="S859" s="988">
        <v>2022</v>
      </c>
      <c r="T859" s="988">
        <v>2022</v>
      </c>
    </row>
    <row r="860" spans="1:20" s="997" customFormat="1" ht="37.950000000000003" customHeight="1">
      <c r="A860" s="1249">
        <v>107</v>
      </c>
      <c r="B860" s="1260" t="s">
        <v>1933</v>
      </c>
      <c r="C860" s="1249">
        <v>1972</v>
      </c>
      <c r="D860" s="1255"/>
      <c r="E860" s="1249" t="s">
        <v>218</v>
      </c>
      <c r="F860" s="1255">
        <v>4</v>
      </c>
      <c r="G860" s="1255">
        <v>2</v>
      </c>
      <c r="H860" s="985">
        <v>1231.3</v>
      </c>
      <c r="I860" s="985">
        <v>819</v>
      </c>
      <c r="J860" s="985">
        <v>819</v>
      </c>
      <c r="K860" s="995">
        <v>28</v>
      </c>
      <c r="L860" s="987">
        <v>1243369</v>
      </c>
      <c r="M860" s="987">
        <v>0</v>
      </c>
      <c r="N860" s="987">
        <v>0</v>
      </c>
      <c r="O860" s="987">
        <f>L860</f>
        <v>1243369</v>
      </c>
      <c r="P860" s="998">
        <v>0</v>
      </c>
      <c r="Q860" s="987">
        <v>0</v>
      </c>
      <c r="R860" s="985">
        <f>L860/I860</f>
        <v>1518.1550671550672</v>
      </c>
      <c r="S860" s="988">
        <v>2022</v>
      </c>
      <c r="T860" s="988">
        <v>2022</v>
      </c>
    </row>
    <row r="861" spans="1:20" s="997" customFormat="1" ht="37.950000000000003" customHeight="1">
      <c r="A861" s="1249"/>
      <c r="B861" s="1542" t="s">
        <v>1093</v>
      </c>
      <c r="C861" s="1542"/>
      <c r="D861" s="1542"/>
      <c r="E861" s="1542"/>
      <c r="F861" s="1542"/>
      <c r="G861" s="1542"/>
      <c r="H861" s="985">
        <f>H862</f>
        <v>452</v>
      </c>
      <c r="I861" s="985">
        <f t="shared" ref="I861:Q861" si="313">I862</f>
        <v>330.8</v>
      </c>
      <c r="J861" s="985">
        <f t="shared" si="313"/>
        <v>3303.8</v>
      </c>
      <c r="K861" s="995">
        <f t="shared" si="313"/>
        <v>12</v>
      </c>
      <c r="L861" s="985">
        <f t="shared" si="313"/>
        <v>1242149</v>
      </c>
      <c r="M861" s="985">
        <f t="shared" si="313"/>
        <v>0</v>
      </c>
      <c r="N861" s="985">
        <f t="shared" si="313"/>
        <v>0</v>
      </c>
      <c r="O861" s="985">
        <f t="shared" si="313"/>
        <v>1242149</v>
      </c>
      <c r="P861" s="985">
        <f t="shared" si="313"/>
        <v>0</v>
      </c>
      <c r="Q861" s="985">
        <f t="shared" si="313"/>
        <v>0</v>
      </c>
      <c r="R861" s="996" t="s">
        <v>40</v>
      </c>
      <c r="S861" s="996" t="s">
        <v>40</v>
      </c>
      <c r="T861" s="996" t="s">
        <v>40</v>
      </c>
    </row>
    <row r="862" spans="1:20" s="997" customFormat="1" ht="37.950000000000003" customHeight="1">
      <c r="A862" s="1249">
        <v>108</v>
      </c>
      <c r="B862" s="1260" t="s">
        <v>1934</v>
      </c>
      <c r="C862" s="1249">
        <v>1963</v>
      </c>
      <c r="D862" s="1255"/>
      <c r="E862" s="1249" t="s">
        <v>218</v>
      </c>
      <c r="F862" s="1255">
        <v>2</v>
      </c>
      <c r="G862" s="1255">
        <v>1</v>
      </c>
      <c r="H862" s="985">
        <v>452</v>
      </c>
      <c r="I862" s="985">
        <v>330.8</v>
      </c>
      <c r="J862" s="985">
        <v>3303.8</v>
      </c>
      <c r="K862" s="995">
        <v>12</v>
      </c>
      <c r="L862" s="987">
        <v>1242149</v>
      </c>
      <c r="M862" s="987">
        <v>0</v>
      </c>
      <c r="N862" s="987">
        <v>0</v>
      </c>
      <c r="O862" s="987">
        <v>1242149</v>
      </c>
      <c r="P862" s="998">
        <v>0</v>
      </c>
      <c r="Q862" s="987">
        <v>0</v>
      </c>
      <c r="R862" s="985">
        <f>L862/I862</f>
        <v>3754.9848851269649</v>
      </c>
      <c r="S862" s="988">
        <v>2022</v>
      </c>
      <c r="T862" s="988">
        <v>2022</v>
      </c>
    </row>
    <row r="863" spans="1:20" s="997" customFormat="1" ht="37.950000000000003" customHeight="1">
      <c r="A863" s="1249"/>
      <c r="B863" s="1542" t="s">
        <v>1342</v>
      </c>
      <c r="C863" s="1542"/>
      <c r="D863" s="1542"/>
      <c r="E863" s="1542"/>
      <c r="F863" s="1542"/>
      <c r="G863" s="1542"/>
      <c r="H863" s="985">
        <f>H864</f>
        <v>1389.3</v>
      </c>
      <c r="I863" s="985">
        <f t="shared" ref="I863:Q863" si="314">I864</f>
        <v>829.6</v>
      </c>
      <c r="J863" s="985">
        <f t="shared" si="314"/>
        <v>729.3</v>
      </c>
      <c r="K863" s="995">
        <f t="shared" si="314"/>
        <v>62</v>
      </c>
      <c r="L863" s="985">
        <f t="shared" si="314"/>
        <v>482445</v>
      </c>
      <c r="M863" s="985">
        <f t="shared" si="314"/>
        <v>0</v>
      </c>
      <c r="N863" s="985">
        <f t="shared" si="314"/>
        <v>0</v>
      </c>
      <c r="O863" s="985">
        <f t="shared" si="314"/>
        <v>482445</v>
      </c>
      <c r="P863" s="985">
        <f t="shared" si="314"/>
        <v>0</v>
      </c>
      <c r="Q863" s="985">
        <f t="shared" si="314"/>
        <v>0</v>
      </c>
      <c r="R863" s="996" t="s">
        <v>40</v>
      </c>
      <c r="S863" s="996" t="s">
        <v>40</v>
      </c>
      <c r="T863" s="996" t="s">
        <v>40</v>
      </c>
    </row>
    <row r="864" spans="1:20" s="997" customFormat="1" ht="37.950000000000003" customHeight="1">
      <c r="A864" s="1249">
        <v>109</v>
      </c>
      <c r="B864" s="1260" t="s">
        <v>1344</v>
      </c>
      <c r="C864" s="1249">
        <v>1985</v>
      </c>
      <c r="D864" s="1255"/>
      <c r="E864" s="1249" t="s">
        <v>219</v>
      </c>
      <c r="F864" s="1255">
        <v>3</v>
      </c>
      <c r="G864" s="1255">
        <v>3</v>
      </c>
      <c r="H864" s="985">
        <v>1389.3</v>
      </c>
      <c r="I864" s="985">
        <v>829.6</v>
      </c>
      <c r="J864" s="985">
        <v>729.3</v>
      </c>
      <c r="K864" s="995">
        <v>62</v>
      </c>
      <c r="L864" s="987">
        <v>482445</v>
      </c>
      <c r="M864" s="987">
        <v>0</v>
      </c>
      <c r="N864" s="987">
        <v>0</v>
      </c>
      <c r="O864" s="987">
        <v>482445</v>
      </c>
      <c r="P864" s="998">
        <v>0</v>
      </c>
      <c r="Q864" s="987">
        <v>0</v>
      </c>
      <c r="R864" s="985">
        <f>L864/I864</f>
        <v>581.5392960462874</v>
      </c>
      <c r="S864" s="988">
        <v>2022</v>
      </c>
      <c r="T864" s="988">
        <v>2022</v>
      </c>
    </row>
    <row r="865" spans="1:20" s="997" customFormat="1" ht="37.950000000000003" customHeight="1">
      <c r="A865" s="1249"/>
      <c r="B865" s="1513" t="s">
        <v>57</v>
      </c>
      <c r="C865" s="1513"/>
      <c r="D865" s="1513"/>
      <c r="E865" s="1513"/>
      <c r="F865" s="1513"/>
      <c r="G865" s="1513"/>
      <c r="H865" s="985">
        <f>H866</f>
        <v>808</v>
      </c>
      <c r="I865" s="985">
        <f t="shared" ref="I865:Q866" si="315">I866</f>
        <v>471</v>
      </c>
      <c r="J865" s="985">
        <f t="shared" si="315"/>
        <v>471</v>
      </c>
      <c r="K865" s="995">
        <f t="shared" si="315"/>
        <v>25</v>
      </c>
      <c r="L865" s="987">
        <f t="shared" si="315"/>
        <v>1909969</v>
      </c>
      <c r="M865" s="987">
        <f t="shared" si="315"/>
        <v>0</v>
      </c>
      <c r="N865" s="987">
        <f t="shared" si="315"/>
        <v>0</v>
      </c>
      <c r="O865" s="987">
        <f t="shared" si="315"/>
        <v>1909969</v>
      </c>
      <c r="P865" s="998">
        <v>0</v>
      </c>
      <c r="Q865" s="987">
        <f t="shared" si="315"/>
        <v>0</v>
      </c>
      <c r="R865" s="996" t="s">
        <v>40</v>
      </c>
      <c r="S865" s="996" t="s">
        <v>40</v>
      </c>
      <c r="T865" s="996" t="s">
        <v>40</v>
      </c>
    </row>
    <row r="866" spans="1:20" s="997" customFormat="1" ht="37.950000000000003" customHeight="1">
      <c r="A866" s="1249"/>
      <c r="B866" s="1542" t="s">
        <v>1094</v>
      </c>
      <c r="C866" s="1542"/>
      <c r="D866" s="1542"/>
      <c r="E866" s="1542"/>
      <c r="F866" s="1542"/>
      <c r="G866" s="1542"/>
      <c r="H866" s="985">
        <f>H867</f>
        <v>808</v>
      </c>
      <c r="I866" s="985">
        <f t="shared" si="315"/>
        <v>471</v>
      </c>
      <c r="J866" s="985">
        <f t="shared" si="315"/>
        <v>471</v>
      </c>
      <c r="K866" s="995">
        <f t="shared" si="315"/>
        <v>25</v>
      </c>
      <c r="L866" s="985">
        <f t="shared" si="315"/>
        <v>1909969</v>
      </c>
      <c r="M866" s="985">
        <f t="shared" si="315"/>
        <v>0</v>
      </c>
      <c r="N866" s="985">
        <f t="shared" si="315"/>
        <v>0</v>
      </c>
      <c r="O866" s="985">
        <f t="shared" si="315"/>
        <v>1909969</v>
      </c>
      <c r="P866" s="985">
        <f t="shared" si="315"/>
        <v>0</v>
      </c>
      <c r="Q866" s="985">
        <f t="shared" si="315"/>
        <v>0</v>
      </c>
      <c r="R866" s="996" t="s">
        <v>40</v>
      </c>
      <c r="S866" s="996" t="s">
        <v>40</v>
      </c>
      <c r="T866" s="996" t="s">
        <v>40</v>
      </c>
    </row>
    <row r="867" spans="1:20" s="997" customFormat="1" ht="37.950000000000003" customHeight="1">
      <c r="A867" s="1249">
        <v>110</v>
      </c>
      <c r="B867" s="1260" t="s">
        <v>1935</v>
      </c>
      <c r="C867" s="1249">
        <v>1978</v>
      </c>
      <c r="D867" s="1255"/>
      <c r="E867" s="1249" t="s">
        <v>218</v>
      </c>
      <c r="F867" s="1255">
        <v>2</v>
      </c>
      <c r="G867" s="1255">
        <v>2</v>
      </c>
      <c r="H867" s="985">
        <v>808</v>
      </c>
      <c r="I867" s="985">
        <v>471</v>
      </c>
      <c r="J867" s="985">
        <v>471</v>
      </c>
      <c r="K867" s="995">
        <v>25</v>
      </c>
      <c r="L867" s="987">
        <v>1909969</v>
      </c>
      <c r="M867" s="987">
        <v>0</v>
      </c>
      <c r="N867" s="987">
        <v>0</v>
      </c>
      <c r="O867" s="987">
        <f>L867</f>
        <v>1909969</v>
      </c>
      <c r="P867" s="998">
        <v>0</v>
      </c>
      <c r="Q867" s="987">
        <v>0</v>
      </c>
      <c r="R867" s="985">
        <f>L867/I867</f>
        <v>4055.1358811040341</v>
      </c>
      <c r="S867" s="988">
        <v>2022</v>
      </c>
      <c r="T867" s="988">
        <v>2022</v>
      </c>
    </row>
    <row r="868" spans="1:20" s="997" customFormat="1" ht="37.950000000000003" customHeight="1">
      <c r="A868" s="1249"/>
      <c r="B868" s="1513" t="s">
        <v>1220</v>
      </c>
      <c r="C868" s="1513"/>
      <c r="D868" s="1513"/>
      <c r="E868" s="1513"/>
      <c r="F868" s="1513"/>
      <c r="G868" s="1513"/>
      <c r="H868" s="985">
        <f>H869+H870+H871</f>
        <v>4266.5</v>
      </c>
      <c r="I868" s="985">
        <f t="shared" ref="I868:Q868" si="316">I869+I870+I871</f>
        <v>3967.2</v>
      </c>
      <c r="J868" s="985">
        <f t="shared" si="316"/>
        <v>3115.4000000000005</v>
      </c>
      <c r="K868" s="995">
        <f t="shared" si="316"/>
        <v>101</v>
      </c>
      <c r="L868" s="985">
        <f t="shared" si="316"/>
        <v>5088970</v>
      </c>
      <c r="M868" s="985">
        <f t="shared" si="316"/>
        <v>0</v>
      </c>
      <c r="N868" s="985">
        <f t="shared" si="316"/>
        <v>0</v>
      </c>
      <c r="O868" s="985">
        <f t="shared" si="316"/>
        <v>5088970</v>
      </c>
      <c r="P868" s="985">
        <f t="shared" si="316"/>
        <v>0</v>
      </c>
      <c r="Q868" s="985">
        <f t="shared" si="316"/>
        <v>0</v>
      </c>
      <c r="R868" s="996" t="s">
        <v>40</v>
      </c>
      <c r="S868" s="996" t="s">
        <v>40</v>
      </c>
      <c r="T868" s="996" t="s">
        <v>40</v>
      </c>
    </row>
    <row r="869" spans="1:20" s="997" customFormat="1" ht="37.950000000000003" customHeight="1">
      <c r="A869" s="1249">
        <v>111</v>
      </c>
      <c r="B869" s="1245" t="s">
        <v>1577</v>
      </c>
      <c r="C869" s="1249">
        <v>1959</v>
      </c>
      <c r="D869" s="1260"/>
      <c r="E869" s="1249" t="s">
        <v>218</v>
      </c>
      <c r="F869" s="1255">
        <v>3</v>
      </c>
      <c r="G869" s="1255">
        <v>3</v>
      </c>
      <c r="H869" s="985">
        <v>1761</v>
      </c>
      <c r="I869" s="985">
        <v>1671.8</v>
      </c>
      <c r="J869" s="985">
        <v>1299.4000000000001</v>
      </c>
      <c r="K869" s="995">
        <v>43</v>
      </c>
      <c r="L869" s="987">
        <v>883961</v>
      </c>
      <c r="M869" s="987">
        <v>0</v>
      </c>
      <c r="N869" s="987">
        <v>0</v>
      </c>
      <c r="O869" s="985">
        <v>883961</v>
      </c>
      <c r="P869" s="998">
        <v>0</v>
      </c>
      <c r="Q869" s="987">
        <v>0</v>
      </c>
      <c r="R869" s="985">
        <f t="shared" ref="R869:R871" si="317">L869/I869</f>
        <v>528.74805598755836</v>
      </c>
      <c r="S869" s="988">
        <v>2022</v>
      </c>
      <c r="T869" s="988">
        <v>2022</v>
      </c>
    </row>
    <row r="870" spans="1:20" s="997" customFormat="1" ht="37.950000000000003" customHeight="1">
      <c r="A870" s="1249">
        <v>112</v>
      </c>
      <c r="B870" s="1245" t="s">
        <v>1578</v>
      </c>
      <c r="C870" s="1249">
        <v>1979</v>
      </c>
      <c r="D870" s="1260"/>
      <c r="E870" s="1249" t="s">
        <v>218</v>
      </c>
      <c r="F870" s="1255">
        <v>2</v>
      </c>
      <c r="G870" s="1255">
        <v>3</v>
      </c>
      <c r="H870" s="985">
        <v>1347</v>
      </c>
      <c r="I870" s="985">
        <v>1228.0999999999999</v>
      </c>
      <c r="J870" s="985">
        <v>1112.7</v>
      </c>
      <c r="K870" s="995">
        <v>33</v>
      </c>
      <c r="L870" s="987">
        <v>2876912</v>
      </c>
      <c r="M870" s="987">
        <v>0</v>
      </c>
      <c r="N870" s="987">
        <v>0</v>
      </c>
      <c r="O870" s="985">
        <v>2876912</v>
      </c>
      <c r="P870" s="998">
        <v>0</v>
      </c>
      <c r="Q870" s="987">
        <v>0</v>
      </c>
      <c r="R870" s="985">
        <f t="shared" si="317"/>
        <v>2342.5714518361697</v>
      </c>
      <c r="S870" s="988">
        <v>2022</v>
      </c>
      <c r="T870" s="988">
        <v>2022</v>
      </c>
    </row>
    <row r="871" spans="1:20" s="997" customFormat="1" ht="37.950000000000003" customHeight="1">
      <c r="A871" s="1249">
        <v>113</v>
      </c>
      <c r="B871" s="1260" t="s">
        <v>306</v>
      </c>
      <c r="C871" s="1249">
        <v>1959</v>
      </c>
      <c r="D871" s="1260"/>
      <c r="E871" s="1249" t="s">
        <v>218</v>
      </c>
      <c r="F871" s="1255">
        <v>3</v>
      </c>
      <c r="G871" s="1255">
        <v>3</v>
      </c>
      <c r="H871" s="985">
        <v>1158.5</v>
      </c>
      <c r="I871" s="985">
        <v>1067.3</v>
      </c>
      <c r="J871" s="985">
        <v>703.3</v>
      </c>
      <c r="K871" s="995">
        <v>25</v>
      </c>
      <c r="L871" s="987">
        <v>1328097</v>
      </c>
      <c r="M871" s="987">
        <v>0</v>
      </c>
      <c r="N871" s="987">
        <v>0</v>
      </c>
      <c r="O871" s="985">
        <v>1328097</v>
      </c>
      <c r="P871" s="998">
        <v>0</v>
      </c>
      <c r="Q871" s="987">
        <v>0</v>
      </c>
      <c r="R871" s="985">
        <f t="shared" si="317"/>
        <v>1244.3521034385833</v>
      </c>
      <c r="S871" s="988">
        <v>2022</v>
      </c>
      <c r="T871" s="988">
        <v>2022</v>
      </c>
    </row>
    <row r="872" spans="1:20" s="997" customFormat="1" ht="37.950000000000003" customHeight="1">
      <c r="A872" s="1249"/>
      <c r="B872" s="1513" t="s">
        <v>1158</v>
      </c>
      <c r="C872" s="1513"/>
      <c r="D872" s="1513"/>
      <c r="E872" s="1513"/>
      <c r="F872" s="1513"/>
      <c r="G872" s="1513"/>
      <c r="H872" s="985">
        <f>SUM(H873:H883)</f>
        <v>18943.100000000002</v>
      </c>
      <c r="I872" s="985">
        <f t="shared" ref="I872:Q872" si="318">SUM(I873:I883)</f>
        <v>18943.100000000002</v>
      </c>
      <c r="J872" s="985">
        <f t="shared" si="318"/>
        <v>16078.899999999998</v>
      </c>
      <c r="K872" s="995">
        <f t="shared" si="318"/>
        <v>629</v>
      </c>
      <c r="L872" s="985">
        <f t="shared" si="318"/>
        <v>26188378</v>
      </c>
      <c r="M872" s="985">
        <f t="shared" si="318"/>
        <v>0</v>
      </c>
      <c r="N872" s="985">
        <f t="shared" si="318"/>
        <v>0</v>
      </c>
      <c r="O872" s="985">
        <f t="shared" si="318"/>
        <v>26188378</v>
      </c>
      <c r="P872" s="985">
        <f t="shared" si="318"/>
        <v>0</v>
      </c>
      <c r="Q872" s="985">
        <f t="shared" si="318"/>
        <v>0</v>
      </c>
      <c r="R872" s="996" t="s">
        <v>40</v>
      </c>
      <c r="S872" s="996" t="s">
        <v>40</v>
      </c>
      <c r="T872" s="996" t="s">
        <v>40</v>
      </c>
    </row>
    <row r="873" spans="1:20" s="997" customFormat="1" ht="37.950000000000003" customHeight="1">
      <c r="A873" s="1249">
        <v>114</v>
      </c>
      <c r="B873" s="1265" t="s">
        <v>1404</v>
      </c>
      <c r="C873" s="1110">
        <v>1994</v>
      </c>
      <c r="D873" s="1110"/>
      <c r="E873" s="1249" t="s">
        <v>218</v>
      </c>
      <c r="F873" s="1110">
        <v>4</v>
      </c>
      <c r="G873" s="1110">
        <v>3</v>
      </c>
      <c r="H873" s="1111">
        <v>2605.6999999999998</v>
      </c>
      <c r="I873" s="1111">
        <v>2605.6999999999998</v>
      </c>
      <c r="J873" s="1111">
        <v>2386.1999999999998</v>
      </c>
      <c r="K873" s="1112">
        <v>91</v>
      </c>
      <c r="L873" s="1114">
        <v>1480849</v>
      </c>
      <c r="M873" s="985">
        <v>0</v>
      </c>
      <c r="N873" s="985">
        <v>0</v>
      </c>
      <c r="O873" s="1114">
        <v>1480849</v>
      </c>
      <c r="P873" s="1060">
        <v>0</v>
      </c>
      <c r="Q873" s="985">
        <v>0</v>
      </c>
      <c r="R873" s="985">
        <f>L873/I873</f>
        <v>568.31139425106505</v>
      </c>
      <c r="S873" s="1255">
        <v>2022</v>
      </c>
      <c r="T873" s="1255">
        <v>2022</v>
      </c>
    </row>
    <row r="874" spans="1:20" s="997" customFormat="1" ht="37.950000000000003" customHeight="1">
      <c r="A874" s="1249">
        <v>115</v>
      </c>
      <c r="B874" s="1265" t="s">
        <v>1936</v>
      </c>
      <c r="C874" s="1110">
        <v>1968</v>
      </c>
      <c r="D874" s="1110"/>
      <c r="E874" s="1249" t="s">
        <v>218</v>
      </c>
      <c r="F874" s="1110">
        <v>2</v>
      </c>
      <c r="G874" s="1110">
        <v>1</v>
      </c>
      <c r="H874" s="1111">
        <v>452.6</v>
      </c>
      <c r="I874" s="1111">
        <v>452.6</v>
      </c>
      <c r="J874" s="1111">
        <v>250.7</v>
      </c>
      <c r="K874" s="1112">
        <v>12</v>
      </c>
      <c r="L874" s="1114">
        <v>747997</v>
      </c>
      <c r="M874" s="985">
        <v>0</v>
      </c>
      <c r="N874" s="985">
        <v>0</v>
      </c>
      <c r="O874" s="1114">
        <v>747997</v>
      </c>
      <c r="P874" s="1060">
        <v>0</v>
      </c>
      <c r="Q874" s="985">
        <v>0</v>
      </c>
      <c r="R874" s="985">
        <f t="shared" ref="R874:R883" si="319">L874/I874</f>
        <v>1652.6668139637648</v>
      </c>
      <c r="S874" s="1255">
        <v>2022</v>
      </c>
      <c r="T874" s="1255">
        <v>2022</v>
      </c>
    </row>
    <row r="875" spans="1:20" s="997" customFormat="1" ht="37.950000000000003" customHeight="1">
      <c r="A875" s="1249">
        <v>116</v>
      </c>
      <c r="B875" s="1265" t="s">
        <v>1937</v>
      </c>
      <c r="C875" s="1255">
        <v>1967</v>
      </c>
      <c r="D875" s="1256"/>
      <c r="E875" s="1249" t="s">
        <v>218</v>
      </c>
      <c r="F875" s="1255">
        <v>2</v>
      </c>
      <c r="G875" s="1255">
        <v>2</v>
      </c>
      <c r="H875" s="985">
        <v>388.9</v>
      </c>
      <c r="I875" s="985">
        <v>388.9</v>
      </c>
      <c r="J875" s="985">
        <v>340.7</v>
      </c>
      <c r="K875" s="995">
        <v>14</v>
      </c>
      <c r="L875" s="998">
        <v>1820360</v>
      </c>
      <c r="M875" s="985">
        <v>0</v>
      </c>
      <c r="N875" s="985">
        <v>0</v>
      </c>
      <c r="O875" s="998">
        <v>1820360</v>
      </c>
      <c r="P875" s="1060">
        <v>0</v>
      </c>
      <c r="Q875" s="985">
        <v>0</v>
      </c>
      <c r="R875" s="985">
        <f t="shared" si="319"/>
        <v>4680.7919773720751</v>
      </c>
      <c r="S875" s="1255">
        <v>2022</v>
      </c>
      <c r="T875" s="1255">
        <v>2022</v>
      </c>
    </row>
    <row r="876" spans="1:20" s="997" customFormat="1" ht="37.950000000000003" customHeight="1">
      <c r="A876" s="1249">
        <v>117</v>
      </c>
      <c r="B876" s="1265" t="s">
        <v>1405</v>
      </c>
      <c r="C876" s="1255">
        <v>1937</v>
      </c>
      <c r="D876" s="1255">
        <v>2013</v>
      </c>
      <c r="E876" s="1249" t="s">
        <v>218</v>
      </c>
      <c r="F876" s="1255">
        <v>4</v>
      </c>
      <c r="G876" s="1255">
        <v>5</v>
      </c>
      <c r="H876" s="985">
        <v>2238.6</v>
      </c>
      <c r="I876" s="985">
        <v>2238.6</v>
      </c>
      <c r="J876" s="985">
        <v>1525.7</v>
      </c>
      <c r="K876" s="995">
        <v>77</v>
      </c>
      <c r="L876" s="998">
        <v>6713812</v>
      </c>
      <c r="M876" s="985">
        <v>0</v>
      </c>
      <c r="N876" s="985">
        <v>0</v>
      </c>
      <c r="O876" s="998">
        <v>6713812</v>
      </c>
      <c r="P876" s="1060">
        <v>0</v>
      </c>
      <c r="Q876" s="985">
        <v>0</v>
      </c>
      <c r="R876" s="985">
        <f t="shared" si="319"/>
        <v>2999.1119449656035</v>
      </c>
      <c r="S876" s="1255">
        <v>2022</v>
      </c>
      <c r="T876" s="1255">
        <v>2022</v>
      </c>
    </row>
    <row r="877" spans="1:20" s="997" customFormat="1" ht="37.950000000000003" customHeight="1">
      <c r="A877" s="1249">
        <v>118</v>
      </c>
      <c r="B877" s="1265" t="s">
        <v>1406</v>
      </c>
      <c r="C877" s="1255">
        <v>1983</v>
      </c>
      <c r="D877" s="1255"/>
      <c r="E877" s="1249" t="s">
        <v>218</v>
      </c>
      <c r="F877" s="1255">
        <v>2</v>
      </c>
      <c r="G877" s="1255">
        <v>2</v>
      </c>
      <c r="H877" s="985">
        <v>844.5</v>
      </c>
      <c r="I877" s="985">
        <v>844.5</v>
      </c>
      <c r="J877" s="985">
        <v>764.4</v>
      </c>
      <c r="K877" s="995">
        <v>12</v>
      </c>
      <c r="L877" s="998">
        <v>1059690</v>
      </c>
      <c r="M877" s="985">
        <v>0</v>
      </c>
      <c r="N877" s="985">
        <v>0</v>
      </c>
      <c r="O877" s="998">
        <v>1059690</v>
      </c>
      <c r="P877" s="985">
        <v>0</v>
      </c>
      <c r="Q877" s="985">
        <v>0</v>
      </c>
      <c r="R877" s="985">
        <f t="shared" si="319"/>
        <v>1254.8134991119005</v>
      </c>
      <c r="S877" s="1255">
        <v>2022</v>
      </c>
      <c r="T877" s="1255">
        <v>2022</v>
      </c>
    </row>
    <row r="878" spans="1:20" s="997" customFormat="1" ht="37.950000000000003" customHeight="1">
      <c r="A878" s="1249">
        <v>119</v>
      </c>
      <c r="B878" s="1265" t="s">
        <v>1938</v>
      </c>
      <c r="C878" s="1255">
        <v>1963</v>
      </c>
      <c r="D878" s="1255"/>
      <c r="E878" s="1249" t="s">
        <v>218</v>
      </c>
      <c r="F878" s="1255">
        <v>2</v>
      </c>
      <c r="G878" s="1255">
        <v>2</v>
      </c>
      <c r="H878" s="985">
        <v>523.79999999999995</v>
      </c>
      <c r="I878" s="985">
        <v>523.79999999999995</v>
      </c>
      <c r="J878" s="985">
        <v>460.5</v>
      </c>
      <c r="K878" s="995">
        <v>19</v>
      </c>
      <c r="L878" s="1060">
        <v>1150765</v>
      </c>
      <c r="M878" s="985">
        <v>0</v>
      </c>
      <c r="N878" s="985">
        <v>0</v>
      </c>
      <c r="O878" s="1060">
        <v>1150765</v>
      </c>
      <c r="P878" s="985">
        <v>0</v>
      </c>
      <c r="Q878" s="985">
        <v>0</v>
      </c>
      <c r="R878" s="985">
        <f t="shared" si="319"/>
        <v>2196.9549446353572</v>
      </c>
      <c r="S878" s="1255">
        <v>2022</v>
      </c>
      <c r="T878" s="1255">
        <v>2022</v>
      </c>
    </row>
    <row r="879" spans="1:20" s="997" customFormat="1" ht="37.950000000000003" customHeight="1">
      <c r="A879" s="1249">
        <v>120</v>
      </c>
      <c r="B879" s="1265" t="s">
        <v>1407</v>
      </c>
      <c r="C879" s="1255">
        <v>1987</v>
      </c>
      <c r="D879" s="1255"/>
      <c r="E879" s="1249" t="s">
        <v>218</v>
      </c>
      <c r="F879" s="1255">
        <v>5</v>
      </c>
      <c r="G879" s="1255">
        <v>5</v>
      </c>
      <c r="H879" s="985">
        <v>4705.6000000000004</v>
      </c>
      <c r="I879" s="985">
        <v>4705.6000000000004</v>
      </c>
      <c r="J879" s="985">
        <v>4256</v>
      </c>
      <c r="K879" s="1166">
        <v>171</v>
      </c>
      <c r="L879" s="1114">
        <v>3586643</v>
      </c>
      <c r="M879" s="985">
        <v>0</v>
      </c>
      <c r="N879" s="985">
        <v>0</v>
      </c>
      <c r="O879" s="1114">
        <v>3586643</v>
      </c>
      <c r="P879" s="985">
        <v>0</v>
      </c>
      <c r="Q879" s="985">
        <v>0</v>
      </c>
      <c r="R879" s="985">
        <f t="shared" si="319"/>
        <v>762.20736994219646</v>
      </c>
      <c r="S879" s="1255">
        <v>2022</v>
      </c>
      <c r="T879" s="1255">
        <v>2022</v>
      </c>
    </row>
    <row r="880" spans="1:20" s="997" customFormat="1" ht="37.950000000000003" customHeight="1">
      <c r="A880" s="1249">
        <v>121</v>
      </c>
      <c r="B880" s="1265" t="s">
        <v>2363</v>
      </c>
      <c r="C880" s="1255">
        <v>1984</v>
      </c>
      <c r="D880" s="1255"/>
      <c r="E880" s="1249" t="s">
        <v>218</v>
      </c>
      <c r="F880" s="1255">
        <v>4</v>
      </c>
      <c r="G880" s="1255">
        <v>3</v>
      </c>
      <c r="H880" s="985">
        <v>2488.4</v>
      </c>
      <c r="I880" s="985">
        <v>2488.4</v>
      </c>
      <c r="J880" s="985">
        <v>2268.4</v>
      </c>
      <c r="K880" s="995">
        <v>67</v>
      </c>
      <c r="L880" s="1060">
        <v>2335376</v>
      </c>
      <c r="M880" s="985">
        <v>0</v>
      </c>
      <c r="N880" s="985">
        <v>0</v>
      </c>
      <c r="O880" s="1060">
        <v>2335376</v>
      </c>
      <c r="P880" s="985">
        <v>0</v>
      </c>
      <c r="Q880" s="985">
        <v>0</v>
      </c>
      <c r="R880" s="985">
        <f t="shared" si="319"/>
        <v>938.505063494615</v>
      </c>
      <c r="S880" s="1255">
        <v>2022</v>
      </c>
      <c r="T880" s="1255">
        <v>2022</v>
      </c>
    </row>
    <row r="881" spans="1:20" s="997" customFormat="1" ht="37.950000000000003" customHeight="1">
      <c r="A881" s="1249">
        <v>122</v>
      </c>
      <c r="B881" s="1265" t="s">
        <v>1408</v>
      </c>
      <c r="C881" s="1255">
        <v>1972</v>
      </c>
      <c r="D881" s="1255"/>
      <c r="E881" s="1249" t="s">
        <v>218</v>
      </c>
      <c r="F881" s="1255">
        <v>5</v>
      </c>
      <c r="G881" s="1255">
        <v>2</v>
      </c>
      <c r="H881" s="985">
        <v>1774.6</v>
      </c>
      <c r="I881" s="985">
        <v>1774.6</v>
      </c>
      <c r="J881" s="985">
        <v>1190.8</v>
      </c>
      <c r="K881" s="995">
        <v>74</v>
      </c>
      <c r="L881" s="1060">
        <v>1395259</v>
      </c>
      <c r="M881" s="985">
        <v>0</v>
      </c>
      <c r="N881" s="985">
        <v>0</v>
      </c>
      <c r="O881" s="1060">
        <v>1395259</v>
      </c>
      <c r="P881" s="985">
        <v>0</v>
      </c>
      <c r="Q881" s="985">
        <v>0</v>
      </c>
      <c r="R881" s="985">
        <f t="shared" si="319"/>
        <v>786.2385889777978</v>
      </c>
      <c r="S881" s="1255">
        <v>2022</v>
      </c>
      <c r="T881" s="1255">
        <v>2022</v>
      </c>
    </row>
    <row r="882" spans="1:20" s="997" customFormat="1" ht="37.950000000000003" customHeight="1">
      <c r="A882" s="1249">
        <v>123</v>
      </c>
      <c r="B882" s="1265" t="s">
        <v>1409</v>
      </c>
      <c r="C882" s="1255">
        <v>1957</v>
      </c>
      <c r="D882" s="1255">
        <v>2016</v>
      </c>
      <c r="E882" s="1249" t="s">
        <v>218</v>
      </c>
      <c r="F882" s="1255">
        <v>3</v>
      </c>
      <c r="G882" s="1255">
        <v>2</v>
      </c>
      <c r="H882" s="985">
        <v>1414</v>
      </c>
      <c r="I882" s="985">
        <v>1414</v>
      </c>
      <c r="J882" s="985">
        <v>1243</v>
      </c>
      <c r="K882" s="995">
        <v>51</v>
      </c>
      <c r="L882" s="998">
        <v>4539050</v>
      </c>
      <c r="M882" s="985">
        <v>0</v>
      </c>
      <c r="N882" s="985">
        <v>0</v>
      </c>
      <c r="O882" s="998">
        <v>4539050</v>
      </c>
      <c r="P882" s="985">
        <v>0</v>
      </c>
      <c r="Q882" s="985">
        <v>0</v>
      </c>
      <c r="R882" s="985">
        <f t="shared" si="319"/>
        <v>3210.077793493635</v>
      </c>
      <c r="S882" s="1255">
        <v>2022</v>
      </c>
      <c r="T882" s="1255">
        <v>2022</v>
      </c>
    </row>
    <row r="883" spans="1:20" s="997" customFormat="1" ht="37.950000000000003" customHeight="1">
      <c r="A883" s="1249">
        <v>124</v>
      </c>
      <c r="B883" s="1265" t="s">
        <v>1410</v>
      </c>
      <c r="C883" s="1255">
        <v>1983</v>
      </c>
      <c r="D883" s="1256"/>
      <c r="E883" s="1249" t="s">
        <v>218</v>
      </c>
      <c r="F883" s="1255">
        <v>3</v>
      </c>
      <c r="G883" s="1255">
        <v>3</v>
      </c>
      <c r="H883" s="985">
        <v>1506.4</v>
      </c>
      <c r="I883" s="985">
        <v>1506.4</v>
      </c>
      <c r="J883" s="985">
        <v>1392.5</v>
      </c>
      <c r="K883" s="995">
        <v>41</v>
      </c>
      <c r="L883" s="998">
        <v>1358577</v>
      </c>
      <c r="M883" s="985">
        <v>0</v>
      </c>
      <c r="N883" s="985">
        <v>0</v>
      </c>
      <c r="O883" s="998">
        <v>1358577</v>
      </c>
      <c r="P883" s="985">
        <v>0</v>
      </c>
      <c r="Q883" s="985">
        <v>0</v>
      </c>
      <c r="R883" s="985">
        <f t="shared" si="319"/>
        <v>901.87002124269782</v>
      </c>
      <c r="S883" s="1255">
        <v>2022</v>
      </c>
      <c r="T883" s="1255">
        <v>2022</v>
      </c>
    </row>
    <row r="884" spans="1:20" s="997" customFormat="1" ht="37.950000000000003" customHeight="1">
      <c r="A884" s="1249"/>
      <c r="B884" s="1517" t="s">
        <v>2013</v>
      </c>
      <c r="C884" s="1517"/>
      <c r="D884" s="1517"/>
      <c r="E884" s="1517"/>
      <c r="F884" s="1517"/>
      <c r="G884" s="1517"/>
      <c r="H884" s="985">
        <f>H885</f>
        <v>816.2</v>
      </c>
      <c r="I884" s="985">
        <f t="shared" ref="I884:Q884" si="320">I885</f>
        <v>753.8</v>
      </c>
      <c r="J884" s="985">
        <f t="shared" si="320"/>
        <v>542.9</v>
      </c>
      <c r="K884" s="985">
        <f t="shared" si="320"/>
        <v>22</v>
      </c>
      <c r="L884" s="985">
        <f t="shared" si="320"/>
        <v>6477579</v>
      </c>
      <c r="M884" s="985">
        <f t="shared" si="320"/>
        <v>0</v>
      </c>
      <c r="N884" s="985">
        <f t="shared" si="320"/>
        <v>66475.100000000006</v>
      </c>
      <c r="O884" s="985">
        <f t="shared" si="320"/>
        <v>6411103.9000000004</v>
      </c>
      <c r="P884" s="985">
        <f t="shared" si="320"/>
        <v>0</v>
      </c>
      <c r="Q884" s="985">
        <f t="shared" si="320"/>
        <v>0</v>
      </c>
      <c r="R884" s="996" t="s">
        <v>40</v>
      </c>
      <c r="S884" s="996" t="s">
        <v>40</v>
      </c>
      <c r="T884" s="996" t="s">
        <v>40</v>
      </c>
    </row>
    <row r="885" spans="1:20" s="1013" customFormat="1" ht="40.799999999999997" customHeight="1">
      <c r="A885" s="1249">
        <v>125</v>
      </c>
      <c r="B885" s="1260" t="s">
        <v>1415</v>
      </c>
      <c r="C885" s="1255">
        <v>1980</v>
      </c>
      <c r="D885" s="1255"/>
      <c r="E885" s="1249" t="s">
        <v>218</v>
      </c>
      <c r="F885" s="1255">
        <v>2</v>
      </c>
      <c r="G885" s="1255">
        <v>2</v>
      </c>
      <c r="H885" s="985">
        <v>816.2</v>
      </c>
      <c r="I885" s="985">
        <v>753.8</v>
      </c>
      <c r="J885" s="985">
        <v>542.9</v>
      </c>
      <c r="K885" s="995">
        <v>22</v>
      </c>
      <c r="L885" s="987">
        <v>6477579</v>
      </c>
      <c r="M885" s="987">
        <v>0</v>
      </c>
      <c r="N885" s="987">
        <v>66475.100000000006</v>
      </c>
      <c r="O885" s="987">
        <v>6411103.9000000004</v>
      </c>
      <c r="P885" s="998">
        <v>0</v>
      </c>
      <c r="Q885" s="987">
        <v>0</v>
      </c>
      <c r="R885" s="985">
        <f>L885/I885</f>
        <v>8593.2329530379411</v>
      </c>
      <c r="S885" s="988">
        <v>2022</v>
      </c>
      <c r="T885" s="988">
        <v>2022</v>
      </c>
    </row>
    <row r="886" spans="1:20" s="990" customFormat="1" ht="36" customHeight="1">
      <c r="A886" s="1249"/>
      <c r="B886" s="1513" t="s">
        <v>61</v>
      </c>
      <c r="C886" s="1513"/>
      <c r="D886" s="1513"/>
      <c r="E886" s="1513"/>
      <c r="F886" s="1513"/>
      <c r="G886" s="1513"/>
      <c r="H886" s="985">
        <f>H887</f>
        <v>3720</v>
      </c>
      <c r="I886" s="985">
        <f t="shared" ref="I886:Q887" si="321">I887</f>
        <v>3423.2</v>
      </c>
      <c r="J886" s="985">
        <f t="shared" si="321"/>
        <v>3280.8</v>
      </c>
      <c r="K886" s="995">
        <f t="shared" si="321"/>
        <v>123</v>
      </c>
      <c r="L886" s="987">
        <f t="shared" si="321"/>
        <v>2726298</v>
      </c>
      <c r="M886" s="987">
        <f t="shared" si="321"/>
        <v>0</v>
      </c>
      <c r="N886" s="987">
        <f t="shared" si="321"/>
        <v>0</v>
      </c>
      <c r="O886" s="987">
        <f t="shared" si="321"/>
        <v>2726298</v>
      </c>
      <c r="P886" s="998">
        <v>0</v>
      </c>
      <c r="Q886" s="987">
        <f t="shared" si="321"/>
        <v>0</v>
      </c>
      <c r="R886" s="996" t="s">
        <v>40</v>
      </c>
      <c r="S886" s="996" t="s">
        <v>40</v>
      </c>
      <c r="T886" s="996" t="s">
        <v>40</v>
      </c>
    </row>
    <row r="887" spans="1:20" s="990" customFormat="1" ht="36" customHeight="1">
      <c r="A887" s="1249"/>
      <c r="B887" s="1513" t="s">
        <v>1095</v>
      </c>
      <c r="C887" s="1513"/>
      <c r="D887" s="1513"/>
      <c r="E887" s="1513"/>
      <c r="F887" s="1513"/>
      <c r="G887" s="1513"/>
      <c r="H887" s="985">
        <f>H888</f>
        <v>3720</v>
      </c>
      <c r="I887" s="985">
        <f t="shared" si="321"/>
        <v>3423.2</v>
      </c>
      <c r="J887" s="985">
        <f t="shared" si="321"/>
        <v>3280.8</v>
      </c>
      <c r="K887" s="995">
        <f t="shared" si="321"/>
        <v>123</v>
      </c>
      <c r="L887" s="985">
        <f t="shared" si="321"/>
        <v>2726298</v>
      </c>
      <c r="M887" s="985">
        <f t="shared" si="321"/>
        <v>0</v>
      </c>
      <c r="N887" s="985">
        <f t="shared" si="321"/>
        <v>0</v>
      </c>
      <c r="O887" s="985">
        <f t="shared" si="321"/>
        <v>2726298</v>
      </c>
      <c r="P887" s="985">
        <f t="shared" si="321"/>
        <v>0</v>
      </c>
      <c r="Q887" s="985">
        <f t="shared" si="321"/>
        <v>0</v>
      </c>
      <c r="R887" s="996" t="s">
        <v>40</v>
      </c>
      <c r="S887" s="996" t="s">
        <v>40</v>
      </c>
      <c r="T887" s="996" t="s">
        <v>40</v>
      </c>
    </row>
    <row r="888" spans="1:20" s="1041" customFormat="1" ht="40.200000000000003" customHeight="1">
      <c r="A888" s="1249">
        <v>126</v>
      </c>
      <c r="B888" s="1245" t="s">
        <v>1939</v>
      </c>
      <c r="C888" s="1255">
        <v>1981</v>
      </c>
      <c r="D888" s="1255">
        <v>2018</v>
      </c>
      <c r="E888" s="1249" t="s">
        <v>219</v>
      </c>
      <c r="F888" s="1255">
        <v>5</v>
      </c>
      <c r="G888" s="1255">
        <v>4</v>
      </c>
      <c r="H888" s="985">
        <v>3720</v>
      </c>
      <c r="I888" s="985">
        <v>3423.2</v>
      </c>
      <c r="J888" s="985">
        <v>3280.8</v>
      </c>
      <c r="K888" s="995">
        <v>123</v>
      </c>
      <c r="L888" s="987">
        <v>2726298</v>
      </c>
      <c r="M888" s="987">
        <v>0</v>
      </c>
      <c r="N888" s="987">
        <v>0</v>
      </c>
      <c r="O888" s="987">
        <v>2726298</v>
      </c>
      <c r="P888" s="998">
        <v>0</v>
      </c>
      <c r="Q888" s="987">
        <v>0</v>
      </c>
      <c r="R888" s="985">
        <f>L888/I888</f>
        <v>796.41797148866567</v>
      </c>
      <c r="S888" s="988">
        <v>2022</v>
      </c>
      <c r="T888" s="988">
        <v>2022</v>
      </c>
    </row>
    <row r="889" spans="1:20" s="1041" customFormat="1" ht="40.200000000000003" customHeight="1">
      <c r="A889" s="1249"/>
      <c r="B889" s="1513" t="s">
        <v>2014</v>
      </c>
      <c r="C889" s="1513"/>
      <c r="D889" s="1513"/>
      <c r="E889" s="1513"/>
      <c r="F889" s="1513"/>
      <c r="G889" s="1513"/>
      <c r="H889" s="985">
        <f>H890</f>
        <v>414.2</v>
      </c>
      <c r="I889" s="985">
        <f t="shared" ref="I889:Q889" si="322">I890</f>
        <v>374</v>
      </c>
      <c r="J889" s="985">
        <f t="shared" si="322"/>
        <v>374</v>
      </c>
      <c r="K889" s="995">
        <f t="shared" si="322"/>
        <v>15</v>
      </c>
      <c r="L889" s="985">
        <f t="shared" si="322"/>
        <v>1262456</v>
      </c>
      <c r="M889" s="985">
        <f t="shared" si="322"/>
        <v>0</v>
      </c>
      <c r="N889" s="985">
        <f t="shared" si="322"/>
        <v>0</v>
      </c>
      <c r="O889" s="985">
        <f t="shared" si="322"/>
        <v>1262456</v>
      </c>
      <c r="P889" s="985">
        <f t="shared" si="322"/>
        <v>0</v>
      </c>
      <c r="Q889" s="985">
        <f t="shared" si="322"/>
        <v>0</v>
      </c>
      <c r="R889" s="996" t="s">
        <v>40</v>
      </c>
      <c r="S889" s="996" t="s">
        <v>40</v>
      </c>
      <c r="T889" s="996" t="s">
        <v>40</v>
      </c>
    </row>
    <row r="890" spans="1:20" s="1041" customFormat="1" ht="40.200000000000003" customHeight="1">
      <c r="A890" s="1249">
        <v>127</v>
      </c>
      <c r="B890" s="1245" t="s">
        <v>423</v>
      </c>
      <c r="C890" s="1255">
        <v>1967</v>
      </c>
      <c r="D890" s="1255"/>
      <c r="E890" s="1249" t="s">
        <v>218</v>
      </c>
      <c r="F890" s="1255">
        <v>2</v>
      </c>
      <c r="G890" s="1255">
        <v>2</v>
      </c>
      <c r="H890" s="985">
        <v>414.2</v>
      </c>
      <c r="I890" s="985">
        <v>374</v>
      </c>
      <c r="J890" s="985">
        <v>374</v>
      </c>
      <c r="K890" s="995">
        <v>15</v>
      </c>
      <c r="L890" s="987">
        <v>1262456</v>
      </c>
      <c r="M890" s="987">
        <v>0</v>
      </c>
      <c r="N890" s="987">
        <v>0</v>
      </c>
      <c r="O890" s="987">
        <f>L890</f>
        <v>1262456</v>
      </c>
      <c r="P890" s="998">
        <v>0</v>
      </c>
      <c r="Q890" s="987">
        <v>0</v>
      </c>
      <c r="R890" s="985">
        <f>L890/I890</f>
        <v>3375.5508021390374</v>
      </c>
      <c r="S890" s="988">
        <v>2022</v>
      </c>
      <c r="T890" s="988">
        <v>2022</v>
      </c>
    </row>
    <row r="891" spans="1:20" s="1041" customFormat="1" ht="40.200000000000003" customHeight="1">
      <c r="A891" s="1249"/>
      <c r="B891" s="1513" t="s">
        <v>2016</v>
      </c>
      <c r="C891" s="1513"/>
      <c r="D891" s="1513"/>
      <c r="E891" s="1513"/>
      <c r="F891" s="1513"/>
      <c r="G891" s="1513"/>
      <c r="H891" s="985">
        <f>H892+H893</f>
        <v>1833</v>
      </c>
      <c r="I891" s="985">
        <f t="shared" ref="I891:Q891" si="323">I892+I893</f>
        <v>1676.3000000000002</v>
      </c>
      <c r="J891" s="985">
        <f t="shared" si="323"/>
        <v>1676.3000000000002</v>
      </c>
      <c r="K891" s="995">
        <f t="shared" si="323"/>
        <v>82</v>
      </c>
      <c r="L891" s="985">
        <f t="shared" si="323"/>
        <v>3794138</v>
      </c>
      <c r="M891" s="985">
        <f t="shared" si="323"/>
        <v>0</v>
      </c>
      <c r="N891" s="985">
        <f t="shared" si="323"/>
        <v>0</v>
      </c>
      <c r="O891" s="985">
        <f t="shared" si="323"/>
        <v>3794138</v>
      </c>
      <c r="P891" s="985">
        <f t="shared" si="323"/>
        <v>0</v>
      </c>
      <c r="Q891" s="985">
        <f t="shared" si="323"/>
        <v>0</v>
      </c>
      <c r="R891" s="996" t="s">
        <v>40</v>
      </c>
      <c r="S891" s="996" t="s">
        <v>40</v>
      </c>
      <c r="T891" s="996" t="s">
        <v>40</v>
      </c>
    </row>
    <row r="892" spans="1:20" s="1041" customFormat="1" ht="40.200000000000003" customHeight="1">
      <c r="A892" s="1249">
        <v>128</v>
      </c>
      <c r="B892" s="1260" t="s">
        <v>1248</v>
      </c>
      <c r="C892" s="1380">
        <v>1993</v>
      </c>
      <c r="D892" s="1380"/>
      <c r="E892" s="1378" t="s">
        <v>218</v>
      </c>
      <c r="F892" s="1380">
        <v>3</v>
      </c>
      <c r="G892" s="1380">
        <v>3</v>
      </c>
      <c r="H892" s="985">
        <v>1460.4</v>
      </c>
      <c r="I892" s="985">
        <v>1460.4</v>
      </c>
      <c r="J892" s="985">
        <v>1460.4</v>
      </c>
      <c r="K892" s="995">
        <v>63</v>
      </c>
      <c r="L892" s="985">
        <v>2761835</v>
      </c>
      <c r="M892" s="985">
        <v>0</v>
      </c>
      <c r="N892" s="985">
        <v>0</v>
      </c>
      <c r="O892" s="985">
        <v>2761835</v>
      </c>
      <c r="P892" s="998">
        <v>0</v>
      </c>
      <c r="Q892" s="985">
        <v>0</v>
      </c>
      <c r="R892" s="998">
        <f>L892/I892</f>
        <v>1891.1496850178032</v>
      </c>
      <c r="S892" s="988">
        <v>2020</v>
      </c>
      <c r="T892" s="988">
        <v>2020</v>
      </c>
    </row>
    <row r="893" spans="1:20" s="1041" customFormat="1" ht="41.4" customHeight="1">
      <c r="A893" s="1249">
        <v>129</v>
      </c>
      <c r="B893" s="1115" t="s">
        <v>1249</v>
      </c>
      <c r="C893" s="1116">
        <v>1969</v>
      </c>
      <c r="D893" s="1117"/>
      <c r="E893" s="1249" t="s">
        <v>218</v>
      </c>
      <c r="F893" s="988">
        <v>2</v>
      </c>
      <c r="G893" s="988">
        <v>1</v>
      </c>
      <c r="H893" s="998">
        <v>372.6</v>
      </c>
      <c r="I893" s="998">
        <v>215.9</v>
      </c>
      <c r="J893" s="998">
        <v>215.9</v>
      </c>
      <c r="K893" s="986">
        <v>19</v>
      </c>
      <c r="L893" s="987">
        <v>1032303</v>
      </c>
      <c r="M893" s="987">
        <v>0</v>
      </c>
      <c r="N893" s="987">
        <v>0</v>
      </c>
      <c r="O893" s="987">
        <v>1032303</v>
      </c>
      <c r="P893" s="998">
        <v>0</v>
      </c>
      <c r="Q893" s="987">
        <v>0</v>
      </c>
      <c r="R893" s="998">
        <f>L893/I893</f>
        <v>4781.3941639647983</v>
      </c>
      <c r="S893" s="988">
        <v>2020</v>
      </c>
      <c r="T893" s="988">
        <v>2020</v>
      </c>
    </row>
    <row r="894" spans="1:20" s="1041" customFormat="1" ht="35.4" customHeight="1">
      <c r="A894" s="1249"/>
      <c r="B894" s="1550" t="s">
        <v>663</v>
      </c>
      <c r="C894" s="1513"/>
      <c r="D894" s="1513"/>
      <c r="E894" s="1513"/>
      <c r="F894" s="1513"/>
      <c r="G894" s="1513"/>
      <c r="H894" s="998">
        <f>H896</f>
        <v>790.2</v>
      </c>
      <c r="I894" s="998">
        <f t="shared" ref="I894:Q894" si="324">I896</f>
        <v>731</v>
      </c>
      <c r="J894" s="998">
        <f t="shared" si="324"/>
        <v>731</v>
      </c>
      <c r="K894" s="986">
        <f t="shared" si="324"/>
        <v>22</v>
      </c>
      <c r="L894" s="998">
        <f t="shared" si="324"/>
        <v>1337600</v>
      </c>
      <c r="M894" s="998">
        <f t="shared" si="324"/>
        <v>0</v>
      </c>
      <c r="N894" s="998">
        <f t="shared" si="324"/>
        <v>0</v>
      </c>
      <c r="O894" s="998">
        <f t="shared" si="324"/>
        <v>1337600</v>
      </c>
      <c r="P894" s="998">
        <v>0</v>
      </c>
      <c r="Q894" s="998">
        <f t="shared" si="324"/>
        <v>0</v>
      </c>
      <c r="R894" s="996" t="s">
        <v>40</v>
      </c>
      <c r="S894" s="996" t="s">
        <v>40</v>
      </c>
      <c r="T894" s="996" t="s">
        <v>40</v>
      </c>
    </row>
    <row r="895" spans="1:20" s="1041" customFormat="1" ht="35.4" customHeight="1">
      <c r="A895" s="1249"/>
      <c r="B895" s="1261" t="s">
        <v>1105</v>
      </c>
      <c r="C895" s="1262"/>
      <c r="D895" s="1262"/>
      <c r="E895" s="1262"/>
      <c r="F895" s="1262"/>
      <c r="G895" s="1263"/>
      <c r="H895" s="998">
        <f>H896</f>
        <v>790.2</v>
      </c>
      <c r="I895" s="998">
        <f t="shared" ref="I895:Q895" si="325">I896</f>
        <v>731</v>
      </c>
      <c r="J895" s="998">
        <f t="shared" si="325"/>
        <v>731</v>
      </c>
      <c r="K895" s="986">
        <f t="shared" si="325"/>
        <v>22</v>
      </c>
      <c r="L895" s="998">
        <f t="shared" si="325"/>
        <v>1337600</v>
      </c>
      <c r="M895" s="998">
        <f t="shared" si="325"/>
        <v>0</v>
      </c>
      <c r="N895" s="998">
        <f t="shared" si="325"/>
        <v>0</v>
      </c>
      <c r="O895" s="998">
        <f t="shared" si="325"/>
        <v>1337600</v>
      </c>
      <c r="P895" s="998">
        <f t="shared" si="325"/>
        <v>0</v>
      </c>
      <c r="Q895" s="998">
        <f t="shared" si="325"/>
        <v>0</v>
      </c>
      <c r="R895" s="996" t="s">
        <v>40</v>
      </c>
      <c r="S895" s="996" t="s">
        <v>40</v>
      </c>
      <c r="T895" s="996" t="s">
        <v>40</v>
      </c>
    </row>
    <row r="896" spans="1:20" s="1041" customFormat="1" ht="35.4" customHeight="1">
      <c r="A896" s="1249">
        <v>130</v>
      </c>
      <c r="B896" s="1115" t="s">
        <v>1545</v>
      </c>
      <c r="C896" s="1116">
        <v>1976</v>
      </c>
      <c r="D896" s="1117"/>
      <c r="E896" s="1249" t="s">
        <v>219</v>
      </c>
      <c r="F896" s="988">
        <v>2</v>
      </c>
      <c r="G896" s="988">
        <v>2</v>
      </c>
      <c r="H896" s="998">
        <v>790.2</v>
      </c>
      <c r="I896" s="998">
        <v>731</v>
      </c>
      <c r="J896" s="998">
        <v>731</v>
      </c>
      <c r="K896" s="986">
        <v>22</v>
      </c>
      <c r="L896" s="987">
        <v>1337600</v>
      </c>
      <c r="M896" s="987">
        <v>0</v>
      </c>
      <c r="N896" s="987">
        <v>0</v>
      </c>
      <c r="O896" s="987">
        <v>1337600</v>
      </c>
      <c r="P896" s="998">
        <v>0</v>
      </c>
      <c r="Q896" s="987">
        <v>0</v>
      </c>
      <c r="R896" s="998">
        <f t="shared" ref="R896" si="326">L896/I896</f>
        <v>1829.8221614227086</v>
      </c>
      <c r="S896" s="988">
        <v>2022</v>
      </c>
      <c r="T896" s="988">
        <v>2022</v>
      </c>
    </row>
    <row r="897" spans="1:20" s="1041" customFormat="1" ht="37.950000000000003" customHeight="1">
      <c r="A897" s="1249"/>
      <c r="B897" s="1118" t="s">
        <v>1036</v>
      </c>
      <c r="C897" s="1119"/>
      <c r="D897" s="1120"/>
      <c r="E897" s="993"/>
      <c r="F897" s="1121"/>
      <c r="G897" s="1122"/>
      <c r="H897" s="998">
        <f>H898</f>
        <v>407</v>
      </c>
      <c r="I897" s="998">
        <f t="shared" ref="I897:Q898" si="327">I898</f>
        <v>373.4</v>
      </c>
      <c r="J897" s="998">
        <f t="shared" si="327"/>
        <v>330.5</v>
      </c>
      <c r="K897" s="986">
        <f t="shared" si="327"/>
        <v>14</v>
      </c>
      <c r="L897" s="998">
        <f t="shared" si="327"/>
        <v>1431686</v>
      </c>
      <c r="M897" s="998">
        <f t="shared" si="327"/>
        <v>0</v>
      </c>
      <c r="N897" s="998">
        <f t="shared" si="327"/>
        <v>0</v>
      </c>
      <c r="O897" s="998">
        <f t="shared" si="327"/>
        <v>1431686</v>
      </c>
      <c r="P897" s="998">
        <v>0</v>
      </c>
      <c r="Q897" s="998">
        <f t="shared" si="327"/>
        <v>0</v>
      </c>
      <c r="R897" s="996" t="s">
        <v>40</v>
      </c>
      <c r="S897" s="996" t="s">
        <v>40</v>
      </c>
      <c r="T897" s="996" t="s">
        <v>40</v>
      </c>
    </row>
    <row r="898" spans="1:20" s="1041" customFormat="1" ht="35.4" customHeight="1">
      <c r="A898" s="1249"/>
      <c r="B898" s="1513" t="s">
        <v>1096</v>
      </c>
      <c r="C898" s="1513"/>
      <c r="D898" s="1513"/>
      <c r="E898" s="1513"/>
      <c r="F898" s="1513"/>
      <c r="G898" s="1513"/>
      <c r="H898" s="998">
        <f>H899</f>
        <v>407</v>
      </c>
      <c r="I898" s="998">
        <f t="shared" si="327"/>
        <v>373.4</v>
      </c>
      <c r="J898" s="998">
        <f t="shared" si="327"/>
        <v>330.5</v>
      </c>
      <c r="K898" s="986">
        <f t="shared" si="327"/>
        <v>14</v>
      </c>
      <c r="L898" s="998">
        <f t="shared" si="327"/>
        <v>1431686</v>
      </c>
      <c r="M898" s="998">
        <f t="shared" si="327"/>
        <v>0</v>
      </c>
      <c r="N898" s="998">
        <f t="shared" si="327"/>
        <v>0</v>
      </c>
      <c r="O898" s="998">
        <f t="shared" si="327"/>
        <v>1431686</v>
      </c>
      <c r="P898" s="998">
        <f t="shared" si="327"/>
        <v>0</v>
      </c>
      <c r="Q898" s="998">
        <f t="shared" si="327"/>
        <v>0</v>
      </c>
      <c r="R898" s="996" t="s">
        <v>40</v>
      </c>
      <c r="S898" s="996" t="s">
        <v>40</v>
      </c>
      <c r="T898" s="996" t="s">
        <v>40</v>
      </c>
    </row>
    <row r="899" spans="1:20" s="1041" customFormat="1" ht="40.200000000000003" customHeight="1">
      <c r="A899" s="1249">
        <v>131</v>
      </c>
      <c r="B899" s="1115" t="s">
        <v>1289</v>
      </c>
      <c r="C899" s="1116">
        <v>1981</v>
      </c>
      <c r="D899" s="1117"/>
      <c r="E899" s="1249" t="s">
        <v>218</v>
      </c>
      <c r="F899" s="988">
        <v>2</v>
      </c>
      <c r="G899" s="988">
        <v>1</v>
      </c>
      <c r="H899" s="998">
        <v>407</v>
      </c>
      <c r="I899" s="998">
        <v>373.4</v>
      </c>
      <c r="J899" s="998">
        <v>330.5</v>
      </c>
      <c r="K899" s="986">
        <v>14</v>
      </c>
      <c r="L899" s="987">
        <v>1431686</v>
      </c>
      <c r="M899" s="987">
        <v>0</v>
      </c>
      <c r="N899" s="987">
        <v>0</v>
      </c>
      <c r="O899" s="987">
        <v>1431686</v>
      </c>
      <c r="P899" s="998">
        <v>0</v>
      </c>
      <c r="Q899" s="987">
        <v>0</v>
      </c>
      <c r="R899" s="998">
        <f>L899/I899</f>
        <v>3834.1885377611143</v>
      </c>
      <c r="S899" s="988">
        <v>2022</v>
      </c>
      <c r="T899" s="988">
        <v>2022</v>
      </c>
    </row>
    <row r="900" spans="1:20" s="1041" customFormat="1" ht="35.4" customHeight="1">
      <c r="A900" s="1249"/>
      <c r="B900" s="1513" t="s">
        <v>64</v>
      </c>
      <c r="C900" s="1513"/>
      <c r="D900" s="1513"/>
      <c r="E900" s="1513"/>
      <c r="F900" s="1513"/>
      <c r="G900" s="1513"/>
      <c r="H900" s="985">
        <f>H901</f>
        <v>6314.8</v>
      </c>
      <c r="I900" s="985">
        <f t="shared" ref="I900:Q900" si="328">I901</f>
        <v>5426.6</v>
      </c>
      <c r="J900" s="985">
        <f t="shared" si="328"/>
        <v>5426.6</v>
      </c>
      <c r="K900" s="995">
        <f t="shared" si="328"/>
        <v>227</v>
      </c>
      <c r="L900" s="987">
        <f t="shared" si="328"/>
        <v>7866361</v>
      </c>
      <c r="M900" s="987">
        <f t="shared" si="328"/>
        <v>0</v>
      </c>
      <c r="N900" s="987">
        <f t="shared" si="328"/>
        <v>0</v>
      </c>
      <c r="O900" s="987">
        <f t="shared" si="328"/>
        <v>7866361</v>
      </c>
      <c r="P900" s="998">
        <v>0</v>
      </c>
      <c r="Q900" s="987">
        <f t="shared" si="328"/>
        <v>0</v>
      </c>
      <c r="R900" s="996" t="s">
        <v>40</v>
      </c>
      <c r="S900" s="996" t="s">
        <v>40</v>
      </c>
      <c r="T900" s="996" t="s">
        <v>40</v>
      </c>
    </row>
    <row r="901" spans="1:20" s="1041" customFormat="1" ht="35.4" customHeight="1">
      <c r="A901" s="1249"/>
      <c r="B901" s="1513" t="s">
        <v>1097</v>
      </c>
      <c r="C901" s="1513"/>
      <c r="D901" s="1513"/>
      <c r="E901" s="1513"/>
      <c r="F901" s="1513"/>
      <c r="G901" s="1513"/>
      <c r="H901" s="985">
        <f t="shared" ref="H901:Q901" si="329">SUM(H902:H904)</f>
        <v>6314.8</v>
      </c>
      <c r="I901" s="985">
        <f t="shared" si="329"/>
        <v>5426.6</v>
      </c>
      <c r="J901" s="985">
        <f t="shared" si="329"/>
        <v>5426.6</v>
      </c>
      <c r="K901" s="995">
        <f t="shared" si="329"/>
        <v>227</v>
      </c>
      <c r="L901" s="985">
        <f t="shared" si="329"/>
        <v>7866361</v>
      </c>
      <c r="M901" s="985">
        <f t="shared" si="329"/>
        <v>0</v>
      </c>
      <c r="N901" s="985">
        <f t="shared" si="329"/>
        <v>0</v>
      </c>
      <c r="O901" s="985">
        <f t="shared" si="329"/>
        <v>7866361</v>
      </c>
      <c r="P901" s="985">
        <f t="shared" si="329"/>
        <v>0</v>
      </c>
      <c r="Q901" s="985">
        <f t="shared" si="329"/>
        <v>0</v>
      </c>
      <c r="R901" s="996" t="s">
        <v>40</v>
      </c>
      <c r="S901" s="996" t="s">
        <v>40</v>
      </c>
      <c r="T901" s="996" t="s">
        <v>40</v>
      </c>
    </row>
    <row r="902" spans="1:20" s="1041" customFormat="1" ht="40.200000000000003" customHeight="1">
      <c r="A902" s="1249">
        <v>132</v>
      </c>
      <c r="B902" s="1245" t="s">
        <v>1337</v>
      </c>
      <c r="C902" s="1255">
        <v>1970</v>
      </c>
      <c r="D902" s="1255"/>
      <c r="E902" s="1249" t="s">
        <v>218</v>
      </c>
      <c r="F902" s="1255">
        <v>2</v>
      </c>
      <c r="G902" s="1255">
        <v>2</v>
      </c>
      <c r="H902" s="985">
        <v>790.3</v>
      </c>
      <c r="I902" s="985">
        <v>690.6</v>
      </c>
      <c r="J902" s="985">
        <v>690.6</v>
      </c>
      <c r="K902" s="995">
        <v>27</v>
      </c>
      <c r="L902" s="987">
        <v>1127618</v>
      </c>
      <c r="M902" s="987">
        <v>0</v>
      </c>
      <c r="N902" s="987">
        <v>0</v>
      </c>
      <c r="O902" s="987">
        <f>L902</f>
        <v>1127618</v>
      </c>
      <c r="P902" s="998">
        <v>0</v>
      </c>
      <c r="Q902" s="987">
        <v>0</v>
      </c>
      <c r="R902" s="985">
        <f>L902/I902</f>
        <v>1632.8091514624964</v>
      </c>
      <c r="S902" s="988">
        <v>2022</v>
      </c>
      <c r="T902" s="988">
        <v>2022</v>
      </c>
    </row>
    <row r="903" spans="1:20" s="1041" customFormat="1" ht="35.4" customHeight="1">
      <c r="A903" s="1249">
        <v>133</v>
      </c>
      <c r="B903" s="1245" t="s">
        <v>1338</v>
      </c>
      <c r="C903" s="1255">
        <v>1991</v>
      </c>
      <c r="D903" s="1255"/>
      <c r="E903" s="1249" t="s">
        <v>219</v>
      </c>
      <c r="F903" s="1255">
        <v>5</v>
      </c>
      <c r="G903" s="1255">
        <v>6</v>
      </c>
      <c r="H903" s="985">
        <v>4729.1000000000004</v>
      </c>
      <c r="I903" s="985">
        <v>4000.9</v>
      </c>
      <c r="J903" s="985">
        <v>4000.9</v>
      </c>
      <c r="K903" s="995">
        <v>170</v>
      </c>
      <c r="L903" s="987">
        <v>4721520</v>
      </c>
      <c r="M903" s="987">
        <v>0</v>
      </c>
      <c r="N903" s="987">
        <v>0</v>
      </c>
      <c r="O903" s="987">
        <f>L903</f>
        <v>4721520</v>
      </c>
      <c r="P903" s="998">
        <v>0</v>
      </c>
      <c r="Q903" s="987">
        <v>0</v>
      </c>
      <c r="R903" s="985">
        <f>L903/I903</f>
        <v>1180.1144742432953</v>
      </c>
      <c r="S903" s="988">
        <v>2022</v>
      </c>
      <c r="T903" s="988">
        <v>2022</v>
      </c>
    </row>
    <row r="904" spans="1:20" s="1041" customFormat="1" ht="40.200000000000003" customHeight="1">
      <c r="A904" s="1249">
        <v>134</v>
      </c>
      <c r="B904" s="1245" t="s">
        <v>616</v>
      </c>
      <c r="C904" s="1255">
        <v>1976</v>
      </c>
      <c r="D904" s="1255"/>
      <c r="E904" s="1249" t="s">
        <v>218</v>
      </c>
      <c r="F904" s="1255">
        <v>2</v>
      </c>
      <c r="G904" s="1255">
        <v>2</v>
      </c>
      <c r="H904" s="985">
        <v>795.4</v>
      </c>
      <c r="I904" s="985">
        <v>735.1</v>
      </c>
      <c r="J904" s="985">
        <v>735.1</v>
      </c>
      <c r="K904" s="995">
        <v>30</v>
      </c>
      <c r="L904" s="987">
        <v>2017223</v>
      </c>
      <c r="M904" s="987">
        <v>0</v>
      </c>
      <c r="N904" s="987">
        <v>0</v>
      </c>
      <c r="O904" s="987">
        <v>2017223</v>
      </c>
      <c r="P904" s="998">
        <v>0</v>
      </c>
      <c r="Q904" s="987">
        <v>0</v>
      </c>
      <c r="R904" s="985">
        <f t="shared" ref="R904" si="330">L904/I904</f>
        <v>2744.1477350020405</v>
      </c>
      <c r="S904" s="988">
        <v>2022</v>
      </c>
      <c r="T904" s="988">
        <v>2022</v>
      </c>
    </row>
    <row r="905" spans="1:20" s="1041" customFormat="1" ht="35.4" customHeight="1">
      <c r="A905" s="1249"/>
      <c r="B905" s="1513" t="s">
        <v>66</v>
      </c>
      <c r="C905" s="1513"/>
      <c r="D905" s="1513"/>
      <c r="E905" s="1513"/>
      <c r="F905" s="1513"/>
      <c r="G905" s="1513"/>
      <c r="H905" s="985">
        <f>H906</f>
        <v>596.1</v>
      </c>
      <c r="I905" s="985">
        <f t="shared" ref="I905:Q905" si="331">I906</f>
        <v>430.5</v>
      </c>
      <c r="J905" s="985">
        <f t="shared" si="331"/>
        <v>326.39999999999998</v>
      </c>
      <c r="K905" s="995">
        <f t="shared" si="331"/>
        <v>30</v>
      </c>
      <c r="L905" s="985">
        <f t="shared" si="331"/>
        <v>1018933</v>
      </c>
      <c r="M905" s="985">
        <f t="shared" si="331"/>
        <v>0</v>
      </c>
      <c r="N905" s="985">
        <f t="shared" si="331"/>
        <v>0</v>
      </c>
      <c r="O905" s="985">
        <f t="shared" si="331"/>
        <v>1018933</v>
      </c>
      <c r="P905" s="985">
        <f t="shared" si="331"/>
        <v>0</v>
      </c>
      <c r="Q905" s="985">
        <f t="shared" si="331"/>
        <v>0</v>
      </c>
      <c r="R905" s="996" t="s">
        <v>40</v>
      </c>
      <c r="S905" s="996" t="s">
        <v>40</v>
      </c>
      <c r="T905" s="996" t="s">
        <v>40</v>
      </c>
    </row>
    <row r="906" spans="1:20" s="997" customFormat="1" ht="36" customHeight="1">
      <c r="A906" s="1249"/>
      <c r="B906" s="1513" t="s">
        <v>1101</v>
      </c>
      <c r="C906" s="1513"/>
      <c r="D906" s="1513"/>
      <c r="E906" s="1513"/>
      <c r="F906" s="1513"/>
      <c r="G906" s="1513"/>
      <c r="H906" s="985">
        <f>H907</f>
        <v>596.1</v>
      </c>
      <c r="I906" s="985">
        <f t="shared" ref="I906:Q906" si="332">I907</f>
        <v>430.5</v>
      </c>
      <c r="J906" s="985">
        <f t="shared" si="332"/>
        <v>326.39999999999998</v>
      </c>
      <c r="K906" s="995">
        <f t="shared" si="332"/>
        <v>30</v>
      </c>
      <c r="L906" s="985">
        <f t="shared" si="332"/>
        <v>1018933</v>
      </c>
      <c r="M906" s="985">
        <f t="shared" si="332"/>
        <v>0</v>
      </c>
      <c r="N906" s="985">
        <f t="shared" si="332"/>
        <v>0</v>
      </c>
      <c r="O906" s="985">
        <f t="shared" si="332"/>
        <v>1018933</v>
      </c>
      <c r="P906" s="985">
        <f t="shared" si="332"/>
        <v>0</v>
      </c>
      <c r="Q906" s="985">
        <f t="shared" si="332"/>
        <v>0</v>
      </c>
      <c r="R906" s="996" t="s">
        <v>40</v>
      </c>
      <c r="S906" s="996" t="s">
        <v>40</v>
      </c>
      <c r="T906" s="996" t="s">
        <v>40</v>
      </c>
    </row>
    <row r="907" spans="1:20" s="989" customFormat="1" ht="40.200000000000003" customHeight="1">
      <c r="A907" s="1249">
        <v>135</v>
      </c>
      <c r="B907" s="1245" t="s">
        <v>1276</v>
      </c>
      <c r="C907" s="1255">
        <v>1978</v>
      </c>
      <c r="D907" s="1255"/>
      <c r="E907" s="1249" t="s">
        <v>218</v>
      </c>
      <c r="F907" s="1255">
        <v>2</v>
      </c>
      <c r="G907" s="1255">
        <v>1</v>
      </c>
      <c r="H907" s="985">
        <v>596.1</v>
      </c>
      <c r="I907" s="985">
        <v>430.5</v>
      </c>
      <c r="J907" s="985">
        <v>326.39999999999998</v>
      </c>
      <c r="K907" s="995">
        <v>30</v>
      </c>
      <c r="L907" s="987">
        <v>1018933</v>
      </c>
      <c r="M907" s="987">
        <v>0</v>
      </c>
      <c r="N907" s="987">
        <v>0</v>
      </c>
      <c r="O907" s="987">
        <v>1018933</v>
      </c>
      <c r="P907" s="998">
        <v>0</v>
      </c>
      <c r="Q907" s="987">
        <v>0</v>
      </c>
      <c r="R907" s="985">
        <f>L907/I907</f>
        <v>2366.8594657375147</v>
      </c>
      <c r="S907" s="988">
        <v>2022</v>
      </c>
      <c r="T907" s="988">
        <v>2022</v>
      </c>
    </row>
    <row r="908" spans="1:20" s="989" customFormat="1" ht="36" customHeight="1">
      <c r="A908" s="1249"/>
      <c r="B908" s="1513" t="s">
        <v>1161</v>
      </c>
      <c r="C908" s="1513"/>
      <c r="D908" s="1513"/>
      <c r="E908" s="1513"/>
      <c r="F908" s="1513"/>
      <c r="G908" s="1513"/>
      <c r="H908" s="985">
        <f>SUM(H909:H912)</f>
        <v>24787.550000000003</v>
      </c>
      <c r="I908" s="985">
        <f t="shared" ref="I908:Q908" si="333">SUM(I909:I912)</f>
        <v>21693.53</v>
      </c>
      <c r="J908" s="985">
        <f t="shared" si="333"/>
        <v>21693.53</v>
      </c>
      <c r="K908" s="995">
        <f t="shared" si="333"/>
        <v>978</v>
      </c>
      <c r="L908" s="985">
        <f t="shared" si="333"/>
        <v>17742029</v>
      </c>
      <c r="M908" s="985">
        <f t="shared" si="333"/>
        <v>0</v>
      </c>
      <c r="N908" s="985">
        <f t="shared" si="333"/>
        <v>0</v>
      </c>
      <c r="O908" s="985">
        <f t="shared" si="333"/>
        <v>17742029</v>
      </c>
      <c r="P908" s="985">
        <f t="shared" si="333"/>
        <v>0</v>
      </c>
      <c r="Q908" s="985">
        <f t="shared" si="333"/>
        <v>0</v>
      </c>
      <c r="R908" s="996" t="s">
        <v>40</v>
      </c>
      <c r="S908" s="996" t="s">
        <v>40</v>
      </c>
      <c r="T908" s="1255" t="s">
        <v>40</v>
      </c>
    </row>
    <row r="909" spans="1:20" s="989" customFormat="1" ht="36" customHeight="1">
      <c r="A909" s="1048">
        <v>136</v>
      </c>
      <c r="B909" s="1069" t="s">
        <v>1554</v>
      </c>
      <c r="C909" s="1048">
        <v>1983</v>
      </c>
      <c r="D909" s="1123"/>
      <c r="E909" s="1249" t="s">
        <v>219</v>
      </c>
      <c r="F909" s="1048">
        <v>5</v>
      </c>
      <c r="G909" s="1048">
        <v>6</v>
      </c>
      <c r="H909" s="1067">
        <v>4978.1000000000004</v>
      </c>
      <c r="I909" s="1067">
        <v>4545.1000000000004</v>
      </c>
      <c r="J909" s="1067">
        <v>4545.1000000000004</v>
      </c>
      <c r="K909" s="1108">
        <v>191</v>
      </c>
      <c r="L909" s="1067">
        <v>3382856</v>
      </c>
      <c r="M909" s="1107">
        <v>0</v>
      </c>
      <c r="N909" s="1107">
        <v>0</v>
      </c>
      <c r="O909" s="1067">
        <f t="shared" ref="O909:O911" si="334">L909</f>
        <v>3382856</v>
      </c>
      <c r="P909" s="1107">
        <v>0</v>
      </c>
      <c r="Q909" s="1107">
        <v>0</v>
      </c>
      <c r="R909" s="998">
        <f>L909/I909</f>
        <v>744.28637433719825</v>
      </c>
      <c r="S909" s="988">
        <v>2022</v>
      </c>
      <c r="T909" s="988">
        <v>2022</v>
      </c>
    </row>
    <row r="910" spans="1:20" s="989" customFormat="1" ht="36" customHeight="1">
      <c r="A910" s="1048">
        <v>137</v>
      </c>
      <c r="B910" s="1069" t="s">
        <v>1555</v>
      </c>
      <c r="C910" s="1048">
        <v>1978</v>
      </c>
      <c r="D910" s="1123"/>
      <c r="E910" s="1249" t="s">
        <v>219</v>
      </c>
      <c r="F910" s="1048">
        <v>9</v>
      </c>
      <c r="G910" s="1048">
        <v>11</v>
      </c>
      <c r="H910" s="1067">
        <v>6452.6</v>
      </c>
      <c r="I910" s="1067">
        <v>5655.1</v>
      </c>
      <c r="J910" s="1067">
        <v>5655.1</v>
      </c>
      <c r="K910" s="1108">
        <v>253</v>
      </c>
      <c r="L910" s="1067">
        <v>3532300</v>
      </c>
      <c r="M910" s="1107">
        <v>0</v>
      </c>
      <c r="N910" s="1107">
        <v>0</v>
      </c>
      <c r="O910" s="1067">
        <f t="shared" si="334"/>
        <v>3532300</v>
      </c>
      <c r="P910" s="1107">
        <v>0</v>
      </c>
      <c r="Q910" s="1107">
        <v>0</v>
      </c>
      <c r="R910" s="998">
        <f t="shared" ref="R910:R912" si="335">L910/I910</f>
        <v>624.62202259906985</v>
      </c>
      <c r="S910" s="988">
        <v>2022</v>
      </c>
      <c r="T910" s="988">
        <v>2022</v>
      </c>
    </row>
    <row r="911" spans="1:20" s="989" customFormat="1" ht="36" customHeight="1">
      <c r="A911" s="1048">
        <v>138</v>
      </c>
      <c r="B911" s="1069" t="s">
        <v>1449</v>
      </c>
      <c r="C911" s="1048">
        <v>1982</v>
      </c>
      <c r="D911" s="1123"/>
      <c r="E911" s="1249" t="s">
        <v>219</v>
      </c>
      <c r="F911" s="1048">
        <v>5</v>
      </c>
      <c r="G911" s="1048">
        <v>10</v>
      </c>
      <c r="H911" s="1067">
        <v>5636.1</v>
      </c>
      <c r="I911" s="1067">
        <v>4889.8999999999996</v>
      </c>
      <c r="J911" s="1067">
        <v>4889.8999999999996</v>
      </c>
      <c r="K911" s="1108">
        <v>214</v>
      </c>
      <c r="L911" s="1067">
        <v>3532300</v>
      </c>
      <c r="M911" s="1107">
        <v>0</v>
      </c>
      <c r="N911" s="1107">
        <v>0</v>
      </c>
      <c r="O911" s="1067">
        <f t="shared" si="334"/>
        <v>3532300</v>
      </c>
      <c r="P911" s="1107">
        <v>0</v>
      </c>
      <c r="Q911" s="1107">
        <v>0</v>
      </c>
      <c r="R911" s="998">
        <f t="shared" si="335"/>
        <v>722.36651056258825</v>
      </c>
      <c r="S911" s="988">
        <v>2022</v>
      </c>
      <c r="T911" s="988">
        <v>2022</v>
      </c>
    </row>
    <row r="912" spans="1:20" s="989" customFormat="1" ht="36" customHeight="1">
      <c r="A912" s="1048">
        <v>139</v>
      </c>
      <c r="B912" s="1069" t="s">
        <v>1556</v>
      </c>
      <c r="C912" s="1048">
        <v>1983</v>
      </c>
      <c r="D912" s="1123"/>
      <c r="E912" s="1249" t="s">
        <v>219</v>
      </c>
      <c r="F912" s="1048">
        <v>9</v>
      </c>
      <c r="G912" s="1048">
        <v>3</v>
      </c>
      <c r="H912" s="1067">
        <v>7720.75</v>
      </c>
      <c r="I912" s="1067">
        <v>6603.43</v>
      </c>
      <c r="J912" s="1067">
        <v>6603.43</v>
      </c>
      <c r="K912" s="1108">
        <v>320</v>
      </c>
      <c r="L912" s="1067">
        <v>7294573</v>
      </c>
      <c r="M912" s="1107">
        <v>0</v>
      </c>
      <c r="N912" s="1107">
        <v>0</v>
      </c>
      <c r="O912" s="1067">
        <f>L912</f>
        <v>7294573</v>
      </c>
      <c r="P912" s="1107">
        <v>0</v>
      </c>
      <c r="Q912" s="1107">
        <v>0</v>
      </c>
      <c r="R912" s="998">
        <f t="shared" si="335"/>
        <v>1104.6642426738831</v>
      </c>
      <c r="S912" s="988">
        <v>2022</v>
      </c>
      <c r="T912" s="988">
        <v>2022</v>
      </c>
    </row>
    <row r="913" spans="1:20" s="989" customFormat="1" ht="36" customHeight="1">
      <c r="A913" s="1249"/>
      <c r="B913" s="1513" t="s">
        <v>67</v>
      </c>
      <c r="C913" s="1513"/>
      <c r="D913" s="1513"/>
      <c r="E913" s="1513"/>
      <c r="F913" s="1513"/>
      <c r="G913" s="1513"/>
      <c r="H913" s="985">
        <f>H914</f>
        <v>1017</v>
      </c>
      <c r="I913" s="985">
        <f t="shared" ref="I913:Q913" si="336">I914</f>
        <v>1017</v>
      </c>
      <c r="J913" s="985">
        <f t="shared" si="336"/>
        <v>927</v>
      </c>
      <c r="K913" s="995">
        <f t="shared" si="336"/>
        <v>50</v>
      </c>
      <c r="L913" s="985">
        <f t="shared" si="336"/>
        <v>1734270</v>
      </c>
      <c r="M913" s="985">
        <f t="shared" si="336"/>
        <v>0</v>
      </c>
      <c r="N913" s="985">
        <f t="shared" si="336"/>
        <v>0</v>
      </c>
      <c r="O913" s="985">
        <f t="shared" si="336"/>
        <v>1734270</v>
      </c>
      <c r="P913" s="985">
        <f t="shared" si="336"/>
        <v>0</v>
      </c>
      <c r="Q913" s="985">
        <f t="shared" si="336"/>
        <v>0</v>
      </c>
      <c r="R913" s="996" t="s">
        <v>40</v>
      </c>
      <c r="S913" s="996" t="s">
        <v>40</v>
      </c>
      <c r="T913" s="1255" t="s">
        <v>40</v>
      </c>
    </row>
    <row r="914" spans="1:20" s="989" customFormat="1" ht="36" customHeight="1">
      <c r="A914" s="1383"/>
      <c r="B914" s="1549" t="s">
        <v>1345</v>
      </c>
      <c r="C914" s="1549"/>
      <c r="D914" s="1549"/>
      <c r="E914" s="1549"/>
      <c r="F914" s="1549"/>
      <c r="G914" s="1549"/>
      <c r="H914" s="985">
        <f>H915</f>
        <v>1017</v>
      </c>
      <c r="I914" s="985">
        <f t="shared" ref="I914:Q914" si="337">I915</f>
        <v>1017</v>
      </c>
      <c r="J914" s="985">
        <f t="shared" si="337"/>
        <v>927</v>
      </c>
      <c r="K914" s="995">
        <f t="shared" si="337"/>
        <v>50</v>
      </c>
      <c r="L914" s="985">
        <f t="shared" si="337"/>
        <v>1734270</v>
      </c>
      <c r="M914" s="985">
        <f t="shared" si="337"/>
        <v>0</v>
      </c>
      <c r="N914" s="985">
        <f t="shared" si="337"/>
        <v>0</v>
      </c>
      <c r="O914" s="985">
        <f t="shared" si="337"/>
        <v>1734270</v>
      </c>
      <c r="P914" s="985">
        <f t="shared" si="337"/>
        <v>0</v>
      </c>
      <c r="Q914" s="985">
        <f t="shared" si="337"/>
        <v>0</v>
      </c>
      <c r="R914" s="996" t="s">
        <v>40</v>
      </c>
      <c r="S914" s="996" t="s">
        <v>40</v>
      </c>
      <c r="T914" s="1395" t="s">
        <v>40</v>
      </c>
    </row>
    <row r="915" spans="1:20" s="989" customFormat="1" ht="42.6" customHeight="1">
      <c r="A915" s="1383">
        <v>140</v>
      </c>
      <c r="B915" s="1260" t="s">
        <v>2364</v>
      </c>
      <c r="C915" s="1249">
        <v>2002</v>
      </c>
      <c r="D915" s="1249"/>
      <c r="E915" s="1249" t="s">
        <v>218</v>
      </c>
      <c r="F915" s="1249">
        <v>3</v>
      </c>
      <c r="G915" s="1249">
        <v>2</v>
      </c>
      <c r="H915" s="998">
        <v>1017</v>
      </c>
      <c r="I915" s="998">
        <v>1017</v>
      </c>
      <c r="J915" s="998">
        <v>927</v>
      </c>
      <c r="K915" s="986">
        <v>50</v>
      </c>
      <c r="L915" s="998">
        <v>1734270</v>
      </c>
      <c r="M915" s="998">
        <v>0</v>
      </c>
      <c r="N915" s="998">
        <v>0</v>
      </c>
      <c r="O915" s="998">
        <v>1734270</v>
      </c>
      <c r="P915" s="998">
        <v>0</v>
      </c>
      <c r="Q915" s="998">
        <v>0</v>
      </c>
      <c r="R915" s="998">
        <f>L915/I915</f>
        <v>1705.2802359882005</v>
      </c>
      <c r="S915" s="988">
        <v>2022</v>
      </c>
      <c r="T915" s="988">
        <v>2022</v>
      </c>
    </row>
    <row r="916" spans="1:20" s="997" customFormat="1" ht="36" customHeight="1">
      <c r="A916" s="1529" t="s">
        <v>35</v>
      </c>
      <c r="B916" s="1529"/>
      <c r="C916" s="1529"/>
      <c r="D916" s="1529"/>
      <c r="E916" s="1529"/>
      <c r="F916" s="1529"/>
      <c r="G916" s="1529"/>
      <c r="H916" s="1529"/>
      <c r="I916" s="1529"/>
      <c r="J916" s="1529"/>
      <c r="K916" s="1529"/>
      <c r="L916" s="1529"/>
      <c r="M916" s="1529"/>
      <c r="N916" s="1529"/>
      <c r="O916" s="1529"/>
      <c r="P916" s="1529"/>
      <c r="Q916" s="1529"/>
      <c r="R916" s="1529"/>
      <c r="S916" s="1529"/>
      <c r="T916" s="1529"/>
    </row>
    <row r="917" spans="1:20" s="989" customFormat="1" ht="36" customHeight="1">
      <c r="A917" s="1383"/>
      <c r="B917" s="1517" t="s">
        <v>42</v>
      </c>
      <c r="C917" s="1517"/>
      <c r="D917" s="1517"/>
      <c r="E917" s="1517"/>
      <c r="F917" s="1517"/>
      <c r="G917" s="1517"/>
      <c r="H917" s="985">
        <v>0</v>
      </c>
      <c r="I917" s="985">
        <v>0</v>
      </c>
      <c r="J917" s="985">
        <v>0</v>
      </c>
      <c r="K917" s="995">
        <v>0</v>
      </c>
      <c r="L917" s="987">
        <v>0</v>
      </c>
      <c r="M917" s="987">
        <v>0</v>
      </c>
      <c r="N917" s="987">
        <v>0</v>
      </c>
      <c r="O917" s="987">
        <v>0</v>
      </c>
      <c r="P917" s="987">
        <v>0</v>
      </c>
      <c r="Q917" s="987">
        <v>0</v>
      </c>
      <c r="R917" s="996" t="s">
        <v>40</v>
      </c>
      <c r="S917" s="996" t="s">
        <v>40</v>
      </c>
      <c r="T917" s="996" t="s">
        <v>40</v>
      </c>
    </row>
    <row r="918" spans="1:20" s="989" customFormat="1" ht="36" customHeight="1">
      <c r="A918" s="1529" t="s">
        <v>1159</v>
      </c>
      <c r="B918" s="1529"/>
      <c r="C918" s="1529"/>
      <c r="D918" s="1529"/>
      <c r="E918" s="1529"/>
      <c r="F918" s="1529"/>
      <c r="G918" s="1529"/>
      <c r="H918" s="1529"/>
      <c r="I918" s="1529"/>
      <c r="J918" s="1529"/>
      <c r="K918" s="1529"/>
      <c r="L918" s="1529"/>
      <c r="M918" s="1529"/>
      <c r="N918" s="1529"/>
      <c r="O918" s="1529"/>
      <c r="P918" s="1529"/>
      <c r="Q918" s="1529"/>
      <c r="R918" s="1529"/>
      <c r="S918" s="1529"/>
      <c r="T918" s="1529"/>
    </row>
    <row r="919" spans="1:20" s="989" customFormat="1" ht="36" customHeight="1">
      <c r="A919" s="1383"/>
      <c r="B919" s="1517" t="s">
        <v>42</v>
      </c>
      <c r="C919" s="1517"/>
      <c r="D919" s="1517"/>
      <c r="E919" s="1517"/>
      <c r="F919" s="1517"/>
      <c r="G919" s="1517"/>
      <c r="H919" s="985">
        <v>0</v>
      </c>
      <c r="I919" s="985">
        <v>0</v>
      </c>
      <c r="J919" s="985">
        <v>0</v>
      </c>
      <c r="K919" s="995">
        <v>0</v>
      </c>
      <c r="L919" s="985">
        <v>0</v>
      </c>
      <c r="M919" s="985">
        <v>0</v>
      </c>
      <c r="N919" s="985">
        <v>0</v>
      </c>
      <c r="O919" s="985">
        <v>0</v>
      </c>
      <c r="P919" s="985">
        <v>0</v>
      </c>
      <c r="Q919" s="985">
        <v>0</v>
      </c>
      <c r="R919" s="996" t="s">
        <v>40</v>
      </c>
      <c r="S919" s="996" t="s">
        <v>40</v>
      </c>
      <c r="T919" s="996" t="s">
        <v>40</v>
      </c>
    </row>
    <row r="920" spans="1:20" s="989" customFormat="1" ht="36" customHeight="1">
      <c r="A920" s="1529" t="s">
        <v>2227</v>
      </c>
      <c r="B920" s="1529"/>
      <c r="C920" s="1529"/>
      <c r="D920" s="1529"/>
      <c r="E920" s="1529"/>
      <c r="F920" s="1529"/>
      <c r="G920" s="1529"/>
      <c r="H920" s="1529"/>
      <c r="I920" s="1529"/>
      <c r="J920" s="1529"/>
      <c r="K920" s="1529"/>
      <c r="L920" s="1529"/>
      <c r="M920" s="1529"/>
      <c r="N920" s="1529"/>
      <c r="O920" s="1529"/>
      <c r="P920" s="1529"/>
      <c r="Q920" s="1529"/>
      <c r="R920" s="1529"/>
      <c r="S920" s="1529"/>
      <c r="T920" s="1529"/>
    </row>
    <row r="921" spans="1:20" s="989" customFormat="1" ht="36" customHeight="1">
      <c r="A921" s="1249"/>
      <c r="B921" s="1257" t="s">
        <v>205</v>
      </c>
      <c r="C921" s="991"/>
      <c r="D921" s="992"/>
      <c r="E921" s="993"/>
      <c r="F921" s="991"/>
      <c r="G921" s="994"/>
      <c r="H921" s="998">
        <f>H923</f>
        <v>1779111.0899999994</v>
      </c>
      <c r="I921" s="998">
        <f t="shared" ref="I921:Q921" si="338">I923</f>
        <v>1546780.2899999998</v>
      </c>
      <c r="J921" s="998">
        <f t="shared" si="338"/>
        <v>1349635.3150000009</v>
      </c>
      <c r="K921" s="986">
        <f t="shared" si="338"/>
        <v>65090</v>
      </c>
      <c r="L921" s="998">
        <f t="shared" si="338"/>
        <v>1940378406.4340003</v>
      </c>
      <c r="M921" s="998">
        <f t="shared" si="338"/>
        <v>0</v>
      </c>
      <c r="N921" s="998">
        <f t="shared" si="338"/>
        <v>2168421.2600000002</v>
      </c>
      <c r="O921" s="998">
        <f t="shared" si="338"/>
        <v>1938642031.8640006</v>
      </c>
      <c r="P921" s="998">
        <f t="shared" si="338"/>
        <v>0</v>
      </c>
      <c r="Q921" s="998">
        <f t="shared" si="338"/>
        <v>0</v>
      </c>
      <c r="R921" s="996" t="s">
        <v>40</v>
      </c>
      <c r="S921" s="1255" t="s">
        <v>40</v>
      </c>
      <c r="T921" s="1255" t="s">
        <v>40</v>
      </c>
    </row>
    <row r="922" spans="1:20" s="997" customFormat="1" ht="36" customHeight="1">
      <c r="A922" s="1529" t="s">
        <v>1156</v>
      </c>
      <c r="B922" s="1529"/>
      <c r="C922" s="1529"/>
      <c r="D922" s="1529"/>
      <c r="E922" s="1529"/>
      <c r="F922" s="1529"/>
      <c r="G922" s="1529"/>
      <c r="H922" s="1529"/>
      <c r="I922" s="1529"/>
      <c r="J922" s="1529"/>
      <c r="K922" s="1529"/>
      <c r="L922" s="1529"/>
      <c r="M922" s="1529"/>
      <c r="N922" s="1529"/>
      <c r="O922" s="1529"/>
      <c r="P922" s="1529"/>
      <c r="Q922" s="1529"/>
      <c r="R922" s="1529"/>
      <c r="S922" s="1529"/>
      <c r="T922" s="1529"/>
    </row>
    <row r="923" spans="1:20" s="997" customFormat="1" ht="36" customHeight="1">
      <c r="A923" s="1249"/>
      <c r="B923" s="1257" t="s">
        <v>42</v>
      </c>
      <c r="C923" s="991"/>
      <c r="D923" s="992"/>
      <c r="E923" s="993"/>
      <c r="F923" s="991"/>
      <c r="G923" s="994"/>
      <c r="H923" s="998">
        <f t="shared" ref="H923:Q923" si="339">H924+H1215+H1253+H1327+H1352+H1365+H1376+H1387+H1393+H1415+H1427+H1437+H1446+H1461+H1467+H1493+H1536+H1539+H1546+H1567+H1578+H1593+H1596+H1604+H1607+H1628+H1630+H1571+H1583+H1249+H1423+H1483+H1614+H1621+H1362+H1587</f>
        <v>1779111.0899999994</v>
      </c>
      <c r="I923" s="998">
        <f t="shared" si="339"/>
        <v>1546780.2899999998</v>
      </c>
      <c r="J923" s="998">
        <f t="shared" si="339"/>
        <v>1349635.3150000009</v>
      </c>
      <c r="K923" s="986">
        <f t="shared" si="339"/>
        <v>65090</v>
      </c>
      <c r="L923" s="998">
        <f t="shared" si="339"/>
        <v>1940378406.4340003</v>
      </c>
      <c r="M923" s="998">
        <f t="shared" si="339"/>
        <v>0</v>
      </c>
      <c r="N923" s="998">
        <f t="shared" si="339"/>
        <v>2168421.2600000002</v>
      </c>
      <c r="O923" s="998">
        <f t="shared" si="339"/>
        <v>1938642031.8640006</v>
      </c>
      <c r="P923" s="998">
        <f t="shared" si="339"/>
        <v>0</v>
      </c>
      <c r="Q923" s="998">
        <f t="shared" si="339"/>
        <v>0</v>
      </c>
      <c r="R923" s="996" t="s">
        <v>40</v>
      </c>
      <c r="S923" s="996" t="s">
        <v>40</v>
      </c>
      <c r="T923" s="996" t="s">
        <v>40</v>
      </c>
    </row>
    <row r="924" spans="1:20" s="997" customFormat="1" ht="61.95" customHeight="1">
      <c r="A924" s="1249"/>
      <c r="B924" s="1257" t="s">
        <v>1070</v>
      </c>
      <c r="C924" s="991"/>
      <c r="D924" s="992"/>
      <c r="E924" s="993"/>
      <c r="F924" s="991"/>
      <c r="G924" s="994"/>
      <c r="H924" s="985">
        <f t="shared" ref="H924:Q924" si="340">SUM(H925:H1214)</f>
        <v>1189073.9899999998</v>
      </c>
      <c r="I924" s="985">
        <f t="shared" si="340"/>
        <v>1049163.6199999992</v>
      </c>
      <c r="J924" s="985">
        <f t="shared" si="340"/>
        <v>940305.29000000027</v>
      </c>
      <c r="K924" s="995">
        <f t="shared" si="340"/>
        <v>45261</v>
      </c>
      <c r="L924" s="985">
        <f t="shared" si="340"/>
        <v>1102581450.6040001</v>
      </c>
      <c r="M924" s="985">
        <f t="shared" si="340"/>
        <v>0</v>
      </c>
      <c r="N924" s="985">
        <f t="shared" si="340"/>
        <v>0</v>
      </c>
      <c r="O924" s="985">
        <f t="shared" si="340"/>
        <v>1102581450.6040001</v>
      </c>
      <c r="P924" s="985">
        <f t="shared" si="340"/>
        <v>0</v>
      </c>
      <c r="Q924" s="985">
        <f t="shared" si="340"/>
        <v>0</v>
      </c>
      <c r="R924" s="996" t="s">
        <v>40</v>
      </c>
      <c r="S924" s="996" t="s">
        <v>40</v>
      </c>
      <c r="T924" s="996" t="s">
        <v>40</v>
      </c>
    </row>
    <row r="925" spans="1:20" s="1013" customFormat="1" ht="41.25" customHeight="1">
      <c r="A925" s="1249">
        <v>1</v>
      </c>
      <c r="B925" s="1371" t="s">
        <v>1992</v>
      </c>
      <c r="C925" s="1249">
        <v>1964</v>
      </c>
      <c r="D925" s="1260"/>
      <c r="E925" s="1249" t="s">
        <v>218</v>
      </c>
      <c r="F925" s="1249">
        <v>2</v>
      </c>
      <c r="G925" s="1249">
        <v>2</v>
      </c>
      <c r="H925" s="998">
        <v>400.3</v>
      </c>
      <c r="I925" s="998">
        <v>357.8</v>
      </c>
      <c r="J925" s="998">
        <f>I925-139.1</f>
        <v>218.70000000000002</v>
      </c>
      <c r="K925" s="986">
        <v>23</v>
      </c>
      <c r="L925" s="1128">
        <v>2381298</v>
      </c>
      <c r="M925" s="998">
        <v>0</v>
      </c>
      <c r="N925" s="998">
        <v>0</v>
      </c>
      <c r="O925" s="998">
        <f t="shared" ref="O925:O954" si="341">L925</f>
        <v>2381298</v>
      </c>
      <c r="P925" s="998">
        <f t="shared" ref="P925:P930" si="342">N925</f>
        <v>0</v>
      </c>
      <c r="Q925" s="998">
        <v>0</v>
      </c>
      <c r="R925" s="998">
        <f t="shared" ref="R925:R986" si="343">L925/I925</f>
        <v>6655.3884851872554</v>
      </c>
      <c r="S925" s="1249">
        <v>2016</v>
      </c>
      <c r="T925" s="1129" t="s">
        <v>1269</v>
      </c>
    </row>
    <row r="926" spans="1:20" s="1013" customFormat="1" ht="41.25" customHeight="1">
      <c r="A926" s="1249">
        <v>2</v>
      </c>
      <c r="B926" s="1371" t="s">
        <v>2039</v>
      </c>
      <c r="C926" s="1249">
        <v>1961</v>
      </c>
      <c r="D926" s="1260"/>
      <c r="E926" s="1249" t="s">
        <v>218</v>
      </c>
      <c r="F926" s="1168">
        <v>5</v>
      </c>
      <c r="G926" s="1168">
        <v>4</v>
      </c>
      <c r="H926" s="998">
        <v>3450</v>
      </c>
      <c r="I926" s="998">
        <v>3207.8</v>
      </c>
      <c r="J926" s="998">
        <f>I926-196.8</f>
        <v>3011</v>
      </c>
      <c r="K926" s="986">
        <v>157</v>
      </c>
      <c r="L926" s="1128">
        <v>4386000</v>
      </c>
      <c r="M926" s="998">
        <v>0</v>
      </c>
      <c r="N926" s="998">
        <v>0</v>
      </c>
      <c r="O926" s="998">
        <f t="shared" si="341"/>
        <v>4386000</v>
      </c>
      <c r="P926" s="998">
        <f t="shared" si="342"/>
        <v>0</v>
      </c>
      <c r="Q926" s="998">
        <v>0</v>
      </c>
      <c r="R926" s="998">
        <f t="shared" si="343"/>
        <v>1367.2922252010724</v>
      </c>
      <c r="S926" s="1249">
        <v>2016</v>
      </c>
      <c r="T926" s="1129" t="s">
        <v>1269</v>
      </c>
    </row>
    <row r="927" spans="1:20" s="1013" customFormat="1" ht="41.25" customHeight="1">
      <c r="A927" s="1249">
        <v>3</v>
      </c>
      <c r="B927" s="1371" t="s">
        <v>2040</v>
      </c>
      <c r="C927" s="1249">
        <v>1954</v>
      </c>
      <c r="D927" s="1249"/>
      <c r="E927" s="1249" t="s">
        <v>218</v>
      </c>
      <c r="F927" s="1249">
        <v>3</v>
      </c>
      <c r="G927" s="1249">
        <v>3</v>
      </c>
      <c r="H927" s="998">
        <v>2438.4</v>
      </c>
      <c r="I927" s="998">
        <v>2262.6999999999998</v>
      </c>
      <c r="J927" s="998">
        <f>I927-242.2</f>
        <v>2020.4999999999998</v>
      </c>
      <c r="K927" s="986">
        <v>70</v>
      </c>
      <c r="L927" s="1128">
        <v>3266338</v>
      </c>
      <c r="M927" s="998">
        <v>0</v>
      </c>
      <c r="N927" s="998">
        <v>0</v>
      </c>
      <c r="O927" s="998">
        <f t="shared" si="341"/>
        <v>3266338</v>
      </c>
      <c r="P927" s="998">
        <f t="shared" si="342"/>
        <v>0</v>
      </c>
      <c r="Q927" s="998">
        <v>0</v>
      </c>
      <c r="R927" s="998">
        <f t="shared" si="343"/>
        <v>1443.5576965572104</v>
      </c>
      <c r="S927" s="1249">
        <v>2016</v>
      </c>
      <c r="T927" s="1129" t="s">
        <v>1269</v>
      </c>
    </row>
    <row r="928" spans="1:20" s="1028" customFormat="1" ht="41.25" customHeight="1">
      <c r="A928" s="1249">
        <v>4</v>
      </c>
      <c r="B928" s="1371" t="s">
        <v>2041</v>
      </c>
      <c r="C928" s="1249">
        <v>1953</v>
      </c>
      <c r="D928" s="1260"/>
      <c r="E928" s="1249" t="s">
        <v>218</v>
      </c>
      <c r="F928" s="1249">
        <v>3</v>
      </c>
      <c r="G928" s="1249">
        <v>3</v>
      </c>
      <c r="H928" s="998">
        <v>2239.1</v>
      </c>
      <c r="I928" s="998">
        <v>1857.6</v>
      </c>
      <c r="J928" s="998">
        <f>I928-316.2</f>
        <v>1541.3999999999999</v>
      </c>
      <c r="K928" s="986">
        <v>76</v>
      </c>
      <c r="L928" s="1128">
        <v>3240797</v>
      </c>
      <c r="M928" s="998">
        <v>0</v>
      </c>
      <c r="N928" s="998">
        <v>0</v>
      </c>
      <c r="O928" s="998">
        <f t="shared" si="341"/>
        <v>3240797</v>
      </c>
      <c r="P928" s="998">
        <f t="shared" si="342"/>
        <v>0</v>
      </c>
      <c r="Q928" s="998">
        <v>0</v>
      </c>
      <c r="R928" s="998">
        <f t="shared" si="343"/>
        <v>1744.6150947459089</v>
      </c>
      <c r="S928" s="1249">
        <v>2016</v>
      </c>
      <c r="T928" s="1129" t="s">
        <v>1269</v>
      </c>
    </row>
    <row r="929" spans="1:20" s="1028" customFormat="1" ht="41.25" customHeight="1">
      <c r="A929" s="1249">
        <v>5</v>
      </c>
      <c r="B929" s="1371" t="s">
        <v>2265</v>
      </c>
      <c r="C929" s="1249">
        <v>1914</v>
      </c>
      <c r="D929" s="1260"/>
      <c r="E929" s="1249" t="s">
        <v>218</v>
      </c>
      <c r="F929" s="1249">
        <v>4</v>
      </c>
      <c r="G929" s="1249">
        <v>5</v>
      </c>
      <c r="H929" s="998">
        <v>2958.4</v>
      </c>
      <c r="I929" s="998">
        <v>2592.5</v>
      </c>
      <c r="J929" s="998">
        <f>I929-259.1</f>
        <v>2333.4</v>
      </c>
      <c r="K929" s="986">
        <v>112</v>
      </c>
      <c r="L929" s="1128">
        <v>339862.32</v>
      </c>
      <c r="M929" s="998">
        <v>0</v>
      </c>
      <c r="N929" s="998">
        <v>0</v>
      </c>
      <c r="O929" s="998">
        <f t="shared" si="341"/>
        <v>339862.32</v>
      </c>
      <c r="P929" s="998">
        <f t="shared" si="342"/>
        <v>0</v>
      </c>
      <c r="Q929" s="998">
        <v>0</v>
      </c>
      <c r="R929" s="998">
        <f t="shared" si="343"/>
        <v>131.09443394406944</v>
      </c>
      <c r="S929" s="1249">
        <v>2016</v>
      </c>
      <c r="T929" s="1129" t="s">
        <v>1269</v>
      </c>
    </row>
    <row r="930" spans="1:20" s="1028" customFormat="1" ht="41.25" customHeight="1">
      <c r="A930" s="1249">
        <v>6</v>
      </c>
      <c r="B930" s="1371" t="s">
        <v>2042</v>
      </c>
      <c r="C930" s="1249">
        <v>1956</v>
      </c>
      <c r="D930" s="1260"/>
      <c r="E930" s="1249" t="s">
        <v>218</v>
      </c>
      <c r="F930" s="1249">
        <v>4</v>
      </c>
      <c r="G930" s="1249">
        <v>4</v>
      </c>
      <c r="H930" s="998">
        <v>5336.3</v>
      </c>
      <c r="I930" s="998">
        <v>4312.6000000000004</v>
      </c>
      <c r="J930" s="998">
        <f>I930-223.8</f>
        <v>4088.8</v>
      </c>
      <c r="K930" s="986">
        <v>152</v>
      </c>
      <c r="L930" s="1128">
        <v>1501103.24</v>
      </c>
      <c r="M930" s="998">
        <v>0</v>
      </c>
      <c r="N930" s="998">
        <v>0</v>
      </c>
      <c r="O930" s="998">
        <f t="shared" si="341"/>
        <v>1501103.24</v>
      </c>
      <c r="P930" s="998">
        <f t="shared" si="342"/>
        <v>0</v>
      </c>
      <c r="Q930" s="998">
        <v>0</v>
      </c>
      <c r="R930" s="998">
        <f t="shared" si="343"/>
        <v>348.07383944720118</v>
      </c>
      <c r="S930" s="1249">
        <v>2016</v>
      </c>
      <c r="T930" s="1129" t="s">
        <v>1269</v>
      </c>
    </row>
    <row r="931" spans="1:20" s="1028" customFormat="1" ht="41.25" customHeight="1">
      <c r="A931" s="1249">
        <v>7</v>
      </c>
      <c r="B931" s="1371" t="s">
        <v>1692</v>
      </c>
      <c r="C931" s="1249">
        <v>1959</v>
      </c>
      <c r="D931" s="1249"/>
      <c r="E931" s="1249" t="s">
        <v>218</v>
      </c>
      <c r="F931" s="1249">
        <v>2</v>
      </c>
      <c r="G931" s="1249">
        <v>1</v>
      </c>
      <c r="H931" s="998">
        <v>301.10000000000002</v>
      </c>
      <c r="I931" s="998">
        <v>278.2</v>
      </c>
      <c r="J931" s="998">
        <f>278.2-37.9</f>
        <v>240.29999999999998</v>
      </c>
      <c r="K931" s="986">
        <v>17</v>
      </c>
      <c r="L931" s="998">
        <v>405647.25</v>
      </c>
      <c r="M931" s="998">
        <v>0</v>
      </c>
      <c r="N931" s="998">
        <v>0</v>
      </c>
      <c r="O931" s="998">
        <f t="shared" si="341"/>
        <v>405647.25</v>
      </c>
      <c r="P931" s="998">
        <v>0</v>
      </c>
      <c r="Q931" s="998">
        <v>0</v>
      </c>
      <c r="R931" s="998">
        <f t="shared" si="343"/>
        <v>1458.1137670740475</v>
      </c>
      <c r="S931" s="1249">
        <v>2016</v>
      </c>
      <c r="T931" s="1129" t="s">
        <v>1269</v>
      </c>
    </row>
    <row r="932" spans="1:20" s="1028" customFormat="1" ht="41.25" customHeight="1">
      <c r="A932" s="1249">
        <v>8</v>
      </c>
      <c r="B932" s="1371" t="s">
        <v>257</v>
      </c>
      <c r="C932" s="1249">
        <v>1959</v>
      </c>
      <c r="D932" s="1249"/>
      <c r="E932" s="1249" t="s">
        <v>218</v>
      </c>
      <c r="F932" s="1249">
        <v>2</v>
      </c>
      <c r="G932" s="1249">
        <v>2</v>
      </c>
      <c r="H932" s="998">
        <v>687.5</v>
      </c>
      <c r="I932" s="998">
        <v>638.6</v>
      </c>
      <c r="J932" s="998">
        <v>638.6</v>
      </c>
      <c r="K932" s="986">
        <v>26</v>
      </c>
      <c r="L932" s="998">
        <v>1184205.7000000002</v>
      </c>
      <c r="M932" s="998">
        <v>0</v>
      </c>
      <c r="N932" s="998">
        <v>0</v>
      </c>
      <c r="O932" s="998">
        <f t="shared" si="341"/>
        <v>1184205.7000000002</v>
      </c>
      <c r="P932" s="998">
        <v>0</v>
      </c>
      <c r="Q932" s="998">
        <v>0</v>
      </c>
      <c r="R932" s="998">
        <f t="shared" si="343"/>
        <v>1854.3778578139684</v>
      </c>
      <c r="S932" s="1249">
        <v>2016</v>
      </c>
      <c r="T932" s="1129" t="s">
        <v>1269</v>
      </c>
    </row>
    <row r="933" spans="1:20" s="1028" customFormat="1" ht="41.25" customHeight="1">
      <c r="A933" s="1249">
        <v>9</v>
      </c>
      <c r="B933" s="1371" t="s">
        <v>1827</v>
      </c>
      <c r="C933" s="1249">
        <v>1959</v>
      </c>
      <c r="D933" s="1249"/>
      <c r="E933" s="1249" t="s">
        <v>218</v>
      </c>
      <c r="F933" s="1168">
        <v>4</v>
      </c>
      <c r="G933" s="1168">
        <v>4</v>
      </c>
      <c r="H933" s="998">
        <v>2847.5</v>
      </c>
      <c r="I933" s="998">
        <v>2284.5</v>
      </c>
      <c r="J933" s="998">
        <v>2284.5</v>
      </c>
      <c r="K933" s="986">
        <v>78</v>
      </c>
      <c r="L933" s="998">
        <v>3694005.76</v>
      </c>
      <c r="M933" s="998">
        <v>0</v>
      </c>
      <c r="N933" s="998">
        <v>0</v>
      </c>
      <c r="O933" s="998">
        <f t="shared" si="341"/>
        <v>3694005.76</v>
      </c>
      <c r="P933" s="998">
        <v>0</v>
      </c>
      <c r="Q933" s="998">
        <v>0</v>
      </c>
      <c r="R933" s="998">
        <f t="shared" si="343"/>
        <v>1616.9865441015538</v>
      </c>
      <c r="S933" s="1249">
        <v>2016</v>
      </c>
      <c r="T933" s="1129" t="s">
        <v>1269</v>
      </c>
    </row>
    <row r="934" spans="1:20" s="1028" customFormat="1" ht="41.25" customHeight="1">
      <c r="A934" s="1249">
        <v>10</v>
      </c>
      <c r="B934" s="1371" t="s">
        <v>2043</v>
      </c>
      <c r="C934" s="1249">
        <v>1959</v>
      </c>
      <c r="D934" s="1249"/>
      <c r="E934" s="1249" t="s">
        <v>218</v>
      </c>
      <c r="F934" s="1249">
        <v>2</v>
      </c>
      <c r="G934" s="1249">
        <v>2</v>
      </c>
      <c r="H934" s="998">
        <v>700.6</v>
      </c>
      <c r="I934" s="998">
        <v>651.9</v>
      </c>
      <c r="J934" s="998">
        <v>651.9</v>
      </c>
      <c r="K934" s="986">
        <v>26</v>
      </c>
      <c r="L934" s="998">
        <v>2663040.7399999998</v>
      </c>
      <c r="M934" s="998">
        <v>0</v>
      </c>
      <c r="N934" s="998">
        <v>0</v>
      </c>
      <c r="O934" s="998">
        <f t="shared" si="341"/>
        <v>2663040.7399999998</v>
      </c>
      <c r="P934" s="998">
        <v>0</v>
      </c>
      <c r="Q934" s="998">
        <v>0</v>
      </c>
      <c r="R934" s="998">
        <f t="shared" si="343"/>
        <v>4085.0448535051387</v>
      </c>
      <c r="S934" s="1249">
        <v>2016</v>
      </c>
      <c r="T934" s="1129" t="s">
        <v>1269</v>
      </c>
    </row>
    <row r="935" spans="1:20" s="1028" customFormat="1" ht="41.25" customHeight="1">
      <c r="A935" s="1249">
        <v>11</v>
      </c>
      <c r="B935" s="1371" t="s">
        <v>235</v>
      </c>
      <c r="C935" s="1249">
        <v>1950</v>
      </c>
      <c r="D935" s="1249"/>
      <c r="E935" s="1249" t="s">
        <v>823</v>
      </c>
      <c r="F935" s="1249">
        <v>2</v>
      </c>
      <c r="G935" s="1249">
        <v>1</v>
      </c>
      <c r="H935" s="998">
        <v>428.6</v>
      </c>
      <c r="I935" s="998">
        <v>391.9</v>
      </c>
      <c r="J935" s="998">
        <v>391.9</v>
      </c>
      <c r="K935" s="986">
        <v>19</v>
      </c>
      <c r="L935" s="998">
        <v>1122930.8400000001</v>
      </c>
      <c r="M935" s="998">
        <v>0</v>
      </c>
      <c r="N935" s="998">
        <v>0</v>
      </c>
      <c r="O935" s="998">
        <f t="shared" si="341"/>
        <v>1122930.8400000001</v>
      </c>
      <c r="P935" s="998">
        <v>0</v>
      </c>
      <c r="Q935" s="998">
        <v>0</v>
      </c>
      <c r="R935" s="998">
        <f t="shared" si="343"/>
        <v>2865.3504465424858</v>
      </c>
      <c r="S935" s="1249">
        <v>2016</v>
      </c>
      <c r="T935" s="1129" t="s">
        <v>1269</v>
      </c>
    </row>
    <row r="936" spans="1:20" s="1028" customFormat="1" ht="41.25" customHeight="1">
      <c r="A936" s="1249">
        <v>12</v>
      </c>
      <c r="B936" s="1371" t="s">
        <v>2044</v>
      </c>
      <c r="C936" s="1249">
        <v>1959</v>
      </c>
      <c r="D936" s="1249"/>
      <c r="E936" s="1249" t="s">
        <v>218</v>
      </c>
      <c r="F936" s="1168">
        <v>2</v>
      </c>
      <c r="G936" s="1168">
        <v>1</v>
      </c>
      <c r="H936" s="998">
        <v>444.7</v>
      </c>
      <c r="I936" s="998">
        <v>402.3</v>
      </c>
      <c r="J936" s="998">
        <f>402.3-47.7</f>
        <v>354.6</v>
      </c>
      <c r="K936" s="986">
        <v>17</v>
      </c>
      <c r="L936" s="998">
        <v>1100726.33</v>
      </c>
      <c r="M936" s="998">
        <v>0</v>
      </c>
      <c r="N936" s="998">
        <v>0</v>
      </c>
      <c r="O936" s="998">
        <f t="shared" si="341"/>
        <v>1100726.33</v>
      </c>
      <c r="P936" s="998">
        <v>0</v>
      </c>
      <c r="Q936" s="998">
        <v>0</v>
      </c>
      <c r="R936" s="998">
        <f t="shared" si="343"/>
        <v>2736.0833457618692</v>
      </c>
      <c r="S936" s="1249">
        <v>2016</v>
      </c>
      <c r="T936" s="1129" t="s">
        <v>1269</v>
      </c>
    </row>
    <row r="937" spans="1:20" s="1013" customFormat="1" ht="41.25" customHeight="1">
      <c r="A937" s="1249">
        <v>13</v>
      </c>
      <c r="B937" s="1371" t="s">
        <v>263</v>
      </c>
      <c r="C937" s="1249">
        <v>1949</v>
      </c>
      <c r="D937" s="1249"/>
      <c r="E937" s="1249" t="s">
        <v>218</v>
      </c>
      <c r="F937" s="1249">
        <v>2</v>
      </c>
      <c r="G937" s="1249">
        <v>2</v>
      </c>
      <c r="H937" s="998">
        <v>782.2</v>
      </c>
      <c r="I937" s="998">
        <v>704.6</v>
      </c>
      <c r="J937" s="998">
        <f>704.6-103.4</f>
        <v>601.20000000000005</v>
      </c>
      <c r="K937" s="986">
        <v>35</v>
      </c>
      <c r="L937" s="998">
        <v>1977340.09</v>
      </c>
      <c r="M937" s="998">
        <v>0</v>
      </c>
      <c r="N937" s="998">
        <v>0</v>
      </c>
      <c r="O937" s="998">
        <f t="shared" si="341"/>
        <v>1977340.09</v>
      </c>
      <c r="P937" s="998">
        <v>0</v>
      </c>
      <c r="Q937" s="998">
        <v>0</v>
      </c>
      <c r="R937" s="998">
        <f t="shared" si="343"/>
        <v>2806.329960261141</v>
      </c>
      <c r="S937" s="1249">
        <v>2016</v>
      </c>
      <c r="T937" s="1129" t="s">
        <v>1269</v>
      </c>
    </row>
    <row r="938" spans="1:20" s="1013" customFormat="1" ht="41.25" customHeight="1">
      <c r="A938" s="1249">
        <v>14</v>
      </c>
      <c r="B938" s="1371" t="s">
        <v>237</v>
      </c>
      <c r="C938" s="1249">
        <v>1950</v>
      </c>
      <c r="D938" s="1249"/>
      <c r="E938" s="1249" t="s">
        <v>218</v>
      </c>
      <c r="F938" s="1249">
        <v>2</v>
      </c>
      <c r="G938" s="1249">
        <v>1</v>
      </c>
      <c r="H938" s="998">
        <v>242.6</v>
      </c>
      <c r="I938" s="998">
        <v>220.9</v>
      </c>
      <c r="J938" s="998">
        <v>220.9</v>
      </c>
      <c r="K938" s="986">
        <v>11</v>
      </c>
      <c r="L938" s="998">
        <v>528117.35</v>
      </c>
      <c r="M938" s="998">
        <v>0</v>
      </c>
      <c r="N938" s="998">
        <v>0</v>
      </c>
      <c r="O938" s="998">
        <f t="shared" si="341"/>
        <v>528117.35</v>
      </c>
      <c r="P938" s="998">
        <v>0</v>
      </c>
      <c r="Q938" s="998">
        <v>0</v>
      </c>
      <c r="R938" s="998">
        <f t="shared" si="343"/>
        <v>2390.7530556813035</v>
      </c>
      <c r="S938" s="1249">
        <v>2016</v>
      </c>
      <c r="T938" s="1129" t="s">
        <v>1269</v>
      </c>
    </row>
    <row r="939" spans="1:20" s="1013" customFormat="1" ht="41.25" customHeight="1">
      <c r="A939" s="1249">
        <v>15</v>
      </c>
      <c r="B939" s="1371" t="s">
        <v>2045</v>
      </c>
      <c r="C939" s="1249">
        <v>1961</v>
      </c>
      <c r="D939" s="1249"/>
      <c r="E939" s="1249" t="s">
        <v>218</v>
      </c>
      <c r="F939" s="1249">
        <v>5</v>
      </c>
      <c r="G939" s="1249">
        <v>4</v>
      </c>
      <c r="H939" s="998">
        <v>3226.1</v>
      </c>
      <c r="I939" s="998">
        <v>3140.3</v>
      </c>
      <c r="J939" s="998">
        <v>3140.3</v>
      </c>
      <c r="K939" s="986">
        <v>147</v>
      </c>
      <c r="L939" s="998">
        <v>2351899.71</v>
      </c>
      <c r="M939" s="998">
        <v>0</v>
      </c>
      <c r="N939" s="998">
        <v>0</v>
      </c>
      <c r="O939" s="998">
        <f t="shared" si="341"/>
        <v>2351899.71</v>
      </c>
      <c r="P939" s="998">
        <v>0</v>
      </c>
      <c r="Q939" s="998">
        <v>0</v>
      </c>
      <c r="R939" s="998">
        <f t="shared" si="343"/>
        <v>748.94109161545066</v>
      </c>
      <c r="S939" s="1249">
        <v>2016</v>
      </c>
      <c r="T939" s="1129" t="s">
        <v>1269</v>
      </c>
    </row>
    <row r="940" spans="1:20" s="1027" customFormat="1" ht="41.25" customHeight="1">
      <c r="A940" s="1249">
        <v>16</v>
      </c>
      <c r="B940" s="1371" t="s">
        <v>319</v>
      </c>
      <c r="C940" s="1249">
        <v>1860</v>
      </c>
      <c r="D940" s="1249"/>
      <c r="E940" s="1249" t="s">
        <v>218</v>
      </c>
      <c r="F940" s="1249">
        <v>3</v>
      </c>
      <c r="G940" s="1249">
        <v>1</v>
      </c>
      <c r="H940" s="998">
        <v>632.1</v>
      </c>
      <c r="I940" s="998">
        <v>533.6</v>
      </c>
      <c r="J940" s="998">
        <v>533.6</v>
      </c>
      <c r="K940" s="986">
        <v>11</v>
      </c>
      <c r="L940" s="998">
        <v>725443.24</v>
      </c>
      <c r="M940" s="998">
        <v>0</v>
      </c>
      <c r="N940" s="998">
        <v>0</v>
      </c>
      <c r="O940" s="998">
        <f t="shared" si="341"/>
        <v>725443.24</v>
      </c>
      <c r="P940" s="998">
        <v>0</v>
      </c>
      <c r="Q940" s="998">
        <v>0</v>
      </c>
      <c r="R940" s="998">
        <f t="shared" si="343"/>
        <v>1359.5263118440778</v>
      </c>
      <c r="S940" s="1249">
        <v>2016</v>
      </c>
      <c r="T940" s="1129" t="s">
        <v>1269</v>
      </c>
    </row>
    <row r="941" spans="1:20" s="1027" customFormat="1" ht="41.25" customHeight="1">
      <c r="A941" s="1249">
        <v>17</v>
      </c>
      <c r="B941" s="1371" t="s">
        <v>307</v>
      </c>
      <c r="C941" s="1249">
        <v>1959</v>
      </c>
      <c r="D941" s="1249"/>
      <c r="E941" s="1249" t="s">
        <v>218</v>
      </c>
      <c r="F941" s="1168">
        <v>2</v>
      </c>
      <c r="G941" s="1168">
        <v>1</v>
      </c>
      <c r="H941" s="998">
        <f>371.9+30.8</f>
        <v>402.7</v>
      </c>
      <c r="I941" s="998">
        <v>371.9</v>
      </c>
      <c r="J941" s="998">
        <f>371.9-55.3</f>
        <v>316.59999999999997</v>
      </c>
      <c r="K941" s="986">
        <v>27</v>
      </c>
      <c r="L941" s="998">
        <v>3832087.03</v>
      </c>
      <c r="M941" s="998">
        <v>0</v>
      </c>
      <c r="N941" s="998">
        <v>0</v>
      </c>
      <c r="O941" s="998">
        <f t="shared" si="341"/>
        <v>3832087.03</v>
      </c>
      <c r="P941" s="998">
        <v>0</v>
      </c>
      <c r="Q941" s="998">
        <v>0</v>
      </c>
      <c r="R941" s="998">
        <f t="shared" si="343"/>
        <v>10304.079134175854</v>
      </c>
      <c r="S941" s="1249">
        <v>2016</v>
      </c>
      <c r="T941" s="1129" t="s">
        <v>1269</v>
      </c>
    </row>
    <row r="942" spans="1:20" s="1027" customFormat="1" ht="41.25" customHeight="1">
      <c r="A942" s="1249">
        <v>18</v>
      </c>
      <c r="B942" s="1371" t="s">
        <v>280</v>
      </c>
      <c r="C942" s="1249">
        <v>1966</v>
      </c>
      <c r="D942" s="1249"/>
      <c r="E942" s="1249" t="s">
        <v>218</v>
      </c>
      <c r="F942" s="1249">
        <v>5</v>
      </c>
      <c r="G942" s="1249">
        <v>3</v>
      </c>
      <c r="H942" s="998">
        <v>2817.5</v>
      </c>
      <c r="I942" s="998">
        <v>2613.5</v>
      </c>
      <c r="J942" s="998">
        <f>2613.5-363.8</f>
        <v>2249.6999999999998</v>
      </c>
      <c r="K942" s="986">
        <v>120</v>
      </c>
      <c r="L942" s="998">
        <v>5363868.12</v>
      </c>
      <c r="M942" s="998">
        <v>0</v>
      </c>
      <c r="N942" s="998">
        <v>0</v>
      </c>
      <c r="O942" s="998">
        <f t="shared" si="341"/>
        <v>5363868.12</v>
      </c>
      <c r="P942" s="998">
        <v>0</v>
      </c>
      <c r="Q942" s="998">
        <v>0</v>
      </c>
      <c r="R942" s="998">
        <f t="shared" si="343"/>
        <v>2052.3696651999235</v>
      </c>
      <c r="S942" s="1249">
        <v>2016</v>
      </c>
      <c r="T942" s="1129" t="s">
        <v>1269</v>
      </c>
    </row>
    <row r="943" spans="1:20" s="1013" customFormat="1" ht="41.25" customHeight="1">
      <c r="A943" s="1249">
        <v>19</v>
      </c>
      <c r="B943" s="1371" t="s">
        <v>245</v>
      </c>
      <c r="C943" s="1249">
        <v>1949</v>
      </c>
      <c r="D943" s="1249"/>
      <c r="E943" s="1249" t="s">
        <v>823</v>
      </c>
      <c r="F943" s="1249">
        <v>2</v>
      </c>
      <c r="G943" s="1249">
        <v>1</v>
      </c>
      <c r="H943" s="998">
        <v>390.4</v>
      </c>
      <c r="I943" s="998">
        <v>359.8</v>
      </c>
      <c r="J943" s="998">
        <v>359.8</v>
      </c>
      <c r="K943" s="986">
        <v>34</v>
      </c>
      <c r="L943" s="998">
        <v>1032018.21</v>
      </c>
      <c r="M943" s="998">
        <v>0</v>
      </c>
      <c r="N943" s="998">
        <v>0</v>
      </c>
      <c r="O943" s="998">
        <f t="shared" si="341"/>
        <v>1032018.21</v>
      </c>
      <c r="P943" s="998">
        <v>0</v>
      </c>
      <c r="Q943" s="998">
        <v>0</v>
      </c>
      <c r="R943" s="998">
        <f t="shared" si="343"/>
        <v>2868.3107559755417</v>
      </c>
      <c r="S943" s="1249">
        <v>2016</v>
      </c>
      <c r="T943" s="1129" t="s">
        <v>1269</v>
      </c>
    </row>
    <row r="944" spans="1:20" s="1027" customFormat="1" ht="41.25" customHeight="1">
      <c r="A944" s="1249">
        <v>20</v>
      </c>
      <c r="B944" s="1371" t="s">
        <v>239</v>
      </c>
      <c r="C944" s="1249">
        <v>1956</v>
      </c>
      <c r="D944" s="1249"/>
      <c r="E944" s="1249" t="s">
        <v>218</v>
      </c>
      <c r="F944" s="1249">
        <v>3</v>
      </c>
      <c r="G944" s="1249">
        <v>3</v>
      </c>
      <c r="H944" s="998">
        <v>2113.6</v>
      </c>
      <c r="I944" s="998">
        <v>1827</v>
      </c>
      <c r="J944" s="998">
        <v>1827</v>
      </c>
      <c r="K944" s="986">
        <v>78</v>
      </c>
      <c r="L944" s="998">
        <v>1745786.78</v>
      </c>
      <c r="M944" s="998">
        <v>0</v>
      </c>
      <c r="N944" s="998">
        <v>0</v>
      </c>
      <c r="O944" s="998">
        <f t="shared" si="341"/>
        <v>1745786.78</v>
      </c>
      <c r="P944" s="998">
        <v>0</v>
      </c>
      <c r="Q944" s="998">
        <v>0</v>
      </c>
      <c r="R944" s="998">
        <f t="shared" si="343"/>
        <v>955.54831964969901</v>
      </c>
      <c r="S944" s="1249">
        <v>2016</v>
      </c>
      <c r="T944" s="1129" t="s">
        <v>1269</v>
      </c>
    </row>
    <row r="945" spans="1:20" s="1028" customFormat="1" ht="41.25" customHeight="1">
      <c r="A945" s="1249">
        <v>21</v>
      </c>
      <c r="B945" s="1371" t="s">
        <v>278</v>
      </c>
      <c r="C945" s="1249">
        <v>1958</v>
      </c>
      <c r="D945" s="1249"/>
      <c r="E945" s="1249" t="s">
        <v>218</v>
      </c>
      <c r="F945" s="1249">
        <v>2</v>
      </c>
      <c r="G945" s="1249">
        <v>1</v>
      </c>
      <c r="H945" s="998">
        <v>447.8</v>
      </c>
      <c r="I945" s="998">
        <v>407.4</v>
      </c>
      <c r="J945" s="998">
        <v>407.4</v>
      </c>
      <c r="K945" s="986">
        <v>21</v>
      </c>
      <c r="L945" s="998">
        <v>1343321.03</v>
      </c>
      <c r="M945" s="998">
        <v>0</v>
      </c>
      <c r="N945" s="998">
        <v>0</v>
      </c>
      <c r="O945" s="998">
        <f t="shared" si="341"/>
        <v>1343321.03</v>
      </c>
      <c r="P945" s="998">
        <v>0</v>
      </c>
      <c r="Q945" s="998">
        <v>0</v>
      </c>
      <c r="R945" s="998">
        <f t="shared" si="343"/>
        <v>3297.3024791359844</v>
      </c>
      <c r="S945" s="1249">
        <v>2016</v>
      </c>
      <c r="T945" s="1129" t="s">
        <v>1269</v>
      </c>
    </row>
    <row r="946" spans="1:20" s="1029" customFormat="1" ht="41.25" customHeight="1">
      <c r="A946" s="1249">
        <v>22</v>
      </c>
      <c r="B946" s="1371" t="s">
        <v>309</v>
      </c>
      <c r="C946" s="1249">
        <v>1964</v>
      </c>
      <c r="D946" s="1249"/>
      <c r="E946" s="1249" t="s">
        <v>218</v>
      </c>
      <c r="F946" s="1168">
        <v>4</v>
      </c>
      <c r="G946" s="1168">
        <v>2</v>
      </c>
      <c r="H946" s="998">
        <v>1369.5</v>
      </c>
      <c r="I946" s="998">
        <v>1272.4000000000001</v>
      </c>
      <c r="J946" s="998">
        <f>1272.4-191.5</f>
        <v>1080.9000000000001</v>
      </c>
      <c r="K946" s="986">
        <v>67</v>
      </c>
      <c r="L946" s="998">
        <v>1392128.91</v>
      </c>
      <c r="M946" s="998">
        <v>0</v>
      </c>
      <c r="N946" s="998">
        <v>0</v>
      </c>
      <c r="O946" s="998">
        <f t="shared" si="341"/>
        <v>1392128.91</v>
      </c>
      <c r="P946" s="998">
        <v>0</v>
      </c>
      <c r="Q946" s="998">
        <v>0</v>
      </c>
      <c r="R946" s="998">
        <f t="shared" si="343"/>
        <v>1094.0969113486324</v>
      </c>
      <c r="S946" s="1249">
        <v>2016</v>
      </c>
      <c r="T946" s="1129" t="s">
        <v>1269</v>
      </c>
    </row>
    <row r="947" spans="1:20" s="1013" customFormat="1" ht="41.25" customHeight="1">
      <c r="A947" s="1249">
        <v>23</v>
      </c>
      <c r="B947" s="1371" t="s">
        <v>2046</v>
      </c>
      <c r="C947" s="1249">
        <v>1957</v>
      </c>
      <c r="D947" s="1249"/>
      <c r="E947" s="1249" t="s">
        <v>218</v>
      </c>
      <c r="F947" s="1168">
        <v>4</v>
      </c>
      <c r="G947" s="1168">
        <v>4</v>
      </c>
      <c r="H947" s="998">
        <v>3135.2</v>
      </c>
      <c r="I947" s="998">
        <v>2702.3</v>
      </c>
      <c r="J947" s="998">
        <f>2580.3-39.91</f>
        <v>2540.3900000000003</v>
      </c>
      <c r="K947" s="986">
        <v>79</v>
      </c>
      <c r="L947" s="998">
        <v>5243379.43</v>
      </c>
      <c r="M947" s="998">
        <v>0</v>
      </c>
      <c r="N947" s="998">
        <v>0</v>
      </c>
      <c r="O947" s="998">
        <f t="shared" si="341"/>
        <v>5243379.43</v>
      </c>
      <c r="P947" s="998">
        <v>0</v>
      </c>
      <c r="Q947" s="998">
        <v>0</v>
      </c>
      <c r="R947" s="998">
        <f t="shared" si="343"/>
        <v>1940.3394996854529</v>
      </c>
      <c r="S947" s="1249">
        <v>2016</v>
      </c>
      <c r="T947" s="1129" t="s">
        <v>1269</v>
      </c>
    </row>
    <row r="948" spans="1:20" s="1013" customFormat="1" ht="41.25" customHeight="1">
      <c r="A948" s="1249">
        <v>24</v>
      </c>
      <c r="B948" s="1371" t="s">
        <v>308</v>
      </c>
      <c r="C948" s="1249">
        <v>1966</v>
      </c>
      <c r="D948" s="1249"/>
      <c r="E948" s="1249" t="s">
        <v>218</v>
      </c>
      <c r="F948" s="1168">
        <v>4</v>
      </c>
      <c r="G948" s="1168">
        <v>4</v>
      </c>
      <c r="H948" s="998">
        <v>2740.8</v>
      </c>
      <c r="I948" s="998">
        <v>2546.4</v>
      </c>
      <c r="J948" s="998">
        <v>2546.4</v>
      </c>
      <c r="K948" s="986">
        <v>128</v>
      </c>
      <c r="L948" s="998">
        <v>2224973.3199999998</v>
      </c>
      <c r="M948" s="998">
        <v>0</v>
      </c>
      <c r="N948" s="998">
        <v>0</v>
      </c>
      <c r="O948" s="998">
        <f t="shared" si="341"/>
        <v>2224973.3199999998</v>
      </c>
      <c r="P948" s="998">
        <v>0</v>
      </c>
      <c r="Q948" s="998">
        <v>0</v>
      </c>
      <c r="R948" s="998">
        <f t="shared" si="343"/>
        <v>873.77211749921446</v>
      </c>
      <c r="S948" s="1249">
        <v>2016</v>
      </c>
      <c r="T948" s="1129" t="s">
        <v>1269</v>
      </c>
    </row>
    <row r="949" spans="1:20" s="1027" customFormat="1" ht="41.25" customHeight="1">
      <c r="A949" s="1249">
        <v>25</v>
      </c>
      <c r="B949" s="1371" t="s">
        <v>1904</v>
      </c>
      <c r="C949" s="1249">
        <v>1960</v>
      </c>
      <c r="D949" s="1249"/>
      <c r="E949" s="1249" t="s">
        <v>218</v>
      </c>
      <c r="F949" s="1168">
        <v>5</v>
      </c>
      <c r="G949" s="1168">
        <v>4</v>
      </c>
      <c r="H949" s="998">
        <v>2830.1</v>
      </c>
      <c r="I949" s="998">
        <v>2725.21</v>
      </c>
      <c r="J949" s="998">
        <f>2222.21-231.9</f>
        <v>1990.31</v>
      </c>
      <c r="K949" s="986">
        <v>137</v>
      </c>
      <c r="L949" s="998">
        <v>1533757</v>
      </c>
      <c r="M949" s="998">
        <v>0</v>
      </c>
      <c r="N949" s="998">
        <v>0</v>
      </c>
      <c r="O949" s="998">
        <f t="shared" si="341"/>
        <v>1533757</v>
      </c>
      <c r="P949" s="998">
        <v>0</v>
      </c>
      <c r="Q949" s="998">
        <v>0</v>
      </c>
      <c r="R949" s="998">
        <f t="shared" si="343"/>
        <v>562.8032335122798</v>
      </c>
      <c r="S949" s="1249">
        <v>2016</v>
      </c>
      <c r="T949" s="1129" t="s">
        <v>1269</v>
      </c>
    </row>
    <row r="950" spans="1:20" s="1027" customFormat="1" ht="41.25" customHeight="1">
      <c r="A950" s="1249">
        <v>26</v>
      </c>
      <c r="B950" s="1371" t="s">
        <v>240</v>
      </c>
      <c r="C950" s="1249">
        <v>1955</v>
      </c>
      <c r="D950" s="1249"/>
      <c r="E950" s="1249" t="s">
        <v>218</v>
      </c>
      <c r="F950" s="1249">
        <v>2</v>
      </c>
      <c r="G950" s="1249">
        <v>2</v>
      </c>
      <c r="H950" s="998">
        <v>743.3</v>
      </c>
      <c r="I950" s="998">
        <v>654.79999999999995</v>
      </c>
      <c r="J950" s="998">
        <f>585.8-80.7</f>
        <v>505.09999999999997</v>
      </c>
      <c r="K950" s="986">
        <v>29</v>
      </c>
      <c r="L950" s="998">
        <v>821562.94</v>
      </c>
      <c r="M950" s="998">
        <v>0</v>
      </c>
      <c r="N950" s="998">
        <v>0</v>
      </c>
      <c r="O950" s="998">
        <f t="shared" si="341"/>
        <v>821562.94</v>
      </c>
      <c r="P950" s="998">
        <v>0</v>
      </c>
      <c r="Q950" s="998">
        <v>0</v>
      </c>
      <c r="R950" s="998">
        <f t="shared" si="343"/>
        <v>1254.6776725717777</v>
      </c>
      <c r="S950" s="1249">
        <v>2016</v>
      </c>
      <c r="T950" s="1129" t="s">
        <v>1269</v>
      </c>
    </row>
    <row r="951" spans="1:20" s="1027" customFormat="1" ht="41.25" customHeight="1">
      <c r="A951" s="1249">
        <v>27</v>
      </c>
      <c r="B951" s="1371" t="s">
        <v>316</v>
      </c>
      <c r="C951" s="1249">
        <v>1974</v>
      </c>
      <c r="D951" s="1249"/>
      <c r="E951" s="1249" t="s">
        <v>219</v>
      </c>
      <c r="F951" s="1168">
        <v>5</v>
      </c>
      <c r="G951" s="1168">
        <v>4</v>
      </c>
      <c r="H951" s="998">
        <v>3091.3</v>
      </c>
      <c r="I951" s="998">
        <v>3029.3</v>
      </c>
      <c r="J951" s="998">
        <f>I951-302.8</f>
        <v>2726.5</v>
      </c>
      <c r="K951" s="986">
        <v>111</v>
      </c>
      <c r="L951" s="998">
        <v>3607233.46</v>
      </c>
      <c r="M951" s="998">
        <v>0</v>
      </c>
      <c r="N951" s="998">
        <v>0</v>
      </c>
      <c r="O951" s="998">
        <f t="shared" si="341"/>
        <v>3607233.46</v>
      </c>
      <c r="P951" s="998">
        <v>0</v>
      </c>
      <c r="Q951" s="998">
        <v>0</v>
      </c>
      <c r="R951" s="998">
        <f t="shared" si="343"/>
        <v>1190.7811903740137</v>
      </c>
      <c r="S951" s="1249">
        <v>2016</v>
      </c>
      <c r="T951" s="1129" t="s">
        <v>1269</v>
      </c>
    </row>
    <row r="952" spans="1:20" s="1027" customFormat="1" ht="41.25" customHeight="1">
      <c r="A952" s="1249">
        <v>28</v>
      </c>
      <c r="B952" s="1371" t="s">
        <v>323</v>
      </c>
      <c r="C952" s="1249">
        <v>1954</v>
      </c>
      <c r="D952" s="1249"/>
      <c r="E952" s="1249" t="s">
        <v>218</v>
      </c>
      <c r="F952" s="1168">
        <v>2</v>
      </c>
      <c r="G952" s="1168">
        <v>2</v>
      </c>
      <c r="H952" s="998">
        <f>392.2+45.5</f>
        <v>437.7</v>
      </c>
      <c r="I952" s="998">
        <v>392.2</v>
      </c>
      <c r="J952" s="998">
        <f>392.2-71.9</f>
        <v>320.29999999999995</v>
      </c>
      <c r="K952" s="986">
        <v>21</v>
      </c>
      <c r="L952" s="998">
        <v>1030213</v>
      </c>
      <c r="M952" s="998">
        <v>0</v>
      </c>
      <c r="N952" s="998">
        <v>0</v>
      </c>
      <c r="O952" s="998">
        <f t="shared" si="341"/>
        <v>1030213</v>
      </c>
      <c r="P952" s="998">
        <v>0</v>
      </c>
      <c r="Q952" s="998">
        <v>0</v>
      </c>
      <c r="R952" s="998">
        <f t="shared" si="343"/>
        <v>2626.754207037226</v>
      </c>
      <c r="S952" s="1249">
        <v>2016</v>
      </c>
      <c r="T952" s="1129" t="s">
        <v>1269</v>
      </c>
    </row>
    <row r="953" spans="1:20" s="1027" customFormat="1" ht="41.25" customHeight="1">
      <c r="A953" s="1249">
        <v>29</v>
      </c>
      <c r="B953" s="1371" t="s">
        <v>306</v>
      </c>
      <c r="C953" s="1249">
        <v>1970</v>
      </c>
      <c r="D953" s="1249"/>
      <c r="E953" s="1249" t="s">
        <v>218</v>
      </c>
      <c r="F953" s="1168">
        <v>5</v>
      </c>
      <c r="G953" s="1168">
        <v>2</v>
      </c>
      <c r="H953" s="998">
        <v>1913.8</v>
      </c>
      <c r="I953" s="998">
        <f>1589+176.8</f>
        <v>1765.8</v>
      </c>
      <c r="J953" s="998">
        <f>1589-110.5</f>
        <v>1478.5</v>
      </c>
      <c r="K953" s="986">
        <v>75</v>
      </c>
      <c r="L953" s="998">
        <v>4821294.4400000004</v>
      </c>
      <c r="M953" s="998">
        <v>0</v>
      </c>
      <c r="N953" s="998">
        <v>0</v>
      </c>
      <c r="O953" s="998">
        <f t="shared" si="341"/>
        <v>4821294.4400000004</v>
      </c>
      <c r="P953" s="998">
        <v>0</v>
      </c>
      <c r="Q953" s="998">
        <v>0</v>
      </c>
      <c r="R953" s="998">
        <f t="shared" si="343"/>
        <v>2730.3740174425193</v>
      </c>
      <c r="S953" s="1249">
        <v>2016</v>
      </c>
      <c r="T953" s="1129" t="s">
        <v>1269</v>
      </c>
    </row>
    <row r="954" spans="1:20" s="1027" customFormat="1" ht="41.25" customHeight="1">
      <c r="A954" s="1249">
        <v>30</v>
      </c>
      <c r="B954" s="1371" t="s">
        <v>2047</v>
      </c>
      <c r="C954" s="1249">
        <v>1955</v>
      </c>
      <c r="D954" s="1249"/>
      <c r="E954" s="1249" t="s">
        <v>218</v>
      </c>
      <c r="F954" s="1249">
        <v>2</v>
      </c>
      <c r="G954" s="1249">
        <v>2</v>
      </c>
      <c r="H954" s="998">
        <f>894.5+87.2</f>
        <v>981.7</v>
      </c>
      <c r="I954" s="998">
        <v>894.5</v>
      </c>
      <c r="J954" s="998">
        <f>I954-50.2</f>
        <v>844.3</v>
      </c>
      <c r="K954" s="986">
        <v>37</v>
      </c>
      <c r="L954" s="998">
        <v>1137886</v>
      </c>
      <c r="M954" s="998">
        <v>0</v>
      </c>
      <c r="N954" s="998">
        <v>0</v>
      </c>
      <c r="O954" s="998">
        <f t="shared" si="341"/>
        <v>1137886</v>
      </c>
      <c r="P954" s="998">
        <v>0</v>
      </c>
      <c r="Q954" s="998">
        <v>0</v>
      </c>
      <c r="R954" s="998">
        <f t="shared" si="343"/>
        <v>1272.0916713247625</v>
      </c>
      <c r="S954" s="1249">
        <v>2016</v>
      </c>
      <c r="T954" s="1129" t="s">
        <v>1269</v>
      </c>
    </row>
    <row r="955" spans="1:20" s="1027" customFormat="1" ht="41.25" customHeight="1">
      <c r="A955" s="1249">
        <v>31</v>
      </c>
      <c r="B955" s="1371" t="s">
        <v>223</v>
      </c>
      <c r="C955" s="1249">
        <v>1983</v>
      </c>
      <c r="D955" s="1249"/>
      <c r="E955" s="1249" t="s">
        <v>219</v>
      </c>
      <c r="F955" s="1249">
        <v>9</v>
      </c>
      <c r="G955" s="1249">
        <v>4</v>
      </c>
      <c r="H955" s="998">
        <v>7703.3</v>
      </c>
      <c r="I955" s="998">
        <v>7655.4</v>
      </c>
      <c r="J955" s="998">
        <v>7655.4</v>
      </c>
      <c r="K955" s="986">
        <v>306</v>
      </c>
      <c r="L955" s="998">
        <v>896741</v>
      </c>
      <c r="M955" s="998">
        <v>0</v>
      </c>
      <c r="N955" s="998">
        <v>0</v>
      </c>
      <c r="O955" s="998">
        <f>L955</f>
        <v>896741</v>
      </c>
      <c r="P955" s="998">
        <v>0</v>
      </c>
      <c r="Q955" s="998">
        <v>0</v>
      </c>
      <c r="R955" s="998">
        <f t="shared" si="343"/>
        <v>117.13835985056301</v>
      </c>
      <c r="S955" s="1249">
        <v>2016</v>
      </c>
      <c r="T955" s="1129" t="s">
        <v>1269</v>
      </c>
    </row>
    <row r="956" spans="1:20" s="1013" customFormat="1" ht="41.25" customHeight="1">
      <c r="A956" s="1249">
        <v>32</v>
      </c>
      <c r="B956" s="1371" t="s">
        <v>288</v>
      </c>
      <c r="C956" s="1249">
        <v>1973</v>
      </c>
      <c r="D956" s="1249"/>
      <c r="E956" s="1249" t="s">
        <v>219</v>
      </c>
      <c r="F956" s="1249">
        <v>9</v>
      </c>
      <c r="G956" s="1249">
        <v>6</v>
      </c>
      <c r="H956" s="998">
        <v>12984.5</v>
      </c>
      <c r="I956" s="998">
        <v>11178.3</v>
      </c>
      <c r="J956" s="998">
        <f>11013.2-617.2</f>
        <v>10396</v>
      </c>
      <c r="K956" s="986">
        <v>576</v>
      </c>
      <c r="L956" s="998">
        <v>7082325</v>
      </c>
      <c r="M956" s="998">
        <v>0</v>
      </c>
      <c r="N956" s="998">
        <v>0</v>
      </c>
      <c r="O956" s="998">
        <f t="shared" ref="O956:O1018" si="344">L956</f>
        <v>7082325</v>
      </c>
      <c r="P956" s="998">
        <v>0</v>
      </c>
      <c r="Q956" s="998">
        <v>0</v>
      </c>
      <c r="R956" s="998">
        <f t="shared" si="343"/>
        <v>633.57800381095524</v>
      </c>
      <c r="S956" s="1249">
        <v>2016</v>
      </c>
      <c r="T956" s="1129" t="s">
        <v>1269</v>
      </c>
    </row>
    <row r="957" spans="1:20" s="1013" customFormat="1" ht="41.25" customHeight="1">
      <c r="A957" s="1249">
        <v>33</v>
      </c>
      <c r="B957" s="1371" t="s">
        <v>2048</v>
      </c>
      <c r="C957" s="1249">
        <v>1979</v>
      </c>
      <c r="D957" s="1249"/>
      <c r="E957" s="1249" t="s">
        <v>218</v>
      </c>
      <c r="F957" s="1168">
        <v>5</v>
      </c>
      <c r="G957" s="1168">
        <v>4</v>
      </c>
      <c r="H957" s="998">
        <v>3127.1</v>
      </c>
      <c r="I957" s="998">
        <v>2757</v>
      </c>
      <c r="J957" s="998">
        <v>2648</v>
      </c>
      <c r="K957" s="986">
        <v>125</v>
      </c>
      <c r="L957" s="998">
        <v>2423389.86</v>
      </c>
      <c r="M957" s="998">
        <v>0</v>
      </c>
      <c r="N957" s="998">
        <v>0</v>
      </c>
      <c r="O957" s="998">
        <f t="shared" si="344"/>
        <v>2423389.86</v>
      </c>
      <c r="P957" s="998">
        <v>0</v>
      </c>
      <c r="Q957" s="998">
        <v>0</v>
      </c>
      <c r="R957" s="998">
        <f t="shared" si="343"/>
        <v>878.9952339499456</v>
      </c>
      <c r="S957" s="1249">
        <v>2016</v>
      </c>
      <c r="T957" s="1129" t="s">
        <v>1269</v>
      </c>
    </row>
    <row r="958" spans="1:20" s="1013" customFormat="1" ht="41.25" customHeight="1">
      <c r="A958" s="1249">
        <v>34</v>
      </c>
      <c r="B958" s="1371" t="s">
        <v>2049</v>
      </c>
      <c r="C958" s="1249">
        <v>1884</v>
      </c>
      <c r="D958" s="1249"/>
      <c r="E958" s="1249" t="s">
        <v>218</v>
      </c>
      <c r="F958" s="1249">
        <v>2</v>
      </c>
      <c r="G958" s="1249">
        <v>2</v>
      </c>
      <c r="H958" s="998">
        <v>975.5</v>
      </c>
      <c r="I958" s="998">
        <v>886</v>
      </c>
      <c r="J958" s="998">
        <f>886-323.3</f>
        <v>562.70000000000005</v>
      </c>
      <c r="K958" s="986">
        <v>52</v>
      </c>
      <c r="L958" s="998">
        <v>541177.32999999996</v>
      </c>
      <c r="M958" s="998">
        <v>0</v>
      </c>
      <c r="N958" s="998">
        <v>0</v>
      </c>
      <c r="O958" s="998">
        <f t="shared" si="344"/>
        <v>541177.32999999996</v>
      </c>
      <c r="P958" s="998">
        <v>0</v>
      </c>
      <c r="Q958" s="998">
        <v>0</v>
      </c>
      <c r="R958" s="998">
        <f t="shared" si="343"/>
        <v>610.80962753950337</v>
      </c>
      <c r="S958" s="1249">
        <v>2016</v>
      </c>
      <c r="T958" s="1129" t="s">
        <v>1269</v>
      </c>
    </row>
    <row r="959" spans="1:20" s="1013" customFormat="1" ht="41.25" customHeight="1">
      <c r="A959" s="1249">
        <v>35</v>
      </c>
      <c r="B959" s="1371" t="s">
        <v>2050</v>
      </c>
      <c r="C959" s="1249">
        <v>1961</v>
      </c>
      <c r="D959" s="1249"/>
      <c r="E959" s="1249" t="s">
        <v>218</v>
      </c>
      <c r="F959" s="1168">
        <v>5</v>
      </c>
      <c r="G959" s="1168">
        <v>2</v>
      </c>
      <c r="H959" s="998">
        <v>1732.1</v>
      </c>
      <c r="I959" s="998">
        <v>1608.1</v>
      </c>
      <c r="J959" s="998">
        <f>1608.1-263.9</f>
        <v>1344.1999999999998</v>
      </c>
      <c r="K959" s="986">
        <v>79</v>
      </c>
      <c r="L959" s="998">
        <v>7436799.4199999999</v>
      </c>
      <c r="M959" s="998">
        <v>0</v>
      </c>
      <c r="N959" s="998">
        <v>0</v>
      </c>
      <c r="O959" s="998">
        <f t="shared" si="344"/>
        <v>7436799.4199999999</v>
      </c>
      <c r="P959" s="998">
        <v>0</v>
      </c>
      <c r="Q959" s="998">
        <v>0</v>
      </c>
      <c r="R959" s="998">
        <f t="shared" si="343"/>
        <v>4624.5876624588027</v>
      </c>
      <c r="S959" s="1249">
        <v>2016</v>
      </c>
      <c r="T959" s="1129" t="s">
        <v>1269</v>
      </c>
    </row>
    <row r="960" spans="1:20" s="1013" customFormat="1" ht="41.25" customHeight="1">
      <c r="A960" s="1249">
        <v>36</v>
      </c>
      <c r="B960" s="1371" t="s">
        <v>2051</v>
      </c>
      <c r="C960" s="1249">
        <v>1937</v>
      </c>
      <c r="D960" s="1249"/>
      <c r="E960" s="1249" t="s">
        <v>218</v>
      </c>
      <c r="F960" s="1249">
        <v>4</v>
      </c>
      <c r="G960" s="1249">
        <v>9</v>
      </c>
      <c r="H960" s="998">
        <v>6091.4</v>
      </c>
      <c r="I960" s="998">
        <v>5348.4</v>
      </c>
      <c r="J960" s="998">
        <f>3926.4-62.1</f>
        <v>3864.3</v>
      </c>
      <c r="K960" s="986">
        <v>114</v>
      </c>
      <c r="L960" s="998">
        <v>4619990</v>
      </c>
      <c r="M960" s="998">
        <v>0</v>
      </c>
      <c r="N960" s="998">
        <v>0</v>
      </c>
      <c r="O960" s="998">
        <f t="shared" si="344"/>
        <v>4619990</v>
      </c>
      <c r="P960" s="998">
        <v>0</v>
      </c>
      <c r="Q960" s="998">
        <v>0</v>
      </c>
      <c r="R960" s="998">
        <f t="shared" si="343"/>
        <v>863.80786777353978</v>
      </c>
      <c r="S960" s="1249">
        <v>2016</v>
      </c>
      <c r="T960" s="1129" t="s">
        <v>1269</v>
      </c>
    </row>
    <row r="961" spans="1:20" s="1013" customFormat="1" ht="41.25" customHeight="1">
      <c r="A961" s="1249">
        <v>37</v>
      </c>
      <c r="B961" s="1371" t="s">
        <v>2052</v>
      </c>
      <c r="C961" s="1249">
        <v>1961</v>
      </c>
      <c r="D961" s="1249"/>
      <c r="E961" s="1249" t="s">
        <v>218</v>
      </c>
      <c r="F961" s="1168">
        <v>5</v>
      </c>
      <c r="G961" s="1168">
        <v>4</v>
      </c>
      <c r="H961" s="998">
        <v>3760.3</v>
      </c>
      <c r="I961" s="998">
        <v>3400.51</v>
      </c>
      <c r="J961" s="998">
        <f>2497.9-100.3</f>
        <v>2397.6</v>
      </c>
      <c r="K961" s="986">
        <v>105</v>
      </c>
      <c r="L961" s="998">
        <v>1870910</v>
      </c>
      <c r="M961" s="998">
        <v>0</v>
      </c>
      <c r="N961" s="998">
        <v>0</v>
      </c>
      <c r="O961" s="998">
        <f t="shared" si="344"/>
        <v>1870910</v>
      </c>
      <c r="P961" s="998">
        <v>0</v>
      </c>
      <c r="Q961" s="998">
        <v>0</v>
      </c>
      <c r="R961" s="998">
        <f t="shared" si="343"/>
        <v>550.18511929092983</v>
      </c>
      <c r="S961" s="1249">
        <v>2016</v>
      </c>
      <c r="T961" s="1129" t="s">
        <v>1269</v>
      </c>
    </row>
    <row r="962" spans="1:20" s="1013" customFormat="1" ht="41.25" customHeight="1">
      <c r="A962" s="1249">
        <v>38</v>
      </c>
      <c r="B962" s="1371" t="s">
        <v>2053</v>
      </c>
      <c r="C962" s="1249">
        <v>1960</v>
      </c>
      <c r="D962" s="1249"/>
      <c r="E962" s="1249" t="s">
        <v>218</v>
      </c>
      <c r="F962" s="1249">
        <v>5</v>
      </c>
      <c r="G962" s="1249">
        <v>4</v>
      </c>
      <c r="H962" s="998">
        <v>3809</v>
      </c>
      <c r="I962" s="998">
        <v>3495.51</v>
      </c>
      <c r="J962" s="998">
        <f>2735.51</f>
        <v>2735.51</v>
      </c>
      <c r="K962" s="986">
        <v>93</v>
      </c>
      <c r="L962" s="998">
        <v>939858</v>
      </c>
      <c r="M962" s="998">
        <v>0</v>
      </c>
      <c r="N962" s="998">
        <v>0</v>
      </c>
      <c r="O962" s="998">
        <f t="shared" si="344"/>
        <v>939858</v>
      </c>
      <c r="P962" s="998">
        <v>0</v>
      </c>
      <c r="Q962" s="998">
        <v>0</v>
      </c>
      <c r="R962" s="998">
        <f t="shared" si="343"/>
        <v>268.87578636593798</v>
      </c>
      <c r="S962" s="1249">
        <v>2016</v>
      </c>
      <c r="T962" s="1129" t="s">
        <v>1269</v>
      </c>
    </row>
    <row r="963" spans="1:20" s="1013" customFormat="1" ht="41.25" customHeight="1">
      <c r="A963" s="1249">
        <v>39</v>
      </c>
      <c r="B963" s="1371" t="s">
        <v>2054</v>
      </c>
      <c r="C963" s="1249">
        <v>1973</v>
      </c>
      <c r="D963" s="1249"/>
      <c r="E963" s="1249" t="s">
        <v>219</v>
      </c>
      <c r="F963" s="1168">
        <v>5</v>
      </c>
      <c r="G963" s="1168">
        <v>6</v>
      </c>
      <c r="H963" s="998">
        <v>4937.6000000000004</v>
      </c>
      <c r="I963" s="998">
        <v>4490.2</v>
      </c>
      <c r="J963" s="998">
        <f>4490.2-798.74</f>
        <v>3691.46</v>
      </c>
      <c r="K963" s="986">
        <v>212</v>
      </c>
      <c r="L963" s="998">
        <v>2368392</v>
      </c>
      <c r="M963" s="998">
        <v>0</v>
      </c>
      <c r="N963" s="998">
        <v>0</v>
      </c>
      <c r="O963" s="998">
        <f t="shared" si="344"/>
        <v>2368392</v>
      </c>
      <c r="P963" s="998">
        <v>0</v>
      </c>
      <c r="Q963" s="998">
        <v>0</v>
      </c>
      <c r="R963" s="998">
        <f t="shared" si="343"/>
        <v>527.45801968731905</v>
      </c>
      <c r="S963" s="1249">
        <v>2016</v>
      </c>
      <c r="T963" s="1129" t="s">
        <v>1269</v>
      </c>
    </row>
    <row r="964" spans="1:20" s="1013" customFormat="1" ht="41.25" customHeight="1">
      <c r="A964" s="1249">
        <v>40</v>
      </c>
      <c r="B964" s="1371" t="s">
        <v>2228</v>
      </c>
      <c r="C964" s="1249">
        <v>1959</v>
      </c>
      <c r="D964" s="1169"/>
      <c r="E964" s="1249" t="s">
        <v>218</v>
      </c>
      <c r="F964" s="1168">
        <v>2</v>
      </c>
      <c r="G964" s="1168">
        <v>2</v>
      </c>
      <c r="H964" s="998">
        <v>709.6</v>
      </c>
      <c r="I964" s="998">
        <v>630.79999999999995</v>
      </c>
      <c r="J964" s="998">
        <f>630.8-132.6</f>
        <v>498.19999999999993</v>
      </c>
      <c r="K964" s="986">
        <v>31</v>
      </c>
      <c r="L964" s="998">
        <v>172302</v>
      </c>
      <c r="M964" s="998">
        <v>0</v>
      </c>
      <c r="N964" s="998">
        <v>0</v>
      </c>
      <c r="O964" s="998">
        <f t="shared" si="344"/>
        <v>172302</v>
      </c>
      <c r="P964" s="998">
        <v>0</v>
      </c>
      <c r="Q964" s="998">
        <v>0</v>
      </c>
      <c r="R964" s="998">
        <f t="shared" si="343"/>
        <v>273.14838300570705</v>
      </c>
      <c r="S964" s="1249">
        <v>2016</v>
      </c>
      <c r="T964" s="1129" t="s">
        <v>1269</v>
      </c>
    </row>
    <row r="965" spans="1:20" s="1013" customFormat="1" ht="41.25" customHeight="1">
      <c r="A965" s="1249">
        <v>41</v>
      </c>
      <c r="B965" s="1371" t="s">
        <v>283</v>
      </c>
      <c r="C965" s="1249">
        <v>1959</v>
      </c>
      <c r="D965" s="1249"/>
      <c r="E965" s="1249" t="s">
        <v>218</v>
      </c>
      <c r="F965" s="1249">
        <v>3</v>
      </c>
      <c r="G965" s="1249">
        <v>2</v>
      </c>
      <c r="H965" s="998">
        <f>743.3+71</f>
        <v>814.3</v>
      </c>
      <c r="I965" s="998">
        <v>743.3</v>
      </c>
      <c r="J965" s="998">
        <v>743.3</v>
      </c>
      <c r="K965" s="986">
        <v>46</v>
      </c>
      <c r="L965" s="998">
        <v>1067445.4639999999</v>
      </c>
      <c r="M965" s="998">
        <v>0</v>
      </c>
      <c r="N965" s="998">
        <v>0</v>
      </c>
      <c r="O965" s="998">
        <f t="shared" si="344"/>
        <v>1067445.4639999999</v>
      </c>
      <c r="P965" s="998">
        <v>0</v>
      </c>
      <c r="Q965" s="998">
        <v>0</v>
      </c>
      <c r="R965" s="998">
        <f t="shared" si="343"/>
        <v>1436.0896865330283</v>
      </c>
      <c r="S965" s="1249">
        <v>2016</v>
      </c>
      <c r="T965" s="1129" t="s">
        <v>1269</v>
      </c>
    </row>
    <row r="966" spans="1:20" s="1013" customFormat="1" ht="41.25" customHeight="1">
      <c r="A966" s="1249">
        <v>42</v>
      </c>
      <c r="B966" s="1371" t="s">
        <v>270</v>
      </c>
      <c r="C966" s="1249">
        <v>1962</v>
      </c>
      <c r="D966" s="1249"/>
      <c r="E966" s="1249" t="s">
        <v>219</v>
      </c>
      <c r="F966" s="1249">
        <v>4</v>
      </c>
      <c r="G966" s="1249">
        <v>4</v>
      </c>
      <c r="H966" s="998">
        <v>3144.9</v>
      </c>
      <c r="I966" s="998">
        <v>2839.3</v>
      </c>
      <c r="J966" s="998">
        <v>2675.1</v>
      </c>
      <c r="K966" s="986">
        <v>143</v>
      </c>
      <c r="L966" s="998">
        <v>2206356.6</v>
      </c>
      <c r="M966" s="998">
        <v>0</v>
      </c>
      <c r="N966" s="998">
        <v>0</v>
      </c>
      <c r="O966" s="998">
        <f t="shared" si="344"/>
        <v>2206356.6</v>
      </c>
      <c r="P966" s="998">
        <v>0</v>
      </c>
      <c r="Q966" s="998">
        <v>0</v>
      </c>
      <c r="R966" s="998">
        <f t="shared" si="343"/>
        <v>777.07765998661637</v>
      </c>
      <c r="S966" s="1249">
        <v>2016</v>
      </c>
      <c r="T966" s="1129" t="s">
        <v>1269</v>
      </c>
    </row>
    <row r="967" spans="1:20" s="1013" customFormat="1" ht="41.25" customHeight="1">
      <c r="A967" s="1249">
        <v>43</v>
      </c>
      <c r="B967" s="1371" t="s">
        <v>2055</v>
      </c>
      <c r="C967" s="1249" t="s">
        <v>190</v>
      </c>
      <c r="D967" s="1249"/>
      <c r="E967" s="1249" t="s">
        <v>218</v>
      </c>
      <c r="F967" s="1249">
        <v>4</v>
      </c>
      <c r="G967" s="1249">
        <v>2</v>
      </c>
      <c r="H967" s="998">
        <v>1002.4</v>
      </c>
      <c r="I967" s="998">
        <v>878.31</v>
      </c>
      <c r="J967" s="998">
        <f>695.5-109.4</f>
        <v>586.1</v>
      </c>
      <c r="K967" s="986">
        <v>26</v>
      </c>
      <c r="L967" s="998">
        <v>1271010.81</v>
      </c>
      <c r="M967" s="998">
        <v>0</v>
      </c>
      <c r="N967" s="998">
        <v>0</v>
      </c>
      <c r="O967" s="998">
        <f t="shared" si="344"/>
        <v>1271010.81</v>
      </c>
      <c r="P967" s="998">
        <v>0</v>
      </c>
      <c r="Q967" s="998">
        <v>0</v>
      </c>
      <c r="R967" s="998">
        <f t="shared" si="343"/>
        <v>1447.1095740683816</v>
      </c>
      <c r="S967" s="1249">
        <v>2016</v>
      </c>
      <c r="T967" s="1129" t="s">
        <v>1269</v>
      </c>
    </row>
    <row r="968" spans="1:20" s="1013" customFormat="1" ht="41.25" customHeight="1">
      <c r="A968" s="1249">
        <v>44</v>
      </c>
      <c r="B968" s="1371" t="s">
        <v>2229</v>
      </c>
      <c r="C968" s="1249" t="s">
        <v>190</v>
      </c>
      <c r="D968" s="1249"/>
      <c r="E968" s="1249" t="s">
        <v>218</v>
      </c>
      <c r="F968" s="1249">
        <v>2</v>
      </c>
      <c r="G968" s="1249">
        <v>3</v>
      </c>
      <c r="H968" s="998">
        <v>967.5</v>
      </c>
      <c r="I968" s="998">
        <v>833</v>
      </c>
      <c r="J968" s="998">
        <f>833-567.1</f>
        <v>265.89999999999998</v>
      </c>
      <c r="K968" s="986">
        <v>31</v>
      </c>
      <c r="L968" s="998">
        <v>1233633</v>
      </c>
      <c r="M968" s="998">
        <v>0</v>
      </c>
      <c r="N968" s="998">
        <v>0</v>
      </c>
      <c r="O968" s="998">
        <f t="shared" si="344"/>
        <v>1233633</v>
      </c>
      <c r="P968" s="998">
        <v>0</v>
      </c>
      <c r="Q968" s="998">
        <v>0</v>
      </c>
      <c r="R968" s="998">
        <f t="shared" si="343"/>
        <v>1480.9519807923168</v>
      </c>
      <c r="S968" s="1249">
        <v>2016</v>
      </c>
      <c r="T968" s="1129" t="s">
        <v>1269</v>
      </c>
    </row>
    <row r="969" spans="1:20" s="1013" customFormat="1" ht="41.25" customHeight="1">
      <c r="A969" s="1249">
        <v>45</v>
      </c>
      <c r="B969" s="1371" t="s">
        <v>293</v>
      </c>
      <c r="C969" s="1249">
        <v>1968</v>
      </c>
      <c r="D969" s="1249"/>
      <c r="E969" s="1249" t="s">
        <v>218</v>
      </c>
      <c r="F969" s="1168">
        <v>5</v>
      </c>
      <c r="G969" s="1168">
        <v>4</v>
      </c>
      <c r="H969" s="998">
        <v>3111.5</v>
      </c>
      <c r="I969" s="998">
        <v>2841.4</v>
      </c>
      <c r="J969" s="998">
        <f>2812.5-138.2</f>
        <v>2674.3</v>
      </c>
      <c r="K969" s="986">
        <v>124</v>
      </c>
      <c r="L969" s="998">
        <v>2369961</v>
      </c>
      <c r="M969" s="998">
        <v>0</v>
      </c>
      <c r="N969" s="998">
        <v>0</v>
      </c>
      <c r="O969" s="998">
        <f t="shared" si="344"/>
        <v>2369961</v>
      </c>
      <c r="P969" s="998">
        <v>0</v>
      </c>
      <c r="Q969" s="998">
        <v>0</v>
      </c>
      <c r="R969" s="998">
        <f t="shared" si="343"/>
        <v>834.08214260575767</v>
      </c>
      <c r="S969" s="1249">
        <v>2016</v>
      </c>
      <c r="T969" s="1129" t="s">
        <v>1269</v>
      </c>
    </row>
    <row r="970" spans="1:20" s="1013" customFormat="1" ht="41.25" customHeight="1">
      <c r="A970" s="1249">
        <v>46</v>
      </c>
      <c r="B970" s="1371" t="s">
        <v>244</v>
      </c>
      <c r="C970" s="1249">
        <v>1976</v>
      </c>
      <c r="D970" s="1249"/>
      <c r="E970" s="1249" t="s">
        <v>219</v>
      </c>
      <c r="F970" s="1249">
        <v>9</v>
      </c>
      <c r="G970" s="1249">
        <v>4</v>
      </c>
      <c r="H970" s="998">
        <v>8771.4</v>
      </c>
      <c r="I970" s="998">
        <v>7752.5</v>
      </c>
      <c r="J970" s="998">
        <f>I970-47.6</f>
        <v>7704.9</v>
      </c>
      <c r="K970" s="986">
        <v>377</v>
      </c>
      <c r="L970" s="998">
        <v>2721106</v>
      </c>
      <c r="M970" s="998">
        <v>0</v>
      </c>
      <c r="N970" s="998">
        <v>0</v>
      </c>
      <c r="O970" s="998">
        <f t="shared" si="344"/>
        <v>2721106</v>
      </c>
      <c r="P970" s="998">
        <v>0</v>
      </c>
      <c r="Q970" s="998">
        <v>0</v>
      </c>
      <c r="R970" s="998">
        <f t="shared" si="343"/>
        <v>350.99722670106416</v>
      </c>
      <c r="S970" s="1249">
        <v>2016</v>
      </c>
      <c r="T970" s="1129" t="s">
        <v>1269</v>
      </c>
    </row>
    <row r="971" spans="1:20" s="1013" customFormat="1" ht="41.25" customHeight="1">
      <c r="A971" s="1249">
        <v>47</v>
      </c>
      <c r="B971" s="1371" t="s">
        <v>275</v>
      </c>
      <c r="C971" s="1249">
        <v>1951</v>
      </c>
      <c r="D971" s="1249"/>
      <c r="E971" s="1249" t="s">
        <v>218</v>
      </c>
      <c r="F971" s="1249">
        <v>3</v>
      </c>
      <c r="G971" s="1249">
        <v>3</v>
      </c>
      <c r="H971" s="998">
        <v>2112</v>
      </c>
      <c r="I971" s="998">
        <v>1945.5</v>
      </c>
      <c r="J971" s="998">
        <f>I971-198</f>
        <v>1747.5</v>
      </c>
      <c r="K971" s="986">
        <v>79</v>
      </c>
      <c r="L971" s="998">
        <v>2253297</v>
      </c>
      <c r="M971" s="998">
        <v>0</v>
      </c>
      <c r="N971" s="998">
        <v>0</v>
      </c>
      <c r="O971" s="998">
        <f t="shared" si="344"/>
        <v>2253297</v>
      </c>
      <c r="P971" s="998">
        <v>0</v>
      </c>
      <c r="Q971" s="998">
        <v>0</v>
      </c>
      <c r="R971" s="998">
        <f t="shared" si="343"/>
        <v>1158.2097147262914</v>
      </c>
      <c r="S971" s="1249">
        <v>2016</v>
      </c>
      <c r="T971" s="1129" t="s">
        <v>1269</v>
      </c>
    </row>
    <row r="972" spans="1:20" s="1013" customFormat="1" ht="41.25" customHeight="1">
      <c r="A972" s="1249">
        <v>48</v>
      </c>
      <c r="B972" s="1371" t="s">
        <v>290</v>
      </c>
      <c r="C972" s="1249">
        <v>1974</v>
      </c>
      <c r="D972" s="1249"/>
      <c r="E972" s="1249" t="s">
        <v>218</v>
      </c>
      <c r="F972" s="1168">
        <v>5</v>
      </c>
      <c r="G972" s="1168">
        <v>4</v>
      </c>
      <c r="H972" s="998">
        <v>3464.9</v>
      </c>
      <c r="I972" s="998">
        <v>3188.7</v>
      </c>
      <c r="J972" s="998">
        <v>3050.1</v>
      </c>
      <c r="K972" s="986">
        <v>130</v>
      </c>
      <c r="L972" s="998">
        <v>2791637.75</v>
      </c>
      <c r="M972" s="998">
        <v>0</v>
      </c>
      <c r="N972" s="998">
        <v>0</v>
      </c>
      <c r="O972" s="998">
        <f t="shared" si="344"/>
        <v>2791637.75</v>
      </c>
      <c r="P972" s="998">
        <v>0</v>
      </c>
      <c r="Q972" s="998">
        <v>0</v>
      </c>
      <c r="R972" s="998">
        <f t="shared" si="343"/>
        <v>875.47832972684796</v>
      </c>
      <c r="S972" s="1249">
        <v>2016</v>
      </c>
      <c r="T972" s="1129" t="s">
        <v>1269</v>
      </c>
    </row>
    <row r="973" spans="1:20" s="1013" customFormat="1" ht="41.25" customHeight="1">
      <c r="A973" s="1249">
        <v>49</v>
      </c>
      <c r="B973" s="1371" t="s">
        <v>1846</v>
      </c>
      <c r="C973" s="1249">
        <v>1970</v>
      </c>
      <c r="D973" s="1249"/>
      <c r="E973" s="1249" t="s">
        <v>219</v>
      </c>
      <c r="F973" s="1249">
        <v>5</v>
      </c>
      <c r="G973" s="1249">
        <v>4</v>
      </c>
      <c r="H973" s="998">
        <v>3016.1</v>
      </c>
      <c r="I973" s="998">
        <v>2705.5</v>
      </c>
      <c r="J973" s="998">
        <f>2705.5-105.3</f>
        <v>2600.1999999999998</v>
      </c>
      <c r="K973" s="986">
        <v>124</v>
      </c>
      <c r="L973" s="998">
        <v>662518</v>
      </c>
      <c r="M973" s="998">
        <v>0</v>
      </c>
      <c r="N973" s="998">
        <v>0</v>
      </c>
      <c r="O973" s="998">
        <f t="shared" si="344"/>
        <v>662518</v>
      </c>
      <c r="P973" s="998">
        <v>0</v>
      </c>
      <c r="Q973" s="998">
        <v>0</v>
      </c>
      <c r="R973" s="998">
        <f t="shared" si="343"/>
        <v>244.87821105156164</v>
      </c>
      <c r="S973" s="1249">
        <v>2016</v>
      </c>
      <c r="T973" s="1129" t="s">
        <v>1269</v>
      </c>
    </row>
    <row r="974" spans="1:20" s="1013" customFormat="1" ht="41.25" customHeight="1">
      <c r="A974" s="1249">
        <v>50</v>
      </c>
      <c r="B974" s="1371" t="s">
        <v>2230</v>
      </c>
      <c r="C974" s="1249">
        <v>1910</v>
      </c>
      <c r="D974" s="1249"/>
      <c r="E974" s="1249" t="s">
        <v>218</v>
      </c>
      <c r="F974" s="1168">
        <v>4</v>
      </c>
      <c r="G974" s="1168">
        <v>1</v>
      </c>
      <c r="H974" s="998">
        <v>3725.7</v>
      </c>
      <c r="I974" s="998">
        <v>1647.4</v>
      </c>
      <c r="J974" s="998">
        <f>1647.4-1262.4</f>
        <v>385</v>
      </c>
      <c r="K974" s="986">
        <v>140</v>
      </c>
      <c r="L974" s="1128">
        <v>3706393</v>
      </c>
      <c r="M974" s="998">
        <v>0</v>
      </c>
      <c r="N974" s="998">
        <v>0</v>
      </c>
      <c r="O974" s="998">
        <f t="shared" si="344"/>
        <v>3706393</v>
      </c>
      <c r="P974" s="998">
        <v>0</v>
      </c>
      <c r="Q974" s="998">
        <v>0</v>
      </c>
      <c r="R974" s="998">
        <f t="shared" si="343"/>
        <v>2249.843996600704</v>
      </c>
      <c r="S974" s="1249">
        <v>2016</v>
      </c>
      <c r="T974" s="1129" t="s">
        <v>1269</v>
      </c>
    </row>
    <row r="975" spans="1:20" s="1013" customFormat="1" ht="41.25" customHeight="1">
      <c r="A975" s="1249">
        <v>51</v>
      </c>
      <c r="B975" s="1371" t="s">
        <v>251</v>
      </c>
      <c r="C975" s="1249">
        <v>1977</v>
      </c>
      <c r="D975" s="1249"/>
      <c r="E975" s="1249" t="s">
        <v>218</v>
      </c>
      <c r="F975" s="1249">
        <v>5</v>
      </c>
      <c r="G975" s="1249">
        <v>6</v>
      </c>
      <c r="H975" s="998">
        <v>4612</v>
      </c>
      <c r="I975" s="998">
        <v>4552.5</v>
      </c>
      <c r="J975" s="998">
        <f>4461.8-285.7</f>
        <v>4176.1000000000004</v>
      </c>
      <c r="K975" s="986">
        <v>191</v>
      </c>
      <c r="L975" s="998">
        <v>3687908</v>
      </c>
      <c r="M975" s="998">
        <v>0</v>
      </c>
      <c r="N975" s="998">
        <v>0</v>
      </c>
      <c r="O975" s="998">
        <f t="shared" si="344"/>
        <v>3687908</v>
      </c>
      <c r="P975" s="998">
        <v>0</v>
      </c>
      <c r="Q975" s="998">
        <v>0</v>
      </c>
      <c r="R975" s="998">
        <f t="shared" si="343"/>
        <v>810.08412959912141</v>
      </c>
      <c r="S975" s="1249">
        <v>2016</v>
      </c>
      <c r="T975" s="1129" t="s">
        <v>1269</v>
      </c>
    </row>
    <row r="976" spans="1:20" s="1013" customFormat="1" ht="41.25" customHeight="1">
      <c r="A976" s="1249">
        <v>52</v>
      </c>
      <c r="B976" s="1371" t="s">
        <v>241</v>
      </c>
      <c r="C976" s="1249">
        <v>1958</v>
      </c>
      <c r="D976" s="1249"/>
      <c r="E976" s="1249" t="s">
        <v>218</v>
      </c>
      <c r="F976" s="1249">
        <v>2</v>
      </c>
      <c r="G976" s="1249">
        <v>1</v>
      </c>
      <c r="H976" s="998">
        <v>454.6</v>
      </c>
      <c r="I976" s="998">
        <v>415.4</v>
      </c>
      <c r="J976" s="998">
        <f>415.4-49.1</f>
        <v>366.29999999999995</v>
      </c>
      <c r="K976" s="986">
        <v>17</v>
      </c>
      <c r="L976" s="998">
        <v>359651</v>
      </c>
      <c r="M976" s="998">
        <v>0</v>
      </c>
      <c r="N976" s="998">
        <v>0</v>
      </c>
      <c r="O976" s="998">
        <f t="shared" si="344"/>
        <v>359651</v>
      </c>
      <c r="P976" s="998">
        <v>0</v>
      </c>
      <c r="Q976" s="998">
        <v>0</v>
      </c>
      <c r="R976" s="998">
        <f t="shared" si="343"/>
        <v>865.79441502166594</v>
      </c>
      <c r="S976" s="1249">
        <v>2016</v>
      </c>
      <c r="T976" s="1129" t="s">
        <v>1269</v>
      </c>
    </row>
    <row r="977" spans="1:20" s="1013" customFormat="1" ht="41.25" customHeight="1">
      <c r="A977" s="1249">
        <v>53</v>
      </c>
      <c r="B977" s="1371" t="s">
        <v>232</v>
      </c>
      <c r="C977" s="1249" t="s">
        <v>190</v>
      </c>
      <c r="D977" s="1249"/>
      <c r="E977" s="1249" t="s">
        <v>218</v>
      </c>
      <c r="F977" s="1249">
        <v>3</v>
      </c>
      <c r="G977" s="1249">
        <v>2</v>
      </c>
      <c r="H977" s="998">
        <v>975.2</v>
      </c>
      <c r="I977" s="998">
        <v>925.6</v>
      </c>
      <c r="J977" s="998">
        <v>925.6</v>
      </c>
      <c r="K977" s="986">
        <v>21</v>
      </c>
      <c r="L977" s="998">
        <v>5944665.5700000003</v>
      </c>
      <c r="M977" s="998">
        <v>0</v>
      </c>
      <c r="N977" s="998">
        <v>0</v>
      </c>
      <c r="O977" s="998">
        <f t="shared" si="344"/>
        <v>5944665.5700000003</v>
      </c>
      <c r="P977" s="998">
        <v>0</v>
      </c>
      <c r="Q977" s="998">
        <v>0</v>
      </c>
      <c r="R977" s="998">
        <f t="shared" si="343"/>
        <v>6422.4995354364737</v>
      </c>
      <c r="S977" s="1249">
        <v>2016</v>
      </c>
      <c r="T977" s="1129" t="s">
        <v>1269</v>
      </c>
    </row>
    <row r="978" spans="1:20" s="1028" customFormat="1" ht="41.25" customHeight="1">
      <c r="A978" s="1249">
        <v>54</v>
      </c>
      <c r="B978" s="1371" t="s">
        <v>2056</v>
      </c>
      <c r="C978" s="1249">
        <v>1967</v>
      </c>
      <c r="D978" s="1249"/>
      <c r="E978" s="1249" t="s">
        <v>218</v>
      </c>
      <c r="F978" s="1168">
        <v>6</v>
      </c>
      <c r="G978" s="1168">
        <v>5</v>
      </c>
      <c r="H978" s="998">
        <v>5871.4</v>
      </c>
      <c r="I978" s="998">
        <v>5136.3</v>
      </c>
      <c r="J978" s="998">
        <v>3519.89</v>
      </c>
      <c r="K978" s="986">
        <v>206</v>
      </c>
      <c r="L978" s="998">
        <v>2903468</v>
      </c>
      <c r="M978" s="998">
        <v>0</v>
      </c>
      <c r="N978" s="998">
        <v>0</v>
      </c>
      <c r="O978" s="998">
        <f t="shared" si="344"/>
        <v>2903468</v>
      </c>
      <c r="P978" s="998">
        <v>0</v>
      </c>
      <c r="Q978" s="998">
        <v>0</v>
      </c>
      <c r="R978" s="998">
        <f t="shared" si="343"/>
        <v>565.2839592702918</v>
      </c>
      <c r="S978" s="1249">
        <v>2016</v>
      </c>
      <c r="T978" s="1129" t="s">
        <v>1269</v>
      </c>
    </row>
    <row r="979" spans="1:20" s="1028" customFormat="1" ht="41.25" customHeight="1">
      <c r="A979" s="1249">
        <v>55</v>
      </c>
      <c r="B979" s="1371" t="s">
        <v>302</v>
      </c>
      <c r="C979" s="1249">
        <v>1986</v>
      </c>
      <c r="D979" s="1249"/>
      <c r="E979" s="1249" t="s">
        <v>219</v>
      </c>
      <c r="F979" s="1168">
        <v>9</v>
      </c>
      <c r="G979" s="1168">
        <v>3</v>
      </c>
      <c r="H979" s="998">
        <v>9111.2000000000007</v>
      </c>
      <c r="I979" s="998">
        <v>8526.2000000000007</v>
      </c>
      <c r="J979" s="998">
        <f>I979-254.1</f>
        <v>8272.1</v>
      </c>
      <c r="K979" s="986">
        <v>308</v>
      </c>
      <c r="L979" s="998">
        <v>4265098</v>
      </c>
      <c r="M979" s="998">
        <v>0</v>
      </c>
      <c r="N979" s="998">
        <v>0</v>
      </c>
      <c r="O979" s="998">
        <f t="shared" si="344"/>
        <v>4265098</v>
      </c>
      <c r="P979" s="998">
        <v>0</v>
      </c>
      <c r="Q979" s="998">
        <v>0</v>
      </c>
      <c r="R979" s="998">
        <f t="shared" si="343"/>
        <v>500.23433651568104</v>
      </c>
      <c r="S979" s="1249">
        <v>2016</v>
      </c>
      <c r="T979" s="1129" t="s">
        <v>1269</v>
      </c>
    </row>
    <row r="980" spans="1:20" s="1028" customFormat="1" ht="41.25" customHeight="1">
      <c r="A980" s="1249">
        <v>56</v>
      </c>
      <c r="B980" s="1371" t="s">
        <v>2057</v>
      </c>
      <c r="C980" s="1249">
        <v>1990</v>
      </c>
      <c r="D980" s="1249"/>
      <c r="E980" s="1249" t="s">
        <v>218</v>
      </c>
      <c r="F980" s="1249">
        <v>4</v>
      </c>
      <c r="G980" s="1249">
        <v>3</v>
      </c>
      <c r="H980" s="998">
        <v>2577.9</v>
      </c>
      <c r="I980" s="998">
        <v>2306.1999999999998</v>
      </c>
      <c r="J980" s="998">
        <f>I980-130.7</f>
        <v>2175.5</v>
      </c>
      <c r="K980" s="986">
        <v>110</v>
      </c>
      <c r="L980" s="998">
        <v>1520503</v>
      </c>
      <c r="M980" s="998">
        <v>0</v>
      </c>
      <c r="N980" s="998">
        <v>0</v>
      </c>
      <c r="O980" s="998">
        <f t="shared" si="344"/>
        <v>1520503</v>
      </c>
      <c r="P980" s="998">
        <v>0</v>
      </c>
      <c r="Q980" s="998">
        <v>0</v>
      </c>
      <c r="R980" s="998">
        <f t="shared" si="343"/>
        <v>659.31098777209263</v>
      </c>
      <c r="S980" s="988">
        <v>2017</v>
      </c>
      <c r="T980" s="988" t="s">
        <v>1269</v>
      </c>
    </row>
    <row r="981" spans="1:20" s="1028" customFormat="1" ht="41.25" customHeight="1">
      <c r="A981" s="1249">
        <v>57</v>
      </c>
      <c r="B981" s="1371" t="s">
        <v>2058</v>
      </c>
      <c r="C981" s="1249">
        <v>1966</v>
      </c>
      <c r="D981" s="1249"/>
      <c r="E981" s="1249" t="s">
        <v>219</v>
      </c>
      <c r="F981" s="1249">
        <v>5</v>
      </c>
      <c r="G981" s="1249">
        <v>6</v>
      </c>
      <c r="H981" s="998">
        <v>4938</v>
      </c>
      <c r="I981" s="998">
        <v>4375.2</v>
      </c>
      <c r="J981" s="998">
        <f>I981-300.7</f>
        <v>4074.5</v>
      </c>
      <c r="K981" s="986">
        <v>229</v>
      </c>
      <c r="L981" s="998">
        <v>1967436</v>
      </c>
      <c r="M981" s="998">
        <v>0</v>
      </c>
      <c r="N981" s="998">
        <v>0</v>
      </c>
      <c r="O981" s="998">
        <f t="shared" si="344"/>
        <v>1967436</v>
      </c>
      <c r="P981" s="998">
        <v>0</v>
      </c>
      <c r="Q981" s="998">
        <v>0</v>
      </c>
      <c r="R981" s="998">
        <f t="shared" si="343"/>
        <v>449.67910038398247</v>
      </c>
      <c r="S981" s="988">
        <v>2017</v>
      </c>
      <c r="T981" s="988" t="s">
        <v>1269</v>
      </c>
    </row>
    <row r="982" spans="1:20" s="1028" customFormat="1" ht="41.25" customHeight="1">
      <c r="A982" s="1249">
        <v>58</v>
      </c>
      <c r="B982" s="1371" t="s">
        <v>2059</v>
      </c>
      <c r="C982" s="1249">
        <v>1959</v>
      </c>
      <c r="D982" s="1249"/>
      <c r="E982" s="1249" t="s">
        <v>218</v>
      </c>
      <c r="F982" s="1249">
        <v>2</v>
      </c>
      <c r="G982" s="1249">
        <v>1</v>
      </c>
      <c r="H982" s="998">
        <v>494.5</v>
      </c>
      <c r="I982" s="998">
        <v>447.2</v>
      </c>
      <c r="J982" s="998">
        <f>I982</f>
        <v>447.2</v>
      </c>
      <c r="K982" s="986">
        <v>20</v>
      </c>
      <c r="L982" s="998">
        <v>1910072.01</v>
      </c>
      <c r="M982" s="998">
        <v>0</v>
      </c>
      <c r="N982" s="998">
        <v>0</v>
      </c>
      <c r="O982" s="998">
        <f t="shared" si="344"/>
        <v>1910072.01</v>
      </c>
      <c r="P982" s="998">
        <v>0</v>
      </c>
      <c r="Q982" s="998">
        <v>0</v>
      </c>
      <c r="R982" s="998">
        <f t="shared" si="343"/>
        <v>4271.1807021466902</v>
      </c>
      <c r="S982" s="988">
        <v>2017</v>
      </c>
      <c r="T982" s="988" t="s">
        <v>1269</v>
      </c>
    </row>
    <row r="983" spans="1:20" s="1028" customFormat="1" ht="41.25" customHeight="1">
      <c r="A983" s="1249">
        <v>59</v>
      </c>
      <c r="B983" s="1371" t="s">
        <v>2060</v>
      </c>
      <c r="C983" s="1249">
        <v>1987</v>
      </c>
      <c r="D983" s="1249"/>
      <c r="E983" s="1249" t="s">
        <v>219</v>
      </c>
      <c r="F983" s="1249">
        <v>9</v>
      </c>
      <c r="G983" s="1249">
        <v>1</v>
      </c>
      <c r="H983" s="998">
        <v>4142.2</v>
      </c>
      <c r="I983" s="998">
        <v>3911</v>
      </c>
      <c r="J983" s="998">
        <f>I983-428.8</f>
        <v>3482.2</v>
      </c>
      <c r="K983" s="986">
        <v>270</v>
      </c>
      <c r="L983" s="998">
        <v>1529019</v>
      </c>
      <c r="M983" s="998">
        <v>0</v>
      </c>
      <c r="N983" s="998">
        <v>0</v>
      </c>
      <c r="O983" s="998">
        <f t="shared" si="344"/>
        <v>1529019</v>
      </c>
      <c r="P983" s="998">
        <v>0</v>
      </c>
      <c r="Q983" s="998">
        <v>0</v>
      </c>
      <c r="R983" s="998">
        <f t="shared" si="343"/>
        <v>390.95346458706211</v>
      </c>
      <c r="S983" s="988">
        <v>2017</v>
      </c>
      <c r="T983" s="988" t="s">
        <v>1269</v>
      </c>
    </row>
    <row r="984" spans="1:20" s="1028" customFormat="1" ht="41.25" customHeight="1">
      <c r="A984" s="1249">
        <v>60</v>
      </c>
      <c r="B984" s="1371" t="s">
        <v>2061</v>
      </c>
      <c r="C984" s="1249">
        <v>1985</v>
      </c>
      <c r="D984" s="1249"/>
      <c r="E984" s="1249" t="s">
        <v>219</v>
      </c>
      <c r="F984" s="1249">
        <v>9</v>
      </c>
      <c r="G984" s="1249">
        <v>1</v>
      </c>
      <c r="H984" s="998">
        <v>2852.4</v>
      </c>
      <c r="I984" s="998">
        <v>2606.1</v>
      </c>
      <c r="J984" s="998">
        <f>I984-208</f>
        <v>2398.1</v>
      </c>
      <c r="K984" s="986">
        <v>141</v>
      </c>
      <c r="L984" s="998">
        <v>5506560</v>
      </c>
      <c r="M984" s="998">
        <v>0</v>
      </c>
      <c r="N984" s="998">
        <v>0</v>
      </c>
      <c r="O984" s="998">
        <f t="shared" si="344"/>
        <v>5506560</v>
      </c>
      <c r="P984" s="998">
        <v>0</v>
      </c>
      <c r="Q984" s="998">
        <v>0</v>
      </c>
      <c r="R984" s="998">
        <f t="shared" si="343"/>
        <v>2112.9503856337055</v>
      </c>
      <c r="S984" s="988">
        <v>2017</v>
      </c>
      <c r="T984" s="988" t="s">
        <v>1269</v>
      </c>
    </row>
    <row r="985" spans="1:20" s="1028" customFormat="1" ht="41.25" customHeight="1">
      <c r="A985" s="1249">
        <v>61</v>
      </c>
      <c r="B985" s="1371" t="s">
        <v>2062</v>
      </c>
      <c r="C985" s="1249">
        <v>1985</v>
      </c>
      <c r="D985" s="1249"/>
      <c r="E985" s="1249" t="s">
        <v>219</v>
      </c>
      <c r="F985" s="1249">
        <v>9</v>
      </c>
      <c r="G985" s="1249">
        <v>1</v>
      </c>
      <c r="H985" s="998">
        <v>2162.6999999999998</v>
      </c>
      <c r="I985" s="998">
        <v>2143.1</v>
      </c>
      <c r="J985" s="998">
        <f>I985-130.9</f>
        <v>2012.1999999999998</v>
      </c>
      <c r="K985" s="986">
        <v>105</v>
      </c>
      <c r="L985" s="998">
        <v>838570</v>
      </c>
      <c r="M985" s="998">
        <v>0</v>
      </c>
      <c r="N985" s="998">
        <v>0</v>
      </c>
      <c r="O985" s="998">
        <f t="shared" si="344"/>
        <v>838570</v>
      </c>
      <c r="P985" s="998">
        <v>0</v>
      </c>
      <c r="Q985" s="998">
        <v>0</v>
      </c>
      <c r="R985" s="998">
        <f t="shared" si="343"/>
        <v>391.2883206569922</v>
      </c>
      <c r="S985" s="988">
        <v>2017</v>
      </c>
      <c r="T985" s="988" t="s">
        <v>1269</v>
      </c>
    </row>
    <row r="986" spans="1:20" s="1170" customFormat="1" ht="41.25" customHeight="1" thickBot="1">
      <c r="A986" s="1249">
        <v>62</v>
      </c>
      <c r="B986" s="1371" t="s">
        <v>2063</v>
      </c>
      <c r="C986" s="1249">
        <v>1972</v>
      </c>
      <c r="D986" s="1249"/>
      <c r="E986" s="1249" t="s">
        <v>219</v>
      </c>
      <c r="F986" s="1249">
        <v>9</v>
      </c>
      <c r="G986" s="1249">
        <v>2</v>
      </c>
      <c r="H986" s="998">
        <v>3872.1</v>
      </c>
      <c r="I986" s="998">
        <v>3838.8</v>
      </c>
      <c r="J986" s="998">
        <f>I986-257.1</f>
        <v>3581.7000000000003</v>
      </c>
      <c r="K986" s="986">
        <v>169</v>
      </c>
      <c r="L986" s="998">
        <v>1558282</v>
      </c>
      <c r="M986" s="998">
        <v>0</v>
      </c>
      <c r="N986" s="998">
        <v>0</v>
      </c>
      <c r="O986" s="998">
        <f t="shared" si="344"/>
        <v>1558282</v>
      </c>
      <c r="P986" s="998">
        <v>0</v>
      </c>
      <c r="Q986" s="998">
        <v>0</v>
      </c>
      <c r="R986" s="998">
        <f t="shared" si="343"/>
        <v>405.92945712201725</v>
      </c>
      <c r="S986" s="988">
        <v>2017</v>
      </c>
      <c r="T986" s="988" t="s">
        <v>1269</v>
      </c>
    </row>
    <row r="987" spans="1:20" s="1013" customFormat="1" ht="41.25" customHeight="1" thickTop="1">
      <c r="A987" s="1249">
        <v>63</v>
      </c>
      <c r="B987" s="1371" t="s">
        <v>2064</v>
      </c>
      <c r="C987" s="1249">
        <v>1986</v>
      </c>
      <c r="D987" s="1249"/>
      <c r="E987" s="1249" t="s">
        <v>218</v>
      </c>
      <c r="F987" s="1249">
        <v>9</v>
      </c>
      <c r="G987" s="1249">
        <v>2</v>
      </c>
      <c r="H987" s="998">
        <v>7521.6</v>
      </c>
      <c r="I987" s="998">
        <v>7484.7</v>
      </c>
      <c r="J987" s="998">
        <f>I987-278.2</f>
        <v>7206.5</v>
      </c>
      <c r="K987" s="986">
        <v>310</v>
      </c>
      <c r="L987" s="998">
        <v>3700566</v>
      </c>
      <c r="M987" s="998">
        <v>0</v>
      </c>
      <c r="N987" s="998">
        <v>0</v>
      </c>
      <c r="O987" s="998">
        <f t="shared" si="344"/>
        <v>3700566</v>
      </c>
      <c r="P987" s="998">
        <v>0</v>
      </c>
      <c r="Q987" s="998">
        <v>0</v>
      </c>
      <c r="R987" s="998">
        <f t="shared" ref="R987:R1057" si="345">L987/I987</f>
        <v>494.41741151949981</v>
      </c>
      <c r="S987" s="988">
        <v>2017</v>
      </c>
      <c r="T987" s="988" t="s">
        <v>1269</v>
      </c>
    </row>
    <row r="988" spans="1:20" s="999" customFormat="1" ht="41.25" customHeight="1">
      <c r="A988" s="1249">
        <v>64</v>
      </c>
      <c r="B988" s="1371" t="s">
        <v>2065</v>
      </c>
      <c r="C988" s="1249">
        <v>1955</v>
      </c>
      <c r="D988" s="1249"/>
      <c r="E988" s="1249" t="s">
        <v>218</v>
      </c>
      <c r="F988" s="1249">
        <v>3</v>
      </c>
      <c r="G988" s="1249">
        <v>3</v>
      </c>
      <c r="H988" s="998">
        <v>2398.9</v>
      </c>
      <c r="I988" s="998">
        <v>2188.3000000000002</v>
      </c>
      <c r="J988" s="998">
        <f>I988-236.1</f>
        <v>1952.2000000000003</v>
      </c>
      <c r="K988" s="986">
        <v>95</v>
      </c>
      <c r="L988" s="998">
        <v>7954399.7999999998</v>
      </c>
      <c r="M988" s="998">
        <v>0</v>
      </c>
      <c r="N988" s="998">
        <v>0</v>
      </c>
      <c r="O988" s="998">
        <f t="shared" si="344"/>
        <v>7954399.7999999998</v>
      </c>
      <c r="P988" s="998">
        <v>0</v>
      </c>
      <c r="Q988" s="998">
        <v>0</v>
      </c>
      <c r="R988" s="998">
        <f t="shared" si="345"/>
        <v>3634.9676918155642</v>
      </c>
      <c r="S988" s="988">
        <v>2017</v>
      </c>
      <c r="T988" s="988" t="s">
        <v>1269</v>
      </c>
    </row>
    <row r="989" spans="1:20" s="1013" customFormat="1" ht="41.25" customHeight="1">
      <c r="A989" s="1249">
        <v>65</v>
      </c>
      <c r="B989" s="1371" t="s">
        <v>2237</v>
      </c>
      <c r="C989" s="1249">
        <v>1973</v>
      </c>
      <c r="D989" s="1249"/>
      <c r="E989" s="1249" t="s">
        <v>219</v>
      </c>
      <c r="F989" s="1249">
        <v>5</v>
      </c>
      <c r="G989" s="1249">
        <v>6</v>
      </c>
      <c r="H989" s="998">
        <v>4767.6000000000004</v>
      </c>
      <c r="I989" s="998">
        <v>4359.5</v>
      </c>
      <c r="J989" s="998">
        <f>I989-571.2-167.5</f>
        <v>3620.8</v>
      </c>
      <c r="K989" s="986">
        <v>230</v>
      </c>
      <c r="L989" s="998">
        <v>2999405</v>
      </c>
      <c r="M989" s="998">
        <v>0</v>
      </c>
      <c r="N989" s="998">
        <v>0</v>
      </c>
      <c r="O989" s="998">
        <f t="shared" si="344"/>
        <v>2999405</v>
      </c>
      <c r="P989" s="998">
        <v>0</v>
      </c>
      <c r="Q989" s="998">
        <v>0</v>
      </c>
      <c r="R989" s="998">
        <f t="shared" si="345"/>
        <v>688.01582750315401</v>
      </c>
      <c r="S989" s="988">
        <v>2017</v>
      </c>
      <c r="T989" s="988" t="s">
        <v>1269</v>
      </c>
    </row>
    <row r="990" spans="1:20" s="1030" customFormat="1" ht="41.25" customHeight="1">
      <c r="A990" s="1249">
        <v>66</v>
      </c>
      <c r="B990" s="1371" t="s">
        <v>2247</v>
      </c>
      <c r="C990" s="1249">
        <v>1973</v>
      </c>
      <c r="D990" s="1249"/>
      <c r="E990" s="1249" t="s">
        <v>219</v>
      </c>
      <c r="F990" s="1249">
        <v>5</v>
      </c>
      <c r="G990" s="1249">
        <v>6</v>
      </c>
      <c r="H990" s="998">
        <v>4771.1000000000004</v>
      </c>
      <c r="I990" s="998">
        <v>4364.3999999999996</v>
      </c>
      <c r="J990" s="998">
        <f>I990-178</f>
        <v>4186.3999999999996</v>
      </c>
      <c r="K990" s="986">
        <v>221</v>
      </c>
      <c r="L990" s="998">
        <v>3061843</v>
      </c>
      <c r="M990" s="998">
        <v>0</v>
      </c>
      <c r="N990" s="998">
        <v>0</v>
      </c>
      <c r="O990" s="998">
        <f t="shared" si="344"/>
        <v>3061843</v>
      </c>
      <c r="P990" s="998">
        <v>0</v>
      </c>
      <c r="Q990" s="998">
        <v>0</v>
      </c>
      <c r="R990" s="998">
        <f t="shared" si="345"/>
        <v>701.54958298964357</v>
      </c>
      <c r="S990" s="988">
        <v>2017</v>
      </c>
      <c r="T990" s="988" t="s">
        <v>1269</v>
      </c>
    </row>
    <row r="991" spans="1:20" s="1030" customFormat="1" ht="41.25" customHeight="1">
      <c r="A991" s="1249">
        <v>67</v>
      </c>
      <c r="B991" s="1371" t="s">
        <v>2238</v>
      </c>
      <c r="C991" s="1249">
        <v>1914</v>
      </c>
      <c r="D991" s="1249"/>
      <c r="E991" s="1249" t="s">
        <v>218</v>
      </c>
      <c r="F991" s="1249">
        <v>4</v>
      </c>
      <c r="G991" s="1249">
        <v>5</v>
      </c>
      <c r="H991" s="998">
        <v>2953.4</v>
      </c>
      <c r="I991" s="998">
        <v>2592.5</v>
      </c>
      <c r="J991" s="998">
        <f>I991-231.93</f>
        <v>2360.5700000000002</v>
      </c>
      <c r="K991" s="986">
        <v>90</v>
      </c>
      <c r="L991" s="998">
        <v>13597820.84</v>
      </c>
      <c r="M991" s="998">
        <v>0</v>
      </c>
      <c r="N991" s="998">
        <v>0</v>
      </c>
      <c r="O991" s="998">
        <f t="shared" si="344"/>
        <v>13597820.84</v>
      </c>
      <c r="P991" s="998">
        <v>0</v>
      </c>
      <c r="Q991" s="998">
        <v>0</v>
      </c>
      <c r="R991" s="998">
        <f t="shared" si="345"/>
        <v>5245.0610761812923</v>
      </c>
      <c r="S991" s="988">
        <v>2017</v>
      </c>
      <c r="T991" s="988" t="s">
        <v>1269</v>
      </c>
    </row>
    <row r="992" spans="1:20" s="1030" customFormat="1" ht="41.25" customHeight="1">
      <c r="A992" s="1249">
        <v>68</v>
      </c>
      <c r="B992" s="1371" t="s">
        <v>2239</v>
      </c>
      <c r="C992" s="1249">
        <v>1911</v>
      </c>
      <c r="D992" s="1249"/>
      <c r="E992" s="1249" t="s">
        <v>218</v>
      </c>
      <c r="F992" s="1249">
        <v>4</v>
      </c>
      <c r="G992" s="1249">
        <v>3</v>
      </c>
      <c r="H992" s="998">
        <v>5263.4</v>
      </c>
      <c r="I992" s="998">
        <v>3002.4</v>
      </c>
      <c r="J992" s="998">
        <v>576.79999999999995</v>
      </c>
      <c r="K992" s="986">
        <v>302</v>
      </c>
      <c r="L992" s="998">
        <v>26280874</v>
      </c>
      <c r="M992" s="998">
        <v>0</v>
      </c>
      <c r="N992" s="998">
        <v>0</v>
      </c>
      <c r="O992" s="998">
        <f t="shared" si="344"/>
        <v>26280874</v>
      </c>
      <c r="P992" s="998">
        <v>0</v>
      </c>
      <c r="Q992" s="998">
        <v>0</v>
      </c>
      <c r="R992" s="998">
        <f t="shared" si="345"/>
        <v>8753.2887023714356</v>
      </c>
      <c r="S992" s="988">
        <v>2017</v>
      </c>
      <c r="T992" s="988" t="s">
        <v>1269</v>
      </c>
    </row>
    <row r="993" spans="1:20" s="1030" customFormat="1" ht="41.25" customHeight="1">
      <c r="A993" s="1249">
        <v>69</v>
      </c>
      <c r="B993" s="1371" t="s">
        <v>2240</v>
      </c>
      <c r="C993" s="1249">
        <v>1907</v>
      </c>
      <c r="D993" s="1249"/>
      <c r="E993" s="1249" t="s">
        <v>221</v>
      </c>
      <c r="F993" s="1249">
        <v>2</v>
      </c>
      <c r="G993" s="1249">
        <v>1</v>
      </c>
      <c r="H993" s="998">
        <v>691.1</v>
      </c>
      <c r="I993" s="998">
        <v>660.5</v>
      </c>
      <c r="J993" s="998">
        <f>I993-19.87</f>
        <v>640.63</v>
      </c>
      <c r="K993" s="986">
        <v>32</v>
      </c>
      <c r="L993" s="998">
        <v>3712475</v>
      </c>
      <c r="M993" s="998">
        <v>0</v>
      </c>
      <c r="N993" s="998">
        <v>0</v>
      </c>
      <c r="O993" s="998">
        <f t="shared" si="344"/>
        <v>3712475</v>
      </c>
      <c r="P993" s="998">
        <v>0</v>
      </c>
      <c r="Q993" s="998">
        <v>0</v>
      </c>
      <c r="R993" s="998">
        <f t="shared" si="345"/>
        <v>5620.7040121120363</v>
      </c>
      <c r="S993" s="988">
        <v>2017</v>
      </c>
      <c r="T993" s="988" t="s">
        <v>1269</v>
      </c>
    </row>
    <row r="994" spans="1:20" s="1030" customFormat="1" ht="41.25" customHeight="1">
      <c r="A994" s="1249">
        <v>70</v>
      </c>
      <c r="B994" s="1371" t="s">
        <v>2241</v>
      </c>
      <c r="C994" s="1249" t="s">
        <v>1671</v>
      </c>
      <c r="D994" s="1249"/>
      <c r="E994" s="1249" t="s">
        <v>218</v>
      </c>
      <c r="F994" s="1249">
        <v>4</v>
      </c>
      <c r="G994" s="1249">
        <v>1</v>
      </c>
      <c r="H994" s="998">
        <v>7333.1</v>
      </c>
      <c r="I994" s="998">
        <v>4455.8</v>
      </c>
      <c r="J994" s="998">
        <f>I994-3059.3</f>
        <v>1396.5</v>
      </c>
      <c r="K994" s="986">
        <v>330</v>
      </c>
      <c r="L994" s="998">
        <v>10172902</v>
      </c>
      <c r="M994" s="998">
        <v>0</v>
      </c>
      <c r="N994" s="998">
        <v>0</v>
      </c>
      <c r="O994" s="998">
        <f t="shared" si="344"/>
        <v>10172902</v>
      </c>
      <c r="P994" s="998">
        <v>0</v>
      </c>
      <c r="Q994" s="998">
        <v>0</v>
      </c>
      <c r="R994" s="998">
        <f t="shared" si="345"/>
        <v>2283.0697068988734</v>
      </c>
      <c r="S994" s="988">
        <v>2017</v>
      </c>
      <c r="T994" s="988" t="s">
        <v>1269</v>
      </c>
    </row>
    <row r="995" spans="1:20" s="1030" customFormat="1" ht="41.25" customHeight="1">
      <c r="A995" s="1249">
        <v>71</v>
      </c>
      <c r="B995" s="1371" t="s">
        <v>2066</v>
      </c>
      <c r="C995" s="1249">
        <v>1957</v>
      </c>
      <c r="D995" s="1249"/>
      <c r="E995" s="1249" t="s">
        <v>218</v>
      </c>
      <c r="F995" s="1249">
        <v>4</v>
      </c>
      <c r="G995" s="1249">
        <v>2</v>
      </c>
      <c r="H995" s="998">
        <v>2558.1999999999998</v>
      </c>
      <c r="I995" s="998">
        <v>1925.6</v>
      </c>
      <c r="J995" s="998">
        <f>I995-129.6</f>
        <v>1796</v>
      </c>
      <c r="K995" s="986">
        <v>73</v>
      </c>
      <c r="L995" s="998">
        <v>1122522</v>
      </c>
      <c r="M995" s="998">
        <v>0</v>
      </c>
      <c r="N995" s="998">
        <v>0</v>
      </c>
      <c r="O995" s="998">
        <f t="shared" si="344"/>
        <v>1122522</v>
      </c>
      <c r="P995" s="998">
        <v>0</v>
      </c>
      <c r="Q995" s="998">
        <v>0</v>
      </c>
      <c r="R995" s="998">
        <f t="shared" si="345"/>
        <v>582.94661404237638</v>
      </c>
      <c r="S995" s="988">
        <v>2017</v>
      </c>
      <c r="T995" s="988" t="s">
        <v>1269</v>
      </c>
    </row>
    <row r="996" spans="1:20" s="1013" customFormat="1" ht="41.25" customHeight="1">
      <c r="A996" s="1249">
        <v>72</v>
      </c>
      <c r="B996" s="1371" t="s">
        <v>2067</v>
      </c>
      <c r="C996" s="1249">
        <v>1853</v>
      </c>
      <c r="D996" s="1249"/>
      <c r="E996" s="1249" t="s">
        <v>221</v>
      </c>
      <c r="F996" s="1249">
        <v>2</v>
      </c>
      <c r="G996" s="1249">
        <v>2</v>
      </c>
      <c r="H996" s="998">
        <v>574.29999999999995</v>
      </c>
      <c r="I996" s="998">
        <v>483.2</v>
      </c>
      <c r="J996" s="998">
        <f>I996-29.1</f>
        <v>454.09999999999997</v>
      </c>
      <c r="K996" s="986">
        <v>26</v>
      </c>
      <c r="L996" s="998">
        <v>3345472.9</v>
      </c>
      <c r="M996" s="998">
        <v>0</v>
      </c>
      <c r="N996" s="998">
        <v>0</v>
      </c>
      <c r="O996" s="998">
        <f t="shared" si="344"/>
        <v>3345472.9</v>
      </c>
      <c r="P996" s="998">
        <v>0</v>
      </c>
      <c r="Q996" s="998">
        <v>0</v>
      </c>
      <c r="R996" s="998">
        <f t="shared" si="345"/>
        <v>6923.5780215231789</v>
      </c>
      <c r="S996" s="988">
        <v>2017</v>
      </c>
      <c r="T996" s="988" t="s">
        <v>1269</v>
      </c>
    </row>
    <row r="997" spans="1:20" s="1013" customFormat="1" ht="41.25" customHeight="1">
      <c r="A997" s="1249">
        <v>73</v>
      </c>
      <c r="B997" s="1371" t="s">
        <v>2068</v>
      </c>
      <c r="C997" s="1249">
        <v>1925</v>
      </c>
      <c r="D997" s="1249"/>
      <c r="E997" s="1249" t="s">
        <v>221</v>
      </c>
      <c r="F997" s="1249">
        <v>2</v>
      </c>
      <c r="G997" s="1249">
        <v>2</v>
      </c>
      <c r="H997" s="998">
        <v>440</v>
      </c>
      <c r="I997" s="998">
        <v>411.5</v>
      </c>
      <c r="J997" s="998">
        <f>I997-102.4</f>
        <v>309.10000000000002</v>
      </c>
      <c r="K997" s="986">
        <v>20</v>
      </c>
      <c r="L997" s="998">
        <v>966044</v>
      </c>
      <c r="M997" s="998">
        <v>0</v>
      </c>
      <c r="N997" s="998">
        <v>0</v>
      </c>
      <c r="O997" s="998">
        <f t="shared" si="344"/>
        <v>966044</v>
      </c>
      <c r="P997" s="998">
        <v>0</v>
      </c>
      <c r="Q997" s="998">
        <v>0</v>
      </c>
      <c r="R997" s="998">
        <f t="shared" si="345"/>
        <v>2347.6160388821386</v>
      </c>
      <c r="S997" s="988">
        <v>2017</v>
      </c>
      <c r="T997" s="988" t="s">
        <v>1269</v>
      </c>
    </row>
    <row r="998" spans="1:20" s="1013" customFormat="1" ht="41.25" customHeight="1">
      <c r="A998" s="1249">
        <v>74</v>
      </c>
      <c r="B998" s="1371" t="s">
        <v>2069</v>
      </c>
      <c r="C998" s="1249">
        <v>1980</v>
      </c>
      <c r="D998" s="1249"/>
      <c r="E998" s="1249" t="s">
        <v>218</v>
      </c>
      <c r="F998" s="1249">
        <v>9</v>
      </c>
      <c r="G998" s="1249">
        <v>1</v>
      </c>
      <c r="H998" s="998">
        <v>3671</v>
      </c>
      <c r="I998" s="998">
        <v>3334</v>
      </c>
      <c r="J998" s="998">
        <f>I998-120.1-245.9</f>
        <v>2968</v>
      </c>
      <c r="K998" s="986">
        <v>139</v>
      </c>
      <c r="L998" s="998">
        <v>1440092</v>
      </c>
      <c r="M998" s="998">
        <v>0</v>
      </c>
      <c r="N998" s="998">
        <v>0</v>
      </c>
      <c r="O998" s="998">
        <f t="shared" si="344"/>
        <v>1440092</v>
      </c>
      <c r="P998" s="998">
        <v>0</v>
      </c>
      <c r="Q998" s="998">
        <v>0</v>
      </c>
      <c r="R998" s="998">
        <f t="shared" si="345"/>
        <v>431.94121175764849</v>
      </c>
      <c r="S998" s="988">
        <v>2017</v>
      </c>
      <c r="T998" s="988" t="s">
        <v>1269</v>
      </c>
    </row>
    <row r="999" spans="1:20" s="1013" customFormat="1" ht="41.25" customHeight="1">
      <c r="A999" s="1249">
        <v>75</v>
      </c>
      <c r="B999" s="1371" t="s">
        <v>2070</v>
      </c>
      <c r="C999" s="1249">
        <v>1980</v>
      </c>
      <c r="D999" s="1249"/>
      <c r="E999" s="1249" t="s">
        <v>218</v>
      </c>
      <c r="F999" s="1249">
        <v>9</v>
      </c>
      <c r="G999" s="1249">
        <v>1</v>
      </c>
      <c r="H999" s="998">
        <v>3276.1</v>
      </c>
      <c r="I999" s="998">
        <v>3217</v>
      </c>
      <c r="J999" s="998">
        <f>I999-153.7</f>
        <v>3063.3</v>
      </c>
      <c r="K999" s="986">
        <v>106</v>
      </c>
      <c r="L999" s="998">
        <v>1337066</v>
      </c>
      <c r="M999" s="998">
        <v>0</v>
      </c>
      <c r="N999" s="998">
        <v>0</v>
      </c>
      <c r="O999" s="998">
        <f t="shared" si="344"/>
        <v>1337066</v>
      </c>
      <c r="P999" s="998">
        <v>0</v>
      </c>
      <c r="Q999" s="998">
        <v>0</v>
      </c>
      <c r="R999" s="998">
        <f t="shared" si="345"/>
        <v>415.62511656823125</v>
      </c>
      <c r="S999" s="988">
        <v>2017</v>
      </c>
      <c r="T999" s="988" t="s">
        <v>1269</v>
      </c>
    </row>
    <row r="1000" spans="1:20" s="1013" customFormat="1" ht="41.25" customHeight="1">
      <c r="A1000" s="1249">
        <v>76</v>
      </c>
      <c r="B1000" s="1371" t="s">
        <v>1828</v>
      </c>
      <c r="C1000" s="1249">
        <v>1955</v>
      </c>
      <c r="D1000" s="1249"/>
      <c r="E1000" s="1249" t="s">
        <v>218</v>
      </c>
      <c r="F1000" s="1249">
        <v>2</v>
      </c>
      <c r="G1000" s="1249">
        <v>2</v>
      </c>
      <c r="H1000" s="998">
        <v>512</v>
      </c>
      <c r="I1000" s="998">
        <v>468.9</v>
      </c>
      <c r="J1000" s="998">
        <f>I1000-55.2</f>
        <v>413.7</v>
      </c>
      <c r="K1000" s="986">
        <v>29</v>
      </c>
      <c r="L1000" s="998">
        <v>376932</v>
      </c>
      <c r="M1000" s="998">
        <v>0</v>
      </c>
      <c r="N1000" s="998">
        <v>0</v>
      </c>
      <c r="O1000" s="998">
        <f t="shared" si="344"/>
        <v>376932</v>
      </c>
      <c r="P1000" s="998">
        <v>0</v>
      </c>
      <c r="Q1000" s="998">
        <v>0</v>
      </c>
      <c r="R1000" s="998">
        <f t="shared" si="345"/>
        <v>803.86436340371085</v>
      </c>
      <c r="S1000" s="988">
        <v>2017</v>
      </c>
      <c r="T1000" s="988" t="s">
        <v>1269</v>
      </c>
    </row>
    <row r="1001" spans="1:20" s="1013" customFormat="1" ht="41.25" customHeight="1">
      <c r="A1001" s="1249">
        <v>77</v>
      </c>
      <c r="B1001" s="1371" t="s">
        <v>2071</v>
      </c>
      <c r="C1001" s="1249">
        <v>1955</v>
      </c>
      <c r="D1001" s="1249"/>
      <c r="E1001" s="1249" t="s">
        <v>218</v>
      </c>
      <c r="F1001" s="1249">
        <v>2</v>
      </c>
      <c r="G1001" s="1249">
        <v>2</v>
      </c>
      <c r="H1001" s="998">
        <v>619.9</v>
      </c>
      <c r="I1001" s="998">
        <v>561.6</v>
      </c>
      <c r="J1001" s="998">
        <f>I1001-174.6</f>
        <v>387</v>
      </c>
      <c r="K1001" s="986">
        <v>45</v>
      </c>
      <c r="L1001" s="998">
        <v>447464</v>
      </c>
      <c r="M1001" s="998">
        <v>0</v>
      </c>
      <c r="N1001" s="998">
        <v>0</v>
      </c>
      <c r="O1001" s="998">
        <f t="shared" si="344"/>
        <v>447464</v>
      </c>
      <c r="P1001" s="998">
        <v>0</v>
      </c>
      <c r="Q1001" s="998">
        <v>0</v>
      </c>
      <c r="R1001" s="998">
        <f t="shared" si="345"/>
        <v>796.76638176638176</v>
      </c>
      <c r="S1001" s="988">
        <v>2017</v>
      </c>
      <c r="T1001" s="988" t="s">
        <v>1269</v>
      </c>
    </row>
    <row r="1002" spans="1:20" s="1013" customFormat="1" ht="41.25" customHeight="1">
      <c r="A1002" s="1249">
        <v>78</v>
      </c>
      <c r="B1002" s="1371" t="s">
        <v>240</v>
      </c>
      <c r="C1002" s="1249">
        <v>1955</v>
      </c>
      <c r="D1002" s="1249"/>
      <c r="E1002" s="1249" t="s">
        <v>218</v>
      </c>
      <c r="F1002" s="1249">
        <v>2</v>
      </c>
      <c r="G1002" s="1249">
        <v>2</v>
      </c>
      <c r="H1002" s="998">
        <v>658.4</v>
      </c>
      <c r="I1002" s="998">
        <v>585.79999999999995</v>
      </c>
      <c r="J1002" s="998">
        <v>502</v>
      </c>
      <c r="K1002" s="986">
        <v>27</v>
      </c>
      <c r="L1002" s="998">
        <v>2386092.04</v>
      </c>
      <c r="M1002" s="998">
        <v>0</v>
      </c>
      <c r="N1002" s="998">
        <v>0</v>
      </c>
      <c r="O1002" s="998">
        <f t="shared" si="344"/>
        <v>2386092.04</v>
      </c>
      <c r="P1002" s="998">
        <v>0</v>
      </c>
      <c r="Q1002" s="998">
        <v>0</v>
      </c>
      <c r="R1002" s="998">
        <f t="shared" si="345"/>
        <v>4073.2195971321275</v>
      </c>
      <c r="S1002" s="988">
        <v>2017</v>
      </c>
      <c r="T1002" s="988" t="s">
        <v>1269</v>
      </c>
    </row>
    <row r="1003" spans="1:20" s="1013" customFormat="1" ht="41.25" customHeight="1">
      <c r="A1003" s="1249">
        <v>79</v>
      </c>
      <c r="B1003" s="1371" t="s">
        <v>2072</v>
      </c>
      <c r="C1003" s="1249">
        <v>1987</v>
      </c>
      <c r="D1003" s="1249"/>
      <c r="E1003" s="1249" t="s">
        <v>219</v>
      </c>
      <c r="F1003" s="1249">
        <v>9</v>
      </c>
      <c r="G1003" s="1249">
        <v>1</v>
      </c>
      <c r="H1003" s="998">
        <v>4150.2</v>
      </c>
      <c r="I1003" s="998">
        <v>3840.4</v>
      </c>
      <c r="J1003" s="998">
        <f>I1003-208.2</f>
        <v>3632.2000000000003</v>
      </c>
      <c r="K1003" s="986">
        <v>201</v>
      </c>
      <c r="L1003" s="998">
        <v>3872794</v>
      </c>
      <c r="M1003" s="998">
        <v>0</v>
      </c>
      <c r="N1003" s="998">
        <v>0</v>
      </c>
      <c r="O1003" s="998">
        <f t="shared" si="344"/>
        <v>3872794</v>
      </c>
      <c r="P1003" s="998">
        <v>0</v>
      </c>
      <c r="Q1003" s="998">
        <v>0</v>
      </c>
      <c r="R1003" s="998">
        <f t="shared" si="345"/>
        <v>1008.4350588480366</v>
      </c>
      <c r="S1003" s="988">
        <v>2017</v>
      </c>
      <c r="T1003" s="988" t="s">
        <v>1269</v>
      </c>
    </row>
    <row r="1004" spans="1:20" s="1013" customFormat="1" ht="41.25" customHeight="1">
      <c r="A1004" s="1249">
        <v>80</v>
      </c>
      <c r="B1004" s="1371" t="s">
        <v>2073</v>
      </c>
      <c r="C1004" s="1249">
        <v>1988</v>
      </c>
      <c r="D1004" s="1249"/>
      <c r="E1004" s="1249" t="s">
        <v>220</v>
      </c>
      <c r="F1004" s="1249">
        <v>9</v>
      </c>
      <c r="G1004" s="1249">
        <v>4</v>
      </c>
      <c r="H1004" s="998">
        <v>8095.5</v>
      </c>
      <c r="I1004" s="998">
        <v>8108.1</v>
      </c>
      <c r="J1004" s="998">
        <f>I1004-321-456.5</f>
        <v>7330.6</v>
      </c>
      <c r="K1004" s="986">
        <v>345</v>
      </c>
      <c r="L1004" s="998">
        <v>2836922</v>
      </c>
      <c r="M1004" s="998">
        <v>0</v>
      </c>
      <c r="N1004" s="998">
        <v>0</v>
      </c>
      <c r="O1004" s="998">
        <f t="shared" si="344"/>
        <v>2836922</v>
      </c>
      <c r="P1004" s="998">
        <v>0</v>
      </c>
      <c r="Q1004" s="998">
        <v>0</v>
      </c>
      <c r="R1004" s="998">
        <f t="shared" si="345"/>
        <v>349.88739655406323</v>
      </c>
      <c r="S1004" s="988">
        <v>2017</v>
      </c>
      <c r="T1004" s="988" t="s">
        <v>1269</v>
      </c>
    </row>
    <row r="1005" spans="1:20" s="1013" customFormat="1" ht="41.25" customHeight="1">
      <c r="A1005" s="1249">
        <v>81</v>
      </c>
      <c r="B1005" s="1371" t="s">
        <v>2074</v>
      </c>
      <c r="C1005" s="1249">
        <v>1978</v>
      </c>
      <c r="D1005" s="1249"/>
      <c r="E1005" s="1249" t="s">
        <v>219</v>
      </c>
      <c r="F1005" s="1249">
        <v>5</v>
      </c>
      <c r="G1005" s="1249">
        <v>4</v>
      </c>
      <c r="H1005" s="998">
        <v>3038.9</v>
      </c>
      <c r="I1005" s="998">
        <v>2839</v>
      </c>
      <c r="J1005" s="998">
        <f>I1005-52.2</f>
        <v>2786.8</v>
      </c>
      <c r="K1005" s="986">
        <v>128</v>
      </c>
      <c r="L1005" s="998">
        <v>2030495</v>
      </c>
      <c r="M1005" s="998">
        <v>0</v>
      </c>
      <c r="N1005" s="998">
        <v>0</v>
      </c>
      <c r="O1005" s="998">
        <f t="shared" si="344"/>
        <v>2030495</v>
      </c>
      <c r="P1005" s="998">
        <v>0</v>
      </c>
      <c r="Q1005" s="998">
        <v>0</v>
      </c>
      <c r="R1005" s="998">
        <f t="shared" si="345"/>
        <v>715.21486438886927</v>
      </c>
      <c r="S1005" s="988">
        <v>2017</v>
      </c>
      <c r="T1005" s="988" t="s">
        <v>1269</v>
      </c>
    </row>
    <row r="1006" spans="1:20" s="1013" customFormat="1" ht="41.25" customHeight="1">
      <c r="A1006" s="1249">
        <v>82</v>
      </c>
      <c r="B1006" s="1371" t="s">
        <v>2075</v>
      </c>
      <c r="C1006" s="1249">
        <v>1974</v>
      </c>
      <c r="D1006" s="1249"/>
      <c r="E1006" s="1249" t="s">
        <v>219</v>
      </c>
      <c r="F1006" s="1249">
        <v>9</v>
      </c>
      <c r="G1006" s="1249">
        <v>2</v>
      </c>
      <c r="H1006" s="998">
        <v>4376.8</v>
      </c>
      <c r="I1006" s="998">
        <v>3852.4</v>
      </c>
      <c r="J1006" s="998">
        <f>I1006-249.9</f>
        <v>3602.5</v>
      </c>
      <c r="K1006" s="986">
        <v>177</v>
      </c>
      <c r="L1006" s="998">
        <v>1761507</v>
      </c>
      <c r="M1006" s="998">
        <v>0</v>
      </c>
      <c r="N1006" s="998">
        <v>0</v>
      </c>
      <c r="O1006" s="998">
        <f t="shared" si="344"/>
        <v>1761507</v>
      </c>
      <c r="P1006" s="998">
        <v>0</v>
      </c>
      <c r="Q1006" s="998">
        <v>0</v>
      </c>
      <c r="R1006" s="998">
        <f t="shared" si="345"/>
        <v>457.24924722251063</v>
      </c>
      <c r="S1006" s="988">
        <v>2017</v>
      </c>
      <c r="T1006" s="988" t="s">
        <v>1269</v>
      </c>
    </row>
    <row r="1007" spans="1:20" s="1013" customFormat="1" ht="41.25" customHeight="1">
      <c r="A1007" s="1249">
        <v>83</v>
      </c>
      <c r="B1007" s="1371" t="s">
        <v>2076</v>
      </c>
      <c r="C1007" s="1249">
        <v>1974</v>
      </c>
      <c r="D1007" s="1249"/>
      <c r="E1007" s="1249" t="s">
        <v>219</v>
      </c>
      <c r="F1007" s="1249">
        <v>9</v>
      </c>
      <c r="G1007" s="1249">
        <v>2</v>
      </c>
      <c r="H1007" s="998">
        <v>4329.84</v>
      </c>
      <c r="I1007" s="998">
        <v>3860.8</v>
      </c>
      <c r="J1007" s="998">
        <f>I1007-148.9</f>
        <v>3711.9</v>
      </c>
      <c r="K1007" s="986">
        <v>172</v>
      </c>
      <c r="L1007" s="998">
        <v>1489178</v>
      </c>
      <c r="M1007" s="998">
        <v>0</v>
      </c>
      <c r="N1007" s="998">
        <v>0</v>
      </c>
      <c r="O1007" s="998">
        <f t="shared" si="344"/>
        <v>1489178</v>
      </c>
      <c r="P1007" s="998">
        <v>0</v>
      </c>
      <c r="Q1007" s="998">
        <v>0</v>
      </c>
      <c r="R1007" s="998">
        <f t="shared" si="345"/>
        <v>385.71746788230416</v>
      </c>
      <c r="S1007" s="988">
        <v>2017</v>
      </c>
      <c r="T1007" s="988" t="s">
        <v>1269</v>
      </c>
    </row>
    <row r="1008" spans="1:20" s="1013" customFormat="1" ht="41.25" customHeight="1">
      <c r="A1008" s="1249">
        <v>84</v>
      </c>
      <c r="B1008" s="1371" t="s">
        <v>2077</v>
      </c>
      <c r="C1008" s="1249">
        <v>1991</v>
      </c>
      <c r="D1008" s="1249"/>
      <c r="E1008" s="1249" t="s">
        <v>219</v>
      </c>
      <c r="F1008" s="1249">
        <v>10</v>
      </c>
      <c r="G1008" s="1249">
        <v>2</v>
      </c>
      <c r="H1008" s="998">
        <v>5754.7</v>
      </c>
      <c r="I1008" s="998">
        <v>4999.1000000000004</v>
      </c>
      <c r="J1008" s="998">
        <f>I1008-126.5-492.5</f>
        <v>4380.1000000000004</v>
      </c>
      <c r="K1008" s="986">
        <v>198</v>
      </c>
      <c r="L1008" s="998">
        <v>9225359</v>
      </c>
      <c r="M1008" s="998">
        <v>0</v>
      </c>
      <c r="N1008" s="998">
        <v>0</v>
      </c>
      <c r="O1008" s="998">
        <f t="shared" si="344"/>
        <v>9225359</v>
      </c>
      <c r="P1008" s="998">
        <v>0</v>
      </c>
      <c r="Q1008" s="998">
        <v>0</v>
      </c>
      <c r="R1008" s="998">
        <f t="shared" si="345"/>
        <v>1845.4039727150887</v>
      </c>
      <c r="S1008" s="988">
        <v>2017</v>
      </c>
      <c r="T1008" s="988" t="s">
        <v>1269</v>
      </c>
    </row>
    <row r="1009" spans="1:185" s="1013" customFormat="1" ht="41.25" customHeight="1">
      <c r="A1009" s="1249">
        <v>85</v>
      </c>
      <c r="B1009" s="1371" t="s">
        <v>2078</v>
      </c>
      <c r="C1009" s="1249">
        <v>1950</v>
      </c>
      <c r="D1009" s="1249"/>
      <c r="E1009" s="1249" t="s">
        <v>218</v>
      </c>
      <c r="F1009" s="1249">
        <v>2</v>
      </c>
      <c r="G1009" s="1249">
        <v>3</v>
      </c>
      <c r="H1009" s="998">
        <v>1313.5</v>
      </c>
      <c r="I1009" s="998">
        <v>1198.2</v>
      </c>
      <c r="J1009" s="998">
        <f>I1009-28.1-213.1</f>
        <v>957.00000000000011</v>
      </c>
      <c r="K1009" s="986">
        <v>53</v>
      </c>
      <c r="L1009" s="998">
        <v>2595070</v>
      </c>
      <c r="M1009" s="998">
        <v>0</v>
      </c>
      <c r="N1009" s="998">
        <v>0</v>
      </c>
      <c r="O1009" s="998">
        <f t="shared" si="344"/>
        <v>2595070</v>
      </c>
      <c r="P1009" s="998">
        <v>0</v>
      </c>
      <c r="Q1009" s="998">
        <v>0</v>
      </c>
      <c r="R1009" s="998">
        <f t="shared" si="345"/>
        <v>2165.8070438991822</v>
      </c>
      <c r="S1009" s="988">
        <v>2017</v>
      </c>
      <c r="T1009" s="988" t="s">
        <v>1269</v>
      </c>
    </row>
    <row r="1010" spans="1:185" s="1013" customFormat="1" ht="41.25" customHeight="1">
      <c r="A1010" s="1249">
        <v>86</v>
      </c>
      <c r="B1010" s="1371" t="s">
        <v>2079</v>
      </c>
      <c r="C1010" s="1249">
        <v>1977</v>
      </c>
      <c r="D1010" s="1249"/>
      <c r="E1010" s="1249" t="s">
        <v>219</v>
      </c>
      <c r="F1010" s="1249">
        <v>9</v>
      </c>
      <c r="G1010" s="1249">
        <v>1</v>
      </c>
      <c r="H1010" s="998">
        <v>2183.6</v>
      </c>
      <c r="I1010" s="998">
        <v>1930.8</v>
      </c>
      <c r="J1010" s="998">
        <f>I1010-216.5</f>
        <v>1714.3</v>
      </c>
      <c r="K1010" s="986">
        <v>83</v>
      </c>
      <c r="L1010" s="998">
        <v>840712</v>
      </c>
      <c r="M1010" s="998">
        <v>0</v>
      </c>
      <c r="N1010" s="998">
        <v>0</v>
      </c>
      <c r="O1010" s="998">
        <f t="shared" si="344"/>
        <v>840712</v>
      </c>
      <c r="P1010" s="998">
        <v>0</v>
      </c>
      <c r="Q1010" s="998">
        <v>0</v>
      </c>
      <c r="R1010" s="998">
        <f t="shared" si="345"/>
        <v>435.42158690698159</v>
      </c>
      <c r="S1010" s="988">
        <v>2017</v>
      </c>
      <c r="T1010" s="988" t="s">
        <v>1269</v>
      </c>
    </row>
    <row r="1011" spans="1:185" s="1031" customFormat="1" ht="41.25" customHeight="1">
      <c r="A1011" s="1249">
        <v>87</v>
      </c>
      <c r="B1011" s="1371" t="s">
        <v>1901</v>
      </c>
      <c r="C1011" s="1249">
        <v>1978</v>
      </c>
      <c r="D1011" s="1249"/>
      <c r="E1011" s="1249" t="s">
        <v>219</v>
      </c>
      <c r="F1011" s="1249">
        <v>9</v>
      </c>
      <c r="G1011" s="1249">
        <v>4</v>
      </c>
      <c r="H1011" s="998">
        <v>7904.7</v>
      </c>
      <c r="I1011" s="998">
        <v>7844.3</v>
      </c>
      <c r="J1011" s="998">
        <f>I1011-456.8</f>
        <v>7387.5</v>
      </c>
      <c r="K1011" s="986">
        <v>368</v>
      </c>
      <c r="L1011" s="998">
        <v>3135690</v>
      </c>
      <c r="M1011" s="998">
        <v>0</v>
      </c>
      <c r="N1011" s="998">
        <v>0</v>
      </c>
      <c r="O1011" s="998">
        <f t="shared" si="344"/>
        <v>3135690</v>
      </c>
      <c r="P1011" s="998">
        <v>0</v>
      </c>
      <c r="Q1011" s="998">
        <v>0</v>
      </c>
      <c r="R1011" s="998">
        <f t="shared" si="345"/>
        <v>399.7412133651186</v>
      </c>
      <c r="S1011" s="988">
        <v>2017</v>
      </c>
      <c r="T1011" s="988" t="s">
        <v>1269</v>
      </c>
    </row>
    <row r="1012" spans="1:185" s="1032" customFormat="1" ht="41.25" customHeight="1">
      <c r="A1012" s="1249">
        <v>88</v>
      </c>
      <c r="B1012" s="1371" t="s">
        <v>2080</v>
      </c>
      <c r="C1012" s="1249">
        <v>1950</v>
      </c>
      <c r="D1012" s="1249"/>
      <c r="E1012" s="1249" t="s">
        <v>823</v>
      </c>
      <c r="F1012" s="1249">
        <v>2</v>
      </c>
      <c r="G1012" s="1249">
        <v>3</v>
      </c>
      <c r="H1012" s="998">
        <v>1076</v>
      </c>
      <c r="I1012" s="998">
        <v>1042.3</v>
      </c>
      <c r="J1012" s="998">
        <f>I1012-108.6</f>
        <v>933.69999999999993</v>
      </c>
      <c r="K1012" s="986">
        <v>33</v>
      </c>
      <c r="L1012" s="998">
        <v>454703</v>
      </c>
      <c r="M1012" s="998">
        <v>0</v>
      </c>
      <c r="N1012" s="998">
        <v>0</v>
      </c>
      <c r="O1012" s="998">
        <f t="shared" si="344"/>
        <v>454703</v>
      </c>
      <c r="P1012" s="998">
        <v>0</v>
      </c>
      <c r="Q1012" s="998">
        <v>0</v>
      </c>
      <c r="R1012" s="998">
        <f t="shared" si="345"/>
        <v>436.249640218747</v>
      </c>
      <c r="S1012" s="988">
        <v>2017</v>
      </c>
      <c r="T1012" s="988" t="s">
        <v>1269</v>
      </c>
    </row>
    <row r="1013" spans="1:185" s="1028" customFormat="1" ht="41.25" customHeight="1">
      <c r="A1013" s="1249">
        <v>89</v>
      </c>
      <c r="B1013" s="1371" t="s">
        <v>2081</v>
      </c>
      <c r="C1013" s="1249">
        <v>1971</v>
      </c>
      <c r="D1013" s="1249"/>
      <c r="E1013" s="1249" t="s">
        <v>219</v>
      </c>
      <c r="F1013" s="1249">
        <v>5</v>
      </c>
      <c r="G1013" s="1249">
        <v>10</v>
      </c>
      <c r="H1013" s="998">
        <v>7462</v>
      </c>
      <c r="I1013" s="998">
        <v>6460.6</v>
      </c>
      <c r="J1013" s="998">
        <f>I1013-383.2</f>
        <v>6077.4000000000005</v>
      </c>
      <c r="K1013" s="986">
        <v>359</v>
      </c>
      <c r="L1013" s="998">
        <v>3313369</v>
      </c>
      <c r="M1013" s="998">
        <v>0</v>
      </c>
      <c r="N1013" s="998">
        <v>0</v>
      </c>
      <c r="O1013" s="998">
        <f t="shared" si="344"/>
        <v>3313369</v>
      </c>
      <c r="P1013" s="998">
        <v>0</v>
      </c>
      <c r="Q1013" s="998">
        <v>0</v>
      </c>
      <c r="R1013" s="998">
        <f t="shared" si="345"/>
        <v>512.85778410673925</v>
      </c>
      <c r="S1013" s="988">
        <v>2017</v>
      </c>
      <c r="T1013" s="988" t="s">
        <v>1269</v>
      </c>
    </row>
    <row r="1014" spans="1:185" s="1028" customFormat="1" ht="41.25" customHeight="1">
      <c r="A1014" s="1249">
        <v>90</v>
      </c>
      <c r="B1014" s="1371" t="s">
        <v>2082</v>
      </c>
      <c r="C1014" s="1249">
        <v>1961</v>
      </c>
      <c r="D1014" s="1249"/>
      <c r="E1014" s="1249" t="s">
        <v>218</v>
      </c>
      <c r="F1014" s="1249">
        <v>5</v>
      </c>
      <c r="G1014" s="1249">
        <v>4</v>
      </c>
      <c r="H1014" s="998">
        <v>3497.7</v>
      </c>
      <c r="I1014" s="998">
        <v>3191.1</v>
      </c>
      <c r="J1014" s="998">
        <f>I1014-97.7-147.9</f>
        <v>2945.5</v>
      </c>
      <c r="K1014" s="986">
        <v>118</v>
      </c>
      <c r="L1014" s="998">
        <v>1495621</v>
      </c>
      <c r="M1014" s="998">
        <v>0</v>
      </c>
      <c r="N1014" s="998">
        <v>0</v>
      </c>
      <c r="O1014" s="998">
        <f t="shared" si="344"/>
        <v>1495621</v>
      </c>
      <c r="P1014" s="998">
        <v>0</v>
      </c>
      <c r="Q1014" s="998">
        <v>0</v>
      </c>
      <c r="R1014" s="998">
        <f t="shared" si="345"/>
        <v>468.68509291466893</v>
      </c>
      <c r="S1014" s="988">
        <v>2017</v>
      </c>
      <c r="T1014" s="988" t="s">
        <v>1269</v>
      </c>
    </row>
    <row r="1015" spans="1:185" s="1028" customFormat="1" ht="41.25" customHeight="1">
      <c r="A1015" s="1249">
        <v>91</v>
      </c>
      <c r="B1015" s="1371" t="s">
        <v>2083</v>
      </c>
      <c r="C1015" s="1249" t="s">
        <v>190</v>
      </c>
      <c r="D1015" s="1249"/>
      <c r="E1015" s="1249" t="s">
        <v>218</v>
      </c>
      <c r="F1015" s="1249">
        <v>3</v>
      </c>
      <c r="G1015" s="1249">
        <v>2</v>
      </c>
      <c r="H1015" s="998">
        <v>781.9</v>
      </c>
      <c r="I1015" s="998">
        <v>709.4</v>
      </c>
      <c r="J1015" s="998">
        <f>I1015-342.9-43.4</f>
        <v>323.10000000000002</v>
      </c>
      <c r="K1015" s="986">
        <v>42</v>
      </c>
      <c r="L1015" s="998">
        <v>3635931</v>
      </c>
      <c r="M1015" s="998">
        <v>0</v>
      </c>
      <c r="N1015" s="998">
        <v>0</v>
      </c>
      <c r="O1015" s="998">
        <f t="shared" si="344"/>
        <v>3635931</v>
      </c>
      <c r="P1015" s="998">
        <v>0</v>
      </c>
      <c r="Q1015" s="998">
        <v>0</v>
      </c>
      <c r="R1015" s="998">
        <f t="shared" si="345"/>
        <v>5125.3608683394423</v>
      </c>
      <c r="S1015" s="988">
        <v>2017</v>
      </c>
      <c r="T1015" s="988" t="s">
        <v>1269</v>
      </c>
    </row>
    <row r="1016" spans="1:185" s="1028" customFormat="1" ht="41.25" customHeight="1">
      <c r="A1016" s="1249">
        <v>92</v>
      </c>
      <c r="B1016" s="1371" t="s">
        <v>263</v>
      </c>
      <c r="C1016" s="1249">
        <v>1949</v>
      </c>
      <c r="D1016" s="1249"/>
      <c r="E1016" s="1249" t="s">
        <v>218</v>
      </c>
      <c r="F1016" s="1249">
        <v>2</v>
      </c>
      <c r="G1016" s="1249">
        <v>2</v>
      </c>
      <c r="H1016" s="998">
        <v>782.2</v>
      </c>
      <c r="I1016" s="998">
        <v>704.6</v>
      </c>
      <c r="J1016" s="998">
        <f>I1016-103.4</f>
        <v>601.20000000000005</v>
      </c>
      <c r="K1016" s="986">
        <v>39</v>
      </c>
      <c r="L1016" s="998">
        <v>474537</v>
      </c>
      <c r="M1016" s="998">
        <v>0</v>
      </c>
      <c r="N1016" s="998">
        <v>0</v>
      </c>
      <c r="O1016" s="998">
        <f t="shared" si="344"/>
        <v>474537</v>
      </c>
      <c r="P1016" s="998">
        <v>0</v>
      </c>
      <c r="Q1016" s="998">
        <v>0</v>
      </c>
      <c r="R1016" s="998">
        <f t="shared" si="345"/>
        <v>673.48424638092536</v>
      </c>
      <c r="S1016" s="988">
        <v>2017</v>
      </c>
      <c r="T1016" s="988" t="s">
        <v>1269</v>
      </c>
    </row>
    <row r="1017" spans="1:185" s="1033" customFormat="1" ht="41.25" customHeight="1">
      <c r="A1017" s="1249">
        <v>93</v>
      </c>
      <c r="B1017" s="1371" t="s">
        <v>2084</v>
      </c>
      <c r="C1017" s="1249">
        <v>1950</v>
      </c>
      <c r="D1017" s="1249"/>
      <c r="E1017" s="1249" t="s">
        <v>823</v>
      </c>
      <c r="F1017" s="1249">
        <v>2</v>
      </c>
      <c r="G1017" s="1249">
        <v>2</v>
      </c>
      <c r="H1017" s="998">
        <v>777.7</v>
      </c>
      <c r="I1017" s="998">
        <v>701.7</v>
      </c>
      <c r="J1017" s="998">
        <f>I1017-35.5</f>
        <v>666.2</v>
      </c>
      <c r="K1017" s="986">
        <v>42</v>
      </c>
      <c r="L1017" s="998">
        <v>472639</v>
      </c>
      <c r="M1017" s="998">
        <v>0</v>
      </c>
      <c r="N1017" s="998">
        <v>0</v>
      </c>
      <c r="O1017" s="998">
        <f t="shared" si="344"/>
        <v>472639</v>
      </c>
      <c r="P1017" s="998">
        <v>0</v>
      </c>
      <c r="Q1017" s="998">
        <v>0</v>
      </c>
      <c r="R1017" s="998">
        <f t="shared" si="345"/>
        <v>673.56277611514884</v>
      </c>
      <c r="S1017" s="988">
        <v>2017</v>
      </c>
      <c r="T1017" s="988" t="s">
        <v>1269</v>
      </c>
    </row>
    <row r="1018" spans="1:185" s="1028" customFormat="1" ht="41.25" customHeight="1">
      <c r="A1018" s="1249">
        <v>94</v>
      </c>
      <c r="B1018" s="1371" t="s">
        <v>1735</v>
      </c>
      <c r="C1018" s="1249">
        <v>1970</v>
      </c>
      <c r="D1018" s="1249"/>
      <c r="E1018" s="1249" t="s">
        <v>219</v>
      </c>
      <c r="F1018" s="1249">
        <v>5</v>
      </c>
      <c r="G1018" s="1249">
        <v>8</v>
      </c>
      <c r="H1018" s="998">
        <v>6282.2</v>
      </c>
      <c r="I1018" s="998">
        <v>5721.3</v>
      </c>
      <c r="J1018" s="998">
        <f>I1018-425.8-134.6</f>
        <v>5160.8999999999996</v>
      </c>
      <c r="K1018" s="986">
        <v>301</v>
      </c>
      <c r="L1018" s="998">
        <v>7502217</v>
      </c>
      <c r="M1018" s="998">
        <v>0</v>
      </c>
      <c r="N1018" s="998">
        <v>0</v>
      </c>
      <c r="O1018" s="998">
        <f t="shared" si="344"/>
        <v>7502217</v>
      </c>
      <c r="P1018" s="998">
        <v>0</v>
      </c>
      <c r="Q1018" s="998">
        <v>0</v>
      </c>
      <c r="R1018" s="998">
        <f t="shared" si="345"/>
        <v>1311.2783807875833</v>
      </c>
      <c r="S1018" s="988">
        <v>2017</v>
      </c>
      <c r="T1018" s="988" t="s">
        <v>1269</v>
      </c>
      <c r="U1018" s="1029"/>
      <c r="V1018" s="1029"/>
      <c r="W1018" s="1029"/>
      <c r="X1018" s="1029"/>
      <c r="Y1018" s="1029"/>
      <c r="Z1018" s="1029"/>
      <c r="AA1018" s="1029"/>
      <c r="AB1018" s="1029"/>
      <c r="AC1018" s="1029"/>
      <c r="AD1018" s="1029"/>
      <c r="AE1018" s="1029"/>
      <c r="AF1018" s="1029"/>
      <c r="AG1018" s="1029"/>
      <c r="AH1018" s="1029"/>
      <c r="AI1018" s="1029"/>
      <c r="AJ1018" s="1029"/>
      <c r="AK1018" s="1029"/>
      <c r="AL1018" s="1029"/>
      <c r="AM1018" s="1029"/>
      <c r="AN1018" s="1029"/>
      <c r="AO1018" s="1029"/>
      <c r="AP1018" s="1029"/>
      <c r="AQ1018" s="1029"/>
      <c r="AR1018" s="1029"/>
      <c r="AS1018" s="1029"/>
      <c r="AT1018" s="1029"/>
      <c r="AU1018" s="1029"/>
      <c r="AV1018" s="1029"/>
      <c r="AW1018" s="1029"/>
      <c r="AX1018" s="1029"/>
      <c r="AY1018" s="1029"/>
      <c r="AZ1018" s="1029"/>
      <c r="BA1018" s="1029"/>
      <c r="BB1018" s="1029"/>
      <c r="BC1018" s="1029"/>
      <c r="BD1018" s="1029"/>
      <c r="BE1018" s="1029"/>
      <c r="BF1018" s="1029"/>
      <c r="BG1018" s="1029"/>
      <c r="BH1018" s="1029"/>
      <c r="BI1018" s="1029"/>
      <c r="BJ1018" s="1029"/>
      <c r="BK1018" s="1029"/>
      <c r="BL1018" s="1029"/>
      <c r="BM1018" s="1029"/>
      <c r="BN1018" s="1029"/>
      <c r="BO1018" s="1029"/>
      <c r="BP1018" s="1029"/>
      <c r="BQ1018" s="1029"/>
      <c r="BR1018" s="1029"/>
      <c r="BS1018" s="1029"/>
      <c r="BT1018" s="1029"/>
      <c r="BU1018" s="1029"/>
      <c r="BV1018" s="1029"/>
      <c r="BW1018" s="1029"/>
      <c r="BX1018" s="1029"/>
      <c r="BY1018" s="1029"/>
      <c r="BZ1018" s="1029"/>
      <c r="CA1018" s="1029"/>
      <c r="CB1018" s="1029"/>
      <c r="CC1018" s="1029"/>
      <c r="CD1018" s="1029"/>
      <c r="CE1018" s="1029"/>
      <c r="CF1018" s="1029"/>
      <c r="CG1018" s="1029"/>
      <c r="CH1018" s="1029"/>
      <c r="CI1018" s="1029"/>
      <c r="CJ1018" s="1029"/>
      <c r="CK1018" s="1029"/>
      <c r="CL1018" s="1029"/>
      <c r="CM1018" s="1029"/>
      <c r="CN1018" s="1029"/>
      <c r="CO1018" s="1029"/>
      <c r="CP1018" s="1029"/>
      <c r="CQ1018" s="1029"/>
      <c r="CR1018" s="1029"/>
      <c r="CS1018" s="1029"/>
      <c r="CT1018" s="1029"/>
      <c r="CU1018" s="1029"/>
      <c r="CV1018" s="1029"/>
      <c r="CW1018" s="1029"/>
      <c r="CX1018" s="1029"/>
      <c r="CY1018" s="1029"/>
      <c r="CZ1018" s="1029"/>
      <c r="DA1018" s="1029"/>
      <c r="DB1018" s="1029"/>
      <c r="DC1018" s="1029"/>
      <c r="DD1018" s="1029"/>
      <c r="DE1018" s="1029"/>
      <c r="DF1018" s="1029"/>
      <c r="DG1018" s="1029"/>
      <c r="DH1018" s="1029"/>
      <c r="DI1018" s="1029"/>
      <c r="DJ1018" s="1029"/>
      <c r="DK1018" s="1029"/>
      <c r="DL1018" s="1029"/>
      <c r="DM1018" s="1029"/>
      <c r="DN1018" s="1029"/>
      <c r="DO1018" s="1029"/>
      <c r="DP1018" s="1029"/>
      <c r="DQ1018" s="1029"/>
      <c r="DR1018" s="1029"/>
      <c r="DS1018" s="1029"/>
      <c r="DT1018" s="1029"/>
      <c r="DU1018" s="1029"/>
      <c r="DV1018" s="1029"/>
      <c r="DW1018" s="1029"/>
      <c r="DX1018" s="1029"/>
      <c r="DY1018" s="1029"/>
      <c r="DZ1018" s="1029"/>
      <c r="EA1018" s="1029"/>
      <c r="EB1018" s="1029"/>
      <c r="EC1018" s="1029"/>
      <c r="ED1018" s="1029"/>
      <c r="EE1018" s="1029"/>
      <c r="EF1018" s="1029"/>
      <c r="EG1018" s="1029"/>
      <c r="EH1018" s="1029"/>
      <c r="EI1018" s="1029"/>
      <c r="EJ1018" s="1029"/>
      <c r="EK1018" s="1029"/>
      <c r="EL1018" s="1029"/>
      <c r="EM1018" s="1029"/>
      <c r="EN1018" s="1029"/>
      <c r="EO1018" s="1029"/>
      <c r="EP1018" s="1029"/>
      <c r="EQ1018" s="1029"/>
      <c r="ER1018" s="1029"/>
      <c r="ES1018" s="1029"/>
      <c r="ET1018" s="1029"/>
      <c r="EU1018" s="1029"/>
      <c r="EV1018" s="1029"/>
      <c r="EW1018" s="1029"/>
      <c r="EX1018" s="1029"/>
      <c r="EY1018" s="1029"/>
      <c r="EZ1018" s="1029"/>
      <c r="FA1018" s="1029"/>
      <c r="FB1018" s="1029"/>
      <c r="FC1018" s="1029"/>
      <c r="FD1018" s="1029"/>
      <c r="FE1018" s="1029"/>
      <c r="FF1018" s="1029"/>
      <c r="FG1018" s="1029"/>
      <c r="FH1018" s="1029"/>
      <c r="FI1018" s="1029"/>
      <c r="FJ1018" s="1029"/>
      <c r="FK1018" s="1029"/>
      <c r="FL1018" s="1029"/>
      <c r="FM1018" s="1029"/>
      <c r="FN1018" s="1029"/>
      <c r="FO1018" s="1029"/>
      <c r="FP1018" s="1029"/>
      <c r="FQ1018" s="1029"/>
      <c r="FR1018" s="1029"/>
      <c r="FS1018" s="1029"/>
      <c r="FT1018" s="1029"/>
      <c r="FU1018" s="1029"/>
      <c r="FV1018" s="1029"/>
      <c r="FW1018" s="1029"/>
      <c r="FX1018" s="1029"/>
      <c r="FY1018" s="1029"/>
      <c r="FZ1018" s="1029"/>
      <c r="GA1018" s="1029"/>
      <c r="GB1018" s="1029"/>
      <c r="GC1018" s="1029"/>
    </row>
    <row r="1019" spans="1:185" s="1028" customFormat="1" ht="41.25" customHeight="1">
      <c r="A1019" s="1249">
        <v>95</v>
      </c>
      <c r="B1019" s="1371" t="s">
        <v>2085</v>
      </c>
      <c r="C1019" s="1249">
        <v>1962</v>
      </c>
      <c r="D1019" s="1249"/>
      <c r="E1019" s="1249" t="s">
        <v>218</v>
      </c>
      <c r="F1019" s="1249">
        <v>4</v>
      </c>
      <c r="G1019" s="1249">
        <v>2</v>
      </c>
      <c r="H1019" s="998">
        <v>1289</v>
      </c>
      <c r="I1019" s="998">
        <v>1263.0999999999999</v>
      </c>
      <c r="J1019" s="998">
        <f>I1019-56-31.8</f>
        <v>1175.3</v>
      </c>
      <c r="K1019" s="986">
        <v>67</v>
      </c>
      <c r="L1019" s="998">
        <v>593036</v>
      </c>
      <c r="M1019" s="998">
        <v>0</v>
      </c>
      <c r="N1019" s="998">
        <v>0</v>
      </c>
      <c r="O1019" s="998">
        <f t="shared" ref="O1019:O1028" si="346">L1019</f>
        <v>593036</v>
      </c>
      <c r="P1019" s="998">
        <v>0</v>
      </c>
      <c r="Q1019" s="998">
        <v>0</v>
      </c>
      <c r="R1019" s="998">
        <f t="shared" si="345"/>
        <v>469.50835246615475</v>
      </c>
      <c r="S1019" s="988">
        <v>2017</v>
      </c>
      <c r="T1019" s="988" t="s">
        <v>1269</v>
      </c>
      <c r="U1019" s="1029"/>
      <c r="V1019" s="1029"/>
      <c r="W1019" s="1029"/>
      <c r="X1019" s="1029"/>
      <c r="Y1019" s="1029"/>
      <c r="Z1019" s="1029"/>
      <c r="AA1019" s="1029"/>
      <c r="AB1019" s="1029"/>
      <c r="AC1019" s="1029"/>
      <c r="AD1019" s="1029"/>
      <c r="AE1019" s="1029"/>
      <c r="AF1019" s="1029"/>
      <c r="AG1019" s="1029"/>
      <c r="AH1019" s="1029"/>
      <c r="AI1019" s="1029"/>
      <c r="AJ1019" s="1029"/>
      <c r="AK1019" s="1029"/>
      <c r="AL1019" s="1029"/>
      <c r="AM1019" s="1029"/>
      <c r="AN1019" s="1029"/>
      <c r="AO1019" s="1029"/>
      <c r="AP1019" s="1029"/>
      <c r="AQ1019" s="1029"/>
      <c r="AR1019" s="1029"/>
      <c r="AS1019" s="1029"/>
      <c r="AT1019" s="1029"/>
      <c r="AU1019" s="1029"/>
      <c r="AV1019" s="1029"/>
      <c r="AW1019" s="1029"/>
      <c r="AX1019" s="1029"/>
      <c r="AY1019" s="1029"/>
      <c r="AZ1019" s="1029"/>
      <c r="BA1019" s="1029"/>
      <c r="BB1019" s="1029"/>
      <c r="BC1019" s="1029"/>
      <c r="BD1019" s="1029"/>
      <c r="BE1019" s="1029"/>
      <c r="BF1019" s="1029"/>
      <c r="BG1019" s="1029"/>
      <c r="BH1019" s="1029"/>
      <c r="BI1019" s="1029"/>
      <c r="BJ1019" s="1029"/>
      <c r="BK1019" s="1029"/>
      <c r="BL1019" s="1029"/>
      <c r="BM1019" s="1029"/>
      <c r="BN1019" s="1029"/>
      <c r="BO1019" s="1029"/>
      <c r="BP1019" s="1029"/>
      <c r="BQ1019" s="1029"/>
      <c r="BR1019" s="1029"/>
      <c r="BS1019" s="1029"/>
      <c r="BT1019" s="1029"/>
      <c r="BU1019" s="1029"/>
      <c r="BV1019" s="1029"/>
      <c r="BW1019" s="1029"/>
      <c r="BX1019" s="1029"/>
      <c r="BY1019" s="1029"/>
      <c r="BZ1019" s="1029"/>
      <c r="CA1019" s="1029"/>
      <c r="CB1019" s="1029"/>
      <c r="CC1019" s="1029"/>
      <c r="CD1019" s="1029"/>
      <c r="CE1019" s="1029"/>
      <c r="CF1019" s="1029"/>
      <c r="CG1019" s="1029"/>
      <c r="CH1019" s="1029"/>
      <c r="CI1019" s="1029"/>
      <c r="CJ1019" s="1029"/>
      <c r="CK1019" s="1029"/>
      <c r="CL1019" s="1029"/>
      <c r="CM1019" s="1029"/>
      <c r="CN1019" s="1029"/>
      <c r="CO1019" s="1029"/>
      <c r="CP1019" s="1029"/>
      <c r="CQ1019" s="1029"/>
      <c r="CR1019" s="1029"/>
      <c r="CS1019" s="1029"/>
      <c r="CT1019" s="1029"/>
      <c r="CU1019" s="1029"/>
      <c r="CV1019" s="1029"/>
      <c r="CW1019" s="1029"/>
      <c r="CX1019" s="1029"/>
      <c r="CY1019" s="1029"/>
      <c r="CZ1019" s="1029"/>
      <c r="DA1019" s="1029"/>
      <c r="DB1019" s="1029"/>
      <c r="DC1019" s="1029"/>
      <c r="DD1019" s="1029"/>
      <c r="DE1019" s="1029"/>
      <c r="DF1019" s="1029"/>
      <c r="DG1019" s="1029"/>
      <c r="DH1019" s="1029"/>
      <c r="DI1019" s="1029"/>
      <c r="DJ1019" s="1029"/>
      <c r="DK1019" s="1029"/>
      <c r="DL1019" s="1029"/>
      <c r="DM1019" s="1029"/>
      <c r="DN1019" s="1029"/>
      <c r="DO1019" s="1029"/>
      <c r="DP1019" s="1029"/>
      <c r="DQ1019" s="1029"/>
      <c r="DR1019" s="1029"/>
      <c r="DS1019" s="1029"/>
      <c r="DT1019" s="1029"/>
      <c r="DU1019" s="1029"/>
      <c r="DV1019" s="1029"/>
      <c r="DW1019" s="1029"/>
      <c r="DX1019" s="1029"/>
      <c r="DY1019" s="1029"/>
      <c r="DZ1019" s="1029"/>
      <c r="EA1019" s="1029"/>
      <c r="EB1019" s="1029"/>
      <c r="EC1019" s="1029"/>
      <c r="ED1019" s="1029"/>
      <c r="EE1019" s="1029"/>
      <c r="EF1019" s="1029"/>
      <c r="EG1019" s="1029"/>
      <c r="EH1019" s="1029"/>
      <c r="EI1019" s="1029"/>
      <c r="EJ1019" s="1029"/>
      <c r="EK1019" s="1029"/>
      <c r="EL1019" s="1029"/>
      <c r="EM1019" s="1029"/>
      <c r="EN1019" s="1029"/>
      <c r="EO1019" s="1029"/>
      <c r="EP1019" s="1029"/>
      <c r="EQ1019" s="1029"/>
      <c r="ER1019" s="1029"/>
      <c r="ES1019" s="1029"/>
      <c r="ET1019" s="1029"/>
      <c r="EU1019" s="1029"/>
      <c r="EV1019" s="1029"/>
      <c r="EW1019" s="1029"/>
      <c r="EX1019" s="1029"/>
      <c r="EY1019" s="1029"/>
      <c r="EZ1019" s="1029"/>
      <c r="FA1019" s="1029"/>
      <c r="FB1019" s="1029"/>
      <c r="FC1019" s="1029"/>
      <c r="FD1019" s="1029"/>
      <c r="FE1019" s="1029"/>
      <c r="FF1019" s="1029"/>
      <c r="FG1019" s="1029"/>
      <c r="FH1019" s="1029"/>
      <c r="FI1019" s="1029"/>
      <c r="FJ1019" s="1029"/>
      <c r="FK1019" s="1029"/>
      <c r="FL1019" s="1029"/>
      <c r="FM1019" s="1029"/>
      <c r="FN1019" s="1029"/>
      <c r="FO1019" s="1029"/>
      <c r="FP1019" s="1029"/>
      <c r="FQ1019" s="1029"/>
      <c r="FR1019" s="1029"/>
      <c r="FS1019" s="1029"/>
      <c r="FT1019" s="1029"/>
      <c r="FU1019" s="1029"/>
      <c r="FV1019" s="1029"/>
      <c r="FW1019" s="1029"/>
      <c r="FX1019" s="1029"/>
      <c r="FY1019" s="1029"/>
      <c r="FZ1019" s="1029"/>
      <c r="GA1019" s="1029"/>
      <c r="GB1019" s="1029"/>
      <c r="GC1019" s="1029"/>
    </row>
    <row r="1020" spans="1:185" s="1028" customFormat="1" ht="41.25" customHeight="1">
      <c r="A1020" s="1249">
        <v>96</v>
      </c>
      <c r="B1020" s="1371" t="s">
        <v>2086</v>
      </c>
      <c r="C1020" s="1249">
        <v>1926</v>
      </c>
      <c r="D1020" s="1249"/>
      <c r="E1020" s="1249" t="s">
        <v>221</v>
      </c>
      <c r="F1020" s="1249">
        <v>2</v>
      </c>
      <c r="G1020" s="1249">
        <v>2</v>
      </c>
      <c r="H1020" s="998">
        <v>548.4</v>
      </c>
      <c r="I1020" s="998">
        <v>422.7</v>
      </c>
      <c r="J1020" s="998">
        <f>I1020-137.47</f>
        <v>285.23</v>
      </c>
      <c r="K1020" s="986">
        <v>24</v>
      </c>
      <c r="L1020" s="998">
        <v>1238157</v>
      </c>
      <c r="M1020" s="998">
        <v>0</v>
      </c>
      <c r="N1020" s="998">
        <v>0</v>
      </c>
      <c r="O1020" s="998">
        <f t="shared" si="346"/>
        <v>1238157</v>
      </c>
      <c r="P1020" s="998">
        <v>0</v>
      </c>
      <c r="Q1020" s="998">
        <v>0</v>
      </c>
      <c r="R1020" s="998">
        <f t="shared" si="345"/>
        <v>2929.1625266146202</v>
      </c>
      <c r="S1020" s="988">
        <v>2017</v>
      </c>
      <c r="T1020" s="988" t="s">
        <v>1269</v>
      </c>
      <c r="U1020" s="1029"/>
      <c r="V1020" s="1029"/>
      <c r="W1020" s="1029"/>
      <c r="X1020" s="1029"/>
      <c r="Y1020" s="1029"/>
      <c r="Z1020" s="1029"/>
      <c r="AA1020" s="1029"/>
      <c r="AB1020" s="1029"/>
      <c r="AC1020" s="1029"/>
      <c r="AD1020" s="1029"/>
      <c r="AE1020" s="1029"/>
      <c r="AF1020" s="1029"/>
      <c r="AG1020" s="1029"/>
      <c r="AH1020" s="1029"/>
      <c r="AI1020" s="1029"/>
      <c r="AJ1020" s="1029"/>
      <c r="AK1020" s="1029"/>
      <c r="AL1020" s="1029"/>
      <c r="AM1020" s="1029"/>
      <c r="AN1020" s="1029"/>
      <c r="AO1020" s="1029"/>
      <c r="AP1020" s="1029"/>
      <c r="AQ1020" s="1029"/>
      <c r="AR1020" s="1029"/>
      <c r="AS1020" s="1029"/>
      <c r="AT1020" s="1029"/>
      <c r="AU1020" s="1029"/>
      <c r="AV1020" s="1029"/>
      <c r="AW1020" s="1029"/>
      <c r="AX1020" s="1029"/>
      <c r="AY1020" s="1029"/>
      <c r="AZ1020" s="1029"/>
      <c r="BA1020" s="1029"/>
      <c r="BB1020" s="1029"/>
      <c r="BC1020" s="1029"/>
      <c r="BD1020" s="1029"/>
      <c r="BE1020" s="1029"/>
      <c r="BF1020" s="1029"/>
      <c r="BG1020" s="1029"/>
      <c r="BH1020" s="1029"/>
      <c r="BI1020" s="1029"/>
      <c r="BJ1020" s="1029"/>
      <c r="BK1020" s="1029"/>
      <c r="BL1020" s="1029"/>
      <c r="BM1020" s="1029"/>
      <c r="BN1020" s="1029"/>
      <c r="BO1020" s="1029"/>
      <c r="BP1020" s="1029"/>
      <c r="BQ1020" s="1029"/>
      <c r="BR1020" s="1029"/>
      <c r="BS1020" s="1029"/>
      <c r="BT1020" s="1029"/>
      <c r="BU1020" s="1029"/>
      <c r="BV1020" s="1029"/>
      <c r="BW1020" s="1029"/>
      <c r="BX1020" s="1029"/>
      <c r="BY1020" s="1029"/>
      <c r="BZ1020" s="1029"/>
      <c r="CA1020" s="1029"/>
      <c r="CB1020" s="1029"/>
      <c r="CC1020" s="1029"/>
      <c r="CD1020" s="1029"/>
      <c r="CE1020" s="1029"/>
      <c r="CF1020" s="1029"/>
      <c r="CG1020" s="1029"/>
      <c r="CH1020" s="1029"/>
      <c r="CI1020" s="1029"/>
      <c r="CJ1020" s="1029"/>
      <c r="CK1020" s="1029"/>
      <c r="CL1020" s="1029"/>
      <c r="CM1020" s="1029"/>
      <c r="CN1020" s="1029"/>
      <c r="CO1020" s="1029"/>
      <c r="CP1020" s="1029"/>
      <c r="CQ1020" s="1029"/>
      <c r="CR1020" s="1029"/>
      <c r="CS1020" s="1029"/>
      <c r="CT1020" s="1029"/>
      <c r="CU1020" s="1029"/>
      <c r="CV1020" s="1029"/>
      <c r="CW1020" s="1029"/>
      <c r="CX1020" s="1029"/>
      <c r="CY1020" s="1029"/>
      <c r="CZ1020" s="1029"/>
      <c r="DA1020" s="1029"/>
      <c r="DB1020" s="1029"/>
      <c r="DC1020" s="1029"/>
      <c r="DD1020" s="1029"/>
      <c r="DE1020" s="1029"/>
      <c r="DF1020" s="1029"/>
      <c r="DG1020" s="1029"/>
      <c r="DH1020" s="1029"/>
      <c r="DI1020" s="1029"/>
      <c r="DJ1020" s="1029"/>
      <c r="DK1020" s="1029"/>
      <c r="DL1020" s="1029"/>
      <c r="DM1020" s="1029"/>
      <c r="DN1020" s="1029"/>
      <c r="DO1020" s="1029"/>
      <c r="DP1020" s="1029"/>
      <c r="DQ1020" s="1029"/>
      <c r="DR1020" s="1029"/>
      <c r="DS1020" s="1029"/>
      <c r="DT1020" s="1029"/>
      <c r="DU1020" s="1029"/>
      <c r="DV1020" s="1029"/>
      <c r="DW1020" s="1029"/>
      <c r="DX1020" s="1029"/>
      <c r="DY1020" s="1029"/>
      <c r="DZ1020" s="1029"/>
      <c r="EA1020" s="1029"/>
      <c r="EB1020" s="1029"/>
      <c r="EC1020" s="1029"/>
      <c r="ED1020" s="1029"/>
      <c r="EE1020" s="1029"/>
      <c r="EF1020" s="1029"/>
      <c r="EG1020" s="1029"/>
      <c r="EH1020" s="1029"/>
      <c r="EI1020" s="1029"/>
      <c r="EJ1020" s="1029"/>
      <c r="EK1020" s="1029"/>
      <c r="EL1020" s="1029"/>
      <c r="EM1020" s="1029"/>
      <c r="EN1020" s="1029"/>
      <c r="EO1020" s="1029"/>
      <c r="EP1020" s="1029"/>
      <c r="EQ1020" s="1029"/>
      <c r="ER1020" s="1029"/>
      <c r="ES1020" s="1029"/>
      <c r="ET1020" s="1029"/>
      <c r="EU1020" s="1029"/>
      <c r="EV1020" s="1029"/>
      <c r="EW1020" s="1029"/>
      <c r="EX1020" s="1029"/>
      <c r="EY1020" s="1029"/>
      <c r="EZ1020" s="1029"/>
      <c r="FA1020" s="1029"/>
      <c r="FB1020" s="1029"/>
      <c r="FC1020" s="1029"/>
      <c r="FD1020" s="1029"/>
      <c r="FE1020" s="1029"/>
      <c r="FF1020" s="1029"/>
      <c r="FG1020" s="1029"/>
      <c r="FH1020" s="1029"/>
      <c r="FI1020" s="1029"/>
      <c r="FJ1020" s="1029"/>
      <c r="FK1020" s="1029"/>
      <c r="FL1020" s="1029"/>
      <c r="FM1020" s="1029"/>
      <c r="FN1020" s="1029"/>
      <c r="FO1020" s="1029"/>
      <c r="FP1020" s="1029"/>
      <c r="FQ1020" s="1029"/>
      <c r="FR1020" s="1029"/>
      <c r="FS1020" s="1029"/>
      <c r="FT1020" s="1029"/>
      <c r="FU1020" s="1029"/>
      <c r="FV1020" s="1029"/>
      <c r="FW1020" s="1029"/>
      <c r="FX1020" s="1029"/>
      <c r="FY1020" s="1029"/>
      <c r="FZ1020" s="1029"/>
      <c r="GA1020" s="1029"/>
      <c r="GB1020" s="1029"/>
      <c r="GC1020" s="1029"/>
    </row>
    <row r="1021" spans="1:185" s="1028" customFormat="1" ht="41.25" customHeight="1">
      <c r="A1021" s="1249">
        <v>97</v>
      </c>
      <c r="B1021" s="1371" t="s">
        <v>2087</v>
      </c>
      <c r="C1021" s="1249">
        <v>1960</v>
      </c>
      <c r="D1021" s="1249"/>
      <c r="E1021" s="1249" t="s">
        <v>823</v>
      </c>
      <c r="F1021" s="1249">
        <v>3</v>
      </c>
      <c r="G1021" s="1249">
        <v>2</v>
      </c>
      <c r="H1021" s="998">
        <v>832.1</v>
      </c>
      <c r="I1021" s="998">
        <v>754.9</v>
      </c>
      <c r="J1021" s="998">
        <v>754.9</v>
      </c>
      <c r="K1021" s="986">
        <v>33</v>
      </c>
      <c r="L1021" s="998">
        <v>1431229</v>
      </c>
      <c r="M1021" s="998">
        <v>0</v>
      </c>
      <c r="N1021" s="998">
        <v>0</v>
      </c>
      <c r="O1021" s="998">
        <f t="shared" si="346"/>
        <v>1431229</v>
      </c>
      <c r="P1021" s="998">
        <v>0</v>
      </c>
      <c r="Q1021" s="998">
        <v>0</v>
      </c>
      <c r="R1021" s="998">
        <f t="shared" si="345"/>
        <v>1895.9186647238046</v>
      </c>
      <c r="S1021" s="988">
        <v>2017</v>
      </c>
      <c r="T1021" s="988" t="s">
        <v>1269</v>
      </c>
      <c r="U1021" s="1029"/>
      <c r="V1021" s="1029"/>
      <c r="W1021" s="1029"/>
      <c r="X1021" s="1029"/>
      <c r="Y1021" s="1029"/>
      <c r="Z1021" s="1029"/>
      <c r="AA1021" s="1029"/>
      <c r="AB1021" s="1029"/>
      <c r="AC1021" s="1029"/>
      <c r="AD1021" s="1029"/>
      <c r="AE1021" s="1029"/>
      <c r="AF1021" s="1029"/>
      <c r="AG1021" s="1029"/>
      <c r="AH1021" s="1029"/>
      <c r="AI1021" s="1029"/>
      <c r="AJ1021" s="1029"/>
      <c r="AK1021" s="1029"/>
      <c r="AL1021" s="1029"/>
      <c r="AM1021" s="1029"/>
      <c r="AN1021" s="1029"/>
      <c r="AO1021" s="1029"/>
      <c r="AP1021" s="1029"/>
      <c r="AQ1021" s="1029"/>
      <c r="AR1021" s="1029"/>
      <c r="AS1021" s="1029"/>
      <c r="AT1021" s="1029"/>
      <c r="AU1021" s="1029"/>
      <c r="AV1021" s="1029"/>
      <c r="AW1021" s="1029"/>
      <c r="AX1021" s="1029"/>
      <c r="AY1021" s="1029"/>
      <c r="AZ1021" s="1029"/>
      <c r="BA1021" s="1029"/>
      <c r="BB1021" s="1029"/>
      <c r="BC1021" s="1029"/>
      <c r="BD1021" s="1029"/>
      <c r="BE1021" s="1029"/>
      <c r="BF1021" s="1029"/>
      <c r="BG1021" s="1029"/>
      <c r="BH1021" s="1029"/>
      <c r="BI1021" s="1029"/>
      <c r="BJ1021" s="1029"/>
      <c r="BK1021" s="1029"/>
      <c r="BL1021" s="1029"/>
      <c r="BM1021" s="1029"/>
      <c r="BN1021" s="1029"/>
      <c r="BO1021" s="1029"/>
      <c r="BP1021" s="1029"/>
      <c r="BQ1021" s="1029"/>
      <c r="BR1021" s="1029"/>
      <c r="BS1021" s="1029"/>
      <c r="BT1021" s="1029"/>
      <c r="BU1021" s="1029"/>
      <c r="BV1021" s="1029"/>
      <c r="BW1021" s="1029"/>
      <c r="BX1021" s="1029"/>
      <c r="BY1021" s="1029"/>
      <c r="BZ1021" s="1029"/>
      <c r="CA1021" s="1029"/>
      <c r="CB1021" s="1029"/>
      <c r="CC1021" s="1029"/>
      <c r="CD1021" s="1029"/>
      <c r="CE1021" s="1029"/>
      <c r="CF1021" s="1029"/>
      <c r="CG1021" s="1029"/>
      <c r="CH1021" s="1029"/>
      <c r="CI1021" s="1029"/>
      <c r="CJ1021" s="1029"/>
      <c r="CK1021" s="1029"/>
      <c r="CL1021" s="1029"/>
      <c r="CM1021" s="1029"/>
      <c r="CN1021" s="1029"/>
      <c r="CO1021" s="1029"/>
      <c r="CP1021" s="1029"/>
      <c r="CQ1021" s="1029"/>
      <c r="CR1021" s="1029"/>
      <c r="CS1021" s="1029"/>
      <c r="CT1021" s="1029"/>
      <c r="CU1021" s="1029"/>
      <c r="CV1021" s="1029"/>
      <c r="CW1021" s="1029"/>
      <c r="CX1021" s="1029"/>
      <c r="CY1021" s="1029"/>
      <c r="CZ1021" s="1029"/>
      <c r="DA1021" s="1029"/>
      <c r="DB1021" s="1029"/>
      <c r="DC1021" s="1029"/>
      <c r="DD1021" s="1029"/>
      <c r="DE1021" s="1029"/>
      <c r="DF1021" s="1029"/>
      <c r="DG1021" s="1029"/>
      <c r="DH1021" s="1029"/>
      <c r="DI1021" s="1029"/>
      <c r="DJ1021" s="1029"/>
      <c r="DK1021" s="1029"/>
      <c r="DL1021" s="1029"/>
      <c r="DM1021" s="1029"/>
      <c r="DN1021" s="1029"/>
      <c r="DO1021" s="1029"/>
      <c r="DP1021" s="1029"/>
      <c r="DQ1021" s="1029"/>
      <c r="DR1021" s="1029"/>
      <c r="DS1021" s="1029"/>
      <c r="DT1021" s="1029"/>
      <c r="DU1021" s="1029"/>
      <c r="DV1021" s="1029"/>
      <c r="DW1021" s="1029"/>
      <c r="DX1021" s="1029"/>
      <c r="DY1021" s="1029"/>
      <c r="DZ1021" s="1029"/>
      <c r="EA1021" s="1029"/>
      <c r="EB1021" s="1029"/>
      <c r="EC1021" s="1029"/>
      <c r="ED1021" s="1029"/>
      <c r="EE1021" s="1029"/>
      <c r="EF1021" s="1029"/>
      <c r="EG1021" s="1029"/>
      <c r="EH1021" s="1029"/>
      <c r="EI1021" s="1029"/>
      <c r="EJ1021" s="1029"/>
      <c r="EK1021" s="1029"/>
      <c r="EL1021" s="1029"/>
      <c r="EM1021" s="1029"/>
      <c r="EN1021" s="1029"/>
      <c r="EO1021" s="1029"/>
      <c r="EP1021" s="1029"/>
      <c r="EQ1021" s="1029"/>
      <c r="ER1021" s="1029"/>
      <c r="ES1021" s="1029"/>
      <c r="ET1021" s="1029"/>
      <c r="EU1021" s="1029"/>
      <c r="EV1021" s="1029"/>
      <c r="EW1021" s="1029"/>
      <c r="EX1021" s="1029"/>
      <c r="EY1021" s="1029"/>
      <c r="EZ1021" s="1029"/>
      <c r="FA1021" s="1029"/>
      <c r="FB1021" s="1029"/>
      <c r="FC1021" s="1029"/>
      <c r="FD1021" s="1029"/>
      <c r="FE1021" s="1029"/>
      <c r="FF1021" s="1029"/>
      <c r="FG1021" s="1029"/>
      <c r="FH1021" s="1029"/>
      <c r="FI1021" s="1029"/>
      <c r="FJ1021" s="1029"/>
      <c r="FK1021" s="1029"/>
      <c r="FL1021" s="1029"/>
      <c r="FM1021" s="1029"/>
      <c r="FN1021" s="1029"/>
      <c r="FO1021" s="1029"/>
      <c r="FP1021" s="1029"/>
      <c r="FQ1021" s="1029"/>
      <c r="FR1021" s="1029"/>
      <c r="FS1021" s="1029"/>
      <c r="FT1021" s="1029"/>
      <c r="FU1021" s="1029"/>
      <c r="FV1021" s="1029"/>
      <c r="FW1021" s="1029"/>
      <c r="FX1021" s="1029"/>
      <c r="FY1021" s="1029"/>
      <c r="FZ1021" s="1029"/>
      <c r="GA1021" s="1029"/>
      <c r="GB1021" s="1029"/>
      <c r="GC1021" s="1029"/>
    </row>
    <row r="1022" spans="1:185" s="1028" customFormat="1" ht="41.25" customHeight="1">
      <c r="A1022" s="1249">
        <v>98</v>
      </c>
      <c r="B1022" s="1371" t="s">
        <v>2088</v>
      </c>
      <c r="C1022" s="1249">
        <v>1959</v>
      </c>
      <c r="D1022" s="1249"/>
      <c r="E1022" s="1249" t="s">
        <v>218</v>
      </c>
      <c r="F1022" s="1249">
        <v>4</v>
      </c>
      <c r="G1022" s="1249">
        <v>2</v>
      </c>
      <c r="H1022" s="998">
        <v>1402.5</v>
      </c>
      <c r="I1022" s="998">
        <v>1322.7</v>
      </c>
      <c r="J1022" s="998">
        <f>I1022-63.3-259.4</f>
        <v>1000.0000000000001</v>
      </c>
      <c r="K1022" s="986">
        <v>47</v>
      </c>
      <c r="L1022" s="998">
        <v>1746684</v>
      </c>
      <c r="M1022" s="998">
        <v>0</v>
      </c>
      <c r="N1022" s="998">
        <v>0</v>
      </c>
      <c r="O1022" s="998">
        <f t="shared" si="346"/>
        <v>1746684</v>
      </c>
      <c r="P1022" s="998">
        <v>0</v>
      </c>
      <c r="Q1022" s="998">
        <v>0</v>
      </c>
      <c r="R1022" s="998">
        <f t="shared" si="345"/>
        <v>1320.5443411204353</v>
      </c>
      <c r="S1022" s="988">
        <v>2017</v>
      </c>
      <c r="T1022" s="988" t="s">
        <v>1269</v>
      </c>
      <c r="U1022" s="1029"/>
      <c r="V1022" s="1029"/>
      <c r="W1022" s="1029"/>
      <c r="X1022" s="1029"/>
      <c r="Y1022" s="1029"/>
      <c r="Z1022" s="1029"/>
      <c r="AA1022" s="1029"/>
      <c r="AB1022" s="1029"/>
      <c r="AC1022" s="1029"/>
      <c r="AD1022" s="1029"/>
      <c r="AE1022" s="1029"/>
      <c r="AF1022" s="1029"/>
      <c r="AG1022" s="1029"/>
      <c r="AH1022" s="1029"/>
      <c r="AI1022" s="1029"/>
      <c r="AJ1022" s="1029"/>
      <c r="AK1022" s="1029"/>
      <c r="AL1022" s="1029"/>
      <c r="AM1022" s="1029"/>
      <c r="AN1022" s="1029"/>
      <c r="AO1022" s="1029"/>
      <c r="AP1022" s="1029"/>
      <c r="AQ1022" s="1029"/>
      <c r="AR1022" s="1029"/>
      <c r="AS1022" s="1029"/>
      <c r="AT1022" s="1029"/>
      <c r="AU1022" s="1029"/>
      <c r="AV1022" s="1029"/>
      <c r="AW1022" s="1029"/>
      <c r="AX1022" s="1029"/>
      <c r="AY1022" s="1029"/>
      <c r="AZ1022" s="1029"/>
      <c r="BA1022" s="1029"/>
      <c r="BB1022" s="1029"/>
      <c r="BC1022" s="1029"/>
      <c r="BD1022" s="1029"/>
      <c r="BE1022" s="1029"/>
      <c r="BF1022" s="1029"/>
      <c r="BG1022" s="1029"/>
      <c r="BH1022" s="1029"/>
      <c r="BI1022" s="1029"/>
      <c r="BJ1022" s="1029"/>
      <c r="BK1022" s="1029"/>
      <c r="BL1022" s="1029"/>
      <c r="BM1022" s="1029"/>
      <c r="BN1022" s="1029"/>
      <c r="BO1022" s="1029"/>
      <c r="BP1022" s="1029"/>
      <c r="BQ1022" s="1029"/>
      <c r="BR1022" s="1029"/>
      <c r="BS1022" s="1029"/>
      <c r="BT1022" s="1029"/>
      <c r="BU1022" s="1029"/>
      <c r="BV1022" s="1029"/>
      <c r="BW1022" s="1029"/>
      <c r="BX1022" s="1029"/>
      <c r="BY1022" s="1029"/>
      <c r="BZ1022" s="1029"/>
      <c r="CA1022" s="1029"/>
      <c r="CB1022" s="1029"/>
      <c r="CC1022" s="1029"/>
      <c r="CD1022" s="1029"/>
      <c r="CE1022" s="1029"/>
      <c r="CF1022" s="1029"/>
      <c r="CG1022" s="1029"/>
      <c r="CH1022" s="1029"/>
      <c r="CI1022" s="1029"/>
      <c r="CJ1022" s="1029"/>
      <c r="CK1022" s="1029"/>
      <c r="CL1022" s="1029"/>
      <c r="CM1022" s="1029"/>
      <c r="CN1022" s="1029"/>
      <c r="CO1022" s="1029"/>
      <c r="CP1022" s="1029"/>
      <c r="CQ1022" s="1029"/>
      <c r="CR1022" s="1029"/>
      <c r="CS1022" s="1029"/>
      <c r="CT1022" s="1029"/>
      <c r="CU1022" s="1029"/>
      <c r="CV1022" s="1029"/>
      <c r="CW1022" s="1029"/>
      <c r="CX1022" s="1029"/>
      <c r="CY1022" s="1029"/>
      <c r="CZ1022" s="1029"/>
      <c r="DA1022" s="1029"/>
      <c r="DB1022" s="1029"/>
      <c r="DC1022" s="1029"/>
      <c r="DD1022" s="1029"/>
      <c r="DE1022" s="1029"/>
      <c r="DF1022" s="1029"/>
      <c r="DG1022" s="1029"/>
      <c r="DH1022" s="1029"/>
      <c r="DI1022" s="1029"/>
      <c r="DJ1022" s="1029"/>
      <c r="DK1022" s="1029"/>
      <c r="DL1022" s="1029"/>
      <c r="DM1022" s="1029"/>
      <c r="DN1022" s="1029"/>
      <c r="DO1022" s="1029"/>
      <c r="DP1022" s="1029"/>
      <c r="DQ1022" s="1029"/>
      <c r="DR1022" s="1029"/>
      <c r="DS1022" s="1029"/>
      <c r="DT1022" s="1029"/>
      <c r="DU1022" s="1029"/>
      <c r="DV1022" s="1029"/>
      <c r="DW1022" s="1029"/>
      <c r="DX1022" s="1029"/>
      <c r="DY1022" s="1029"/>
      <c r="DZ1022" s="1029"/>
      <c r="EA1022" s="1029"/>
      <c r="EB1022" s="1029"/>
      <c r="EC1022" s="1029"/>
      <c r="ED1022" s="1029"/>
      <c r="EE1022" s="1029"/>
      <c r="EF1022" s="1029"/>
      <c r="EG1022" s="1029"/>
      <c r="EH1022" s="1029"/>
      <c r="EI1022" s="1029"/>
      <c r="EJ1022" s="1029"/>
      <c r="EK1022" s="1029"/>
      <c r="EL1022" s="1029"/>
      <c r="EM1022" s="1029"/>
      <c r="EN1022" s="1029"/>
      <c r="EO1022" s="1029"/>
      <c r="EP1022" s="1029"/>
      <c r="EQ1022" s="1029"/>
      <c r="ER1022" s="1029"/>
      <c r="ES1022" s="1029"/>
      <c r="ET1022" s="1029"/>
      <c r="EU1022" s="1029"/>
      <c r="EV1022" s="1029"/>
      <c r="EW1022" s="1029"/>
      <c r="EX1022" s="1029"/>
      <c r="EY1022" s="1029"/>
      <c r="EZ1022" s="1029"/>
      <c r="FA1022" s="1029"/>
      <c r="FB1022" s="1029"/>
      <c r="FC1022" s="1029"/>
      <c r="FD1022" s="1029"/>
      <c r="FE1022" s="1029"/>
      <c r="FF1022" s="1029"/>
      <c r="FG1022" s="1029"/>
      <c r="FH1022" s="1029"/>
      <c r="FI1022" s="1029"/>
      <c r="FJ1022" s="1029"/>
      <c r="FK1022" s="1029"/>
      <c r="FL1022" s="1029"/>
      <c r="FM1022" s="1029"/>
      <c r="FN1022" s="1029"/>
      <c r="FO1022" s="1029"/>
      <c r="FP1022" s="1029"/>
      <c r="FQ1022" s="1029"/>
      <c r="FR1022" s="1029"/>
      <c r="FS1022" s="1029"/>
      <c r="FT1022" s="1029"/>
      <c r="FU1022" s="1029"/>
      <c r="FV1022" s="1029"/>
      <c r="FW1022" s="1029"/>
      <c r="FX1022" s="1029"/>
      <c r="FY1022" s="1029"/>
      <c r="FZ1022" s="1029"/>
      <c r="GA1022" s="1029"/>
      <c r="GB1022" s="1029"/>
      <c r="GC1022" s="1029"/>
    </row>
    <row r="1023" spans="1:185" s="1028" customFormat="1" ht="41.25" customHeight="1">
      <c r="A1023" s="1249">
        <v>99</v>
      </c>
      <c r="B1023" s="1371" t="s">
        <v>2089</v>
      </c>
      <c r="C1023" s="1249">
        <v>1964</v>
      </c>
      <c r="D1023" s="1249"/>
      <c r="E1023" s="1249" t="s">
        <v>218</v>
      </c>
      <c r="F1023" s="1249">
        <v>4</v>
      </c>
      <c r="G1023" s="1249">
        <v>3</v>
      </c>
      <c r="H1023" s="998">
        <v>2167.5</v>
      </c>
      <c r="I1023" s="998">
        <v>2011.2</v>
      </c>
      <c r="J1023" s="998">
        <f>I1023-43.3-90.4</f>
        <v>1877.5</v>
      </c>
      <c r="K1023" s="986">
        <v>140</v>
      </c>
      <c r="L1023" s="998">
        <v>2579386</v>
      </c>
      <c r="M1023" s="998">
        <v>0</v>
      </c>
      <c r="N1023" s="998">
        <v>0</v>
      </c>
      <c r="O1023" s="998">
        <f t="shared" si="346"/>
        <v>2579386</v>
      </c>
      <c r="P1023" s="998">
        <v>0</v>
      </c>
      <c r="Q1023" s="998">
        <v>0</v>
      </c>
      <c r="R1023" s="998">
        <f t="shared" si="345"/>
        <v>1282.5109387430389</v>
      </c>
      <c r="S1023" s="988">
        <v>2017</v>
      </c>
      <c r="T1023" s="988" t="s">
        <v>1269</v>
      </c>
      <c r="U1023" s="1029"/>
      <c r="V1023" s="1029"/>
      <c r="W1023" s="1029"/>
      <c r="X1023" s="1029"/>
      <c r="Y1023" s="1029"/>
      <c r="Z1023" s="1029"/>
      <c r="AA1023" s="1029"/>
      <c r="AB1023" s="1029"/>
      <c r="AC1023" s="1029"/>
      <c r="AD1023" s="1029"/>
      <c r="AE1023" s="1029"/>
      <c r="AF1023" s="1029"/>
      <c r="AG1023" s="1029"/>
      <c r="AH1023" s="1029"/>
      <c r="AI1023" s="1029"/>
      <c r="AJ1023" s="1029"/>
      <c r="AK1023" s="1029"/>
      <c r="AL1023" s="1029"/>
      <c r="AM1023" s="1029"/>
      <c r="AN1023" s="1029"/>
      <c r="AO1023" s="1029"/>
      <c r="AP1023" s="1029"/>
      <c r="AQ1023" s="1029"/>
      <c r="AR1023" s="1029"/>
      <c r="AS1023" s="1029"/>
      <c r="AT1023" s="1029"/>
      <c r="AU1023" s="1029"/>
      <c r="AV1023" s="1029"/>
      <c r="AW1023" s="1029"/>
      <c r="AX1023" s="1029"/>
      <c r="AY1023" s="1029"/>
      <c r="AZ1023" s="1029"/>
      <c r="BA1023" s="1029"/>
      <c r="BB1023" s="1029"/>
      <c r="BC1023" s="1029"/>
      <c r="BD1023" s="1029"/>
      <c r="BE1023" s="1029"/>
      <c r="BF1023" s="1029"/>
      <c r="BG1023" s="1029"/>
      <c r="BH1023" s="1029"/>
      <c r="BI1023" s="1029"/>
      <c r="BJ1023" s="1029"/>
      <c r="BK1023" s="1029"/>
      <c r="BL1023" s="1029"/>
      <c r="BM1023" s="1029"/>
      <c r="BN1023" s="1029"/>
      <c r="BO1023" s="1029"/>
      <c r="BP1023" s="1029"/>
      <c r="BQ1023" s="1029"/>
      <c r="BR1023" s="1029"/>
      <c r="BS1023" s="1029"/>
      <c r="BT1023" s="1029"/>
      <c r="BU1023" s="1029"/>
      <c r="BV1023" s="1029"/>
      <c r="BW1023" s="1029"/>
      <c r="BX1023" s="1029"/>
      <c r="BY1023" s="1029"/>
      <c r="BZ1023" s="1029"/>
      <c r="CA1023" s="1029"/>
      <c r="CB1023" s="1029"/>
      <c r="CC1023" s="1029"/>
      <c r="CD1023" s="1029"/>
      <c r="CE1023" s="1029"/>
      <c r="CF1023" s="1029"/>
      <c r="CG1023" s="1029"/>
      <c r="CH1023" s="1029"/>
      <c r="CI1023" s="1029"/>
      <c r="CJ1023" s="1029"/>
      <c r="CK1023" s="1029"/>
      <c r="CL1023" s="1029"/>
      <c r="CM1023" s="1029"/>
      <c r="CN1023" s="1029"/>
      <c r="CO1023" s="1029"/>
      <c r="CP1023" s="1029"/>
      <c r="CQ1023" s="1029"/>
      <c r="CR1023" s="1029"/>
      <c r="CS1023" s="1029"/>
      <c r="CT1023" s="1029"/>
      <c r="CU1023" s="1029"/>
      <c r="CV1023" s="1029"/>
      <c r="CW1023" s="1029"/>
      <c r="CX1023" s="1029"/>
      <c r="CY1023" s="1029"/>
      <c r="CZ1023" s="1029"/>
      <c r="DA1023" s="1029"/>
      <c r="DB1023" s="1029"/>
      <c r="DC1023" s="1029"/>
      <c r="DD1023" s="1029"/>
      <c r="DE1023" s="1029"/>
      <c r="DF1023" s="1029"/>
      <c r="DG1023" s="1029"/>
      <c r="DH1023" s="1029"/>
      <c r="DI1023" s="1029"/>
      <c r="DJ1023" s="1029"/>
      <c r="DK1023" s="1029"/>
      <c r="DL1023" s="1029"/>
      <c r="DM1023" s="1029"/>
      <c r="DN1023" s="1029"/>
      <c r="DO1023" s="1029"/>
      <c r="DP1023" s="1029"/>
      <c r="DQ1023" s="1029"/>
      <c r="DR1023" s="1029"/>
      <c r="DS1023" s="1029"/>
      <c r="DT1023" s="1029"/>
      <c r="DU1023" s="1029"/>
      <c r="DV1023" s="1029"/>
      <c r="DW1023" s="1029"/>
      <c r="DX1023" s="1029"/>
      <c r="DY1023" s="1029"/>
      <c r="DZ1023" s="1029"/>
      <c r="EA1023" s="1029"/>
      <c r="EB1023" s="1029"/>
      <c r="EC1023" s="1029"/>
      <c r="ED1023" s="1029"/>
      <c r="EE1023" s="1029"/>
      <c r="EF1023" s="1029"/>
      <c r="EG1023" s="1029"/>
      <c r="EH1023" s="1029"/>
      <c r="EI1023" s="1029"/>
      <c r="EJ1023" s="1029"/>
      <c r="EK1023" s="1029"/>
      <c r="EL1023" s="1029"/>
      <c r="EM1023" s="1029"/>
      <c r="EN1023" s="1029"/>
      <c r="EO1023" s="1029"/>
      <c r="EP1023" s="1029"/>
      <c r="EQ1023" s="1029"/>
      <c r="ER1023" s="1029"/>
      <c r="ES1023" s="1029"/>
      <c r="ET1023" s="1029"/>
      <c r="EU1023" s="1029"/>
      <c r="EV1023" s="1029"/>
      <c r="EW1023" s="1029"/>
      <c r="EX1023" s="1029"/>
      <c r="EY1023" s="1029"/>
      <c r="EZ1023" s="1029"/>
      <c r="FA1023" s="1029"/>
      <c r="FB1023" s="1029"/>
      <c r="FC1023" s="1029"/>
      <c r="FD1023" s="1029"/>
      <c r="FE1023" s="1029"/>
      <c r="FF1023" s="1029"/>
      <c r="FG1023" s="1029"/>
      <c r="FH1023" s="1029"/>
      <c r="FI1023" s="1029"/>
      <c r="FJ1023" s="1029"/>
      <c r="FK1023" s="1029"/>
      <c r="FL1023" s="1029"/>
      <c r="FM1023" s="1029"/>
      <c r="FN1023" s="1029"/>
      <c r="FO1023" s="1029"/>
      <c r="FP1023" s="1029"/>
      <c r="FQ1023" s="1029"/>
      <c r="FR1023" s="1029"/>
      <c r="FS1023" s="1029"/>
      <c r="FT1023" s="1029"/>
      <c r="FU1023" s="1029"/>
      <c r="FV1023" s="1029"/>
      <c r="FW1023" s="1029"/>
      <c r="FX1023" s="1029"/>
      <c r="FY1023" s="1029"/>
      <c r="FZ1023" s="1029"/>
      <c r="GA1023" s="1029"/>
      <c r="GB1023" s="1029"/>
      <c r="GC1023" s="1029"/>
    </row>
    <row r="1024" spans="1:185" s="1028" customFormat="1" ht="41.25" customHeight="1">
      <c r="A1024" s="1249">
        <v>100</v>
      </c>
      <c r="B1024" s="1373" t="s">
        <v>2090</v>
      </c>
      <c r="C1024" s="1249">
        <v>1987</v>
      </c>
      <c r="D1024" s="1249"/>
      <c r="E1024" s="1249" t="s">
        <v>219</v>
      </c>
      <c r="F1024" s="1249">
        <v>9</v>
      </c>
      <c r="G1024" s="1249">
        <v>3</v>
      </c>
      <c r="H1024" s="998">
        <v>6845.1</v>
      </c>
      <c r="I1024" s="998">
        <v>6453.6</v>
      </c>
      <c r="J1024" s="998">
        <f>I1024-249.7-618.9</f>
        <v>5585.0000000000009</v>
      </c>
      <c r="K1024" s="986">
        <v>282</v>
      </c>
      <c r="L1024" s="998">
        <v>1911181</v>
      </c>
      <c r="M1024" s="998">
        <v>0</v>
      </c>
      <c r="N1024" s="998">
        <v>0</v>
      </c>
      <c r="O1024" s="998">
        <f t="shared" si="346"/>
        <v>1911181</v>
      </c>
      <c r="P1024" s="998">
        <v>0</v>
      </c>
      <c r="Q1024" s="998">
        <v>0</v>
      </c>
      <c r="R1024" s="998">
        <f t="shared" si="345"/>
        <v>296.14184331225982</v>
      </c>
      <c r="S1024" s="988">
        <v>2017</v>
      </c>
      <c r="T1024" s="988" t="s">
        <v>1269</v>
      </c>
      <c r="U1024" s="1029"/>
      <c r="V1024" s="1029"/>
      <c r="W1024" s="1029"/>
      <c r="X1024" s="1029"/>
      <c r="Y1024" s="1029"/>
      <c r="Z1024" s="1029"/>
      <c r="AA1024" s="1029"/>
      <c r="AB1024" s="1029"/>
      <c r="AC1024" s="1029"/>
      <c r="AD1024" s="1029"/>
      <c r="AE1024" s="1029"/>
      <c r="AF1024" s="1029"/>
      <c r="AG1024" s="1029"/>
      <c r="AH1024" s="1029"/>
      <c r="AI1024" s="1029"/>
      <c r="AJ1024" s="1029"/>
      <c r="AK1024" s="1029"/>
      <c r="AL1024" s="1029"/>
      <c r="AM1024" s="1029"/>
      <c r="AN1024" s="1029"/>
      <c r="AO1024" s="1029"/>
      <c r="AP1024" s="1029"/>
      <c r="AQ1024" s="1029"/>
      <c r="AR1024" s="1029"/>
      <c r="AS1024" s="1029"/>
      <c r="AT1024" s="1029"/>
      <c r="AU1024" s="1029"/>
      <c r="AV1024" s="1029"/>
      <c r="AW1024" s="1029"/>
      <c r="AX1024" s="1029"/>
      <c r="AY1024" s="1029"/>
      <c r="AZ1024" s="1029"/>
      <c r="BA1024" s="1029"/>
      <c r="BB1024" s="1029"/>
      <c r="BC1024" s="1029"/>
      <c r="BD1024" s="1029"/>
      <c r="BE1024" s="1029"/>
      <c r="BF1024" s="1029"/>
      <c r="BG1024" s="1029"/>
      <c r="BH1024" s="1029"/>
      <c r="BI1024" s="1029"/>
      <c r="BJ1024" s="1029"/>
      <c r="BK1024" s="1029"/>
      <c r="BL1024" s="1029"/>
      <c r="BM1024" s="1029"/>
      <c r="BN1024" s="1029"/>
      <c r="BO1024" s="1029"/>
      <c r="BP1024" s="1029"/>
      <c r="BQ1024" s="1029"/>
      <c r="BR1024" s="1029"/>
      <c r="BS1024" s="1029"/>
      <c r="BT1024" s="1029"/>
      <c r="BU1024" s="1029"/>
      <c r="BV1024" s="1029"/>
      <c r="BW1024" s="1029"/>
      <c r="BX1024" s="1029"/>
      <c r="BY1024" s="1029"/>
      <c r="BZ1024" s="1029"/>
      <c r="CA1024" s="1029"/>
      <c r="CB1024" s="1029"/>
      <c r="CC1024" s="1029"/>
      <c r="CD1024" s="1029"/>
      <c r="CE1024" s="1029"/>
      <c r="CF1024" s="1029"/>
      <c r="CG1024" s="1029"/>
      <c r="CH1024" s="1029"/>
      <c r="CI1024" s="1029"/>
      <c r="CJ1024" s="1029"/>
      <c r="CK1024" s="1029"/>
      <c r="CL1024" s="1029"/>
      <c r="CM1024" s="1029"/>
      <c r="CN1024" s="1029"/>
      <c r="CO1024" s="1029"/>
      <c r="CP1024" s="1029"/>
      <c r="CQ1024" s="1029"/>
      <c r="CR1024" s="1029"/>
      <c r="CS1024" s="1029"/>
      <c r="CT1024" s="1029"/>
      <c r="CU1024" s="1029"/>
      <c r="CV1024" s="1029"/>
      <c r="CW1024" s="1029"/>
      <c r="CX1024" s="1029"/>
      <c r="CY1024" s="1029"/>
      <c r="CZ1024" s="1029"/>
      <c r="DA1024" s="1029"/>
      <c r="DB1024" s="1029"/>
      <c r="DC1024" s="1029"/>
      <c r="DD1024" s="1029"/>
      <c r="DE1024" s="1029"/>
      <c r="DF1024" s="1029"/>
      <c r="DG1024" s="1029"/>
      <c r="DH1024" s="1029"/>
      <c r="DI1024" s="1029"/>
      <c r="DJ1024" s="1029"/>
      <c r="DK1024" s="1029"/>
      <c r="DL1024" s="1029"/>
      <c r="DM1024" s="1029"/>
      <c r="DN1024" s="1029"/>
      <c r="DO1024" s="1029"/>
      <c r="DP1024" s="1029"/>
      <c r="DQ1024" s="1029"/>
      <c r="DR1024" s="1029"/>
      <c r="DS1024" s="1029"/>
      <c r="DT1024" s="1029"/>
      <c r="DU1024" s="1029"/>
      <c r="DV1024" s="1029"/>
      <c r="DW1024" s="1029"/>
      <c r="DX1024" s="1029"/>
      <c r="DY1024" s="1029"/>
      <c r="DZ1024" s="1029"/>
      <c r="EA1024" s="1029"/>
      <c r="EB1024" s="1029"/>
      <c r="EC1024" s="1029"/>
      <c r="ED1024" s="1029"/>
      <c r="EE1024" s="1029"/>
      <c r="EF1024" s="1029"/>
      <c r="EG1024" s="1029"/>
      <c r="EH1024" s="1029"/>
      <c r="EI1024" s="1029"/>
      <c r="EJ1024" s="1029"/>
      <c r="EK1024" s="1029"/>
      <c r="EL1024" s="1029"/>
      <c r="EM1024" s="1029"/>
      <c r="EN1024" s="1029"/>
      <c r="EO1024" s="1029"/>
      <c r="EP1024" s="1029"/>
      <c r="EQ1024" s="1029"/>
      <c r="ER1024" s="1029"/>
      <c r="ES1024" s="1029"/>
      <c r="ET1024" s="1029"/>
      <c r="EU1024" s="1029"/>
      <c r="EV1024" s="1029"/>
      <c r="EW1024" s="1029"/>
      <c r="EX1024" s="1029"/>
      <c r="EY1024" s="1029"/>
      <c r="EZ1024" s="1029"/>
      <c r="FA1024" s="1029"/>
      <c r="FB1024" s="1029"/>
      <c r="FC1024" s="1029"/>
      <c r="FD1024" s="1029"/>
      <c r="FE1024" s="1029"/>
      <c r="FF1024" s="1029"/>
      <c r="FG1024" s="1029"/>
      <c r="FH1024" s="1029"/>
      <c r="FI1024" s="1029"/>
      <c r="FJ1024" s="1029"/>
      <c r="FK1024" s="1029"/>
      <c r="FL1024" s="1029"/>
      <c r="FM1024" s="1029"/>
      <c r="FN1024" s="1029"/>
      <c r="FO1024" s="1029"/>
      <c r="FP1024" s="1029"/>
      <c r="FQ1024" s="1029"/>
      <c r="FR1024" s="1029"/>
      <c r="FS1024" s="1029"/>
      <c r="FT1024" s="1029"/>
      <c r="FU1024" s="1029"/>
      <c r="FV1024" s="1029"/>
      <c r="FW1024" s="1029"/>
      <c r="FX1024" s="1029"/>
      <c r="FY1024" s="1029"/>
      <c r="FZ1024" s="1029"/>
      <c r="GA1024" s="1029"/>
      <c r="GB1024" s="1029"/>
      <c r="GC1024" s="1029"/>
    </row>
    <row r="1025" spans="1:185" s="1028" customFormat="1" ht="41.25" customHeight="1">
      <c r="A1025" s="1249">
        <v>101</v>
      </c>
      <c r="B1025" s="1373" t="s">
        <v>2091</v>
      </c>
      <c r="C1025" s="1249">
        <v>1982</v>
      </c>
      <c r="D1025" s="1249"/>
      <c r="E1025" s="1249" t="s">
        <v>219</v>
      </c>
      <c r="F1025" s="1249">
        <v>12</v>
      </c>
      <c r="G1025" s="1249">
        <v>1</v>
      </c>
      <c r="H1025" s="998">
        <v>3835.4</v>
      </c>
      <c r="I1025" s="998">
        <v>3643.6</v>
      </c>
      <c r="J1025" s="998">
        <f>I1025-96.5</f>
        <v>3547.1</v>
      </c>
      <c r="K1025" s="986">
        <v>132</v>
      </c>
      <c r="L1025" s="998">
        <v>1459916</v>
      </c>
      <c r="M1025" s="998">
        <v>0</v>
      </c>
      <c r="N1025" s="998">
        <v>0</v>
      </c>
      <c r="O1025" s="998">
        <f t="shared" si="346"/>
        <v>1459916</v>
      </c>
      <c r="P1025" s="998">
        <v>0</v>
      </c>
      <c r="Q1025" s="998">
        <v>0</v>
      </c>
      <c r="R1025" s="998">
        <f t="shared" si="345"/>
        <v>400.67954770007685</v>
      </c>
      <c r="S1025" s="988">
        <v>2017</v>
      </c>
      <c r="T1025" s="988" t="s">
        <v>1269</v>
      </c>
      <c r="U1025" s="1029"/>
      <c r="V1025" s="1029"/>
      <c r="W1025" s="1029"/>
      <c r="X1025" s="1029"/>
      <c r="Y1025" s="1029"/>
      <c r="Z1025" s="1029"/>
      <c r="AA1025" s="1029"/>
      <c r="AB1025" s="1029"/>
      <c r="AC1025" s="1029"/>
      <c r="AD1025" s="1029"/>
      <c r="AE1025" s="1029"/>
      <c r="AF1025" s="1029"/>
      <c r="AG1025" s="1029"/>
      <c r="AH1025" s="1029"/>
      <c r="AI1025" s="1029"/>
      <c r="AJ1025" s="1029"/>
      <c r="AK1025" s="1029"/>
      <c r="AL1025" s="1029"/>
      <c r="AM1025" s="1029"/>
      <c r="AN1025" s="1029"/>
      <c r="AO1025" s="1029"/>
      <c r="AP1025" s="1029"/>
      <c r="AQ1025" s="1029"/>
      <c r="AR1025" s="1029"/>
      <c r="AS1025" s="1029"/>
      <c r="AT1025" s="1029"/>
      <c r="AU1025" s="1029"/>
      <c r="AV1025" s="1029"/>
      <c r="AW1025" s="1029"/>
      <c r="AX1025" s="1029"/>
      <c r="AY1025" s="1029"/>
      <c r="AZ1025" s="1029"/>
      <c r="BA1025" s="1029"/>
      <c r="BB1025" s="1029"/>
      <c r="BC1025" s="1029"/>
      <c r="BD1025" s="1029"/>
      <c r="BE1025" s="1029"/>
      <c r="BF1025" s="1029"/>
      <c r="BG1025" s="1029"/>
      <c r="BH1025" s="1029"/>
      <c r="BI1025" s="1029"/>
      <c r="BJ1025" s="1029"/>
      <c r="BK1025" s="1029"/>
      <c r="BL1025" s="1029"/>
      <c r="BM1025" s="1029"/>
      <c r="BN1025" s="1029"/>
      <c r="BO1025" s="1029"/>
      <c r="BP1025" s="1029"/>
      <c r="BQ1025" s="1029"/>
      <c r="BR1025" s="1029"/>
      <c r="BS1025" s="1029"/>
      <c r="BT1025" s="1029"/>
      <c r="BU1025" s="1029"/>
      <c r="BV1025" s="1029"/>
      <c r="BW1025" s="1029"/>
      <c r="BX1025" s="1029"/>
      <c r="BY1025" s="1029"/>
      <c r="BZ1025" s="1029"/>
      <c r="CA1025" s="1029"/>
      <c r="CB1025" s="1029"/>
      <c r="CC1025" s="1029"/>
      <c r="CD1025" s="1029"/>
      <c r="CE1025" s="1029"/>
      <c r="CF1025" s="1029"/>
      <c r="CG1025" s="1029"/>
      <c r="CH1025" s="1029"/>
      <c r="CI1025" s="1029"/>
      <c r="CJ1025" s="1029"/>
      <c r="CK1025" s="1029"/>
      <c r="CL1025" s="1029"/>
      <c r="CM1025" s="1029"/>
      <c r="CN1025" s="1029"/>
      <c r="CO1025" s="1029"/>
      <c r="CP1025" s="1029"/>
      <c r="CQ1025" s="1029"/>
      <c r="CR1025" s="1029"/>
      <c r="CS1025" s="1029"/>
      <c r="CT1025" s="1029"/>
      <c r="CU1025" s="1029"/>
      <c r="CV1025" s="1029"/>
      <c r="CW1025" s="1029"/>
      <c r="CX1025" s="1029"/>
      <c r="CY1025" s="1029"/>
      <c r="CZ1025" s="1029"/>
      <c r="DA1025" s="1029"/>
      <c r="DB1025" s="1029"/>
      <c r="DC1025" s="1029"/>
      <c r="DD1025" s="1029"/>
      <c r="DE1025" s="1029"/>
      <c r="DF1025" s="1029"/>
      <c r="DG1025" s="1029"/>
      <c r="DH1025" s="1029"/>
      <c r="DI1025" s="1029"/>
      <c r="DJ1025" s="1029"/>
      <c r="DK1025" s="1029"/>
      <c r="DL1025" s="1029"/>
      <c r="DM1025" s="1029"/>
      <c r="DN1025" s="1029"/>
      <c r="DO1025" s="1029"/>
      <c r="DP1025" s="1029"/>
      <c r="DQ1025" s="1029"/>
      <c r="DR1025" s="1029"/>
      <c r="DS1025" s="1029"/>
      <c r="DT1025" s="1029"/>
      <c r="DU1025" s="1029"/>
      <c r="DV1025" s="1029"/>
      <c r="DW1025" s="1029"/>
      <c r="DX1025" s="1029"/>
      <c r="DY1025" s="1029"/>
      <c r="DZ1025" s="1029"/>
      <c r="EA1025" s="1029"/>
      <c r="EB1025" s="1029"/>
      <c r="EC1025" s="1029"/>
      <c r="ED1025" s="1029"/>
      <c r="EE1025" s="1029"/>
      <c r="EF1025" s="1029"/>
      <c r="EG1025" s="1029"/>
      <c r="EH1025" s="1029"/>
      <c r="EI1025" s="1029"/>
      <c r="EJ1025" s="1029"/>
      <c r="EK1025" s="1029"/>
      <c r="EL1025" s="1029"/>
      <c r="EM1025" s="1029"/>
      <c r="EN1025" s="1029"/>
      <c r="EO1025" s="1029"/>
      <c r="EP1025" s="1029"/>
      <c r="EQ1025" s="1029"/>
      <c r="ER1025" s="1029"/>
      <c r="ES1025" s="1029"/>
      <c r="ET1025" s="1029"/>
      <c r="EU1025" s="1029"/>
      <c r="EV1025" s="1029"/>
      <c r="EW1025" s="1029"/>
      <c r="EX1025" s="1029"/>
      <c r="EY1025" s="1029"/>
      <c r="EZ1025" s="1029"/>
      <c r="FA1025" s="1029"/>
      <c r="FB1025" s="1029"/>
      <c r="FC1025" s="1029"/>
      <c r="FD1025" s="1029"/>
      <c r="FE1025" s="1029"/>
      <c r="FF1025" s="1029"/>
      <c r="FG1025" s="1029"/>
      <c r="FH1025" s="1029"/>
      <c r="FI1025" s="1029"/>
      <c r="FJ1025" s="1029"/>
      <c r="FK1025" s="1029"/>
      <c r="FL1025" s="1029"/>
      <c r="FM1025" s="1029"/>
      <c r="FN1025" s="1029"/>
      <c r="FO1025" s="1029"/>
      <c r="FP1025" s="1029"/>
      <c r="FQ1025" s="1029"/>
      <c r="FR1025" s="1029"/>
      <c r="FS1025" s="1029"/>
      <c r="FT1025" s="1029"/>
      <c r="FU1025" s="1029"/>
      <c r="FV1025" s="1029"/>
      <c r="FW1025" s="1029"/>
      <c r="FX1025" s="1029"/>
      <c r="FY1025" s="1029"/>
      <c r="FZ1025" s="1029"/>
      <c r="GA1025" s="1029"/>
      <c r="GB1025" s="1029"/>
      <c r="GC1025" s="1029"/>
    </row>
    <row r="1026" spans="1:185" s="1028" customFormat="1" ht="41.25" customHeight="1">
      <c r="A1026" s="1370">
        <v>102</v>
      </c>
      <c r="B1026" s="1372" t="s">
        <v>1716</v>
      </c>
      <c r="C1026" s="1376">
        <v>1974</v>
      </c>
      <c r="D1026" s="1376"/>
      <c r="E1026" s="1046" t="s">
        <v>218</v>
      </c>
      <c r="F1026" s="1376">
        <v>9</v>
      </c>
      <c r="G1026" s="1376">
        <v>5</v>
      </c>
      <c r="H1026" s="998">
        <v>15709.9</v>
      </c>
      <c r="I1026" s="998">
        <v>15001.9</v>
      </c>
      <c r="J1026" s="998">
        <f>I1026-4441.5-783</f>
        <v>9777.4</v>
      </c>
      <c r="K1026" s="995">
        <v>340</v>
      </c>
      <c r="L1026" s="998">
        <v>20008526.870000001</v>
      </c>
      <c r="M1026" s="998">
        <v>0</v>
      </c>
      <c r="N1026" s="998">
        <v>0</v>
      </c>
      <c r="O1026" s="998">
        <f t="shared" si="346"/>
        <v>20008526.870000001</v>
      </c>
      <c r="P1026" s="998">
        <v>0</v>
      </c>
      <c r="Q1026" s="998">
        <v>0</v>
      </c>
      <c r="R1026" s="998">
        <f t="shared" si="345"/>
        <v>1333.7328518387671</v>
      </c>
      <c r="S1026" s="988">
        <v>2017</v>
      </c>
      <c r="T1026" s="1034" t="s">
        <v>1269</v>
      </c>
      <c r="U1026" s="1029"/>
      <c r="V1026" s="1029"/>
      <c r="W1026" s="1029"/>
      <c r="X1026" s="1029"/>
      <c r="Y1026" s="1029"/>
      <c r="Z1026" s="1029"/>
      <c r="AA1026" s="1029"/>
      <c r="AB1026" s="1029"/>
      <c r="AC1026" s="1029"/>
      <c r="AD1026" s="1029"/>
      <c r="AE1026" s="1029"/>
      <c r="AF1026" s="1029"/>
      <c r="AG1026" s="1029"/>
      <c r="AH1026" s="1029"/>
      <c r="AI1026" s="1029"/>
      <c r="AJ1026" s="1029"/>
      <c r="AK1026" s="1029"/>
      <c r="AL1026" s="1029"/>
      <c r="AM1026" s="1029"/>
      <c r="AN1026" s="1029"/>
      <c r="AO1026" s="1029"/>
      <c r="AP1026" s="1029"/>
      <c r="AQ1026" s="1029"/>
      <c r="AR1026" s="1029"/>
      <c r="AS1026" s="1029"/>
      <c r="AT1026" s="1029"/>
      <c r="AU1026" s="1029"/>
      <c r="AV1026" s="1029"/>
      <c r="AW1026" s="1029"/>
      <c r="AX1026" s="1029"/>
      <c r="AY1026" s="1029"/>
      <c r="AZ1026" s="1029"/>
      <c r="BA1026" s="1029"/>
      <c r="BB1026" s="1029"/>
      <c r="BC1026" s="1029"/>
      <c r="BD1026" s="1029"/>
      <c r="BE1026" s="1029"/>
      <c r="BF1026" s="1029"/>
      <c r="BG1026" s="1029"/>
      <c r="BH1026" s="1029"/>
      <c r="BI1026" s="1029"/>
      <c r="BJ1026" s="1029"/>
      <c r="BK1026" s="1029"/>
      <c r="BL1026" s="1029"/>
      <c r="BM1026" s="1029"/>
      <c r="BN1026" s="1029"/>
      <c r="BO1026" s="1029"/>
      <c r="BP1026" s="1029"/>
      <c r="BQ1026" s="1029"/>
      <c r="BR1026" s="1029"/>
      <c r="BS1026" s="1029"/>
      <c r="BT1026" s="1029"/>
      <c r="BU1026" s="1029"/>
      <c r="BV1026" s="1029"/>
      <c r="BW1026" s="1029"/>
      <c r="BX1026" s="1029"/>
      <c r="BY1026" s="1029"/>
      <c r="BZ1026" s="1029"/>
      <c r="CA1026" s="1029"/>
      <c r="CB1026" s="1029"/>
      <c r="CC1026" s="1029"/>
      <c r="CD1026" s="1029"/>
      <c r="CE1026" s="1029"/>
      <c r="CF1026" s="1029"/>
      <c r="CG1026" s="1029"/>
      <c r="CH1026" s="1029"/>
      <c r="CI1026" s="1029"/>
      <c r="CJ1026" s="1029"/>
      <c r="CK1026" s="1029"/>
      <c r="CL1026" s="1029"/>
      <c r="CM1026" s="1029"/>
      <c r="CN1026" s="1029"/>
      <c r="CO1026" s="1029"/>
      <c r="CP1026" s="1029"/>
      <c r="CQ1026" s="1029"/>
      <c r="CR1026" s="1029"/>
      <c r="CS1026" s="1029"/>
      <c r="CT1026" s="1029"/>
      <c r="CU1026" s="1029"/>
      <c r="CV1026" s="1029"/>
      <c r="CW1026" s="1029"/>
      <c r="CX1026" s="1029"/>
      <c r="CY1026" s="1029"/>
      <c r="CZ1026" s="1029"/>
      <c r="DA1026" s="1029"/>
      <c r="DB1026" s="1029"/>
      <c r="DC1026" s="1029"/>
      <c r="DD1026" s="1029"/>
      <c r="DE1026" s="1029"/>
      <c r="DF1026" s="1029"/>
      <c r="DG1026" s="1029"/>
      <c r="DH1026" s="1029"/>
      <c r="DI1026" s="1029"/>
      <c r="DJ1026" s="1029"/>
      <c r="DK1026" s="1029"/>
      <c r="DL1026" s="1029"/>
      <c r="DM1026" s="1029"/>
      <c r="DN1026" s="1029"/>
      <c r="DO1026" s="1029"/>
      <c r="DP1026" s="1029"/>
      <c r="DQ1026" s="1029"/>
      <c r="DR1026" s="1029"/>
      <c r="DS1026" s="1029"/>
      <c r="DT1026" s="1029"/>
      <c r="DU1026" s="1029"/>
      <c r="DV1026" s="1029"/>
      <c r="DW1026" s="1029"/>
      <c r="DX1026" s="1029"/>
      <c r="DY1026" s="1029"/>
      <c r="DZ1026" s="1029"/>
      <c r="EA1026" s="1029"/>
      <c r="EB1026" s="1029"/>
      <c r="EC1026" s="1029"/>
      <c r="ED1026" s="1029"/>
      <c r="EE1026" s="1029"/>
      <c r="EF1026" s="1029"/>
      <c r="EG1026" s="1029"/>
      <c r="EH1026" s="1029"/>
      <c r="EI1026" s="1029"/>
      <c r="EJ1026" s="1029"/>
      <c r="EK1026" s="1029"/>
      <c r="EL1026" s="1029"/>
      <c r="EM1026" s="1029"/>
      <c r="EN1026" s="1029"/>
      <c r="EO1026" s="1029"/>
      <c r="EP1026" s="1029"/>
      <c r="EQ1026" s="1029"/>
      <c r="ER1026" s="1029"/>
      <c r="ES1026" s="1029"/>
      <c r="ET1026" s="1029"/>
      <c r="EU1026" s="1029"/>
      <c r="EV1026" s="1029"/>
      <c r="EW1026" s="1029"/>
      <c r="EX1026" s="1029"/>
      <c r="EY1026" s="1029"/>
      <c r="EZ1026" s="1029"/>
      <c r="FA1026" s="1029"/>
      <c r="FB1026" s="1029"/>
      <c r="FC1026" s="1029"/>
      <c r="FD1026" s="1029"/>
      <c r="FE1026" s="1029"/>
      <c r="FF1026" s="1029"/>
      <c r="FG1026" s="1029"/>
      <c r="FH1026" s="1029"/>
      <c r="FI1026" s="1029"/>
      <c r="FJ1026" s="1029"/>
      <c r="FK1026" s="1029"/>
      <c r="FL1026" s="1029"/>
      <c r="FM1026" s="1029"/>
      <c r="FN1026" s="1029"/>
      <c r="FO1026" s="1029"/>
      <c r="FP1026" s="1029"/>
      <c r="FQ1026" s="1029"/>
      <c r="FR1026" s="1029"/>
      <c r="FS1026" s="1029"/>
      <c r="FT1026" s="1029"/>
      <c r="FU1026" s="1029"/>
      <c r="FV1026" s="1029"/>
      <c r="FW1026" s="1029"/>
      <c r="FX1026" s="1029"/>
      <c r="FY1026" s="1029"/>
      <c r="FZ1026" s="1029"/>
      <c r="GA1026" s="1029"/>
      <c r="GB1026" s="1029"/>
      <c r="GC1026" s="1029"/>
    </row>
    <row r="1027" spans="1:185" s="1013" customFormat="1" ht="41.25" customHeight="1">
      <c r="A1027" s="1249">
        <v>103</v>
      </c>
      <c r="B1027" s="1373" t="s">
        <v>2365</v>
      </c>
      <c r="C1027" s="1249">
        <v>1984</v>
      </c>
      <c r="D1027" s="1249"/>
      <c r="E1027" s="1249" t="s">
        <v>219</v>
      </c>
      <c r="F1027" s="1249">
        <v>9</v>
      </c>
      <c r="G1027" s="1249">
        <v>3</v>
      </c>
      <c r="H1027" s="998">
        <v>6463.6</v>
      </c>
      <c r="I1027" s="998">
        <v>5777.9</v>
      </c>
      <c r="J1027" s="998">
        <f>I1027</f>
        <v>5777.9</v>
      </c>
      <c r="K1027" s="986">
        <v>266</v>
      </c>
      <c r="L1027" s="998">
        <v>3165212.46</v>
      </c>
      <c r="M1027" s="998">
        <v>0</v>
      </c>
      <c r="N1027" s="998">
        <v>0</v>
      </c>
      <c r="O1027" s="998">
        <f t="shared" si="346"/>
        <v>3165212.46</v>
      </c>
      <c r="P1027" s="998">
        <v>0</v>
      </c>
      <c r="Q1027" s="998">
        <v>0</v>
      </c>
      <c r="R1027" s="998">
        <f t="shared" si="345"/>
        <v>547.81364509596915</v>
      </c>
      <c r="S1027" s="988">
        <v>2017</v>
      </c>
      <c r="T1027" s="988" t="s">
        <v>1269</v>
      </c>
      <c r="U1027" s="1027"/>
      <c r="V1027" s="1027"/>
      <c r="W1027" s="1027"/>
      <c r="X1027" s="1027"/>
      <c r="Y1027" s="1027"/>
      <c r="Z1027" s="1027"/>
      <c r="AA1027" s="1027"/>
      <c r="AB1027" s="1027"/>
      <c r="AC1027" s="1027"/>
      <c r="AD1027" s="1027"/>
      <c r="AE1027" s="1027"/>
      <c r="AF1027" s="1027"/>
      <c r="AG1027" s="1027"/>
      <c r="AH1027" s="1027"/>
      <c r="AI1027" s="1027"/>
      <c r="AJ1027" s="1027"/>
      <c r="AK1027" s="1027"/>
      <c r="AL1027" s="1027"/>
      <c r="AM1027" s="1027"/>
      <c r="AN1027" s="1027"/>
      <c r="AO1027" s="1027"/>
      <c r="AP1027" s="1027"/>
      <c r="AQ1027" s="1027"/>
      <c r="AR1027" s="1027"/>
      <c r="AS1027" s="1027"/>
      <c r="AT1027" s="1027"/>
      <c r="AU1027" s="1027"/>
      <c r="AV1027" s="1027"/>
      <c r="AW1027" s="1027"/>
      <c r="AX1027" s="1027"/>
      <c r="AY1027" s="1027"/>
      <c r="AZ1027" s="1027"/>
      <c r="BA1027" s="1027"/>
      <c r="BB1027" s="1027"/>
      <c r="BC1027" s="1027"/>
      <c r="BD1027" s="1027"/>
      <c r="BE1027" s="1027"/>
      <c r="BF1027" s="1027"/>
      <c r="BG1027" s="1027"/>
      <c r="BH1027" s="1027"/>
      <c r="BI1027" s="1027"/>
      <c r="BJ1027" s="1027"/>
      <c r="BK1027" s="1027"/>
      <c r="BL1027" s="1027"/>
      <c r="BM1027" s="1027"/>
      <c r="BN1027" s="1027"/>
      <c r="BO1027" s="1027"/>
      <c r="BP1027" s="1027"/>
      <c r="BQ1027" s="1027"/>
      <c r="BR1027" s="1027"/>
      <c r="BS1027" s="1027"/>
      <c r="BT1027" s="1027"/>
      <c r="BU1027" s="1027"/>
      <c r="BV1027" s="1027"/>
      <c r="BW1027" s="1027"/>
      <c r="BX1027" s="1027"/>
      <c r="BY1027" s="1027"/>
      <c r="BZ1027" s="1027"/>
      <c r="CA1027" s="1027"/>
      <c r="CB1027" s="1027"/>
      <c r="CC1027" s="1027"/>
      <c r="CD1027" s="1027"/>
      <c r="CE1027" s="1027"/>
      <c r="CF1027" s="1027"/>
      <c r="CG1027" s="1027"/>
      <c r="CH1027" s="1027"/>
      <c r="CI1027" s="1027"/>
      <c r="CJ1027" s="1027"/>
      <c r="CK1027" s="1027"/>
      <c r="CL1027" s="1027"/>
      <c r="CM1027" s="1027"/>
      <c r="CN1027" s="1027"/>
      <c r="CO1027" s="1027"/>
      <c r="CP1027" s="1027"/>
      <c r="CQ1027" s="1027"/>
      <c r="CR1027" s="1027"/>
      <c r="CS1027" s="1027"/>
      <c r="CT1027" s="1027"/>
      <c r="CU1027" s="1027"/>
      <c r="CV1027" s="1027"/>
      <c r="CW1027" s="1027"/>
      <c r="CX1027" s="1027"/>
      <c r="CY1027" s="1027"/>
      <c r="CZ1027" s="1027"/>
      <c r="DA1027" s="1027"/>
      <c r="DB1027" s="1027"/>
      <c r="DC1027" s="1027"/>
      <c r="DD1027" s="1027"/>
      <c r="DE1027" s="1027"/>
      <c r="DF1027" s="1027"/>
      <c r="DG1027" s="1027"/>
      <c r="DH1027" s="1027"/>
      <c r="DI1027" s="1027"/>
      <c r="DJ1027" s="1027"/>
      <c r="DK1027" s="1027"/>
      <c r="DL1027" s="1027"/>
      <c r="DM1027" s="1027"/>
      <c r="DN1027" s="1027"/>
      <c r="DO1027" s="1027"/>
      <c r="DP1027" s="1027"/>
      <c r="DQ1027" s="1027"/>
      <c r="DR1027" s="1027"/>
      <c r="DS1027" s="1027"/>
      <c r="DT1027" s="1027"/>
      <c r="DU1027" s="1027"/>
      <c r="DV1027" s="1027"/>
      <c r="DW1027" s="1027"/>
      <c r="DX1027" s="1027"/>
      <c r="DY1027" s="1027"/>
      <c r="DZ1027" s="1027"/>
      <c r="EA1027" s="1027"/>
      <c r="EB1027" s="1027"/>
      <c r="EC1027" s="1027"/>
      <c r="ED1027" s="1027"/>
      <c r="EE1027" s="1027"/>
      <c r="EF1027" s="1027"/>
      <c r="EG1027" s="1027"/>
      <c r="EH1027" s="1027"/>
      <c r="EI1027" s="1027"/>
      <c r="EJ1027" s="1027"/>
      <c r="EK1027" s="1027"/>
      <c r="EL1027" s="1027"/>
      <c r="EM1027" s="1027"/>
      <c r="EN1027" s="1027"/>
      <c r="EO1027" s="1027"/>
      <c r="EP1027" s="1027"/>
      <c r="EQ1027" s="1027"/>
      <c r="ER1027" s="1027"/>
      <c r="ES1027" s="1027"/>
      <c r="ET1027" s="1027"/>
      <c r="EU1027" s="1027"/>
      <c r="EV1027" s="1027"/>
      <c r="EW1027" s="1027"/>
      <c r="EX1027" s="1027"/>
      <c r="EY1027" s="1027"/>
      <c r="EZ1027" s="1027"/>
      <c r="FA1027" s="1027"/>
      <c r="FB1027" s="1027"/>
      <c r="FC1027" s="1027"/>
      <c r="FD1027" s="1027"/>
      <c r="FE1027" s="1027"/>
      <c r="FF1027" s="1027"/>
      <c r="FG1027" s="1027"/>
      <c r="FH1027" s="1027"/>
      <c r="FI1027" s="1027"/>
      <c r="FJ1027" s="1027"/>
      <c r="FK1027" s="1027"/>
      <c r="FL1027" s="1027"/>
      <c r="FM1027" s="1027"/>
      <c r="FN1027" s="1027"/>
      <c r="FO1027" s="1027"/>
      <c r="FP1027" s="1027"/>
      <c r="FQ1027" s="1027"/>
      <c r="FR1027" s="1027"/>
      <c r="FS1027" s="1027"/>
      <c r="FT1027" s="1027"/>
      <c r="FU1027" s="1027"/>
      <c r="FV1027" s="1027"/>
      <c r="FW1027" s="1027"/>
      <c r="FX1027" s="1027"/>
      <c r="FY1027" s="1027"/>
      <c r="FZ1027" s="1027"/>
      <c r="GA1027" s="1027"/>
      <c r="GB1027" s="1027"/>
      <c r="GC1027" s="1027"/>
    </row>
    <row r="1028" spans="1:185" s="1013" customFormat="1" ht="41.25" customHeight="1">
      <c r="A1028" s="1249">
        <v>104</v>
      </c>
      <c r="B1028" s="1373" t="s">
        <v>258</v>
      </c>
      <c r="C1028" s="1249">
        <v>1950</v>
      </c>
      <c r="D1028" s="1249"/>
      <c r="E1028" s="1249" t="s">
        <v>823</v>
      </c>
      <c r="F1028" s="1249">
        <v>2</v>
      </c>
      <c r="G1028" s="1249">
        <v>3</v>
      </c>
      <c r="H1028" s="998">
        <v>1395.9</v>
      </c>
      <c r="I1028" s="998">
        <v>1263.0999999999999</v>
      </c>
      <c r="J1028" s="998">
        <f>1102.5-138.3</f>
        <v>964.2</v>
      </c>
      <c r="K1028" s="986">
        <v>49</v>
      </c>
      <c r="L1028" s="998">
        <v>1168390</v>
      </c>
      <c r="M1028" s="998">
        <v>0</v>
      </c>
      <c r="N1028" s="998">
        <v>0</v>
      </c>
      <c r="O1028" s="998">
        <f t="shared" si="346"/>
        <v>1168390</v>
      </c>
      <c r="P1028" s="998">
        <v>0</v>
      </c>
      <c r="Q1028" s="998">
        <v>0</v>
      </c>
      <c r="R1028" s="998">
        <f t="shared" si="345"/>
        <v>925.01781331644372</v>
      </c>
      <c r="S1028" s="988">
        <v>2017</v>
      </c>
      <c r="T1028" s="988" t="s">
        <v>1269</v>
      </c>
      <c r="U1028" s="1027"/>
      <c r="V1028" s="1027"/>
      <c r="W1028" s="1027"/>
      <c r="X1028" s="1027"/>
      <c r="Y1028" s="1027"/>
      <c r="Z1028" s="1027"/>
      <c r="AA1028" s="1027"/>
      <c r="AB1028" s="1027"/>
      <c r="AC1028" s="1027"/>
      <c r="AD1028" s="1027"/>
      <c r="AE1028" s="1027"/>
      <c r="AF1028" s="1027"/>
      <c r="AG1028" s="1027"/>
      <c r="AH1028" s="1027"/>
      <c r="AI1028" s="1027"/>
      <c r="AJ1028" s="1027"/>
      <c r="AK1028" s="1027"/>
      <c r="AL1028" s="1027"/>
      <c r="AM1028" s="1027"/>
      <c r="AN1028" s="1027"/>
      <c r="AO1028" s="1027"/>
      <c r="AP1028" s="1027"/>
      <c r="AQ1028" s="1027"/>
      <c r="AR1028" s="1027"/>
      <c r="AS1028" s="1027"/>
      <c r="AT1028" s="1027"/>
      <c r="AU1028" s="1027"/>
      <c r="AV1028" s="1027"/>
      <c r="AW1028" s="1027"/>
      <c r="AX1028" s="1027"/>
      <c r="AY1028" s="1027"/>
      <c r="AZ1028" s="1027"/>
      <c r="BA1028" s="1027"/>
      <c r="BB1028" s="1027"/>
      <c r="BC1028" s="1027"/>
      <c r="BD1028" s="1027"/>
      <c r="BE1028" s="1027"/>
      <c r="BF1028" s="1027"/>
      <c r="BG1028" s="1027"/>
      <c r="BH1028" s="1027"/>
      <c r="BI1028" s="1027"/>
      <c r="BJ1028" s="1027"/>
      <c r="BK1028" s="1027"/>
      <c r="BL1028" s="1027"/>
      <c r="BM1028" s="1027"/>
      <c r="BN1028" s="1027"/>
      <c r="BO1028" s="1027"/>
      <c r="BP1028" s="1027"/>
      <c r="BQ1028" s="1027"/>
      <c r="BR1028" s="1027"/>
      <c r="BS1028" s="1027"/>
      <c r="BT1028" s="1027"/>
      <c r="BU1028" s="1027"/>
      <c r="BV1028" s="1027"/>
      <c r="BW1028" s="1027"/>
      <c r="BX1028" s="1027"/>
      <c r="BY1028" s="1027"/>
      <c r="BZ1028" s="1027"/>
      <c r="CA1028" s="1027"/>
      <c r="CB1028" s="1027"/>
      <c r="CC1028" s="1027"/>
      <c r="CD1028" s="1027"/>
      <c r="CE1028" s="1027"/>
      <c r="CF1028" s="1027"/>
      <c r="CG1028" s="1027"/>
      <c r="CH1028" s="1027"/>
      <c r="CI1028" s="1027"/>
      <c r="CJ1028" s="1027"/>
      <c r="CK1028" s="1027"/>
      <c r="CL1028" s="1027"/>
      <c r="CM1028" s="1027"/>
      <c r="CN1028" s="1027"/>
      <c r="CO1028" s="1027"/>
      <c r="CP1028" s="1027"/>
      <c r="CQ1028" s="1027"/>
      <c r="CR1028" s="1027"/>
      <c r="CS1028" s="1027"/>
      <c r="CT1028" s="1027"/>
      <c r="CU1028" s="1027"/>
      <c r="CV1028" s="1027"/>
      <c r="CW1028" s="1027"/>
      <c r="CX1028" s="1027"/>
      <c r="CY1028" s="1027"/>
      <c r="CZ1028" s="1027"/>
      <c r="DA1028" s="1027"/>
      <c r="DB1028" s="1027"/>
      <c r="DC1028" s="1027"/>
      <c r="DD1028" s="1027"/>
      <c r="DE1028" s="1027"/>
      <c r="DF1028" s="1027"/>
      <c r="DG1028" s="1027"/>
      <c r="DH1028" s="1027"/>
      <c r="DI1028" s="1027"/>
      <c r="DJ1028" s="1027"/>
      <c r="DK1028" s="1027"/>
      <c r="DL1028" s="1027"/>
      <c r="DM1028" s="1027"/>
      <c r="DN1028" s="1027"/>
      <c r="DO1028" s="1027"/>
      <c r="DP1028" s="1027"/>
      <c r="DQ1028" s="1027"/>
      <c r="DR1028" s="1027"/>
      <c r="DS1028" s="1027"/>
      <c r="DT1028" s="1027"/>
      <c r="DU1028" s="1027"/>
      <c r="DV1028" s="1027"/>
      <c r="DW1028" s="1027"/>
      <c r="DX1028" s="1027"/>
      <c r="DY1028" s="1027"/>
      <c r="DZ1028" s="1027"/>
      <c r="EA1028" s="1027"/>
      <c r="EB1028" s="1027"/>
      <c r="EC1028" s="1027"/>
      <c r="ED1028" s="1027"/>
      <c r="EE1028" s="1027"/>
      <c r="EF1028" s="1027"/>
      <c r="EG1028" s="1027"/>
      <c r="EH1028" s="1027"/>
      <c r="EI1028" s="1027"/>
      <c r="EJ1028" s="1027"/>
      <c r="EK1028" s="1027"/>
      <c r="EL1028" s="1027"/>
      <c r="EM1028" s="1027"/>
      <c r="EN1028" s="1027"/>
      <c r="EO1028" s="1027"/>
      <c r="EP1028" s="1027"/>
      <c r="EQ1028" s="1027"/>
      <c r="ER1028" s="1027"/>
      <c r="ES1028" s="1027"/>
      <c r="ET1028" s="1027"/>
      <c r="EU1028" s="1027"/>
      <c r="EV1028" s="1027"/>
      <c r="EW1028" s="1027"/>
      <c r="EX1028" s="1027"/>
      <c r="EY1028" s="1027"/>
      <c r="EZ1028" s="1027"/>
      <c r="FA1028" s="1027"/>
      <c r="FB1028" s="1027"/>
      <c r="FC1028" s="1027"/>
      <c r="FD1028" s="1027"/>
      <c r="FE1028" s="1027"/>
      <c r="FF1028" s="1027"/>
      <c r="FG1028" s="1027"/>
      <c r="FH1028" s="1027"/>
      <c r="FI1028" s="1027"/>
      <c r="FJ1028" s="1027"/>
      <c r="FK1028" s="1027"/>
      <c r="FL1028" s="1027"/>
      <c r="FM1028" s="1027"/>
      <c r="FN1028" s="1027"/>
      <c r="FO1028" s="1027"/>
      <c r="FP1028" s="1027"/>
      <c r="FQ1028" s="1027"/>
      <c r="FR1028" s="1027"/>
      <c r="FS1028" s="1027"/>
      <c r="FT1028" s="1027"/>
      <c r="FU1028" s="1027"/>
      <c r="FV1028" s="1027"/>
      <c r="FW1028" s="1027"/>
      <c r="FX1028" s="1027"/>
      <c r="FY1028" s="1027"/>
      <c r="FZ1028" s="1027"/>
      <c r="GA1028" s="1027"/>
      <c r="GB1028" s="1027"/>
      <c r="GC1028" s="1027"/>
    </row>
    <row r="1029" spans="1:185" s="1013" customFormat="1" ht="41.25" customHeight="1">
      <c r="A1029" s="1249">
        <v>105</v>
      </c>
      <c r="B1029" s="1373" t="s">
        <v>2248</v>
      </c>
      <c r="C1029" s="1249">
        <v>1986</v>
      </c>
      <c r="D1029" s="1249"/>
      <c r="E1029" s="1249" t="s">
        <v>219</v>
      </c>
      <c r="F1029" s="1249">
        <v>12</v>
      </c>
      <c r="G1029" s="1249">
        <v>1</v>
      </c>
      <c r="H1029" s="998">
        <v>5484.4</v>
      </c>
      <c r="I1029" s="998">
        <v>3557.6</v>
      </c>
      <c r="J1029" s="998">
        <f>I1029-622.2</f>
        <v>2935.3999999999996</v>
      </c>
      <c r="K1029" s="986">
        <v>172</v>
      </c>
      <c r="L1029" s="998">
        <v>5139921</v>
      </c>
      <c r="M1029" s="998">
        <v>0</v>
      </c>
      <c r="N1029" s="998">
        <v>0</v>
      </c>
      <c r="O1029" s="998">
        <v>5139921</v>
      </c>
      <c r="P1029" s="998">
        <v>0</v>
      </c>
      <c r="Q1029" s="998">
        <v>0</v>
      </c>
      <c r="R1029" s="998">
        <f t="shared" si="345"/>
        <v>1444.772037328536</v>
      </c>
      <c r="S1029" s="988">
        <v>2018</v>
      </c>
      <c r="T1029" s="988" t="s">
        <v>1269</v>
      </c>
      <c r="U1029" s="1027"/>
      <c r="V1029" s="1027"/>
      <c r="W1029" s="1027"/>
      <c r="X1029" s="1027"/>
      <c r="Y1029" s="1027"/>
      <c r="Z1029" s="1027"/>
      <c r="AA1029" s="1027"/>
      <c r="AB1029" s="1027"/>
      <c r="AC1029" s="1027"/>
      <c r="AD1029" s="1027"/>
      <c r="AE1029" s="1027"/>
      <c r="AF1029" s="1027"/>
      <c r="AG1029" s="1027"/>
      <c r="AH1029" s="1027"/>
      <c r="AI1029" s="1027"/>
      <c r="AJ1029" s="1027"/>
      <c r="AK1029" s="1027"/>
      <c r="AL1029" s="1027"/>
      <c r="AM1029" s="1027"/>
      <c r="AN1029" s="1027"/>
      <c r="AO1029" s="1027"/>
      <c r="AP1029" s="1027"/>
      <c r="AQ1029" s="1027"/>
      <c r="AR1029" s="1027"/>
      <c r="AS1029" s="1027"/>
      <c r="AT1029" s="1027"/>
      <c r="AU1029" s="1027"/>
      <c r="AV1029" s="1027"/>
      <c r="AW1029" s="1027"/>
      <c r="AX1029" s="1027"/>
      <c r="AY1029" s="1027"/>
      <c r="AZ1029" s="1027"/>
      <c r="BA1029" s="1027"/>
      <c r="BB1029" s="1027"/>
      <c r="BC1029" s="1027"/>
      <c r="BD1029" s="1027"/>
      <c r="BE1029" s="1027"/>
      <c r="BF1029" s="1027"/>
      <c r="BG1029" s="1027"/>
      <c r="BH1029" s="1027"/>
      <c r="BI1029" s="1027"/>
      <c r="BJ1029" s="1027"/>
      <c r="BK1029" s="1027"/>
      <c r="BL1029" s="1027"/>
      <c r="BM1029" s="1027"/>
      <c r="BN1029" s="1027"/>
      <c r="BO1029" s="1027"/>
      <c r="BP1029" s="1027"/>
      <c r="BQ1029" s="1027"/>
      <c r="BR1029" s="1027"/>
      <c r="BS1029" s="1027"/>
      <c r="BT1029" s="1027"/>
      <c r="BU1029" s="1027"/>
      <c r="BV1029" s="1027"/>
      <c r="BW1029" s="1027"/>
      <c r="BX1029" s="1027"/>
      <c r="BY1029" s="1027"/>
      <c r="BZ1029" s="1027"/>
      <c r="CA1029" s="1027"/>
      <c r="CB1029" s="1027"/>
      <c r="CC1029" s="1027"/>
      <c r="CD1029" s="1027"/>
      <c r="CE1029" s="1027"/>
      <c r="CF1029" s="1027"/>
      <c r="CG1029" s="1027"/>
      <c r="CH1029" s="1027"/>
      <c r="CI1029" s="1027"/>
      <c r="CJ1029" s="1027"/>
      <c r="CK1029" s="1027"/>
      <c r="CL1029" s="1027"/>
      <c r="CM1029" s="1027"/>
      <c r="CN1029" s="1027"/>
      <c r="CO1029" s="1027"/>
      <c r="CP1029" s="1027"/>
      <c r="CQ1029" s="1027"/>
      <c r="CR1029" s="1027"/>
      <c r="CS1029" s="1027"/>
      <c r="CT1029" s="1027"/>
      <c r="CU1029" s="1027"/>
      <c r="CV1029" s="1027"/>
      <c r="CW1029" s="1027"/>
      <c r="CX1029" s="1027"/>
      <c r="CY1029" s="1027"/>
      <c r="CZ1029" s="1027"/>
      <c r="DA1029" s="1027"/>
      <c r="DB1029" s="1027"/>
      <c r="DC1029" s="1027"/>
      <c r="DD1029" s="1027"/>
      <c r="DE1029" s="1027"/>
      <c r="DF1029" s="1027"/>
      <c r="DG1029" s="1027"/>
      <c r="DH1029" s="1027"/>
      <c r="DI1029" s="1027"/>
      <c r="DJ1029" s="1027"/>
      <c r="DK1029" s="1027"/>
      <c r="DL1029" s="1027"/>
      <c r="DM1029" s="1027"/>
      <c r="DN1029" s="1027"/>
      <c r="DO1029" s="1027"/>
      <c r="DP1029" s="1027"/>
      <c r="DQ1029" s="1027"/>
      <c r="DR1029" s="1027"/>
      <c r="DS1029" s="1027"/>
      <c r="DT1029" s="1027"/>
      <c r="DU1029" s="1027"/>
      <c r="DV1029" s="1027"/>
      <c r="DW1029" s="1027"/>
      <c r="DX1029" s="1027"/>
      <c r="DY1029" s="1027"/>
      <c r="DZ1029" s="1027"/>
      <c r="EA1029" s="1027"/>
      <c r="EB1029" s="1027"/>
      <c r="EC1029" s="1027"/>
      <c r="ED1029" s="1027"/>
      <c r="EE1029" s="1027"/>
      <c r="EF1029" s="1027"/>
      <c r="EG1029" s="1027"/>
      <c r="EH1029" s="1027"/>
      <c r="EI1029" s="1027"/>
      <c r="EJ1029" s="1027"/>
      <c r="EK1029" s="1027"/>
      <c r="EL1029" s="1027"/>
      <c r="EM1029" s="1027"/>
      <c r="EN1029" s="1027"/>
      <c r="EO1029" s="1027"/>
      <c r="EP1029" s="1027"/>
      <c r="EQ1029" s="1027"/>
      <c r="ER1029" s="1027"/>
      <c r="ES1029" s="1027"/>
      <c r="ET1029" s="1027"/>
      <c r="EU1029" s="1027"/>
      <c r="EV1029" s="1027"/>
      <c r="EW1029" s="1027"/>
      <c r="EX1029" s="1027"/>
      <c r="EY1029" s="1027"/>
      <c r="EZ1029" s="1027"/>
      <c r="FA1029" s="1027"/>
      <c r="FB1029" s="1027"/>
      <c r="FC1029" s="1027"/>
      <c r="FD1029" s="1027"/>
      <c r="FE1029" s="1027"/>
      <c r="FF1029" s="1027"/>
      <c r="FG1029" s="1027"/>
      <c r="FH1029" s="1027"/>
      <c r="FI1029" s="1027"/>
      <c r="FJ1029" s="1027"/>
      <c r="FK1029" s="1027"/>
      <c r="FL1029" s="1027"/>
      <c r="FM1029" s="1027"/>
      <c r="FN1029" s="1027"/>
      <c r="FO1029" s="1027"/>
      <c r="FP1029" s="1027"/>
      <c r="FQ1029" s="1027"/>
      <c r="FR1029" s="1027"/>
      <c r="FS1029" s="1027"/>
      <c r="FT1029" s="1027"/>
      <c r="FU1029" s="1027"/>
      <c r="FV1029" s="1027"/>
      <c r="FW1029" s="1027"/>
      <c r="FX1029" s="1027"/>
      <c r="FY1029" s="1027"/>
      <c r="FZ1029" s="1027"/>
      <c r="GA1029" s="1027"/>
      <c r="GB1029" s="1027"/>
      <c r="GC1029" s="1027"/>
    </row>
    <row r="1030" spans="1:185" s="1013" customFormat="1" ht="41.25" customHeight="1">
      <c r="A1030" s="1249">
        <v>106</v>
      </c>
      <c r="B1030" s="1381" t="s">
        <v>2249</v>
      </c>
      <c r="C1030" s="1249">
        <v>1976</v>
      </c>
      <c r="D1030" s="1255"/>
      <c r="E1030" s="1249" t="s">
        <v>219</v>
      </c>
      <c r="F1030" s="1255">
        <v>9</v>
      </c>
      <c r="G1030" s="1255">
        <v>3</v>
      </c>
      <c r="H1030" s="998">
        <v>6521.8</v>
      </c>
      <c r="I1030" s="998">
        <v>5790.4</v>
      </c>
      <c r="J1030" s="998">
        <f>I1030-348.7</f>
        <v>5441.7</v>
      </c>
      <c r="K1030" s="986">
        <v>251</v>
      </c>
      <c r="L1030" s="998">
        <v>2237907</v>
      </c>
      <c r="M1030" s="998">
        <v>0</v>
      </c>
      <c r="N1030" s="998">
        <v>0</v>
      </c>
      <c r="O1030" s="998">
        <f>L1030</f>
        <v>2237907</v>
      </c>
      <c r="P1030" s="998">
        <v>0</v>
      </c>
      <c r="Q1030" s="998">
        <v>0</v>
      </c>
      <c r="R1030" s="998">
        <f t="shared" si="345"/>
        <v>386.4857350096712</v>
      </c>
      <c r="S1030" s="988">
        <v>2018</v>
      </c>
      <c r="T1030" s="988" t="s">
        <v>1269</v>
      </c>
      <c r="U1030" s="1027"/>
      <c r="V1030" s="1027"/>
      <c r="W1030" s="1027"/>
      <c r="X1030" s="1027"/>
      <c r="Y1030" s="1027"/>
      <c r="Z1030" s="1027"/>
      <c r="AA1030" s="1027"/>
      <c r="AB1030" s="1027"/>
      <c r="AC1030" s="1027"/>
      <c r="AD1030" s="1027"/>
      <c r="AE1030" s="1027"/>
      <c r="AF1030" s="1027"/>
      <c r="AG1030" s="1027"/>
      <c r="AH1030" s="1027"/>
      <c r="AI1030" s="1027"/>
      <c r="AJ1030" s="1027"/>
      <c r="AK1030" s="1027"/>
      <c r="AL1030" s="1027"/>
      <c r="AM1030" s="1027"/>
      <c r="AN1030" s="1027"/>
      <c r="AO1030" s="1027"/>
      <c r="AP1030" s="1027"/>
      <c r="AQ1030" s="1027"/>
      <c r="AR1030" s="1027"/>
      <c r="AS1030" s="1027"/>
      <c r="AT1030" s="1027"/>
      <c r="AU1030" s="1027"/>
      <c r="AV1030" s="1027"/>
      <c r="AW1030" s="1027"/>
      <c r="AX1030" s="1027"/>
      <c r="AY1030" s="1027"/>
      <c r="AZ1030" s="1027"/>
      <c r="BA1030" s="1027"/>
      <c r="BB1030" s="1027"/>
      <c r="BC1030" s="1027"/>
      <c r="BD1030" s="1027"/>
      <c r="BE1030" s="1027"/>
      <c r="BF1030" s="1027"/>
      <c r="BG1030" s="1027"/>
      <c r="BH1030" s="1027"/>
      <c r="BI1030" s="1027"/>
      <c r="BJ1030" s="1027"/>
      <c r="BK1030" s="1027"/>
      <c r="BL1030" s="1027"/>
      <c r="BM1030" s="1027"/>
      <c r="BN1030" s="1027"/>
      <c r="BO1030" s="1027"/>
      <c r="BP1030" s="1027"/>
      <c r="BQ1030" s="1027"/>
      <c r="BR1030" s="1027"/>
      <c r="BS1030" s="1027"/>
      <c r="BT1030" s="1027"/>
      <c r="BU1030" s="1027"/>
      <c r="BV1030" s="1027"/>
      <c r="BW1030" s="1027"/>
      <c r="BX1030" s="1027"/>
      <c r="BY1030" s="1027"/>
      <c r="BZ1030" s="1027"/>
      <c r="CA1030" s="1027"/>
      <c r="CB1030" s="1027"/>
      <c r="CC1030" s="1027"/>
      <c r="CD1030" s="1027"/>
      <c r="CE1030" s="1027"/>
      <c r="CF1030" s="1027"/>
      <c r="CG1030" s="1027"/>
      <c r="CH1030" s="1027"/>
      <c r="CI1030" s="1027"/>
      <c r="CJ1030" s="1027"/>
      <c r="CK1030" s="1027"/>
      <c r="CL1030" s="1027"/>
      <c r="CM1030" s="1027"/>
      <c r="CN1030" s="1027"/>
      <c r="CO1030" s="1027"/>
      <c r="CP1030" s="1027"/>
      <c r="CQ1030" s="1027"/>
      <c r="CR1030" s="1027"/>
      <c r="CS1030" s="1027"/>
      <c r="CT1030" s="1027"/>
      <c r="CU1030" s="1027"/>
      <c r="CV1030" s="1027"/>
      <c r="CW1030" s="1027"/>
      <c r="CX1030" s="1027"/>
      <c r="CY1030" s="1027"/>
      <c r="CZ1030" s="1027"/>
      <c r="DA1030" s="1027"/>
      <c r="DB1030" s="1027"/>
      <c r="DC1030" s="1027"/>
      <c r="DD1030" s="1027"/>
      <c r="DE1030" s="1027"/>
      <c r="DF1030" s="1027"/>
      <c r="DG1030" s="1027"/>
      <c r="DH1030" s="1027"/>
      <c r="DI1030" s="1027"/>
      <c r="DJ1030" s="1027"/>
      <c r="DK1030" s="1027"/>
      <c r="DL1030" s="1027"/>
      <c r="DM1030" s="1027"/>
      <c r="DN1030" s="1027"/>
      <c r="DO1030" s="1027"/>
      <c r="DP1030" s="1027"/>
      <c r="DQ1030" s="1027"/>
      <c r="DR1030" s="1027"/>
      <c r="DS1030" s="1027"/>
      <c r="DT1030" s="1027"/>
      <c r="DU1030" s="1027"/>
      <c r="DV1030" s="1027"/>
      <c r="DW1030" s="1027"/>
      <c r="DX1030" s="1027"/>
      <c r="DY1030" s="1027"/>
      <c r="DZ1030" s="1027"/>
      <c r="EA1030" s="1027"/>
      <c r="EB1030" s="1027"/>
      <c r="EC1030" s="1027"/>
      <c r="ED1030" s="1027"/>
      <c r="EE1030" s="1027"/>
      <c r="EF1030" s="1027"/>
      <c r="EG1030" s="1027"/>
      <c r="EH1030" s="1027"/>
      <c r="EI1030" s="1027"/>
      <c r="EJ1030" s="1027"/>
      <c r="EK1030" s="1027"/>
      <c r="EL1030" s="1027"/>
      <c r="EM1030" s="1027"/>
      <c r="EN1030" s="1027"/>
      <c r="EO1030" s="1027"/>
      <c r="EP1030" s="1027"/>
      <c r="EQ1030" s="1027"/>
      <c r="ER1030" s="1027"/>
      <c r="ES1030" s="1027"/>
      <c r="ET1030" s="1027"/>
      <c r="EU1030" s="1027"/>
      <c r="EV1030" s="1027"/>
      <c r="EW1030" s="1027"/>
      <c r="EX1030" s="1027"/>
      <c r="EY1030" s="1027"/>
      <c r="EZ1030" s="1027"/>
      <c r="FA1030" s="1027"/>
      <c r="FB1030" s="1027"/>
      <c r="FC1030" s="1027"/>
      <c r="FD1030" s="1027"/>
      <c r="FE1030" s="1027"/>
      <c r="FF1030" s="1027"/>
      <c r="FG1030" s="1027"/>
      <c r="FH1030" s="1027"/>
      <c r="FI1030" s="1027"/>
      <c r="FJ1030" s="1027"/>
      <c r="FK1030" s="1027"/>
      <c r="FL1030" s="1027"/>
      <c r="FM1030" s="1027"/>
      <c r="FN1030" s="1027"/>
      <c r="FO1030" s="1027"/>
      <c r="FP1030" s="1027"/>
      <c r="FQ1030" s="1027"/>
      <c r="FR1030" s="1027"/>
      <c r="FS1030" s="1027"/>
      <c r="FT1030" s="1027"/>
      <c r="FU1030" s="1027"/>
      <c r="FV1030" s="1027"/>
      <c r="FW1030" s="1027"/>
      <c r="FX1030" s="1027"/>
      <c r="FY1030" s="1027"/>
      <c r="FZ1030" s="1027"/>
      <c r="GA1030" s="1027"/>
      <c r="GB1030" s="1027"/>
      <c r="GC1030" s="1027"/>
    </row>
    <row r="1031" spans="1:185" s="1013" customFormat="1" ht="41.25" customHeight="1">
      <c r="A1031" s="1249">
        <v>107</v>
      </c>
      <c r="B1031" s="1381" t="s">
        <v>2250</v>
      </c>
      <c r="C1031" s="1249">
        <v>1975</v>
      </c>
      <c r="D1031" s="1255"/>
      <c r="E1031" s="1249" t="s">
        <v>219</v>
      </c>
      <c r="F1031" s="1255">
        <v>9</v>
      </c>
      <c r="G1031" s="1255">
        <v>3</v>
      </c>
      <c r="H1031" s="998">
        <v>6622.5</v>
      </c>
      <c r="I1031" s="998">
        <v>5860.2</v>
      </c>
      <c r="J1031" s="998">
        <f>I1031-244.4</f>
        <v>5615.8</v>
      </c>
      <c r="K1031" s="986">
        <v>246</v>
      </c>
      <c r="L1031" s="998">
        <v>2695344</v>
      </c>
      <c r="M1031" s="998">
        <v>0</v>
      </c>
      <c r="N1031" s="998">
        <v>0</v>
      </c>
      <c r="O1031" s="998">
        <f>L1031</f>
        <v>2695344</v>
      </c>
      <c r="P1031" s="998">
        <v>0</v>
      </c>
      <c r="Q1031" s="998">
        <v>0</v>
      </c>
      <c r="R1031" s="998">
        <f t="shared" si="345"/>
        <v>459.94061636121637</v>
      </c>
      <c r="S1031" s="988">
        <v>2018</v>
      </c>
      <c r="T1031" s="988" t="s">
        <v>1269</v>
      </c>
      <c r="U1031" s="1027"/>
      <c r="V1031" s="1027"/>
      <c r="W1031" s="1027"/>
      <c r="X1031" s="1027"/>
      <c r="Y1031" s="1027"/>
      <c r="Z1031" s="1027"/>
      <c r="AA1031" s="1027"/>
      <c r="AB1031" s="1027"/>
      <c r="AC1031" s="1027"/>
      <c r="AD1031" s="1027"/>
      <c r="AE1031" s="1027"/>
      <c r="AF1031" s="1027"/>
      <c r="AG1031" s="1027"/>
      <c r="AH1031" s="1027"/>
      <c r="AI1031" s="1027"/>
      <c r="AJ1031" s="1027"/>
      <c r="AK1031" s="1027"/>
      <c r="AL1031" s="1027"/>
      <c r="AM1031" s="1027"/>
      <c r="AN1031" s="1027"/>
      <c r="AO1031" s="1027"/>
      <c r="AP1031" s="1027"/>
      <c r="AQ1031" s="1027"/>
      <c r="AR1031" s="1027"/>
      <c r="AS1031" s="1027"/>
      <c r="AT1031" s="1027"/>
      <c r="AU1031" s="1027"/>
      <c r="AV1031" s="1027"/>
      <c r="AW1031" s="1027"/>
      <c r="AX1031" s="1027"/>
      <c r="AY1031" s="1027"/>
      <c r="AZ1031" s="1027"/>
      <c r="BA1031" s="1027"/>
      <c r="BB1031" s="1027"/>
      <c r="BC1031" s="1027"/>
      <c r="BD1031" s="1027"/>
      <c r="BE1031" s="1027"/>
      <c r="BF1031" s="1027"/>
      <c r="BG1031" s="1027"/>
      <c r="BH1031" s="1027"/>
      <c r="BI1031" s="1027"/>
      <c r="BJ1031" s="1027"/>
      <c r="BK1031" s="1027"/>
      <c r="BL1031" s="1027"/>
      <c r="BM1031" s="1027"/>
      <c r="BN1031" s="1027"/>
      <c r="BO1031" s="1027"/>
      <c r="BP1031" s="1027"/>
      <c r="BQ1031" s="1027"/>
      <c r="BR1031" s="1027"/>
      <c r="BS1031" s="1027"/>
      <c r="BT1031" s="1027"/>
      <c r="BU1031" s="1027"/>
      <c r="BV1031" s="1027"/>
      <c r="BW1031" s="1027"/>
      <c r="BX1031" s="1027"/>
      <c r="BY1031" s="1027"/>
      <c r="BZ1031" s="1027"/>
      <c r="CA1031" s="1027"/>
      <c r="CB1031" s="1027"/>
      <c r="CC1031" s="1027"/>
      <c r="CD1031" s="1027"/>
      <c r="CE1031" s="1027"/>
      <c r="CF1031" s="1027"/>
      <c r="CG1031" s="1027"/>
      <c r="CH1031" s="1027"/>
      <c r="CI1031" s="1027"/>
      <c r="CJ1031" s="1027"/>
      <c r="CK1031" s="1027"/>
      <c r="CL1031" s="1027"/>
      <c r="CM1031" s="1027"/>
      <c r="CN1031" s="1027"/>
      <c r="CO1031" s="1027"/>
      <c r="CP1031" s="1027"/>
      <c r="CQ1031" s="1027"/>
      <c r="CR1031" s="1027"/>
      <c r="CS1031" s="1027"/>
      <c r="CT1031" s="1027"/>
      <c r="CU1031" s="1027"/>
      <c r="CV1031" s="1027"/>
      <c r="CW1031" s="1027"/>
      <c r="CX1031" s="1027"/>
      <c r="CY1031" s="1027"/>
      <c r="CZ1031" s="1027"/>
      <c r="DA1031" s="1027"/>
      <c r="DB1031" s="1027"/>
      <c r="DC1031" s="1027"/>
      <c r="DD1031" s="1027"/>
      <c r="DE1031" s="1027"/>
      <c r="DF1031" s="1027"/>
      <c r="DG1031" s="1027"/>
      <c r="DH1031" s="1027"/>
      <c r="DI1031" s="1027"/>
      <c r="DJ1031" s="1027"/>
      <c r="DK1031" s="1027"/>
      <c r="DL1031" s="1027"/>
      <c r="DM1031" s="1027"/>
      <c r="DN1031" s="1027"/>
      <c r="DO1031" s="1027"/>
      <c r="DP1031" s="1027"/>
      <c r="DQ1031" s="1027"/>
      <c r="DR1031" s="1027"/>
      <c r="DS1031" s="1027"/>
      <c r="DT1031" s="1027"/>
      <c r="DU1031" s="1027"/>
      <c r="DV1031" s="1027"/>
      <c r="DW1031" s="1027"/>
      <c r="DX1031" s="1027"/>
      <c r="DY1031" s="1027"/>
      <c r="DZ1031" s="1027"/>
      <c r="EA1031" s="1027"/>
      <c r="EB1031" s="1027"/>
      <c r="EC1031" s="1027"/>
      <c r="ED1031" s="1027"/>
      <c r="EE1031" s="1027"/>
      <c r="EF1031" s="1027"/>
      <c r="EG1031" s="1027"/>
      <c r="EH1031" s="1027"/>
      <c r="EI1031" s="1027"/>
      <c r="EJ1031" s="1027"/>
      <c r="EK1031" s="1027"/>
      <c r="EL1031" s="1027"/>
      <c r="EM1031" s="1027"/>
      <c r="EN1031" s="1027"/>
      <c r="EO1031" s="1027"/>
      <c r="EP1031" s="1027"/>
      <c r="EQ1031" s="1027"/>
      <c r="ER1031" s="1027"/>
      <c r="ES1031" s="1027"/>
      <c r="ET1031" s="1027"/>
      <c r="EU1031" s="1027"/>
      <c r="EV1031" s="1027"/>
      <c r="EW1031" s="1027"/>
      <c r="EX1031" s="1027"/>
      <c r="EY1031" s="1027"/>
      <c r="EZ1031" s="1027"/>
      <c r="FA1031" s="1027"/>
      <c r="FB1031" s="1027"/>
      <c r="FC1031" s="1027"/>
      <c r="FD1031" s="1027"/>
      <c r="FE1031" s="1027"/>
      <c r="FF1031" s="1027"/>
      <c r="FG1031" s="1027"/>
      <c r="FH1031" s="1027"/>
      <c r="FI1031" s="1027"/>
      <c r="FJ1031" s="1027"/>
      <c r="FK1031" s="1027"/>
      <c r="FL1031" s="1027"/>
      <c r="FM1031" s="1027"/>
      <c r="FN1031" s="1027"/>
      <c r="FO1031" s="1027"/>
      <c r="FP1031" s="1027"/>
      <c r="FQ1031" s="1027"/>
      <c r="FR1031" s="1027"/>
      <c r="FS1031" s="1027"/>
      <c r="FT1031" s="1027"/>
      <c r="FU1031" s="1027"/>
      <c r="FV1031" s="1027"/>
      <c r="FW1031" s="1027"/>
      <c r="FX1031" s="1027"/>
      <c r="FY1031" s="1027"/>
      <c r="FZ1031" s="1027"/>
      <c r="GA1031" s="1027"/>
      <c r="GB1031" s="1027"/>
      <c r="GC1031" s="1027"/>
    </row>
    <row r="1032" spans="1:185" s="1013" customFormat="1" ht="41.25" customHeight="1">
      <c r="A1032" s="1249">
        <v>108</v>
      </c>
      <c r="B1032" s="1373" t="s">
        <v>2251</v>
      </c>
      <c r="C1032" s="1249">
        <v>1983</v>
      </c>
      <c r="D1032" s="1249"/>
      <c r="E1032" s="1249" t="s">
        <v>219</v>
      </c>
      <c r="F1032" s="1249">
        <v>9</v>
      </c>
      <c r="G1032" s="1249">
        <v>9</v>
      </c>
      <c r="H1032" s="998">
        <v>20254.5</v>
      </c>
      <c r="I1032" s="998">
        <v>17871.5</v>
      </c>
      <c r="J1032" s="998">
        <f>I1032-933.3</f>
        <v>16938.2</v>
      </c>
      <c r="K1032" s="986">
        <v>764</v>
      </c>
      <c r="L1032" s="998">
        <v>2540822</v>
      </c>
      <c r="M1032" s="998">
        <v>0</v>
      </c>
      <c r="N1032" s="998">
        <v>0</v>
      </c>
      <c r="O1032" s="998">
        <v>2540822</v>
      </c>
      <c r="P1032" s="998">
        <v>0</v>
      </c>
      <c r="Q1032" s="998">
        <v>0</v>
      </c>
      <c r="R1032" s="998">
        <f t="shared" si="345"/>
        <v>142.1717259323504</v>
      </c>
      <c r="S1032" s="988">
        <v>2018</v>
      </c>
      <c r="T1032" s="988" t="s">
        <v>1269</v>
      </c>
      <c r="U1032" s="1027"/>
      <c r="V1032" s="1027"/>
      <c r="W1032" s="1027"/>
      <c r="X1032" s="1027"/>
      <c r="Y1032" s="1027"/>
      <c r="Z1032" s="1027"/>
      <c r="AA1032" s="1027"/>
      <c r="AB1032" s="1027"/>
      <c r="AC1032" s="1027"/>
      <c r="AD1032" s="1027"/>
      <c r="AE1032" s="1027"/>
      <c r="AF1032" s="1027"/>
      <c r="AG1032" s="1027"/>
      <c r="AH1032" s="1027"/>
      <c r="AI1032" s="1027"/>
      <c r="AJ1032" s="1027"/>
      <c r="AK1032" s="1027"/>
      <c r="AL1032" s="1027"/>
      <c r="AM1032" s="1027"/>
      <c r="AN1032" s="1027"/>
      <c r="AO1032" s="1027"/>
      <c r="AP1032" s="1027"/>
      <c r="AQ1032" s="1027"/>
      <c r="AR1032" s="1027"/>
      <c r="AS1032" s="1027"/>
      <c r="AT1032" s="1027"/>
      <c r="AU1032" s="1027"/>
      <c r="AV1032" s="1027"/>
      <c r="AW1032" s="1027"/>
      <c r="AX1032" s="1027"/>
      <c r="AY1032" s="1027"/>
      <c r="AZ1032" s="1027"/>
      <c r="BA1032" s="1027"/>
      <c r="BB1032" s="1027"/>
      <c r="BC1032" s="1027"/>
      <c r="BD1032" s="1027"/>
      <c r="BE1032" s="1027"/>
      <c r="BF1032" s="1027"/>
      <c r="BG1032" s="1027"/>
      <c r="BH1032" s="1027"/>
      <c r="BI1032" s="1027"/>
      <c r="BJ1032" s="1027"/>
      <c r="BK1032" s="1027"/>
      <c r="BL1032" s="1027"/>
      <c r="BM1032" s="1027"/>
      <c r="BN1032" s="1027"/>
      <c r="BO1032" s="1027"/>
      <c r="BP1032" s="1027"/>
      <c r="BQ1032" s="1027"/>
      <c r="BR1032" s="1027"/>
      <c r="BS1032" s="1027"/>
      <c r="BT1032" s="1027"/>
      <c r="BU1032" s="1027"/>
      <c r="BV1032" s="1027"/>
      <c r="BW1032" s="1027"/>
      <c r="BX1032" s="1027"/>
      <c r="BY1032" s="1027"/>
      <c r="BZ1032" s="1027"/>
      <c r="CA1032" s="1027"/>
      <c r="CB1032" s="1027"/>
      <c r="CC1032" s="1027"/>
      <c r="CD1032" s="1027"/>
      <c r="CE1032" s="1027"/>
      <c r="CF1032" s="1027"/>
      <c r="CG1032" s="1027"/>
      <c r="CH1032" s="1027"/>
      <c r="CI1032" s="1027"/>
      <c r="CJ1032" s="1027"/>
      <c r="CK1032" s="1027"/>
      <c r="CL1032" s="1027"/>
      <c r="CM1032" s="1027"/>
      <c r="CN1032" s="1027"/>
      <c r="CO1032" s="1027"/>
      <c r="CP1032" s="1027"/>
      <c r="CQ1032" s="1027"/>
      <c r="CR1032" s="1027"/>
      <c r="CS1032" s="1027"/>
      <c r="CT1032" s="1027"/>
      <c r="CU1032" s="1027"/>
      <c r="CV1032" s="1027"/>
      <c r="CW1032" s="1027"/>
      <c r="CX1032" s="1027"/>
      <c r="CY1032" s="1027"/>
      <c r="CZ1032" s="1027"/>
      <c r="DA1032" s="1027"/>
      <c r="DB1032" s="1027"/>
      <c r="DC1032" s="1027"/>
      <c r="DD1032" s="1027"/>
      <c r="DE1032" s="1027"/>
      <c r="DF1032" s="1027"/>
      <c r="DG1032" s="1027"/>
      <c r="DH1032" s="1027"/>
      <c r="DI1032" s="1027"/>
      <c r="DJ1032" s="1027"/>
      <c r="DK1032" s="1027"/>
      <c r="DL1032" s="1027"/>
      <c r="DM1032" s="1027"/>
      <c r="DN1032" s="1027"/>
      <c r="DO1032" s="1027"/>
      <c r="DP1032" s="1027"/>
      <c r="DQ1032" s="1027"/>
      <c r="DR1032" s="1027"/>
      <c r="DS1032" s="1027"/>
      <c r="DT1032" s="1027"/>
      <c r="DU1032" s="1027"/>
      <c r="DV1032" s="1027"/>
      <c r="DW1032" s="1027"/>
      <c r="DX1032" s="1027"/>
      <c r="DY1032" s="1027"/>
      <c r="DZ1032" s="1027"/>
      <c r="EA1032" s="1027"/>
      <c r="EB1032" s="1027"/>
      <c r="EC1032" s="1027"/>
      <c r="ED1032" s="1027"/>
      <c r="EE1032" s="1027"/>
      <c r="EF1032" s="1027"/>
      <c r="EG1032" s="1027"/>
      <c r="EH1032" s="1027"/>
      <c r="EI1032" s="1027"/>
      <c r="EJ1032" s="1027"/>
      <c r="EK1032" s="1027"/>
      <c r="EL1032" s="1027"/>
      <c r="EM1032" s="1027"/>
      <c r="EN1032" s="1027"/>
      <c r="EO1032" s="1027"/>
      <c r="EP1032" s="1027"/>
      <c r="EQ1032" s="1027"/>
      <c r="ER1032" s="1027"/>
      <c r="ES1032" s="1027"/>
      <c r="ET1032" s="1027"/>
      <c r="EU1032" s="1027"/>
      <c r="EV1032" s="1027"/>
      <c r="EW1032" s="1027"/>
      <c r="EX1032" s="1027"/>
      <c r="EY1032" s="1027"/>
      <c r="EZ1032" s="1027"/>
      <c r="FA1032" s="1027"/>
      <c r="FB1032" s="1027"/>
      <c r="FC1032" s="1027"/>
      <c r="FD1032" s="1027"/>
      <c r="FE1032" s="1027"/>
      <c r="FF1032" s="1027"/>
      <c r="FG1032" s="1027"/>
      <c r="FH1032" s="1027"/>
      <c r="FI1032" s="1027"/>
      <c r="FJ1032" s="1027"/>
      <c r="FK1032" s="1027"/>
      <c r="FL1032" s="1027"/>
      <c r="FM1032" s="1027"/>
      <c r="FN1032" s="1027"/>
      <c r="FO1032" s="1027"/>
      <c r="FP1032" s="1027"/>
      <c r="FQ1032" s="1027"/>
      <c r="FR1032" s="1027"/>
      <c r="FS1032" s="1027"/>
      <c r="FT1032" s="1027"/>
      <c r="FU1032" s="1027"/>
      <c r="FV1032" s="1027"/>
      <c r="FW1032" s="1027"/>
      <c r="FX1032" s="1027"/>
      <c r="FY1032" s="1027"/>
      <c r="FZ1032" s="1027"/>
      <c r="GA1032" s="1027"/>
      <c r="GB1032" s="1027"/>
      <c r="GC1032" s="1027"/>
    </row>
    <row r="1033" spans="1:185" s="1013" customFormat="1" ht="41.25" customHeight="1">
      <c r="A1033" s="1249">
        <v>109</v>
      </c>
      <c r="B1033" s="1381" t="s">
        <v>2252</v>
      </c>
      <c r="C1033" s="1249">
        <v>1983</v>
      </c>
      <c r="D1033" s="1249"/>
      <c r="E1033" s="1249" t="s">
        <v>219</v>
      </c>
      <c r="F1033" s="1249">
        <v>9</v>
      </c>
      <c r="G1033" s="1249">
        <v>3</v>
      </c>
      <c r="H1033" s="998">
        <v>8203.6</v>
      </c>
      <c r="I1033" s="998">
        <v>5766.8</v>
      </c>
      <c r="J1033" s="998">
        <f>I1033-338.5</f>
        <v>5428.3</v>
      </c>
      <c r="K1033" s="986">
        <v>251</v>
      </c>
      <c r="L1033" s="998">
        <v>2518802</v>
      </c>
      <c r="M1033" s="998">
        <v>0</v>
      </c>
      <c r="N1033" s="998">
        <v>0</v>
      </c>
      <c r="O1033" s="998">
        <v>2518802</v>
      </c>
      <c r="P1033" s="998">
        <v>0</v>
      </c>
      <c r="Q1033" s="998">
        <v>0</v>
      </c>
      <c r="R1033" s="998">
        <f t="shared" si="345"/>
        <v>436.77637511271416</v>
      </c>
      <c r="S1033" s="988">
        <v>2018</v>
      </c>
      <c r="T1033" s="988" t="s">
        <v>1269</v>
      </c>
      <c r="U1033" s="1027"/>
      <c r="V1033" s="1027"/>
      <c r="W1033" s="1027"/>
      <c r="X1033" s="1027"/>
      <c r="Y1033" s="1027"/>
      <c r="Z1033" s="1027"/>
      <c r="AA1033" s="1027"/>
      <c r="AB1033" s="1027"/>
      <c r="AC1033" s="1027"/>
      <c r="AD1033" s="1027"/>
      <c r="AE1033" s="1027"/>
      <c r="AF1033" s="1027"/>
      <c r="AG1033" s="1027"/>
      <c r="AH1033" s="1027"/>
      <c r="AI1033" s="1027"/>
      <c r="AJ1033" s="1027"/>
      <c r="AK1033" s="1027"/>
      <c r="AL1033" s="1027"/>
      <c r="AM1033" s="1027"/>
      <c r="AN1033" s="1027"/>
      <c r="AO1033" s="1027"/>
      <c r="AP1033" s="1027"/>
      <c r="AQ1033" s="1027"/>
      <c r="AR1033" s="1027"/>
      <c r="AS1033" s="1027"/>
      <c r="AT1033" s="1027"/>
      <c r="AU1033" s="1027"/>
      <c r="AV1033" s="1027"/>
      <c r="AW1033" s="1027"/>
      <c r="AX1033" s="1027"/>
      <c r="AY1033" s="1027"/>
      <c r="AZ1033" s="1027"/>
      <c r="BA1033" s="1027"/>
      <c r="BB1033" s="1027"/>
      <c r="BC1033" s="1027"/>
      <c r="BD1033" s="1027"/>
      <c r="BE1033" s="1027"/>
      <c r="BF1033" s="1027"/>
      <c r="BG1033" s="1027"/>
      <c r="BH1033" s="1027"/>
      <c r="BI1033" s="1027"/>
      <c r="BJ1033" s="1027"/>
      <c r="BK1033" s="1027"/>
      <c r="BL1033" s="1027"/>
      <c r="BM1033" s="1027"/>
      <c r="BN1033" s="1027"/>
      <c r="BO1033" s="1027"/>
      <c r="BP1033" s="1027"/>
      <c r="BQ1033" s="1027"/>
      <c r="BR1033" s="1027"/>
      <c r="BS1033" s="1027"/>
      <c r="BT1033" s="1027"/>
      <c r="BU1033" s="1027"/>
      <c r="BV1033" s="1027"/>
      <c r="BW1033" s="1027"/>
      <c r="BX1033" s="1027"/>
      <c r="BY1033" s="1027"/>
      <c r="BZ1033" s="1027"/>
      <c r="CA1033" s="1027"/>
      <c r="CB1033" s="1027"/>
      <c r="CC1033" s="1027"/>
      <c r="CD1033" s="1027"/>
      <c r="CE1033" s="1027"/>
      <c r="CF1033" s="1027"/>
      <c r="CG1033" s="1027"/>
      <c r="CH1033" s="1027"/>
      <c r="CI1033" s="1027"/>
      <c r="CJ1033" s="1027"/>
      <c r="CK1033" s="1027"/>
      <c r="CL1033" s="1027"/>
      <c r="CM1033" s="1027"/>
      <c r="CN1033" s="1027"/>
      <c r="CO1033" s="1027"/>
      <c r="CP1033" s="1027"/>
      <c r="CQ1033" s="1027"/>
      <c r="CR1033" s="1027"/>
      <c r="CS1033" s="1027"/>
      <c r="CT1033" s="1027"/>
      <c r="CU1033" s="1027"/>
      <c r="CV1033" s="1027"/>
      <c r="CW1033" s="1027"/>
      <c r="CX1033" s="1027"/>
      <c r="CY1033" s="1027"/>
      <c r="CZ1033" s="1027"/>
      <c r="DA1033" s="1027"/>
      <c r="DB1033" s="1027"/>
      <c r="DC1033" s="1027"/>
      <c r="DD1033" s="1027"/>
      <c r="DE1033" s="1027"/>
      <c r="DF1033" s="1027"/>
      <c r="DG1033" s="1027"/>
      <c r="DH1033" s="1027"/>
      <c r="DI1033" s="1027"/>
      <c r="DJ1033" s="1027"/>
      <c r="DK1033" s="1027"/>
      <c r="DL1033" s="1027"/>
      <c r="DM1033" s="1027"/>
      <c r="DN1033" s="1027"/>
      <c r="DO1033" s="1027"/>
      <c r="DP1033" s="1027"/>
      <c r="DQ1033" s="1027"/>
      <c r="DR1033" s="1027"/>
      <c r="DS1033" s="1027"/>
      <c r="DT1033" s="1027"/>
      <c r="DU1033" s="1027"/>
      <c r="DV1033" s="1027"/>
      <c r="DW1033" s="1027"/>
      <c r="DX1033" s="1027"/>
      <c r="DY1033" s="1027"/>
      <c r="DZ1033" s="1027"/>
      <c r="EA1033" s="1027"/>
      <c r="EB1033" s="1027"/>
      <c r="EC1033" s="1027"/>
      <c r="ED1033" s="1027"/>
      <c r="EE1033" s="1027"/>
      <c r="EF1033" s="1027"/>
      <c r="EG1033" s="1027"/>
      <c r="EH1033" s="1027"/>
      <c r="EI1033" s="1027"/>
      <c r="EJ1033" s="1027"/>
      <c r="EK1033" s="1027"/>
      <c r="EL1033" s="1027"/>
      <c r="EM1033" s="1027"/>
      <c r="EN1033" s="1027"/>
      <c r="EO1033" s="1027"/>
      <c r="EP1033" s="1027"/>
      <c r="EQ1033" s="1027"/>
      <c r="ER1033" s="1027"/>
      <c r="ES1033" s="1027"/>
      <c r="ET1033" s="1027"/>
      <c r="EU1033" s="1027"/>
      <c r="EV1033" s="1027"/>
      <c r="EW1033" s="1027"/>
      <c r="EX1033" s="1027"/>
      <c r="EY1033" s="1027"/>
      <c r="EZ1033" s="1027"/>
      <c r="FA1033" s="1027"/>
      <c r="FB1033" s="1027"/>
      <c r="FC1033" s="1027"/>
      <c r="FD1033" s="1027"/>
      <c r="FE1033" s="1027"/>
      <c r="FF1033" s="1027"/>
      <c r="FG1033" s="1027"/>
      <c r="FH1033" s="1027"/>
      <c r="FI1033" s="1027"/>
      <c r="FJ1033" s="1027"/>
      <c r="FK1033" s="1027"/>
      <c r="FL1033" s="1027"/>
      <c r="FM1033" s="1027"/>
      <c r="FN1033" s="1027"/>
      <c r="FO1033" s="1027"/>
      <c r="FP1033" s="1027"/>
      <c r="FQ1033" s="1027"/>
      <c r="FR1033" s="1027"/>
      <c r="FS1033" s="1027"/>
      <c r="FT1033" s="1027"/>
      <c r="FU1033" s="1027"/>
      <c r="FV1033" s="1027"/>
      <c r="FW1033" s="1027"/>
      <c r="FX1033" s="1027"/>
      <c r="FY1033" s="1027"/>
      <c r="FZ1033" s="1027"/>
      <c r="GA1033" s="1027"/>
      <c r="GB1033" s="1027"/>
      <c r="GC1033" s="1027"/>
    </row>
    <row r="1034" spans="1:185" s="1013" customFormat="1" ht="41.25" customHeight="1">
      <c r="A1034" s="1249">
        <v>110</v>
      </c>
      <c r="B1034" s="1374" t="s">
        <v>327</v>
      </c>
      <c r="C1034" s="1249">
        <v>1981</v>
      </c>
      <c r="D1034" s="1255"/>
      <c r="E1034" s="1249" t="s">
        <v>219</v>
      </c>
      <c r="F1034" s="1255">
        <v>9</v>
      </c>
      <c r="G1034" s="1255">
        <v>8</v>
      </c>
      <c r="H1034" s="998">
        <v>17591</v>
      </c>
      <c r="I1034" s="998">
        <v>15698</v>
      </c>
      <c r="J1034" s="998">
        <f>I1034-579.1</f>
        <v>15118.9</v>
      </c>
      <c r="K1034" s="986">
        <v>598</v>
      </c>
      <c r="L1034" s="998">
        <v>5491877</v>
      </c>
      <c r="M1034" s="998">
        <v>0</v>
      </c>
      <c r="N1034" s="998">
        <v>0</v>
      </c>
      <c r="O1034" s="998">
        <v>5491877</v>
      </c>
      <c r="P1034" s="998">
        <v>0</v>
      </c>
      <c r="Q1034" s="998">
        <v>0</v>
      </c>
      <c r="R1034" s="998">
        <f t="shared" si="345"/>
        <v>349.84564912727734</v>
      </c>
      <c r="S1034" s="988">
        <v>2018</v>
      </c>
      <c r="T1034" s="1034" t="s">
        <v>1269</v>
      </c>
      <c r="U1034" s="1027"/>
      <c r="V1034" s="1027"/>
      <c r="W1034" s="1027"/>
      <c r="X1034" s="1027"/>
      <c r="Y1034" s="1027"/>
      <c r="Z1034" s="1027"/>
      <c r="AA1034" s="1027"/>
      <c r="AB1034" s="1027"/>
      <c r="AC1034" s="1027"/>
      <c r="AD1034" s="1027"/>
      <c r="AE1034" s="1027"/>
      <c r="AF1034" s="1027"/>
      <c r="AG1034" s="1027"/>
      <c r="AH1034" s="1027"/>
      <c r="AI1034" s="1027"/>
      <c r="AJ1034" s="1027"/>
      <c r="AK1034" s="1027"/>
      <c r="AL1034" s="1027"/>
      <c r="AM1034" s="1027"/>
      <c r="AN1034" s="1027"/>
      <c r="AO1034" s="1027"/>
      <c r="AP1034" s="1027"/>
      <c r="AQ1034" s="1027"/>
      <c r="AR1034" s="1027"/>
      <c r="AS1034" s="1027"/>
      <c r="AT1034" s="1027"/>
      <c r="AU1034" s="1027"/>
      <c r="AV1034" s="1027"/>
      <c r="AW1034" s="1027"/>
      <c r="AX1034" s="1027"/>
      <c r="AY1034" s="1027"/>
      <c r="AZ1034" s="1027"/>
      <c r="BA1034" s="1027"/>
      <c r="BB1034" s="1027"/>
      <c r="BC1034" s="1027"/>
      <c r="BD1034" s="1027"/>
      <c r="BE1034" s="1027"/>
      <c r="BF1034" s="1027"/>
      <c r="BG1034" s="1027"/>
      <c r="BH1034" s="1027"/>
      <c r="BI1034" s="1027"/>
      <c r="BJ1034" s="1027"/>
      <c r="BK1034" s="1027"/>
      <c r="BL1034" s="1027"/>
      <c r="BM1034" s="1027"/>
      <c r="BN1034" s="1027"/>
      <c r="BO1034" s="1027"/>
      <c r="BP1034" s="1027"/>
      <c r="BQ1034" s="1027"/>
      <c r="BR1034" s="1027"/>
      <c r="BS1034" s="1027"/>
      <c r="BT1034" s="1027"/>
      <c r="BU1034" s="1027"/>
      <c r="BV1034" s="1027"/>
      <c r="BW1034" s="1027"/>
      <c r="BX1034" s="1027"/>
      <c r="BY1034" s="1027"/>
      <c r="BZ1034" s="1027"/>
      <c r="CA1034" s="1027"/>
      <c r="CB1034" s="1027"/>
      <c r="CC1034" s="1027"/>
      <c r="CD1034" s="1027"/>
      <c r="CE1034" s="1027"/>
      <c r="CF1034" s="1027"/>
      <c r="CG1034" s="1027"/>
      <c r="CH1034" s="1027"/>
      <c r="CI1034" s="1027"/>
      <c r="CJ1034" s="1027"/>
      <c r="CK1034" s="1027"/>
      <c r="CL1034" s="1027"/>
      <c r="CM1034" s="1027"/>
      <c r="CN1034" s="1027"/>
      <c r="CO1034" s="1027"/>
      <c r="CP1034" s="1027"/>
      <c r="CQ1034" s="1027"/>
      <c r="CR1034" s="1027"/>
      <c r="CS1034" s="1027"/>
      <c r="CT1034" s="1027"/>
      <c r="CU1034" s="1027"/>
      <c r="CV1034" s="1027"/>
      <c r="CW1034" s="1027"/>
      <c r="CX1034" s="1027"/>
      <c r="CY1034" s="1027"/>
      <c r="CZ1034" s="1027"/>
      <c r="DA1034" s="1027"/>
      <c r="DB1034" s="1027"/>
      <c r="DC1034" s="1027"/>
      <c r="DD1034" s="1027"/>
      <c r="DE1034" s="1027"/>
      <c r="DF1034" s="1027"/>
      <c r="DG1034" s="1027"/>
      <c r="DH1034" s="1027"/>
      <c r="DI1034" s="1027"/>
      <c r="DJ1034" s="1027"/>
      <c r="DK1034" s="1027"/>
      <c r="DL1034" s="1027"/>
      <c r="DM1034" s="1027"/>
      <c r="DN1034" s="1027"/>
      <c r="DO1034" s="1027"/>
      <c r="DP1034" s="1027"/>
      <c r="DQ1034" s="1027"/>
      <c r="DR1034" s="1027"/>
      <c r="DS1034" s="1027"/>
      <c r="DT1034" s="1027"/>
      <c r="DU1034" s="1027"/>
      <c r="DV1034" s="1027"/>
      <c r="DW1034" s="1027"/>
      <c r="DX1034" s="1027"/>
      <c r="DY1034" s="1027"/>
      <c r="DZ1034" s="1027"/>
      <c r="EA1034" s="1027"/>
      <c r="EB1034" s="1027"/>
      <c r="EC1034" s="1027"/>
      <c r="ED1034" s="1027"/>
      <c r="EE1034" s="1027"/>
      <c r="EF1034" s="1027"/>
      <c r="EG1034" s="1027"/>
      <c r="EH1034" s="1027"/>
      <c r="EI1034" s="1027"/>
      <c r="EJ1034" s="1027"/>
      <c r="EK1034" s="1027"/>
      <c r="EL1034" s="1027"/>
      <c r="EM1034" s="1027"/>
      <c r="EN1034" s="1027"/>
      <c r="EO1034" s="1027"/>
      <c r="EP1034" s="1027"/>
      <c r="EQ1034" s="1027"/>
      <c r="ER1034" s="1027"/>
      <c r="ES1034" s="1027"/>
      <c r="ET1034" s="1027"/>
      <c r="EU1034" s="1027"/>
      <c r="EV1034" s="1027"/>
      <c r="EW1034" s="1027"/>
      <c r="EX1034" s="1027"/>
      <c r="EY1034" s="1027"/>
      <c r="EZ1034" s="1027"/>
      <c r="FA1034" s="1027"/>
      <c r="FB1034" s="1027"/>
      <c r="FC1034" s="1027"/>
      <c r="FD1034" s="1027"/>
      <c r="FE1034" s="1027"/>
      <c r="FF1034" s="1027"/>
      <c r="FG1034" s="1027"/>
      <c r="FH1034" s="1027"/>
      <c r="FI1034" s="1027"/>
      <c r="FJ1034" s="1027"/>
      <c r="FK1034" s="1027"/>
      <c r="FL1034" s="1027"/>
      <c r="FM1034" s="1027"/>
      <c r="FN1034" s="1027"/>
      <c r="FO1034" s="1027"/>
      <c r="FP1034" s="1027"/>
      <c r="FQ1034" s="1027"/>
      <c r="FR1034" s="1027"/>
      <c r="FS1034" s="1027"/>
      <c r="FT1034" s="1027"/>
      <c r="FU1034" s="1027"/>
      <c r="FV1034" s="1027"/>
      <c r="FW1034" s="1027"/>
      <c r="FX1034" s="1027"/>
      <c r="FY1034" s="1027"/>
      <c r="FZ1034" s="1027"/>
      <c r="GA1034" s="1027"/>
      <c r="GB1034" s="1027"/>
      <c r="GC1034" s="1027"/>
    </row>
    <row r="1035" spans="1:185" s="1013" customFormat="1" ht="41.25" customHeight="1">
      <c r="A1035" s="1249">
        <v>111</v>
      </c>
      <c r="B1035" s="1371" t="s">
        <v>2233</v>
      </c>
      <c r="C1035" s="1249">
        <v>1959</v>
      </c>
      <c r="D1035" s="1249"/>
      <c r="E1035" s="1249" t="s">
        <v>218</v>
      </c>
      <c r="F1035" s="1249">
        <v>3</v>
      </c>
      <c r="G1035" s="1249">
        <v>2</v>
      </c>
      <c r="H1035" s="998">
        <v>1012.8</v>
      </c>
      <c r="I1035" s="998">
        <v>983.7</v>
      </c>
      <c r="J1035" s="998">
        <f>I1035-36.4</f>
        <v>947.30000000000007</v>
      </c>
      <c r="K1035" s="986">
        <v>22</v>
      </c>
      <c r="L1035" s="998">
        <v>1243453</v>
      </c>
      <c r="M1035" s="998">
        <v>0</v>
      </c>
      <c r="N1035" s="998">
        <v>0</v>
      </c>
      <c r="O1035" s="998">
        <v>1243453</v>
      </c>
      <c r="P1035" s="998">
        <v>0</v>
      </c>
      <c r="Q1035" s="998">
        <v>0</v>
      </c>
      <c r="R1035" s="998">
        <f t="shared" si="345"/>
        <v>1264.057131239199</v>
      </c>
      <c r="S1035" s="988">
        <v>2018</v>
      </c>
      <c r="T1035" s="988" t="s">
        <v>1269</v>
      </c>
      <c r="U1035" s="1027"/>
      <c r="V1035" s="1027"/>
      <c r="W1035" s="1027"/>
      <c r="X1035" s="1027"/>
      <c r="Y1035" s="1027"/>
      <c r="Z1035" s="1027"/>
      <c r="AA1035" s="1027"/>
      <c r="AB1035" s="1027"/>
      <c r="AC1035" s="1027"/>
      <c r="AD1035" s="1027"/>
      <c r="AE1035" s="1027"/>
      <c r="AF1035" s="1027"/>
      <c r="AG1035" s="1027"/>
      <c r="AH1035" s="1027"/>
      <c r="AI1035" s="1027"/>
      <c r="AJ1035" s="1027"/>
      <c r="AK1035" s="1027"/>
      <c r="AL1035" s="1027"/>
      <c r="AM1035" s="1027"/>
      <c r="AN1035" s="1027"/>
      <c r="AO1035" s="1027"/>
      <c r="AP1035" s="1027"/>
      <c r="AQ1035" s="1027"/>
      <c r="AR1035" s="1027"/>
      <c r="AS1035" s="1027"/>
      <c r="AT1035" s="1027"/>
      <c r="AU1035" s="1027"/>
      <c r="AV1035" s="1027"/>
      <c r="AW1035" s="1027"/>
      <c r="AX1035" s="1027"/>
      <c r="AY1035" s="1027"/>
      <c r="AZ1035" s="1027"/>
      <c r="BA1035" s="1027"/>
      <c r="BB1035" s="1027"/>
      <c r="BC1035" s="1027"/>
      <c r="BD1035" s="1027"/>
      <c r="BE1035" s="1027"/>
      <c r="BF1035" s="1027"/>
      <c r="BG1035" s="1027"/>
      <c r="BH1035" s="1027"/>
      <c r="BI1035" s="1027"/>
      <c r="BJ1035" s="1027"/>
      <c r="BK1035" s="1027"/>
      <c r="BL1035" s="1027"/>
      <c r="BM1035" s="1027"/>
      <c r="BN1035" s="1027"/>
      <c r="BO1035" s="1027"/>
      <c r="BP1035" s="1027"/>
      <c r="BQ1035" s="1027"/>
      <c r="BR1035" s="1027"/>
      <c r="BS1035" s="1027"/>
      <c r="BT1035" s="1027"/>
      <c r="BU1035" s="1027"/>
      <c r="BV1035" s="1027"/>
      <c r="BW1035" s="1027"/>
      <c r="BX1035" s="1027"/>
      <c r="BY1035" s="1027"/>
      <c r="BZ1035" s="1027"/>
      <c r="CA1035" s="1027"/>
      <c r="CB1035" s="1027"/>
      <c r="CC1035" s="1027"/>
      <c r="CD1035" s="1027"/>
      <c r="CE1035" s="1027"/>
      <c r="CF1035" s="1027"/>
      <c r="CG1035" s="1027"/>
      <c r="CH1035" s="1027"/>
      <c r="CI1035" s="1027"/>
      <c r="CJ1035" s="1027"/>
      <c r="CK1035" s="1027"/>
      <c r="CL1035" s="1027"/>
      <c r="CM1035" s="1027"/>
      <c r="CN1035" s="1027"/>
      <c r="CO1035" s="1027"/>
      <c r="CP1035" s="1027"/>
      <c r="CQ1035" s="1027"/>
      <c r="CR1035" s="1027"/>
      <c r="CS1035" s="1027"/>
      <c r="CT1035" s="1027"/>
      <c r="CU1035" s="1027"/>
      <c r="CV1035" s="1027"/>
      <c r="CW1035" s="1027"/>
      <c r="CX1035" s="1027"/>
      <c r="CY1035" s="1027"/>
      <c r="CZ1035" s="1027"/>
      <c r="DA1035" s="1027"/>
      <c r="DB1035" s="1027"/>
      <c r="DC1035" s="1027"/>
      <c r="DD1035" s="1027"/>
      <c r="DE1035" s="1027"/>
      <c r="DF1035" s="1027"/>
      <c r="DG1035" s="1027"/>
      <c r="DH1035" s="1027"/>
      <c r="DI1035" s="1027"/>
      <c r="DJ1035" s="1027"/>
      <c r="DK1035" s="1027"/>
      <c r="DL1035" s="1027"/>
      <c r="DM1035" s="1027"/>
      <c r="DN1035" s="1027"/>
      <c r="DO1035" s="1027"/>
      <c r="DP1035" s="1027"/>
      <c r="DQ1035" s="1027"/>
      <c r="DR1035" s="1027"/>
      <c r="DS1035" s="1027"/>
      <c r="DT1035" s="1027"/>
      <c r="DU1035" s="1027"/>
      <c r="DV1035" s="1027"/>
      <c r="DW1035" s="1027"/>
      <c r="DX1035" s="1027"/>
      <c r="DY1035" s="1027"/>
      <c r="DZ1035" s="1027"/>
      <c r="EA1035" s="1027"/>
      <c r="EB1035" s="1027"/>
      <c r="EC1035" s="1027"/>
      <c r="ED1035" s="1027"/>
      <c r="EE1035" s="1027"/>
      <c r="EF1035" s="1027"/>
      <c r="EG1035" s="1027"/>
      <c r="EH1035" s="1027"/>
      <c r="EI1035" s="1027"/>
      <c r="EJ1035" s="1027"/>
      <c r="EK1035" s="1027"/>
      <c r="EL1035" s="1027"/>
      <c r="EM1035" s="1027"/>
      <c r="EN1035" s="1027"/>
      <c r="EO1035" s="1027"/>
      <c r="EP1035" s="1027"/>
      <c r="EQ1035" s="1027"/>
      <c r="ER1035" s="1027"/>
      <c r="ES1035" s="1027"/>
      <c r="ET1035" s="1027"/>
      <c r="EU1035" s="1027"/>
      <c r="EV1035" s="1027"/>
      <c r="EW1035" s="1027"/>
      <c r="EX1035" s="1027"/>
      <c r="EY1035" s="1027"/>
      <c r="EZ1035" s="1027"/>
      <c r="FA1035" s="1027"/>
      <c r="FB1035" s="1027"/>
      <c r="FC1035" s="1027"/>
      <c r="FD1035" s="1027"/>
      <c r="FE1035" s="1027"/>
      <c r="FF1035" s="1027"/>
      <c r="FG1035" s="1027"/>
      <c r="FH1035" s="1027"/>
      <c r="FI1035" s="1027"/>
      <c r="FJ1035" s="1027"/>
      <c r="FK1035" s="1027"/>
      <c r="FL1035" s="1027"/>
      <c r="FM1035" s="1027"/>
      <c r="FN1035" s="1027"/>
      <c r="FO1035" s="1027"/>
      <c r="FP1035" s="1027"/>
      <c r="FQ1035" s="1027"/>
      <c r="FR1035" s="1027"/>
      <c r="FS1035" s="1027"/>
      <c r="FT1035" s="1027"/>
      <c r="FU1035" s="1027"/>
      <c r="FV1035" s="1027"/>
      <c r="FW1035" s="1027"/>
      <c r="FX1035" s="1027"/>
      <c r="FY1035" s="1027"/>
      <c r="FZ1035" s="1027"/>
      <c r="GA1035" s="1027"/>
      <c r="GB1035" s="1027"/>
      <c r="GC1035" s="1027"/>
    </row>
    <row r="1036" spans="1:185" s="1013" customFormat="1" ht="41.25" customHeight="1">
      <c r="A1036" s="1249">
        <v>112</v>
      </c>
      <c r="B1036" s="1371" t="s">
        <v>2253</v>
      </c>
      <c r="C1036" s="1249">
        <v>1954</v>
      </c>
      <c r="D1036" s="1249"/>
      <c r="E1036" s="1249" t="s">
        <v>218</v>
      </c>
      <c r="F1036" s="1249">
        <v>2</v>
      </c>
      <c r="G1036" s="1249">
        <v>2</v>
      </c>
      <c r="H1036" s="998">
        <v>452.1</v>
      </c>
      <c r="I1036" s="998">
        <v>408.9</v>
      </c>
      <c r="J1036" s="998">
        <f>I1036</f>
        <v>408.9</v>
      </c>
      <c r="K1036" s="986">
        <v>27</v>
      </c>
      <c r="L1036" s="998">
        <v>1219348</v>
      </c>
      <c r="M1036" s="998">
        <v>0</v>
      </c>
      <c r="N1036" s="998">
        <v>0</v>
      </c>
      <c r="O1036" s="998">
        <v>1219348</v>
      </c>
      <c r="P1036" s="998">
        <v>0</v>
      </c>
      <c r="Q1036" s="998">
        <v>0</v>
      </c>
      <c r="R1036" s="998">
        <f t="shared" si="345"/>
        <v>2982.0200538028857</v>
      </c>
      <c r="S1036" s="988">
        <v>2018</v>
      </c>
      <c r="T1036" s="988" t="s">
        <v>1269</v>
      </c>
      <c r="U1036" s="1027"/>
      <c r="V1036" s="1027"/>
      <c r="W1036" s="1027"/>
      <c r="X1036" s="1027"/>
      <c r="Y1036" s="1027"/>
      <c r="Z1036" s="1027"/>
      <c r="AA1036" s="1027"/>
      <c r="AB1036" s="1027"/>
      <c r="AC1036" s="1027"/>
      <c r="AD1036" s="1027"/>
      <c r="AE1036" s="1027"/>
      <c r="AF1036" s="1027"/>
      <c r="AG1036" s="1027"/>
      <c r="AH1036" s="1027"/>
      <c r="AI1036" s="1027"/>
      <c r="AJ1036" s="1027"/>
      <c r="AK1036" s="1027"/>
      <c r="AL1036" s="1027"/>
      <c r="AM1036" s="1027"/>
      <c r="AN1036" s="1027"/>
      <c r="AO1036" s="1027"/>
      <c r="AP1036" s="1027"/>
      <c r="AQ1036" s="1027"/>
      <c r="AR1036" s="1027"/>
      <c r="AS1036" s="1027"/>
      <c r="AT1036" s="1027"/>
      <c r="AU1036" s="1027"/>
      <c r="AV1036" s="1027"/>
      <c r="AW1036" s="1027"/>
      <c r="AX1036" s="1027"/>
      <c r="AY1036" s="1027"/>
      <c r="AZ1036" s="1027"/>
      <c r="BA1036" s="1027"/>
      <c r="BB1036" s="1027"/>
      <c r="BC1036" s="1027"/>
      <c r="BD1036" s="1027"/>
      <c r="BE1036" s="1027"/>
      <c r="BF1036" s="1027"/>
      <c r="BG1036" s="1027"/>
      <c r="BH1036" s="1027"/>
      <c r="BI1036" s="1027"/>
      <c r="BJ1036" s="1027"/>
      <c r="BK1036" s="1027"/>
      <c r="BL1036" s="1027"/>
      <c r="BM1036" s="1027"/>
      <c r="BN1036" s="1027"/>
      <c r="BO1036" s="1027"/>
      <c r="BP1036" s="1027"/>
      <c r="BQ1036" s="1027"/>
      <c r="BR1036" s="1027"/>
      <c r="BS1036" s="1027"/>
      <c r="BT1036" s="1027"/>
      <c r="BU1036" s="1027"/>
      <c r="BV1036" s="1027"/>
      <c r="BW1036" s="1027"/>
      <c r="BX1036" s="1027"/>
      <c r="BY1036" s="1027"/>
      <c r="BZ1036" s="1027"/>
      <c r="CA1036" s="1027"/>
      <c r="CB1036" s="1027"/>
      <c r="CC1036" s="1027"/>
      <c r="CD1036" s="1027"/>
      <c r="CE1036" s="1027"/>
      <c r="CF1036" s="1027"/>
      <c r="CG1036" s="1027"/>
      <c r="CH1036" s="1027"/>
      <c r="CI1036" s="1027"/>
      <c r="CJ1036" s="1027"/>
      <c r="CK1036" s="1027"/>
      <c r="CL1036" s="1027"/>
      <c r="CM1036" s="1027"/>
      <c r="CN1036" s="1027"/>
      <c r="CO1036" s="1027"/>
      <c r="CP1036" s="1027"/>
      <c r="CQ1036" s="1027"/>
      <c r="CR1036" s="1027"/>
      <c r="CS1036" s="1027"/>
      <c r="CT1036" s="1027"/>
      <c r="CU1036" s="1027"/>
      <c r="CV1036" s="1027"/>
      <c r="CW1036" s="1027"/>
      <c r="CX1036" s="1027"/>
      <c r="CY1036" s="1027"/>
      <c r="CZ1036" s="1027"/>
      <c r="DA1036" s="1027"/>
      <c r="DB1036" s="1027"/>
      <c r="DC1036" s="1027"/>
      <c r="DD1036" s="1027"/>
      <c r="DE1036" s="1027"/>
      <c r="DF1036" s="1027"/>
      <c r="DG1036" s="1027"/>
      <c r="DH1036" s="1027"/>
      <c r="DI1036" s="1027"/>
      <c r="DJ1036" s="1027"/>
      <c r="DK1036" s="1027"/>
      <c r="DL1036" s="1027"/>
      <c r="DM1036" s="1027"/>
      <c r="DN1036" s="1027"/>
      <c r="DO1036" s="1027"/>
      <c r="DP1036" s="1027"/>
      <c r="DQ1036" s="1027"/>
      <c r="DR1036" s="1027"/>
      <c r="DS1036" s="1027"/>
      <c r="DT1036" s="1027"/>
      <c r="DU1036" s="1027"/>
      <c r="DV1036" s="1027"/>
      <c r="DW1036" s="1027"/>
      <c r="DX1036" s="1027"/>
      <c r="DY1036" s="1027"/>
      <c r="DZ1036" s="1027"/>
      <c r="EA1036" s="1027"/>
      <c r="EB1036" s="1027"/>
      <c r="EC1036" s="1027"/>
      <c r="ED1036" s="1027"/>
      <c r="EE1036" s="1027"/>
      <c r="EF1036" s="1027"/>
      <c r="EG1036" s="1027"/>
      <c r="EH1036" s="1027"/>
      <c r="EI1036" s="1027"/>
      <c r="EJ1036" s="1027"/>
      <c r="EK1036" s="1027"/>
      <c r="EL1036" s="1027"/>
      <c r="EM1036" s="1027"/>
      <c r="EN1036" s="1027"/>
      <c r="EO1036" s="1027"/>
      <c r="EP1036" s="1027"/>
      <c r="EQ1036" s="1027"/>
      <c r="ER1036" s="1027"/>
      <c r="ES1036" s="1027"/>
      <c r="ET1036" s="1027"/>
      <c r="EU1036" s="1027"/>
      <c r="EV1036" s="1027"/>
      <c r="EW1036" s="1027"/>
      <c r="EX1036" s="1027"/>
      <c r="EY1036" s="1027"/>
      <c r="EZ1036" s="1027"/>
      <c r="FA1036" s="1027"/>
      <c r="FB1036" s="1027"/>
      <c r="FC1036" s="1027"/>
      <c r="FD1036" s="1027"/>
      <c r="FE1036" s="1027"/>
      <c r="FF1036" s="1027"/>
      <c r="FG1036" s="1027"/>
      <c r="FH1036" s="1027"/>
      <c r="FI1036" s="1027"/>
      <c r="FJ1036" s="1027"/>
      <c r="FK1036" s="1027"/>
      <c r="FL1036" s="1027"/>
      <c r="FM1036" s="1027"/>
      <c r="FN1036" s="1027"/>
      <c r="FO1036" s="1027"/>
      <c r="FP1036" s="1027"/>
      <c r="FQ1036" s="1027"/>
      <c r="FR1036" s="1027"/>
      <c r="FS1036" s="1027"/>
      <c r="FT1036" s="1027"/>
      <c r="FU1036" s="1027"/>
      <c r="FV1036" s="1027"/>
      <c r="FW1036" s="1027"/>
      <c r="FX1036" s="1027"/>
      <c r="FY1036" s="1027"/>
      <c r="FZ1036" s="1027"/>
      <c r="GA1036" s="1027"/>
      <c r="GB1036" s="1027"/>
      <c r="GC1036" s="1027"/>
    </row>
    <row r="1037" spans="1:185" s="1013" customFormat="1" ht="41.25" customHeight="1">
      <c r="A1037" s="1249">
        <v>113</v>
      </c>
      <c r="B1037" s="1371" t="s">
        <v>2254</v>
      </c>
      <c r="C1037" s="1249">
        <v>1961</v>
      </c>
      <c r="D1037" s="1249"/>
      <c r="E1037" s="1249" t="s">
        <v>218</v>
      </c>
      <c r="F1037" s="1249">
        <v>3</v>
      </c>
      <c r="G1037" s="1249">
        <v>2</v>
      </c>
      <c r="H1037" s="998">
        <v>955.6</v>
      </c>
      <c r="I1037" s="998">
        <v>926.7</v>
      </c>
      <c r="J1037" s="998">
        <f>I1037-82.9</f>
        <v>843.80000000000007</v>
      </c>
      <c r="K1037" s="986">
        <v>28</v>
      </c>
      <c r="L1037" s="998">
        <v>1772460</v>
      </c>
      <c r="M1037" s="998">
        <v>0</v>
      </c>
      <c r="N1037" s="998">
        <v>0</v>
      </c>
      <c r="O1037" s="998">
        <v>1772460</v>
      </c>
      <c r="P1037" s="998">
        <v>0</v>
      </c>
      <c r="Q1037" s="998">
        <v>0</v>
      </c>
      <c r="R1037" s="998">
        <f t="shared" si="345"/>
        <v>1912.6578180640984</v>
      </c>
      <c r="S1037" s="988">
        <v>2018</v>
      </c>
      <c r="T1037" s="988" t="s">
        <v>1269</v>
      </c>
      <c r="U1037" s="1027"/>
      <c r="V1037" s="1027"/>
      <c r="W1037" s="1027"/>
      <c r="X1037" s="1027"/>
      <c r="Y1037" s="1027"/>
      <c r="Z1037" s="1027"/>
      <c r="AA1037" s="1027"/>
      <c r="AB1037" s="1027"/>
      <c r="AC1037" s="1027"/>
      <c r="AD1037" s="1027"/>
      <c r="AE1037" s="1027"/>
      <c r="AF1037" s="1027"/>
      <c r="AG1037" s="1027"/>
      <c r="AH1037" s="1027"/>
      <c r="AI1037" s="1027"/>
      <c r="AJ1037" s="1027"/>
      <c r="AK1037" s="1027"/>
      <c r="AL1037" s="1027"/>
      <c r="AM1037" s="1027"/>
      <c r="AN1037" s="1027"/>
      <c r="AO1037" s="1027"/>
      <c r="AP1037" s="1027"/>
      <c r="AQ1037" s="1027"/>
      <c r="AR1037" s="1027"/>
      <c r="AS1037" s="1027"/>
      <c r="AT1037" s="1027"/>
      <c r="AU1037" s="1027"/>
      <c r="AV1037" s="1027"/>
      <c r="AW1037" s="1027"/>
      <c r="AX1037" s="1027"/>
      <c r="AY1037" s="1027"/>
      <c r="AZ1037" s="1027"/>
      <c r="BA1037" s="1027"/>
      <c r="BB1037" s="1027"/>
      <c r="BC1037" s="1027"/>
      <c r="BD1037" s="1027"/>
      <c r="BE1037" s="1027"/>
      <c r="BF1037" s="1027"/>
      <c r="BG1037" s="1027"/>
      <c r="BH1037" s="1027"/>
      <c r="BI1037" s="1027"/>
      <c r="BJ1037" s="1027"/>
      <c r="BK1037" s="1027"/>
      <c r="BL1037" s="1027"/>
      <c r="BM1037" s="1027"/>
      <c r="BN1037" s="1027"/>
      <c r="BO1037" s="1027"/>
      <c r="BP1037" s="1027"/>
      <c r="BQ1037" s="1027"/>
      <c r="BR1037" s="1027"/>
      <c r="BS1037" s="1027"/>
      <c r="BT1037" s="1027"/>
      <c r="BU1037" s="1027"/>
      <c r="BV1037" s="1027"/>
      <c r="BW1037" s="1027"/>
      <c r="BX1037" s="1027"/>
      <c r="BY1037" s="1027"/>
      <c r="BZ1037" s="1027"/>
      <c r="CA1037" s="1027"/>
      <c r="CB1037" s="1027"/>
      <c r="CC1037" s="1027"/>
      <c r="CD1037" s="1027"/>
      <c r="CE1037" s="1027"/>
      <c r="CF1037" s="1027"/>
      <c r="CG1037" s="1027"/>
      <c r="CH1037" s="1027"/>
      <c r="CI1037" s="1027"/>
      <c r="CJ1037" s="1027"/>
      <c r="CK1037" s="1027"/>
      <c r="CL1037" s="1027"/>
      <c r="CM1037" s="1027"/>
      <c r="CN1037" s="1027"/>
      <c r="CO1037" s="1027"/>
      <c r="CP1037" s="1027"/>
      <c r="CQ1037" s="1027"/>
      <c r="CR1037" s="1027"/>
      <c r="CS1037" s="1027"/>
      <c r="CT1037" s="1027"/>
      <c r="CU1037" s="1027"/>
      <c r="CV1037" s="1027"/>
      <c r="CW1037" s="1027"/>
      <c r="CX1037" s="1027"/>
      <c r="CY1037" s="1027"/>
      <c r="CZ1037" s="1027"/>
      <c r="DA1037" s="1027"/>
      <c r="DB1037" s="1027"/>
      <c r="DC1037" s="1027"/>
      <c r="DD1037" s="1027"/>
      <c r="DE1037" s="1027"/>
      <c r="DF1037" s="1027"/>
      <c r="DG1037" s="1027"/>
      <c r="DH1037" s="1027"/>
      <c r="DI1037" s="1027"/>
      <c r="DJ1037" s="1027"/>
      <c r="DK1037" s="1027"/>
      <c r="DL1037" s="1027"/>
      <c r="DM1037" s="1027"/>
      <c r="DN1037" s="1027"/>
      <c r="DO1037" s="1027"/>
      <c r="DP1037" s="1027"/>
      <c r="DQ1037" s="1027"/>
      <c r="DR1037" s="1027"/>
      <c r="DS1037" s="1027"/>
      <c r="DT1037" s="1027"/>
      <c r="DU1037" s="1027"/>
      <c r="DV1037" s="1027"/>
      <c r="DW1037" s="1027"/>
      <c r="DX1037" s="1027"/>
      <c r="DY1037" s="1027"/>
      <c r="DZ1037" s="1027"/>
      <c r="EA1037" s="1027"/>
      <c r="EB1037" s="1027"/>
      <c r="EC1037" s="1027"/>
      <c r="ED1037" s="1027"/>
      <c r="EE1037" s="1027"/>
      <c r="EF1037" s="1027"/>
      <c r="EG1037" s="1027"/>
      <c r="EH1037" s="1027"/>
      <c r="EI1037" s="1027"/>
      <c r="EJ1037" s="1027"/>
      <c r="EK1037" s="1027"/>
      <c r="EL1037" s="1027"/>
      <c r="EM1037" s="1027"/>
      <c r="EN1037" s="1027"/>
      <c r="EO1037" s="1027"/>
      <c r="EP1037" s="1027"/>
      <c r="EQ1037" s="1027"/>
      <c r="ER1037" s="1027"/>
      <c r="ES1037" s="1027"/>
      <c r="ET1037" s="1027"/>
      <c r="EU1037" s="1027"/>
      <c r="EV1037" s="1027"/>
      <c r="EW1037" s="1027"/>
      <c r="EX1037" s="1027"/>
      <c r="EY1037" s="1027"/>
      <c r="EZ1037" s="1027"/>
      <c r="FA1037" s="1027"/>
      <c r="FB1037" s="1027"/>
      <c r="FC1037" s="1027"/>
      <c r="FD1037" s="1027"/>
      <c r="FE1037" s="1027"/>
      <c r="FF1037" s="1027"/>
      <c r="FG1037" s="1027"/>
      <c r="FH1037" s="1027"/>
      <c r="FI1037" s="1027"/>
      <c r="FJ1037" s="1027"/>
      <c r="FK1037" s="1027"/>
      <c r="FL1037" s="1027"/>
      <c r="FM1037" s="1027"/>
      <c r="FN1037" s="1027"/>
      <c r="FO1037" s="1027"/>
      <c r="FP1037" s="1027"/>
      <c r="FQ1037" s="1027"/>
      <c r="FR1037" s="1027"/>
      <c r="FS1037" s="1027"/>
      <c r="FT1037" s="1027"/>
      <c r="FU1037" s="1027"/>
      <c r="FV1037" s="1027"/>
      <c r="FW1037" s="1027"/>
      <c r="FX1037" s="1027"/>
      <c r="FY1037" s="1027"/>
      <c r="FZ1037" s="1027"/>
      <c r="GA1037" s="1027"/>
      <c r="GB1037" s="1027"/>
      <c r="GC1037" s="1027"/>
    </row>
    <row r="1038" spans="1:185" s="1013" customFormat="1" ht="41.25" customHeight="1">
      <c r="A1038" s="1249">
        <v>114</v>
      </c>
      <c r="B1038" s="1371" t="s">
        <v>2255</v>
      </c>
      <c r="C1038" s="1249">
        <v>1958</v>
      </c>
      <c r="D1038" s="1249"/>
      <c r="E1038" s="1249" t="s">
        <v>218</v>
      </c>
      <c r="F1038" s="1249">
        <v>2</v>
      </c>
      <c r="G1038" s="1249">
        <v>2</v>
      </c>
      <c r="H1038" s="998">
        <v>669.5</v>
      </c>
      <c r="I1038" s="998">
        <v>625.1</v>
      </c>
      <c r="J1038" s="998">
        <f>I1038-84.26</f>
        <v>540.84</v>
      </c>
      <c r="K1038" s="986">
        <v>29</v>
      </c>
      <c r="L1038" s="998">
        <v>1739484</v>
      </c>
      <c r="M1038" s="998">
        <v>0</v>
      </c>
      <c r="N1038" s="998">
        <v>0</v>
      </c>
      <c r="O1038" s="998">
        <v>1739484</v>
      </c>
      <c r="P1038" s="998">
        <v>0</v>
      </c>
      <c r="Q1038" s="998">
        <v>0</v>
      </c>
      <c r="R1038" s="998">
        <f t="shared" si="345"/>
        <v>2782.7291633338664</v>
      </c>
      <c r="S1038" s="988">
        <v>2018</v>
      </c>
      <c r="T1038" s="988" t="s">
        <v>1269</v>
      </c>
      <c r="U1038" s="1027"/>
      <c r="V1038" s="1027"/>
      <c r="W1038" s="1027"/>
      <c r="X1038" s="1027"/>
      <c r="Y1038" s="1027"/>
      <c r="Z1038" s="1027"/>
      <c r="AA1038" s="1027"/>
      <c r="AB1038" s="1027"/>
      <c r="AC1038" s="1027"/>
      <c r="AD1038" s="1027"/>
      <c r="AE1038" s="1027"/>
      <c r="AF1038" s="1027"/>
      <c r="AG1038" s="1027"/>
      <c r="AH1038" s="1027"/>
      <c r="AI1038" s="1027"/>
      <c r="AJ1038" s="1027"/>
      <c r="AK1038" s="1027"/>
      <c r="AL1038" s="1027"/>
      <c r="AM1038" s="1027"/>
      <c r="AN1038" s="1027"/>
      <c r="AO1038" s="1027"/>
      <c r="AP1038" s="1027"/>
      <c r="AQ1038" s="1027"/>
      <c r="AR1038" s="1027"/>
      <c r="AS1038" s="1027"/>
      <c r="AT1038" s="1027"/>
      <c r="AU1038" s="1027"/>
      <c r="AV1038" s="1027"/>
      <c r="AW1038" s="1027"/>
      <c r="AX1038" s="1027"/>
      <c r="AY1038" s="1027"/>
      <c r="AZ1038" s="1027"/>
      <c r="BA1038" s="1027"/>
      <c r="BB1038" s="1027"/>
      <c r="BC1038" s="1027"/>
      <c r="BD1038" s="1027"/>
      <c r="BE1038" s="1027"/>
      <c r="BF1038" s="1027"/>
      <c r="BG1038" s="1027"/>
      <c r="BH1038" s="1027"/>
      <c r="BI1038" s="1027"/>
      <c r="BJ1038" s="1027"/>
      <c r="BK1038" s="1027"/>
      <c r="BL1038" s="1027"/>
      <c r="BM1038" s="1027"/>
      <c r="BN1038" s="1027"/>
      <c r="BO1038" s="1027"/>
      <c r="BP1038" s="1027"/>
      <c r="BQ1038" s="1027"/>
      <c r="BR1038" s="1027"/>
      <c r="BS1038" s="1027"/>
      <c r="BT1038" s="1027"/>
      <c r="BU1038" s="1027"/>
      <c r="BV1038" s="1027"/>
      <c r="BW1038" s="1027"/>
      <c r="BX1038" s="1027"/>
      <c r="BY1038" s="1027"/>
      <c r="BZ1038" s="1027"/>
      <c r="CA1038" s="1027"/>
      <c r="CB1038" s="1027"/>
      <c r="CC1038" s="1027"/>
      <c r="CD1038" s="1027"/>
      <c r="CE1038" s="1027"/>
      <c r="CF1038" s="1027"/>
      <c r="CG1038" s="1027"/>
      <c r="CH1038" s="1027"/>
      <c r="CI1038" s="1027"/>
      <c r="CJ1038" s="1027"/>
      <c r="CK1038" s="1027"/>
      <c r="CL1038" s="1027"/>
      <c r="CM1038" s="1027"/>
      <c r="CN1038" s="1027"/>
      <c r="CO1038" s="1027"/>
      <c r="CP1038" s="1027"/>
      <c r="CQ1038" s="1027"/>
      <c r="CR1038" s="1027"/>
      <c r="CS1038" s="1027"/>
      <c r="CT1038" s="1027"/>
      <c r="CU1038" s="1027"/>
      <c r="CV1038" s="1027"/>
      <c r="CW1038" s="1027"/>
      <c r="CX1038" s="1027"/>
      <c r="CY1038" s="1027"/>
      <c r="CZ1038" s="1027"/>
      <c r="DA1038" s="1027"/>
      <c r="DB1038" s="1027"/>
      <c r="DC1038" s="1027"/>
      <c r="DD1038" s="1027"/>
      <c r="DE1038" s="1027"/>
      <c r="DF1038" s="1027"/>
      <c r="DG1038" s="1027"/>
      <c r="DH1038" s="1027"/>
      <c r="DI1038" s="1027"/>
      <c r="DJ1038" s="1027"/>
      <c r="DK1038" s="1027"/>
      <c r="DL1038" s="1027"/>
      <c r="DM1038" s="1027"/>
      <c r="DN1038" s="1027"/>
      <c r="DO1038" s="1027"/>
      <c r="DP1038" s="1027"/>
      <c r="DQ1038" s="1027"/>
      <c r="DR1038" s="1027"/>
      <c r="DS1038" s="1027"/>
      <c r="DT1038" s="1027"/>
      <c r="DU1038" s="1027"/>
      <c r="DV1038" s="1027"/>
      <c r="DW1038" s="1027"/>
      <c r="DX1038" s="1027"/>
      <c r="DY1038" s="1027"/>
      <c r="DZ1038" s="1027"/>
      <c r="EA1038" s="1027"/>
      <c r="EB1038" s="1027"/>
      <c r="EC1038" s="1027"/>
      <c r="ED1038" s="1027"/>
      <c r="EE1038" s="1027"/>
      <c r="EF1038" s="1027"/>
      <c r="EG1038" s="1027"/>
      <c r="EH1038" s="1027"/>
      <c r="EI1038" s="1027"/>
      <c r="EJ1038" s="1027"/>
      <c r="EK1038" s="1027"/>
      <c r="EL1038" s="1027"/>
      <c r="EM1038" s="1027"/>
      <c r="EN1038" s="1027"/>
      <c r="EO1038" s="1027"/>
      <c r="EP1038" s="1027"/>
      <c r="EQ1038" s="1027"/>
      <c r="ER1038" s="1027"/>
      <c r="ES1038" s="1027"/>
      <c r="ET1038" s="1027"/>
      <c r="EU1038" s="1027"/>
      <c r="EV1038" s="1027"/>
      <c r="EW1038" s="1027"/>
      <c r="EX1038" s="1027"/>
      <c r="EY1038" s="1027"/>
      <c r="EZ1038" s="1027"/>
      <c r="FA1038" s="1027"/>
      <c r="FB1038" s="1027"/>
      <c r="FC1038" s="1027"/>
      <c r="FD1038" s="1027"/>
      <c r="FE1038" s="1027"/>
      <c r="FF1038" s="1027"/>
      <c r="FG1038" s="1027"/>
      <c r="FH1038" s="1027"/>
      <c r="FI1038" s="1027"/>
      <c r="FJ1038" s="1027"/>
      <c r="FK1038" s="1027"/>
      <c r="FL1038" s="1027"/>
      <c r="FM1038" s="1027"/>
      <c r="FN1038" s="1027"/>
      <c r="FO1038" s="1027"/>
      <c r="FP1038" s="1027"/>
      <c r="FQ1038" s="1027"/>
      <c r="FR1038" s="1027"/>
      <c r="FS1038" s="1027"/>
      <c r="FT1038" s="1027"/>
      <c r="FU1038" s="1027"/>
      <c r="FV1038" s="1027"/>
      <c r="FW1038" s="1027"/>
      <c r="FX1038" s="1027"/>
      <c r="FY1038" s="1027"/>
      <c r="FZ1038" s="1027"/>
      <c r="GA1038" s="1027"/>
      <c r="GB1038" s="1027"/>
      <c r="GC1038" s="1027"/>
    </row>
    <row r="1039" spans="1:185" s="1013" customFormat="1" ht="41.25" customHeight="1">
      <c r="A1039" s="1249">
        <v>115</v>
      </c>
      <c r="B1039" s="1371" t="s">
        <v>2256</v>
      </c>
      <c r="C1039" s="1249">
        <v>1965</v>
      </c>
      <c r="D1039" s="1249"/>
      <c r="E1039" s="1249" t="s">
        <v>219</v>
      </c>
      <c r="F1039" s="1249">
        <v>5</v>
      </c>
      <c r="G1039" s="1249">
        <v>4</v>
      </c>
      <c r="H1039" s="998">
        <v>4175.1000000000004</v>
      </c>
      <c r="I1039" s="998">
        <v>3580.9</v>
      </c>
      <c r="J1039" s="998">
        <f>I1039-70.8-213.7</f>
        <v>3296.4</v>
      </c>
      <c r="K1039" s="986">
        <v>147</v>
      </c>
      <c r="L1039" s="998">
        <v>6145549</v>
      </c>
      <c r="M1039" s="998">
        <v>0</v>
      </c>
      <c r="N1039" s="998">
        <v>0</v>
      </c>
      <c r="O1039" s="998">
        <v>6145549</v>
      </c>
      <c r="P1039" s="998">
        <v>0</v>
      </c>
      <c r="Q1039" s="998">
        <v>0</v>
      </c>
      <c r="R1039" s="998">
        <f t="shared" si="345"/>
        <v>1716.2023513641821</v>
      </c>
      <c r="S1039" s="988">
        <v>2018</v>
      </c>
      <c r="T1039" s="988" t="s">
        <v>1269</v>
      </c>
      <c r="U1039" s="1027"/>
      <c r="V1039" s="1027"/>
      <c r="W1039" s="1027"/>
      <c r="X1039" s="1027"/>
      <c r="Y1039" s="1027"/>
      <c r="Z1039" s="1027"/>
      <c r="AA1039" s="1027"/>
      <c r="AB1039" s="1027"/>
      <c r="AC1039" s="1027"/>
      <c r="AD1039" s="1027"/>
      <c r="AE1039" s="1027"/>
      <c r="AF1039" s="1027"/>
      <c r="AG1039" s="1027"/>
      <c r="AH1039" s="1027"/>
      <c r="AI1039" s="1027"/>
      <c r="AJ1039" s="1027"/>
      <c r="AK1039" s="1027"/>
      <c r="AL1039" s="1027"/>
      <c r="AM1039" s="1027"/>
      <c r="AN1039" s="1027"/>
      <c r="AO1039" s="1027"/>
      <c r="AP1039" s="1027"/>
      <c r="AQ1039" s="1027"/>
      <c r="AR1039" s="1027"/>
      <c r="AS1039" s="1027"/>
      <c r="AT1039" s="1027"/>
      <c r="AU1039" s="1027"/>
      <c r="AV1039" s="1027"/>
      <c r="AW1039" s="1027"/>
      <c r="AX1039" s="1027"/>
      <c r="AY1039" s="1027"/>
      <c r="AZ1039" s="1027"/>
      <c r="BA1039" s="1027"/>
      <c r="BB1039" s="1027"/>
      <c r="BC1039" s="1027"/>
      <c r="BD1039" s="1027"/>
      <c r="BE1039" s="1027"/>
      <c r="BF1039" s="1027"/>
      <c r="BG1039" s="1027"/>
      <c r="BH1039" s="1027"/>
      <c r="BI1039" s="1027"/>
      <c r="BJ1039" s="1027"/>
      <c r="BK1039" s="1027"/>
      <c r="BL1039" s="1027"/>
      <c r="BM1039" s="1027"/>
      <c r="BN1039" s="1027"/>
      <c r="BO1039" s="1027"/>
      <c r="BP1039" s="1027"/>
      <c r="BQ1039" s="1027"/>
      <c r="BR1039" s="1027"/>
      <c r="BS1039" s="1027"/>
      <c r="BT1039" s="1027"/>
      <c r="BU1039" s="1027"/>
      <c r="BV1039" s="1027"/>
      <c r="BW1039" s="1027"/>
      <c r="BX1039" s="1027"/>
      <c r="BY1039" s="1027"/>
      <c r="BZ1039" s="1027"/>
      <c r="CA1039" s="1027"/>
      <c r="CB1039" s="1027"/>
      <c r="CC1039" s="1027"/>
      <c r="CD1039" s="1027"/>
      <c r="CE1039" s="1027"/>
      <c r="CF1039" s="1027"/>
      <c r="CG1039" s="1027"/>
      <c r="CH1039" s="1027"/>
      <c r="CI1039" s="1027"/>
      <c r="CJ1039" s="1027"/>
      <c r="CK1039" s="1027"/>
      <c r="CL1039" s="1027"/>
      <c r="CM1039" s="1027"/>
      <c r="CN1039" s="1027"/>
      <c r="CO1039" s="1027"/>
      <c r="CP1039" s="1027"/>
      <c r="CQ1039" s="1027"/>
      <c r="CR1039" s="1027"/>
      <c r="CS1039" s="1027"/>
      <c r="CT1039" s="1027"/>
      <c r="CU1039" s="1027"/>
      <c r="CV1039" s="1027"/>
      <c r="CW1039" s="1027"/>
      <c r="CX1039" s="1027"/>
      <c r="CY1039" s="1027"/>
      <c r="CZ1039" s="1027"/>
      <c r="DA1039" s="1027"/>
      <c r="DB1039" s="1027"/>
      <c r="DC1039" s="1027"/>
      <c r="DD1039" s="1027"/>
      <c r="DE1039" s="1027"/>
      <c r="DF1039" s="1027"/>
      <c r="DG1039" s="1027"/>
      <c r="DH1039" s="1027"/>
      <c r="DI1039" s="1027"/>
      <c r="DJ1039" s="1027"/>
      <c r="DK1039" s="1027"/>
      <c r="DL1039" s="1027"/>
      <c r="DM1039" s="1027"/>
      <c r="DN1039" s="1027"/>
      <c r="DO1039" s="1027"/>
      <c r="DP1039" s="1027"/>
      <c r="DQ1039" s="1027"/>
      <c r="DR1039" s="1027"/>
      <c r="DS1039" s="1027"/>
      <c r="DT1039" s="1027"/>
      <c r="DU1039" s="1027"/>
      <c r="DV1039" s="1027"/>
      <c r="DW1039" s="1027"/>
      <c r="DX1039" s="1027"/>
      <c r="DY1039" s="1027"/>
      <c r="DZ1039" s="1027"/>
      <c r="EA1039" s="1027"/>
      <c r="EB1039" s="1027"/>
      <c r="EC1039" s="1027"/>
      <c r="ED1039" s="1027"/>
      <c r="EE1039" s="1027"/>
      <c r="EF1039" s="1027"/>
      <c r="EG1039" s="1027"/>
      <c r="EH1039" s="1027"/>
      <c r="EI1039" s="1027"/>
      <c r="EJ1039" s="1027"/>
      <c r="EK1039" s="1027"/>
      <c r="EL1039" s="1027"/>
      <c r="EM1039" s="1027"/>
      <c r="EN1039" s="1027"/>
      <c r="EO1039" s="1027"/>
      <c r="EP1039" s="1027"/>
      <c r="EQ1039" s="1027"/>
      <c r="ER1039" s="1027"/>
      <c r="ES1039" s="1027"/>
      <c r="ET1039" s="1027"/>
      <c r="EU1039" s="1027"/>
      <c r="EV1039" s="1027"/>
      <c r="EW1039" s="1027"/>
      <c r="EX1039" s="1027"/>
      <c r="EY1039" s="1027"/>
      <c r="EZ1039" s="1027"/>
      <c r="FA1039" s="1027"/>
      <c r="FB1039" s="1027"/>
      <c r="FC1039" s="1027"/>
      <c r="FD1039" s="1027"/>
      <c r="FE1039" s="1027"/>
      <c r="FF1039" s="1027"/>
      <c r="FG1039" s="1027"/>
      <c r="FH1039" s="1027"/>
      <c r="FI1039" s="1027"/>
      <c r="FJ1039" s="1027"/>
      <c r="FK1039" s="1027"/>
      <c r="FL1039" s="1027"/>
      <c r="FM1039" s="1027"/>
      <c r="FN1039" s="1027"/>
      <c r="FO1039" s="1027"/>
      <c r="FP1039" s="1027"/>
      <c r="FQ1039" s="1027"/>
      <c r="FR1039" s="1027"/>
      <c r="FS1039" s="1027"/>
      <c r="FT1039" s="1027"/>
      <c r="FU1039" s="1027"/>
      <c r="FV1039" s="1027"/>
      <c r="FW1039" s="1027"/>
      <c r="FX1039" s="1027"/>
      <c r="FY1039" s="1027"/>
      <c r="FZ1039" s="1027"/>
      <c r="GA1039" s="1027"/>
      <c r="GB1039" s="1027"/>
      <c r="GC1039" s="1027"/>
    </row>
    <row r="1040" spans="1:185" s="1013" customFormat="1" ht="41.25" customHeight="1">
      <c r="A1040" s="1249">
        <v>116</v>
      </c>
      <c r="B1040" s="1371" t="s">
        <v>2257</v>
      </c>
      <c r="C1040" s="1249">
        <v>1965</v>
      </c>
      <c r="D1040" s="1249"/>
      <c r="E1040" s="1249" t="s">
        <v>219</v>
      </c>
      <c r="F1040" s="1249">
        <v>5</v>
      </c>
      <c r="G1040" s="1249">
        <v>5</v>
      </c>
      <c r="H1040" s="998">
        <v>3794.2</v>
      </c>
      <c r="I1040" s="998">
        <v>3365.9</v>
      </c>
      <c r="J1040" s="998">
        <f>I1040</f>
        <v>3365.9</v>
      </c>
      <c r="K1040" s="986">
        <v>120</v>
      </c>
      <c r="L1040" s="998">
        <v>2668650</v>
      </c>
      <c r="M1040" s="998">
        <v>0</v>
      </c>
      <c r="N1040" s="998">
        <v>0</v>
      </c>
      <c r="O1040" s="998">
        <v>2668650</v>
      </c>
      <c r="P1040" s="998">
        <v>0</v>
      </c>
      <c r="Q1040" s="998">
        <v>0</v>
      </c>
      <c r="R1040" s="998">
        <f t="shared" si="345"/>
        <v>792.84886657357617</v>
      </c>
      <c r="S1040" s="988">
        <v>2018</v>
      </c>
      <c r="T1040" s="988" t="s">
        <v>1269</v>
      </c>
      <c r="U1040" s="1027"/>
      <c r="V1040" s="1027"/>
      <c r="W1040" s="1027"/>
      <c r="X1040" s="1027"/>
      <c r="Y1040" s="1027"/>
      <c r="Z1040" s="1027"/>
      <c r="AA1040" s="1027"/>
      <c r="AB1040" s="1027"/>
      <c r="AC1040" s="1027"/>
      <c r="AD1040" s="1027"/>
      <c r="AE1040" s="1027"/>
      <c r="AF1040" s="1027"/>
      <c r="AG1040" s="1027"/>
      <c r="AH1040" s="1027"/>
      <c r="AI1040" s="1027"/>
      <c r="AJ1040" s="1027"/>
      <c r="AK1040" s="1027"/>
      <c r="AL1040" s="1027"/>
      <c r="AM1040" s="1027"/>
      <c r="AN1040" s="1027"/>
      <c r="AO1040" s="1027"/>
      <c r="AP1040" s="1027"/>
      <c r="AQ1040" s="1027"/>
      <c r="AR1040" s="1027"/>
      <c r="AS1040" s="1027"/>
      <c r="AT1040" s="1027"/>
      <c r="AU1040" s="1027"/>
      <c r="AV1040" s="1027"/>
      <c r="AW1040" s="1027"/>
      <c r="AX1040" s="1027"/>
      <c r="AY1040" s="1027"/>
      <c r="AZ1040" s="1027"/>
      <c r="BA1040" s="1027"/>
      <c r="BB1040" s="1027"/>
      <c r="BC1040" s="1027"/>
      <c r="BD1040" s="1027"/>
      <c r="BE1040" s="1027"/>
      <c r="BF1040" s="1027"/>
      <c r="BG1040" s="1027"/>
      <c r="BH1040" s="1027"/>
      <c r="BI1040" s="1027"/>
      <c r="BJ1040" s="1027"/>
      <c r="BK1040" s="1027"/>
      <c r="BL1040" s="1027"/>
      <c r="BM1040" s="1027"/>
      <c r="BN1040" s="1027"/>
      <c r="BO1040" s="1027"/>
      <c r="BP1040" s="1027"/>
      <c r="BQ1040" s="1027"/>
      <c r="BR1040" s="1027"/>
      <c r="BS1040" s="1027"/>
      <c r="BT1040" s="1027"/>
      <c r="BU1040" s="1027"/>
      <c r="BV1040" s="1027"/>
      <c r="BW1040" s="1027"/>
      <c r="BX1040" s="1027"/>
      <c r="BY1040" s="1027"/>
      <c r="BZ1040" s="1027"/>
      <c r="CA1040" s="1027"/>
      <c r="CB1040" s="1027"/>
      <c r="CC1040" s="1027"/>
      <c r="CD1040" s="1027"/>
      <c r="CE1040" s="1027"/>
      <c r="CF1040" s="1027"/>
      <c r="CG1040" s="1027"/>
      <c r="CH1040" s="1027"/>
      <c r="CI1040" s="1027"/>
      <c r="CJ1040" s="1027"/>
      <c r="CK1040" s="1027"/>
      <c r="CL1040" s="1027"/>
      <c r="CM1040" s="1027"/>
      <c r="CN1040" s="1027"/>
      <c r="CO1040" s="1027"/>
      <c r="CP1040" s="1027"/>
      <c r="CQ1040" s="1027"/>
      <c r="CR1040" s="1027"/>
      <c r="CS1040" s="1027"/>
      <c r="CT1040" s="1027"/>
      <c r="CU1040" s="1027"/>
      <c r="CV1040" s="1027"/>
      <c r="CW1040" s="1027"/>
      <c r="CX1040" s="1027"/>
      <c r="CY1040" s="1027"/>
      <c r="CZ1040" s="1027"/>
      <c r="DA1040" s="1027"/>
      <c r="DB1040" s="1027"/>
      <c r="DC1040" s="1027"/>
      <c r="DD1040" s="1027"/>
      <c r="DE1040" s="1027"/>
      <c r="DF1040" s="1027"/>
      <c r="DG1040" s="1027"/>
      <c r="DH1040" s="1027"/>
      <c r="DI1040" s="1027"/>
      <c r="DJ1040" s="1027"/>
      <c r="DK1040" s="1027"/>
      <c r="DL1040" s="1027"/>
      <c r="DM1040" s="1027"/>
      <c r="DN1040" s="1027"/>
      <c r="DO1040" s="1027"/>
      <c r="DP1040" s="1027"/>
      <c r="DQ1040" s="1027"/>
      <c r="DR1040" s="1027"/>
      <c r="DS1040" s="1027"/>
      <c r="DT1040" s="1027"/>
      <c r="DU1040" s="1027"/>
      <c r="DV1040" s="1027"/>
      <c r="DW1040" s="1027"/>
      <c r="DX1040" s="1027"/>
      <c r="DY1040" s="1027"/>
      <c r="DZ1040" s="1027"/>
      <c r="EA1040" s="1027"/>
      <c r="EB1040" s="1027"/>
      <c r="EC1040" s="1027"/>
      <c r="ED1040" s="1027"/>
      <c r="EE1040" s="1027"/>
      <c r="EF1040" s="1027"/>
      <c r="EG1040" s="1027"/>
      <c r="EH1040" s="1027"/>
      <c r="EI1040" s="1027"/>
      <c r="EJ1040" s="1027"/>
      <c r="EK1040" s="1027"/>
      <c r="EL1040" s="1027"/>
      <c r="EM1040" s="1027"/>
      <c r="EN1040" s="1027"/>
      <c r="EO1040" s="1027"/>
      <c r="EP1040" s="1027"/>
      <c r="EQ1040" s="1027"/>
      <c r="ER1040" s="1027"/>
      <c r="ES1040" s="1027"/>
      <c r="ET1040" s="1027"/>
      <c r="EU1040" s="1027"/>
      <c r="EV1040" s="1027"/>
      <c r="EW1040" s="1027"/>
      <c r="EX1040" s="1027"/>
      <c r="EY1040" s="1027"/>
      <c r="EZ1040" s="1027"/>
      <c r="FA1040" s="1027"/>
      <c r="FB1040" s="1027"/>
      <c r="FC1040" s="1027"/>
      <c r="FD1040" s="1027"/>
      <c r="FE1040" s="1027"/>
      <c r="FF1040" s="1027"/>
      <c r="FG1040" s="1027"/>
      <c r="FH1040" s="1027"/>
      <c r="FI1040" s="1027"/>
      <c r="FJ1040" s="1027"/>
      <c r="FK1040" s="1027"/>
      <c r="FL1040" s="1027"/>
      <c r="FM1040" s="1027"/>
      <c r="FN1040" s="1027"/>
      <c r="FO1040" s="1027"/>
      <c r="FP1040" s="1027"/>
      <c r="FQ1040" s="1027"/>
      <c r="FR1040" s="1027"/>
      <c r="FS1040" s="1027"/>
      <c r="FT1040" s="1027"/>
      <c r="FU1040" s="1027"/>
      <c r="FV1040" s="1027"/>
      <c r="FW1040" s="1027"/>
      <c r="FX1040" s="1027"/>
      <c r="FY1040" s="1027"/>
      <c r="FZ1040" s="1027"/>
      <c r="GA1040" s="1027"/>
      <c r="GB1040" s="1027"/>
      <c r="GC1040" s="1027"/>
    </row>
    <row r="1041" spans="1:20" s="1013" customFormat="1" ht="41.25" customHeight="1">
      <c r="A1041" s="1249">
        <v>117</v>
      </c>
      <c r="B1041" s="1377" t="s">
        <v>2258</v>
      </c>
      <c r="C1041" s="1249">
        <v>1982</v>
      </c>
      <c r="D1041" s="1255"/>
      <c r="E1041" s="1249" t="s">
        <v>219</v>
      </c>
      <c r="F1041" s="1255">
        <v>9</v>
      </c>
      <c r="G1041" s="1255">
        <v>6</v>
      </c>
      <c r="H1041" s="998">
        <v>13118.41</v>
      </c>
      <c r="I1041" s="998">
        <v>11595.8</v>
      </c>
      <c r="J1041" s="998">
        <f>I1041-366.6</f>
        <v>11229.199999999999</v>
      </c>
      <c r="K1041" s="986">
        <v>477</v>
      </c>
      <c r="L1041" s="998">
        <v>4485650</v>
      </c>
      <c r="M1041" s="998">
        <v>0</v>
      </c>
      <c r="N1041" s="998">
        <v>0</v>
      </c>
      <c r="O1041" s="998">
        <v>4485650</v>
      </c>
      <c r="P1041" s="998">
        <v>0</v>
      </c>
      <c r="Q1041" s="998">
        <v>0</v>
      </c>
      <c r="R1041" s="998">
        <f t="shared" si="345"/>
        <v>386.83402611290296</v>
      </c>
      <c r="S1041" s="988">
        <v>2018</v>
      </c>
      <c r="T1041" s="988" t="s">
        <v>1269</v>
      </c>
    </row>
    <row r="1042" spans="1:20" s="1013" customFormat="1" ht="41.25" customHeight="1">
      <c r="A1042" s="1249">
        <v>118</v>
      </c>
      <c r="B1042" s="1377" t="s">
        <v>1683</v>
      </c>
      <c r="C1042" s="1249">
        <v>1992</v>
      </c>
      <c r="D1042" s="1255"/>
      <c r="E1042" s="1249" t="s">
        <v>218</v>
      </c>
      <c r="F1042" s="1255">
        <v>12</v>
      </c>
      <c r="G1042" s="1255">
        <v>1</v>
      </c>
      <c r="H1042" s="998">
        <v>5457.1</v>
      </c>
      <c r="I1042" s="998">
        <v>3864.1</v>
      </c>
      <c r="J1042" s="998">
        <f>I1042-45.3</f>
        <v>3818.7999999999997</v>
      </c>
      <c r="K1042" s="986">
        <v>168</v>
      </c>
      <c r="L1042" s="998">
        <v>1321814</v>
      </c>
      <c r="M1042" s="998">
        <v>0</v>
      </c>
      <c r="N1042" s="998">
        <v>0</v>
      </c>
      <c r="O1042" s="998">
        <v>1321814</v>
      </c>
      <c r="P1042" s="998">
        <v>0</v>
      </c>
      <c r="Q1042" s="998">
        <v>0</v>
      </c>
      <c r="R1042" s="998">
        <f t="shared" si="345"/>
        <v>342.07551564400507</v>
      </c>
      <c r="S1042" s="988">
        <v>2018</v>
      </c>
      <c r="T1042" s="988" t="s">
        <v>1269</v>
      </c>
    </row>
    <row r="1043" spans="1:20" s="1013" customFormat="1" ht="41.25" customHeight="1">
      <c r="A1043" s="1249">
        <v>119</v>
      </c>
      <c r="B1043" s="1371" t="s">
        <v>2093</v>
      </c>
      <c r="C1043" s="1249">
        <v>1917</v>
      </c>
      <c r="D1043" s="1249"/>
      <c r="E1043" s="1249" t="s">
        <v>218</v>
      </c>
      <c r="F1043" s="1249">
        <v>3</v>
      </c>
      <c r="G1043" s="1249">
        <v>1</v>
      </c>
      <c r="H1043" s="998">
        <v>460.1</v>
      </c>
      <c r="I1043" s="998">
        <v>420.1</v>
      </c>
      <c r="J1043" s="998">
        <v>420.1</v>
      </c>
      <c r="K1043" s="986">
        <v>11</v>
      </c>
      <c r="L1043" s="998">
        <v>1685452.24</v>
      </c>
      <c r="M1043" s="998">
        <v>0</v>
      </c>
      <c r="N1043" s="998">
        <v>0</v>
      </c>
      <c r="O1043" s="998">
        <f>L1043</f>
        <v>1685452.24</v>
      </c>
      <c r="P1043" s="998">
        <v>0</v>
      </c>
      <c r="Q1043" s="998">
        <v>0</v>
      </c>
      <c r="R1043" s="998">
        <f t="shared" si="345"/>
        <v>4012.0262794572718</v>
      </c>
      <c r="S1043" s="988">
        <v>2018</v>
      </c>
      <c r="T1043" s="988" t="s">
        <v>1269</v>
      </c>
    </row>
    <row r="1044" spans="1:20" s="1013" customFormat="1" ht="41.25" customHeight="1">
      <c r="A1044" s="1249">
        <v>120</v>
      </c>
      <c r="B1044" s="1035" t="s">
        <v>2094</v>
      </c>
      <c r="C1044" s="1249">
        <v>1917</v>
      </c>
      <c r="D1044" s="1249"/>
      <c r="E1044" s="1249" t="s">
        <v>218</v>
      </c>
      <c r="F1044" s="1249">
        <v>3</v>
      </c>
      <c r="G1044" s="1249">
        <v>2</v>
      </c>
      <c r="H1044" s="998">
        <v>483.6</v>
      </c>
      <c r="I1044" s="998">
        <v>410</v>
      </c>
      <c r="J1044" s="998">
        <f>I1044</f>
        <v>410</v>
      </c>
      <c r="K1044" s="986">
        <v>15</v>
      </c>
      <c r="L1044" s="998">
        <v>1752447</v>
      </c>
      <c r="M1044" s="998">
        <v>0</v>
      </c>
      <c r="N1044" s="998">
        <v>0</v>
      </c>
      <c r="O1044" s="998">
        <v>1752447</v>
      </c>
      <c r="P1044" s="998">
        <v>0</v>
      </c>
      <c r="Q1044" s="998">
        <v>0</v>
      </c>
      <c r="R1044" s="998">
        <f t="shared" si="345"/>
        <v>4274.2609756097563</v>
      </c>
      <c r="S1044" s="988">
        <v>2018</v>
      </c>
      <c r="T1044" s="988" t="s">
        <v>1269</v>
      </c>
    </row>
    <row r="1045" spans="1:20" s="1013" customFormat="1" ht="41.25" customHeight="1">
      <c r="A1045" s="1249">
        <v>121</v>
      </c>
      <c r="B1045" s="1371" t="s">
        <v>2095</v>
      </c>
      <c r="C1045" s="1249">
        <v>1987</v>
      </c>
      <c r="D1045" s="1249"/>
      <c r="E1045" s="1249" t="s">
        <v>219</v>
      </c>
      <c r="F1045" s="1249">
        <v>9</v>
      </c>
      <c r="G1045" s="1249">
        <v>2</v>
      </c>
      <c r="H1045" s="998">
        <v>4885.6000000000004</v>
      </c>
      <c r="I1045" s="998">
        <v>3886.3</v>
      </c>
      <c r="J1045" s="998">
        <f>I1045-118.1</f>
        <v>3768.2000000000003</v>
      </c>
      <c r="K1045" s="986">
        <v>205</v>
      </c>
      <c r="L1045" s="998">
        <v>1664986</v>
      </c>
      <c r="M1045" s="998">
        <v>0</v>
      </c>
      <c r="N1045" s="998">
        <v>0</v>
      </c>
      <c r="O1045" s="998">
        <v>1664986</v>
      </c>
      <c r="P1045" s="998">
        <v>0</v>
      </c>
      <c r="Q1045" s="998">
        <v>0</v>
      </c>
      <c r="R1045" s="998">
        <f t="shared" si="345"/>
        <v>428.42446542984328</v>
      </c>
      <c r="S1045" s="988">
        <v>2018</v>
      </c>
      <c r="T1045" s="988" t="s">
        <v>1269</v>
      </c>
    </row>
    <row r="1046" spans="1:20" s="1013" customFormat="1" ht="41.25" customHeight="1">
      <c r="A1046" s="1249">
        <v>122</v>
      </c>
      <c r="B1046" s="1035" t="s">
        <v>2096</v>
      </c>
      <c r="C1046" s="1249">
        <v>1999</v>
      </c>
      <c r="D1046" s="1249"/>
      <c r="E1046" s="1249" t="s">
        <v>218</v>
      </c>
      <c r="F1046" s="1249">
        <v>5</v>
      </c>
      <c r="G1046" s="1249">
        <v>3</v>
      </c>
      <c r="H1046" s="998">
        <v>3561.6</v>
      </c>
      <c r="I1046" s="998">
        <v>3046</v>
      </c>
      <c r="J1046" s="998">
        <f>I1046-670.6</f>
        <v>2375.4</v>
      </c>
      <c r="K1046" s="986">
        <v>51</v>
      </c>
      <c r="L1046" s="998">
        <v>2509708</v>
      </c>
      <c r="M1046" s="998">
        <v>0</v>
      </c>
      <c r="N1046" s="998">
        <v>0</v>
      </c>
      <c r="O1046" s="998">
        <v>2509708</v>
      </c>
      <c r="P1046" s="998">
        <v>0</v>
      </c>
      <c r="Q1046" s="998">
        <v>0</v>
      </c>
      <c r="R1046" s="998">
        <f t="shared" si="345"/>
        <v>823.93565331582408</v>
      </c>
      <c r="S1046" s="988">
        <v>2018</v>
      </c>
      <c r="T1046" s="988" t="s">
        <v>1269</v>
      </c>
    </row>
    <row r="1047" spans="1:20" s="1013" customFormat="1" ht="41.25" customHeight="1">
      <c r="A1047" s="1249">
        <v>123</v>
      </c>
      <c r="B1047" s="1035" t="s">
        <v>2097</v>
      </c>
      <c r="C1047" s="1249">
        <v>1959</v>
      </c>
      <c r="D1047" s="1249"/>
      <c r="E1047" s="1249" t="s">
        <v>218</v>
      </c>
      <c r="F1047" s="1249">
        <v>2</v>
      </c>
      <c r="G1047" s="1249">
        <v>2</v>
      </c>
      <c r="H1047" s="998">
        <v>681.5</v>
      </c>
      <c r="I1047" s="998">
        <v>632.1</v>
      </c>
      <c r="J1047" s="998">
        <f>I1047-42.5</f>
        <v>589.6</v>
      </c>
      <c r="K1047" s="986">
        <v>28</v>
      </c>
      <c r="L1047" s="998">
        <v>2139068.59</v>
      </c>
      <c r="M1047" s="998">
        <v>0</v>
      </c>
      <c r="N1047" s="998">
        <v>0</v>
      </c>
      <c r="O1047" s="998">
        <f>L1047</f>
        <v>2139068.59</v>
      </c>
      <c r="P1047" s="998">
        <v>0</v>
      </c>
      <c r="Q1047" s="998">
        <v>0</v>
      </c>
      <c r="R1047" s="998">
        <f t="shared" si="345"/>
        <v>3384.0667457680743</v>
      </c>
      <c r="S1047" s="988">
        <v>2018</v>
      </c>
      <c r="T1047" s="988" t="s">
        <v>1269</v>
      </c>
    </row>
    <row r="1048" spans="1:20" s="1013" customFormat="1" ht="41.25" customHeight="1">
      <c r="A1048" s="1249">
        <v>124</v>
      </c>
      <c r="B1048" s="1035" t="s">
        <v>2098</v>
      </c>
      <c r="C1048" s="1249">
        <v>1967</v>
      </c>
      <c r="D1048" s="1249"/>
      <c r="E1048" s="1249" t="s">
        <v>219</v>
      </c>
      <c r="F1048" s="1249">
        <v>5</v>
      </c>
      <c r="G1048" s="1249">
        <v>3</v>
      </c>
      <c r="H1048" s="998">
        <v>2789.8</v>
      </c>
      <c r="I1048" s="998">
        <v>2568.3000000000002</v>
      </c>
      <c r="J1048" s="998">
        <f>I1048-186.2</f>
        <v>2382.1000000000004</v>
      </c>
      <c r="K1048" s="986">
        <v>73</v>
      </c>
      <c r="L1048" s="998">
        <v>899225</v>
      </c>
      <c r="M1048" s="998">
        <v>0</v>
      </c>
      <c r="N1048" s="998">
        <v>0</v>
      </c>
      <c r="O1048" s="998">
        <v>899225</v>
      </c>
      <c r="P1048" s="998">
        <v>0</v>
      </c>
      <c r="Q1048" s="998">
        <v>0</v>
      </c>
      <c r="R1048" s="998">
        <f t="shared" si="345"/>
        <v>350.12459603628855</v>
      </c>
      <c r="S1048" s="988">
        <v>2018</v>
      </c>
      <c r="T1048" s="988" t="s">
        <v>1269</v>
      </c>
    </row>
    <row r="1049" spans="1:20" s="1013" customFormat="1" ht="41.25" customHeight="1">
      <c r="A1049" s="1249">
        <v>125</v>
      </c>
      <c r="B1049" s="1035" t="s">
        <v>2099</v>
      </c>
      <c r="C1049" s="1249">
        <v>1992</v>
      </c>
      <c r="D1049" s="1249"/>
      <c r="E1049" s="1249" t="s">
        <v>219</v>
      </c>
      <c r="F1049" s="1249">
        <v>10</v>
      </c>
      <c r="G1049" s="1249">
        <v>4</v>
      </c>
      <c r="H1049" s="998">
        <v>10086.799999999999</v>
      </c>
      <c r="I1049" s="998">
        <v>9077.1</v>
      </c>
      <c r="J1049" s="998">
        <f>I1049-229.9</f>
        <v>8847.2000000000007</v>
      </c>
      <c r="K1049" s="986">
        <v>378</v>
      </c>
      <c r="L1049" s="998">
        <v>8338382</v>
      </c>
      <c r="M1049" s="998">
        <v>0</v>
      </c>
      <c r="N1049" s="998">
        <v>0</v>
      </c>
      <c r="O1049" s="998">
        <v>8338382</v>
      </c>
      <c r="P1049" s="998">
        <v>0</v>
      </c>
      <c r="Q1049" s="998">
        <v>0</v>
      </c>
      <c r="R1049" s="998">
        <f t="shared" si="345"/>
        <v>918.61739983034226</v>
      </c>
      <c r="S1049" s="988">
        <v>2018</v>
      </c>
      <c r="T1049" s="988" t="s">
        <v>1269</v>
      </c>
    </row>
    <row r="1050" spans="1:20" s="1013" customFormat="1" ht="41.25" customHeight="1">
      <c r="A1050" s="1249">
        <v>126</v>
      </c>
      <c r="B1050" s="1371" t="s">
        <v>314</v>
      </c>
      <c r="C1050" s="1249">
        <v>1964</v>
      </c>
      <c r="D1050" s="1249"/>
      <c r="E1050" s="1249" t="s">
        <v>218</v>
      </c>
      <c r="F1050" s="1249">
        <v>4</v>
      </c>
      <c r="G1050" s="1249">
        <v>2</v>
      </c>
      <c r="H1050" s="998">
        <v>1397.3</v>
      </c>
      <c r="I1050" s="998">
        <v>1269.3</v>
      </c>
      <c r="J1050" s="998">
        <f>I1050-42</f>
        <v>1227.3</v>
      </c>
      <c r="K1050" s="986">
        <v>37</v>
      </c>
      <c r="L1050" s="998">
        <v>1750958</v>
      </c>
      <c r="M1050" s="998">
        <v>0</v>
      </c>
      <c r="N1050" s="998">
        <v>0</v>
      </c>
      <c r="O1050" s="998">
        <v>1750958</v>
      </c>
      <c r="P1050" s="998">
        <v>0</v>
      </c>
      <c r="Q1050" s="998">
        <v>0</v>
      </c>
      <c r="R1050" s="998">
        <f t="shared" si="345"/>
        <v>1379.4674229890491</v>
      </c>
      <c r="S1050" s="988">
        <v>2018</v>
      </c>
      <c r="T1050" s="988" t="s">
        <v>1269</v>
      </c>
    </row>
    <row r="1051" spans="1:20" s="1013" customFormat="1" ht="41.25" customHeight="1">
      <c r="A1051" s="1249">
        <v>127</v>
      </c>
      <c r="B1051" s="1035" t="s">
        <v>2100</v>
      </c>
      <c r="C1051" s="1249">
        <v>1957</v>
      </c>
      <c r="D1051" s="1249"/>
      <c r="E1051" s="1249" t="s">
        <v>218</v>
      </c>
      <c r="F1051" s="1249">
        <v>4</v>
      </c>
      <c r="G1051" s="1249">
        <v>4</v>
      </c>
      <c r="H1051" s="998">
        <v>3227.8</v>
      </c>
      <c r="I1051" s="998">
        <v>2862.5</v>
      </c>
      <c r="J1051" s="998">
        <f>I1051-316.3</f>
        <v>2546.1999999999998</v>
      </c>
      <c r="K1051" s="986">
        <v>60</v>
      </c>
      <c r="L1051" s="998">
        <v>3804226</v>
      </c>
      <c r="M1051" s="998">
        <v>0</v>
      </c>
      <c r="N1051" s="998">
        <v>0</v>
      </c>
      <c r="O1051" s="998">
        <v>3804226</v>
      </c>
      <c r="P1051" s="998">
        <v>0</v>
      </c>
      <c r="Q1051" s="998">
        <v>0</v>
      </c>
      <c r="R1051" s="998">
        <f t="shared" si="345"/>
        <v>1328.987248908297</v>
      </c>
      <c r="S1051" s="988">
        <v>2018</v>
      </c>
      <c r="T1051" s="988" t="s">
        <v>1269</v>
      </c>
    </row>
    <row r="1052" spans="1:20" s="1013" customFormat="1" ht="41.25" customHeight="1">
      <c r="A1052" s="1249">
        <v>128</v>
      </c>
      <c r="B1052" s="1371" t="s">
        <v>2101</v>
      </c>
      <c r="C1052" s="1249">
        <v>1969</v>
      </c>
      <c r="D1052" s="1249"/>
      <c r="E1052" s="1249" t="s">
        <v>219</v>
      </c>
      <c r="F1052" s="1249">
        <v>5</v>
      </c>
      <c r="G1052" s="1249">
        <v>6</v>
      </c>
      <c r="H1052" s="998">
        <v>4832.5</v>
      </c>
      <c r="I1052" s="998">
        <v>4390.6000000000004</v>
      </c>
      <c r="J1052" s="998">
        <f>I1052-106.8-208.5</f>
        <v>4075.3</v>
      </c>
      <c r="K1052" s="986">
        <v>200</v>
      </c>
      <c r="L1052" s="998">
        <v>2741799</v>
      </c>
      <c r="M1052" s="998">
        <v>0</v>
      </c>
      <c r="N1052" s="998">
        <v>0</v>
      </c>
      <c r="O1052" s="998">
        <v>2741799</v>
      </c>
      <c r="P1052" s="998">
        <v>0</v>
      </c>
      <c r="Q1052" s="998">
        <v>0</v>
      </c>
      <c r="R1052" s="998">
        <f t="shared" si="345"/>
        <v>624.47023185897137</v>
      </c>
      <c r="S1052" s="988">
        <v>2018</v>
      </c>
      <c r="T1052" s="988" t="s">
        <v>1269</v>
      </c>
    </row>
    <row r="1053" spans="1:20" s="1013" customFormat="1" ht="41.25" customHeight="1">
      <c r="A1053" s="1249">
        <v>129</v>
      </c>
      <c r="B1053" s="1035" t="s">
        <v>2102</v>
      </c>
      <c r="C1053" s="1249">
        <v>1977</v>
      </c>
      <c r="D1053" s="1249"/>
      <c r="E1053" s="1249" t="s">
        <v>219</v>
      </c>
      <c r="F1053" s="1249">
        <v>5</v>
      </c>
      <c r="G1053" s="1249">
        <v>8</v>
      </c>
      <c r="H1053" s="998">
        <v>6576.5</v>
      </c>
      <c r="I1053" s="998">
        <v>6001.8</v>
      </c>
      <c r="J1053" s="998">
        <f>I1053-96.5</f>
        <v>5905.3</v>
      </c>
      <c r="K1053" s="986">
        <v>129</v>
      </c>
      <c r="L1053" s="998">
        <v>5209814</v>
      </c>
      <c r="M1053" s="998">
        <v>0</v>
      </c>
      <c r="N1053" s="998">
        <v>0</v>
      </c>
      <c r="O1053" s="998">
        <v>5209814</v>
      </c>
      <c r="P1053" s="998">
        <v>0</v>
      </c>
      <c r="Q1053" s="998">
        <v>0</v>
      </c>
      <c r="R1053" s="998">
        <f t="shared" si="345"/>
        <v>868.04192075710614</v>
      </c>
      <c r="S1053" s="988">
        <v>2018</v>
      </c>
      <c r="T1053" s="988" t="s">
        <v>1269</v>
      </c>
    </row>
    <row r="1054" spans="1:20" s="1013" customFormat="1" ht="41.25" customHeight="1">
      <c r="A1054" s="1370">
        <v>130</v>
      </c>
      <c r="B1054" s="1374" t="s">
        <v>2103</v>
      </c>
      <c r="C1054" s="1370">
        <v>1968</v>
      </c>
      <c r="D1054" s="1376"/>
      <c r="E1054" s="1046" t="s">
        <v>218</v>
      </c>
      <c r="F1054" s="1376">
        <v>5</v>
      </c>
      <c r="G1054" s="1376">
        <v>6</v>
      </c>
      <c r="H1054" s="998">
        <v>5005.84</v>
      </c>
      <c r="I1054" s="998">
        <v>4481.1400000000003</v>
      </c>
      <c r="J1054" s="998">
        <f>I1054-283.3</f>
        <v>4197.84</v>
      </c>
      <c r="K1054" s="986">
        <v>239</v>
      </c>
      <c r="L1054" s="998">
        <v>3094009</v>
      </c>
      <c r="M1054" s="998">
        <v>0</v>
      </c>
      <c r="N1054" s="998">
        <v>0</v>
      </c>
      <c r="O1054" s="985">
        <v>3094009</v>
      </c>
      <c r="P1054" s="985">
        <v>0</v>
      </c>
      <c r="Q1054" s="985">
        <v>0</v>
      </c>
      <c r="R1054" s="985">
        <f t="shared" si="345"/>
        <v>690.45131372820299</v>
      </c>
      <c r="S1054" s="988">
        <v>2018</v>
      </c>
      <c r="T1054" s="988" t="s">
        <v>1269</v>
      </c>
    </row>
    <row r="1055" spans="1:20" s="1013" customFormat="1" ht="41.25" customHeight="1">
      <c r="A1055" s="1249">
        <v>131</v>
      </c>
      <c r="B1055" s="1035" t="s">
        <v>2104</v>
      </c>
      <c r="C1055" s="1249">
        <v>1955</v>
      </c>
      <c r="D1055" s="1249"/>
      <c r="E1055" s="1249" t="s">
        <v>218</v>
      </c>
      <c r="F1055" s="1249">
        <v>2</v>
      </c>
      <c r="G1055" s="1249">
        <v>2</v>
      </c>
      <c r="H1055" s="998">
        <v>623.79999999999995</v>
      </c>
      <c r="I1055" s="998">
        <v>577.70000000000005</v>
      </c>
      <c r="J1055" s="998">
        <f>I1055-119.7</f>
        <v>458.00000000000006</v>
      </c>
      <c r="K1055" s="986">
        <v>17</v>
      </c>
      <c r="L1055" s="998">
        <v>2900664</v>
      </c>
      <c r="M1055" s="998">
        <v>0</v>
      </c>
      <c r="N1055" s="998">
        <v>0</v>
      </c>
      <c r="O1055" s="998">
        <v>2900664</v>
      </c>
      <c r="P1055" s="998">
        <v>0</v>
      </c>
      <c r="Q1055" s="998">
        <v>0</v>
      </c>
      <c r="R1055" s="998">
        <f t="shared" si="345"/>
        <v>5021.055911372684</v>
      </c>
      <c r="S1055" s="988">
        <v>2018</v>
      </c>
      <c r="T1055" s="988" t="s">
        <v>1269</v>
      </c>
    </row>
    <row r="1056" spans="1:20" s="1013" customFormat="1" ht="41.25" customHeight="1">
      <c r="A1056" s="1249">
        <v>132</v>
      </c>
      <c r="B1056" s="1035" t="s">
        <v>1910</v>
      </c>
      <c r="C1056" s="1249">
        <v>1965</v>
      </c>
      <c r="D1056" s="1249"/>
      <c r="E1056" s="1249" t="s">
        <v>218</v>
      </c>
      <c r="F1056" s="1249">
        <v>5</v>
      </c>
      <c r="G1056" s="1249">
        <v>4</v>
      </c>
      <c r="H1056" s="998">
        <v>4172.8</v>
      </c>
      <c r="I1056" s="998">
        <v>3897.3</v>
      </c>
      <c r="J1056" s="998">
        <f>I1056-1361.8-84.2</f>
        <v>2451.3000000000002</v>
      </c>
      <c r="K1056" s="986">
        <v>132</v>
      </c>
      <c r="L1056" s="998">
        <v>2833946</v>
      </c>
      <c r="M1056" s="998">
        <v>0</v>
      </c>
      <c r="N1056" s="998">
        <v>0</v>
      </c>
      <c r="O1056" s="998">
        <v>2833946</v>
      </c>
      <c r="P1056" s="998">
        <v>0</v>
      </c>
      <c r="Q1056" s="998">
        <v>0</v>
      </c>
      <c r="R1056" s="998">
        <f t="shared" si="345"/>
        <v>727.15623636876808</v>
      </c>
      <c r="S1056" s="988">
        <v>2018</v>
      </c>
      <c r="T1056" s="988" t="s">
        <v>1269</v>
      </c>
    </row>
    <row r="1057" spans="1:20" s="1013" customFormat="1" ht="41.25" customHeight="1">
      <c r="A1057" s="1249">
        <v>133</v>
      </c>
      <c r="B1057" s="1035" t="s">
        <v>1708</v>
      </c>
      <c r="C1057" s="1249">
        <v>1949</v>
      </c>
      <c r="D1057" s="1249"/>
      <c r="E1057" s="1249" t="s">
        <v>218</v>
      </c>
      <c r="F1057" s="1129" t="s">
        <v>191</v>
      </c>
      <c r="G1057" s="1249">
        <v>7</v>
      </c>
      <c r="H1057" s="998">
        <v>5815.5</v>
      </c>
      <c r="I1057" s="998">
        <v>5272.1</v>
      </c>
      <c r="J1057" s="998">
        <f>I1057-139.64-1618.6</f>
        <v>3513.86</v>
      </c>
      <c r="K1057" s="986">
        <v>119</v>
      </c>
      <c r="L1057" s="998">
        <v>13009851</v>
      </c>
      <c r="M1057" s="998">
        <v>0</v>
      </c>
      <c r="N1057" s="998">
        <v>0</v>
      </c>
      <c r="O1057" s="998">
        <v>13009851</v>
      </c>
      <c r="P1057" s="998">
        <v>0</v>
      </c>
      <c r="Q1057" s="998">
        <v>0</v>
      </c>
      <c r="R1057" s="998">
        <f t="shared" si="345"/>
        <v>2467.6791032036567</v>
      </c>
      <c r="S1057" s="988">
        <v>2018</v>
      </c>
      <c r="T1057" s="988" t="s">
        <v>1269</v>
      </c>
    </row>
    <row r="1058" spans="1:20" s="1013" customFormat="1" ht="41.25" customHeight="1">
      <c r="A1058" s="1249">
        <v>134</v>
      </c>
      <c r="B1058" s="1371" t="s">
        <v>1728</v>
      </c>
      <c r="C1058" s="1249">
        <v>1960</v>
      </c>
      <c r="D1058" s="1249"/>
      <c r="E1058" s="1249" t="s">
        <v>218</v>
      </c>
      <c r="F1058" s="1249">
        <v>4</v>
      </c>
      <c r="G1058" s="1249">
        <v>3</v>
      </c>
      <c r="H1058" s="998">
        <v>2119.5</v>
      </c>
      <c r="I1058" s="998">
        <v>1971.6</v>
      </c>
      <c r="J1058" s="998">
        <f>I1058</f>
        <v>1971.6</v>
      </c>
      <c r="K1058" s="986">
        <v>78</v>
      </c>
      <c r="L1058" s="998">
        <v>1480760</v>
      </c>
      <c r="M1058" s="998">
        <v>0</v>
      </c>
      <c r="N1058" s="998">
        <v>0</v>
      </c>
      <c r="O1058" s="998">
        <v>1480760</v>
      </c>
      <c r="P1058" s="998">
        <v>0</v>
      </c>
      <c r="Q1058" s="998">
        <v>0</v>
      </c>
      <c r="R1058" s="998">
        <f t="shared" ref="R1058:R1062" si="347">L1058/I1058</f>
        <v>751.04483668086834</v>
      </c>
      <c r="S1058" s="988">
        <v>2018</v>
      </c>
      <c r="T1058" s="988" t="s">
        <v>1269</v>
      </c>
    </row>
    <row r="1059" spans="1:20" s="1013" customFormat="1" ht="41.25" customHeight="1">
      <c r="A1059" s="1249">
        <v>135</v>
      </c>
      <c r="B1059" s="1371" t="s">
        <v>1907</v>
      </c>
      <c r="C1059" s="1249">
        <v>1958</v>
      </c>
      <c r="D1059" s="1249"/>
      <c r="E1059" s="1249" t="s">
        <v>218</v>
      </c>
      <c r="F1059" s="1249">
        <v>4</v>
      </c>
      <c r="G1059" s="1249">
        <v>5</v>
      </c>
      <c r="H1059" s="998">
        <v>5887.4</v>
      </c>
      <c r="I1059" s="998">
        <v>5353.2</v>
      </c>
      <c r="J1059" s="998">
        <f>I1059-228.7</f>
        <v>5124.5</v>
      </c>
      <c r="K1059" s="986">
        <v>117</v>
      </c>
      <c r="L1059" s="998">
        <v>7890789</v>
      </c>
      <c r="M1059" s="998">
        <v>0</v>
      </c>
      <c r="N1059" s="998">
        <v>0</v>
      </c>
      <c r="O1059" s="998">
        <v>7890789</v>
      </c>
      <c r="P1059" s="998">
        <v>0</v>
      </c>
      <c r="Q1059" s="998">
        <v>0</v>
      </c>
      <c r="R1059" s="998">
        <f t="shared" si="347"/>
        <v>1474.0321676754093</v>
      </c>
      <c r="S1059" s="988">
        <v>2018</v>
      </c>
      <c r="T1059" s="988" t="s">
        <v>1269</v>
      </c>
    </row>
    <row r="1060" spans="1:20" s="1013" customFormat="1" ht="41.25" customHeight="1">
      <c r="A1060" s="1249">
        <v>136</v>
      </c>
      <c r="B1060" s="1371" t="s">
        <v>1738</v>
      </c>
      <c r="C1060" s="1249">
        <v>1960</v>
      </c>
      <c r="D1060" s="1249"/>
      <c r="E1060" s="1249" t="s">
        <v>218</v>
      </c>
      <c r="F1060" s="1249">
        <v>4</v>
      </c>
      <c r="G1060" s="1249">
        <v>5</v>
      </c>
      <c r="H1060" s="998">
        <v>6763.5</v>
      </c>
      <c r="I1060" s="998">
        <v>5360.2</v>
      </c>
      <c r="J1060" s="998">
        <f>I1060-1056.3-163.66</f>
        <v>4140.24</v>
      </c>
      <c r="K1060" s="986">
        <v>157</v>
      </c>
      <c r="L1060" s="998">
        <v>9024554</v>
      </c>
      <c r="M1060" s="998">
        <v>0</v>
      </c>
      <c r="N1060" s="998">
        <v>0</v>
      </c>
      <c r="O1060" s="998">
        <v>9024554</v>
      </c>
      <c r="P1060" s="998">
        <v>0</v>
      </c>
      <c r="Q1060" s="998">
        <v>0</v>
      </c>
      <c r="R1060" s="998">
        <f t="shared" si="347"/>
        <v>1683.6226260214171</v>
      </c>
      <c r="S1060" s="988">
        <v>2018</v>
      </c>
      <c r="T1060" s="988" t="s">
        <v>1269</v>
      </c>
    </row>
    <row r="1061" spans="1:20" s="1013" customFormat="1" ht="41.25" customHeight="1">
      <c r="A1061" s="1249">
        <v>137</v>
      </c>
      <c r="B1061" s="1371" t="s">
        <v>1686</v>
      </c>
      <c r="C1061" s="1249">
        <v>1960</v>
      </c>
      <c r="D1061" s="1249"/>
      <c r="E1061" s="1249" t="s">
        <v>218</v>
      </c>
      <c r="F1061" s="1249">
        <v>4</v>
      </c>
      <c r="G1061" s="1249">
        <v>4</v>
      </c>
      <c r="H1061" s="998">
        <v>3219.9</v>
      </c>
      <c r="I1061" s="998">
        <v>2423.1999999999998</v>
      </c>
      <c r="J1061" s="998">
        <f>I1061-485.5-32.2</f>
        <v>1905.4999999999998</v>
      </c>
      <c r="K1061" s="986">
        <v>67</v>
      </c>
      <c r="L1061" s="998">
        <v>4760511</v>
      </c>
      <c r="M1061" s="998">
        <v>0</v>
      </c>
      <c r="N1061" s="998">
        <v>0</v>
      </c>
      <c r="O1061" s="998">
        <v>4760511</v>
      </c>
      <c r="P1061" s="998">
        <v>0</v>
      </c>
      <c r="Q1061" s="998">
        <v>0</v>
      </c>
      <c r="R1061" s="998">
        <f t="shared" si="347"/>
        <v>1964.5555463849457</v>
      </c>
      <c r="S1061" s="988">
        <v>2018</v>
      </c>
      <c r="T1061" s="988" t="s">
        <v>1269</v>
      </c>
    </row>
    <row r="1062" spans="1:20" s="1013" customFormat="1" ht="41.25" customHeight="1">
      <c r="A1062" s="1249">
        <v>138</v>
      </c>
      <c r="B1062" s="1371" t="s">
        <v>1709</v>
      </c>
      <c r="C1062" s="1249">
        <v>1959</v>
      </c>
      <c r="D1062" s="1249"/>
      <c r="E1062" s="1249" t="s">
        <v>218</v>
      </c>
      <c r="F1062" s="1249">
        <v>4</v>
      </c>
      <c r="G1062" s="1249">
        <v>2</v>
      </c>
      <c r="H1062" s="998">
        <v>3725.76</v>
      </c>
      <c r="I1062" s="998">
        <v>3593.36</v>
      </c>
      <c r="J1062" s="998">
        <f>I1062-259.2-312.1</f>
        <v>3022.0600000000004</v>
      </c>
      <c r="K1062" s="986">
        <v>180</v>
      </c>
      <c r="L1062" s="998">
        <v>7269337</v>
      </c>
      <c r="M1062" s="998">
        <v>0</v>
      </c>
      <c r="N1062" s="998">
        <v>0</v>
      </c>
      <c r="O1062" s="998">
        <v>7269337</v>
      </c>
      <c r="P1062" s="998">
        <v>0</v>
      </c>
      <c r="Q1062" s="998">
        <v>0</v>
      </c>
      <c r="R1062" s="998">
        <f t="shared" si="347"/>
        <v>2022.9915733463945</v>
      </c>
      <c r="S1062" s="988">
        <v>2018</v>
      </c>
      <c r="T1062" s="988" t="s">
        <v>1269</v>
      </c>
    </row>
    <row r="1063" spans="1:20" s="1013" customFormat="1" ht="41.25" customHeight="1">
      <c r="A1063" s="1249">
        <v>139</v>
      </c>
      <c r="B1063" s="1371" t="s">
        <v>1904</v>
      </c>
      <c r="C1063" s="1249">
        <v>1960</v>
      </c>
      <c r="D1063" s="1249"/>
      <c r="E1063" s="1249" t="s">
        <v>218</v>
      </c>
      <c r="F1063" s="1249">
        <v>5</v>
      </c>
      <c r="G1063" s="1249">
        <v>4</v>
      </c>
      <c r="H1063" s="998">
        <v>3084</v>
      </c>
      <c r="I1063" s="998">
        <v>2725.9</v>
      </c>
      <c r="J1063" s="998">
        <f>I1063-77.4</f>
        <v>2648.5</v>
      </c>
      <c r="K1063" s="986">
        <v>82</v>
      </c>
      <c r="L1063" s="998">
        <v>1960392</v>
      </c>
      <c r="M1063" s="998">
        <v>0</v>
      </c>
      <c r="N1063" s="998">
        <v>0</v>
      </c>
      <c r="O1063" s="998">
        <v>1960392</v>
      </c>
      <c r="P1063" s="998">
        <v>0</v>
      </c>
      <c r="Q1063" s="998">
        <v>0</v>
      </c>
      <c r="R1063" s="998">
        <f>L1063/I1060</f>
        <v>365.73112943546886</v>
      </c>
      <c r="S1063" s="988">
        <v>2018</v>
      </c>
      <c r="T1063" s="988" t="s">
        <v>1269</v>
      </c>
    </row>
    <row r="1064" spans="1:20" s="1013" customFormat="1" ht="41.25" customHeight="1">
      <c r="A1064" s="1249">
        <v>140</v>
      </c>
      <c r="B1064" s="1371" t="s">
        <v>1889</v>
      </c>
      <c r="C1064" s="1249">
        <v>1961</v>
      </c>
      <c r="D1064" s="1249"/>
      <c r="E1064" s="1249" t="s">
        <v>218</v>
      </c>
      <c r="F1064" s="1249">
        <v>5</v>
      </c>
      <c r="G1064" s="1249">
        <v>2</v>
      </c>
      <c r="H1064" s="998">
        <v>1734.3</v>
      </c>
      <c r="I1064" s="998">
        <v>1611.9</v>
      </c>
      <c r="J1064" s="998">
        <f>I1064-315.6-32.2</f>
        <v>1264.1000000000001</v>
      </c>
      <c r="K1064" s="986">
        <v>43</v>
      </c>
      <c r="L1064" s="998">
        <v>1910739</v>
      </c>
      <c r="M1064" s="998">
        <v>0</v>
      </c>
      <c r="N1064" s="998">
        <v>0</v>
      </c>
      <c r="O1064" s="998">
        <v>1910739</v>
      </c>
      <c r="P1064" s="998">
        <v>0</v>
      </c>
      <c r="Q1064" s="998">
        <v>0</v>
      </c>
      <c r="R1064" s="998">
        <f t="shared" ref="R1064:R1131" si="348">L1064/I1064</f>
        <v>1185.395495998511</v>
      </c>
      <c r="S1064" s="988">
        <v>2018</v>
      </c>
      <c r="T1064" s="988" t="s">
        <v>1269</v>
      </c>
    </row>
    <row r="1065" spans="1:20" s="1013" customFormat="1" ht="41.25" customHeight="1">
      <c r="A1065" s="1249">
        <v>141</v>
      </c>
      <c r="B1065" s="1371" t="s">
        <v>2105</v>
      </c>
      <c r="C1065" s="1249">
        <v>1975</v>
      </c>
      <c r="D1065" s="1249"/>
      <c r="E1065" s="1249" t="s">
        <v>219</v>
      </c>
      <c r="F1065" s="1249">
        <v>9</v>
      </c>
      <c r="G1065" s="1249">
        <v>3</v>
      </c>
      <c r="H1065" s="998">
        <v>6484.9</v>
      </c>
      <c r="I1065" s="998">
        <v>5723.1</v>
      </c>
      <c r="J1065" s="998">
        <f>I1065-223</f>
        <v>5500.1</v>
      </c>
      <c r="K1065" s="986">
        <v>232</v>
      </c>
      <c r="L1065" s="998">
        <v>2891052</v>
      </c>
      <c r="M1065" s="998">
        <v>0</v>
      </c>
      <c r="N1065" s="998">
        <v>0</v>
      </c>
      <c r="O1065" s="998">
        <v>2891052</v>
      </c>
      <c r="P1065" s="998">
        <v>0</v>
      </c>
      <c r="Q1065" s="998">
        <v>0</v>
      </c>
      <c r="R1065" s="998">
        <f t="shared" si="348"/>
        <v>505.15489856895738</v>
      </c>
      <c r="S1065" s="988">
        <v>2018</v>
      </c>
      <c r="T1065" s="988" t="s">
        <v>1269</v>
      </c>
    </row>
    <row r="1066" spans="1:20" s="1013" customFormat="1" ht="41.25" customHeight="1">
      <c r="A1066" s="1249">
        <v>142</v>
      </c>
      <c r="B1066" s="1371" t="s">
        <v>2077</v>
      </c>
      <c r="C1066" s="1249">
        <v>1991</v>
      </c>
      <c r="D1066" s="1249"/>
      <c r="E1066" s="1249" t="s">
        <v>219</v>
      </c>
      <c r="F1066" s="1249">
        <v>10</v>
      </c>
      <c r="G1066" s="1249">
        <v>2</v>
      </c>
      <c r="H1066" s="998">
        <v>5726.3</v>
      </c>
      <c r="I1066" s="998">
        <v>4999.1000000000004</v>
      </c>
      <c r="J1066" s="998">
        <f>I1066-584.6</f>
        <v>4414.5</v>
      </c>
      <c r="K1066" s="986">
        <v>198</v>
      </c>
      <c r="L1066" s="998">
        <v>1775454</v>
      </c>
      <c r="M1066" s="998">
        <v>0</v>
      </c>
      <c r="N1066" s="998">
        <v>0</v>
      </c>
      <c r="O1066" s="998">
        <v>1775454</v>
      </c>
      <c r="P1066" s="998">
        <v>0</v>
      </c>
      <c r="Q1066" s="998">
        <v>0</v>
      </c>
      <c r="R1066" s="998">
        <f t="shared" si="348"/>
        <v>355.15472785101315</v>
      </c>
      <c r="S1066" s="988">
        <v>2018</v>
      </c>
      <c r="T1066" s="988" t="s">
        <v>1269</v>
      </c>
    </row>
    <row r="1067" spans="1:20" s="1028" customFormat="1" ht="41.25" customHeight="1">
      <c r="A1067" s="1249">
        <v>143</v>
      </c>
      <c r="B1067" s="1371" t="s">
        <v>2106</v>
      </c>
      <c r="C1067" s="1249">
        <v>1990</v>
      </c>
      <c r="D1067" s="1249"/>
      <c r="E1067" s="1249" t="s">
        <v>219</v>
      </c>
      <c r="F1067" s="1249">
        <v>10</v>
      </c>
      <c r="G1067" s="1249">
        <v>3</v>
      </c>
      <c r="H1067" s="998">
        <v>7868.5</v>
      </c>
      <c r="I1067" s="998">
        <v>7124.1</v>
      </c>
      <c r="J1067" s="998">
        <f>I1067-382</f>
        <v>6742.1</v>
      </c>
      <c r="K1067" s="986">
        <v>316</v>
      </c>
      <c r="L1067" s="998">
        <v>2229085</v>
      </c>
      <c r="M1067" s="998">
        <v>0</v>
      </c>
      <c r="N1067" s="998">
        <v>0</v>
      </c>
      <c r="O1067" s="998">
        <v>2229085</v>
      </c>
      <c r="P1067" s="998">
        <v>0</v>
      </c>
      <c r="Q1067" s="998">
        <v>0</v>
      </c>
      <c r="R1067" s="998">
        <f t="shared" si="348"/>
        <v>312.89355848458047</v>
      </c>
      <c r="S1067" s="988">
        <v>2018</v>
      </c>
      <c r="T1067" s="988" t="s">
        <v>1269</v>
      </c>
    </row>
    <row r="1068" spans="1:20" s="1028" customFormat="1" ht="41.25" customHeight="1">
      <c r="A1068" s="1249">
        <v>144</v>
      </c>
      <c r="B1068" s="1371" t="s">
        <v>2107</v>
      </c>
      <c r="C1068" s="1249">
        <v>1984</v>
      </c>
      <c r="D1068" s="1249"/>
      <c r="E1068" s="1249" t="s">
        <v>219</v>
      </c>
      <c r="F1068" s="1249">
        <v>9</v>
      </c>
      <c r="G1068" s="1249">
        <v>7</v>
      </c>
      <c r="H1068" s="998">
        <v>16903.900000000001</v>
      </c>
      <c r="I1068" s="998">
        <v>13820.7</v>
      </c>
      <c r="J1068" s="998">
        <f>I1068-881.3</f>
        <v>12939.400000000001</v>
      </c>
      <c r="K1068" s="986">
        <v>643</v>
      </c>
      <c r="L1068" s="998">
        <v>6698599.2599999998</v>
      </c>
      <c r="M1068" s="998">
        <v>0</v>
      </c>
      <c r="N1068" s="998">
        <v>0</v>
      </c>
      <c r="O1068" s="998">
        <f>L1068</f>
        <v>6698599.2599999998</v>
      </c>
      <c r="P1068" s="998">
        <v>0</v>
      </c>
      <c r="Q1068" s="998">
        <v>0</v>
      </c>
      <c r="R1068" s="998">
        <f t="shared" si="348"/>
        <v>484.67872539017554</v>
      </c>
      <c r="S1068" s="988">
        <v>2018</v>
      </c>
      <c r="T1068" s="988" t="s">
        <v>1269</v>
      </c>
    </row>
    <row r="1069" spans="1:20" s="1028" customFormat="1" ht="41.25" customHeight="1">
      <c r="A1069" s="1249">
        <v>145</v>
      </c>
      <c r="B1069" s="1371" t="s">
        <v>2108</v>
      </c>
      <c r="C1069" s="1249">
        <v>1985</v>
      </c>
      <c r="D1069" s="1249"/>
      <c r="E1069" s="1249" t="s">
        <v>219</v>
      </c>
      <c r="F1069" s="1249">
        <v>9</v>
      </c>
      <c r="G1069" s="1249">
        <v>6</v>
      </c>
      <c r="H1069" s="998">
        <v>17027.8</v>
      </c>
      <c r="I1069" s="998">
        <v>11641.95</v>
      </c>
      <c r="J1069" s="998">
        <f>I1069-817</f>
        <v>10824.95</v>
      </c>
      <c r="K1069" s="986">
        <v>443</v>
      </c>
      <c r="L1069" s="998">
        <v>5336490</v>
      </c>
      <c r="M1069" s="998">
        <v>0</v>
      </c>
      <c r="N1069" s="998">
        <v>0</v>
      </c>
      <c r="O1069" s="998">
        <v>5336490</v>
      </c>
      <c r="P1069" s="998">
        <v>0</v>
      </c>
      <c r="Q1069" s="998">
        <v>0</v>
      </c>
      <c r="R1069" s="998">
        <f t="shared" si="348"/>
        <v>458.3845489801966</v>
      </c>
      <c r="S1069" s="988">
        <v>2018</v>
      </c>
      <c r="T1069" s="988" t="s">
        <v>1269</v>
      </c>
    </row>
    <row r="1070" spans="1:20" s="1013" customFormat="1" ht="41.25" customHeight="1">
      <c r="A1070" s="1249">
        <v>146</v>
      </c>
      <c r="B1070" s="1371" t="s">
        <v>2109</v>
      </c>
      <c r="C1070" s="1249">
        <v>1956</v>
      </c>
      <c r="D1070" s="1249"/>
      <c r="E1070" s="1249" t="s">
        <v>218</v>
      </c>
      <c r="F1070" s="1249">
        <v>5</v>
      </c>
      <c r="G1070" s="1249">
        <v>8</v>
      </c>
      <c r="H1070" s="998">
        <v>8242.25</v>
      </c>
      <c r="I1070" s="998">
        <v>7440.45</v>
      </c>
      <c r="J1070" s="998">
        <f>I1070</f>
        <v>7440.45</v>
      </c>
      <c r="K1070" s="986">
        <v>249</v>
      </c>
      <c r="L1070" s="998">
        <v>8790475.0800000001</v>
      </c>
      <c r="M1070" s="998">
        <v>0</v>
      </c>
      <c r="N1070" s="998">
        <v>0</v>
      </c>
      <c r="O1070" s="998">
        <f>L1070</f>
        <v>8790475.0800000001</v>
      </c>
      <c r="P1070" s="998">
        <v>0</v>
      </c>
      <c r="Q1070" s="998">
        <v>0</v>
      </c>
      <c r="R1070" s="998">
        <f t="shared" si="348"/>
        <v>1181.4440094349131</v>
      </c>
      <c r="S1070" s="988">
        <v>2018</v>
      </c>
      <c r="T1070" s="988" t="s">
        <v>1269</v>
      </c>
    </row>
    <row r="1071" spans="1:20" s="1028" customFormat="1" ht="41.25" customHeight="1">
      <c r="A1071" s="1249">
        <v>147</v>
      </c>
      <c r="B1071" s="1371" t="s">
        <v>2110</v>
      </c>
      <c r="C1071" s="1249">
        <v>1970</v>
      </c>
      <c r="D1071" s="1249"/>
      <c r="E1071" s="1249" t="s">
        <v>218</v>
      </c>
      <c r="F1071" s="1249">
        <v>5</v>
      </c>
      <c r="G1071" s="1249">
        <v>4</v>
      </c>
      <c r="H1071" s="998">
        <v>3540.8</v>
      </c>
      <c r="I1071" s="998">
        <v>3185.8</v>
      </c>
      <c r="J1071" s="998">
        <f>I1071-89.7-629.1</f>
        <v>2467.0000000000005</v>
      </c>
      <c r="K1071" s="986">
        <v>95</v>
      </c>
      <c r="L1071" s="998">
        <v>5332832</v>
      </c>
      <c r="M1071" s="998">
        <v>0</v>
      </c>
      <c r="N1071" s="998">
        <v>0</v>
      </c>
      <c r="O1071" s="998">
        <v>5332832</v>
      </c>
      <c r="P1071" s="998">
        <v>0</v>
      </c>
      <c r="Q1071" s="998">
        <v>0</v>
      </c>
      <c r="R1071" s="998">
        <f t="shared" si="348"/>
        <v>1673.9381003201706</v>
      </c>
      <c r="S1071" s="988">
        <v>2018</v>
      </c>
      <c r="T1071" s="988" t="s">
        <v>1269</v>
      </c>
    </row>
    <row r="1072" spans="1:20" s="1028" customFormat="1" ht="41.25" customHeight="1">
      <c r="A1072" s="1249">
        <v>148</v>
      </c>
      <c r="B1072" s="1371" t="s">
        <v>2111</v>
      </c>
      <c r="C1072" s="1249">
        <v>1982</v>
      </c>
      <c r="D1072" s="1249"/>
      <c r="E1072" s="1249" t="s">
        <v>219</v>
      </c>
      <c r="F1072" s="1249">
        <v>12</v>
      </c>
      <c r="G1072" s="1249">
        <v>1</v>
      </c>
      <c r="H1072" s="998">
        <v>3751.6</v>
      </c>
      <c r="I1072" s="998">
        <v>3545</v>
      </c>
      <c r="J1072" s="998">
        <f>I1072-295.8</f>
        <v>3249.2</v>
      </c>
      <c r="K1072" s="986">
        <v>1436</v>
      </c>
      <c r="L1072" s="998">
        <v>3933209</v>
      </c>
      <c r="M1072" s="998">
        <v>0</v>
      </c>
      <c r="N1072" s="998">
        <v>0</v>
      </c>
      <c r="O1072" s="998">
        <v>3933209</v>
      </c>
      <c r="P1072" s="998">
        <v>0</v>
      </c>
      <c r="Q1072" s="998">
        <v>0</v>
      </c>
      <c r="R1072" s="998">
        <f t="shared" si="348"/>
        <v>1109.5088857545838</v>
      </c>
      <c r="S1072" s="988">
        <v>2018</v>
      </c>
      <c r="T1072" s="988" t="s">
        <v>1269</v>
      </c>
    </row>
    <row r="1073" spans="1:20" s="1028" customFormat="1" ht="41.25" customHeight="1">
      <c r="A1073" s="1249">
        <v>149</v>
      </c>
      <c r="B1073" s="1371" t="s">
        <v>2112</v>
      </c>
      <c r="C1073" s="1249">
        <v>1938</v>
      </c>
      <c r="D1073" s="1249"/>
      <c r="E1073" s="1249" t="s">
        <v>218</v>
      </c>
      <c r="F1073" s="1249">
        <v>5</v>
      </c>
      <c r="G1073" s="1249">
        <v>4</v>
      </c>
      <c r="H1073" s="998">
        <v>3867.9</v>
      </c>
      <c r="I1073" s="998">
        <v>3507.8</v>
      </c>
      <c r="J1073" s="998">
        <f>I1073-214.6</f>
        <v>3293.2000000000003</v>
      </c>
      <c r="K1073" s="986">
        <v>63</v>
      </c>
      <c r="L1073" s="998">
        <v>15072649</v>
      </c>
      <c r="M1073" s="998">
        <v>0</v>
      </c>
      <c r="N1073" s="998">
        <v>0</v>
      </c>
      <c r="O1073" s="998">
        <v>15072649</v>
      </c>
      <c r="P1073" s="998">
        <v>0</v>
      </c>
      <c r="Q1073" s="998">
        <v>0</v>
      </c>
      <c r="R1073" s="998">
        <f t="shared" si="348"/>
        <v>4296.8952049717773</v>
      </c>
      <c r="S1073" s="988">
        <v>2018</v>
      </c>
      <c r="T1073" s="988" t="s">
        <v>1269</v>
      </c>
    </row>
    <row r="1074" spans="1:20" s="1028" customFormat="1" ht="41.25" customHeight="1">
      <c r="A1074" s="1249">
        <v>150</v>
      </c>
      <c r="B1074" s="1371" t="s">
        <v>2113</v>
      </c>
      <c r="C1074" s="1249">
        <v>1936</v>
      </c>
      <c r="D1074" s="1249"/>
      <c r="E1074" s="1249" t="s">
        <v>218</v>
      </c>
      <c r="F1074" s="1249">
        <v>5</v>
      </c>
      <c r="G1074" s="1249">
        <v>4</v>
      </c>
      <c r="H1074" s="998">
        <v>7195.3</v>
      </c>
      <c r="I1074" s="998">
        <v>6273.7</v>
      </c>
      <c r="J1074" s="998">
        <f>I1074-1979.8-20.8</f>
        <v>4273.0999999999995</v>
      </c>
      <c r="K1074" s="986">
        <v>211</v>
      </c>
      <c r="L1074" s="998">
        <v>33693985.130000003</v>
      </c>
      <c r="M1074" s="998">
        <v>0</v>
      </c>
      <c r="N1074" s="998">
        <v>0</v>
      </c>
      <c r="O1074" s="998">
        <v>33693985.130000003</v>
      </c>
      <c r="P1074" s="998">
        <v>0</v>
      </c>
      <c r="Q1074" s="998">
        <v>0</v>
      </c>
      <c r="R1074" s="998">
        <f t="shared" si="348"/>
        <v>5370.6720324529388</v>
      </c>
      <c r="S1074" s="988">
        <v>2018</v>
      </c>
      <c r="T1074" s="988" t="s">
        <v>1269</v>
      </c>
    </row>
    <row r="1075" spans="1:20" s="1028" customFormat="1" ht="41.25" customHeight="1">
      <c r="A1075" s="1249">
        <v>151</v>
      </c>
      <c r="B1075" s="1371" t="s">
        <v>2114</v>
      </c>
      <c r="C1075" s="1249">
        <v>1979</v>
      </c>
      <c r="D1075" s="1249"/>
      <c r="E1075" s="1249" t="s">
        <v>218</v>
      </c>
      <c r="F1075" s="1249">
        <v>9</v>
      </c>
      <c r="G1075" s="1249">
        <v>5</v>
      </c>
      <c r="H1075" s="998">
        <v>16638.400000000001</v>
      </c>
      <c r="I1075" s="998">
        <v>15828.7</v>
      </c>
      <c r="J1075" s="998">
        <f>I1075-5507.1-659.9</f>
        <v>9661.7000000000007</v>
      </c>
      <c r="K1075" s="986">
        <v>462</v>
      </c>
      <c r="L1075" s="998">
        <v>7017719</v>
      </c>
      <c r="M1075" s="998">
        <v>0</v>
      </c>
      <c r="N1075" s="998">
        <v>0</v>
      </c>
      <c r="O1075" s="998">
        <v>7017719</v>
      </c>
      <c r="P1075" s="998">
        <v>0</v>
      </c>
      <c r="Q1075" s="998">
        <v>0</v>
      </c>
      <c r="R1075" s="998">
        <f t="shared" si="348"/>
        <v>443.35409730426375</v>
      </c>
      <c r="S1075" s="988">
        <v>2018</v>
      </c>
      <c r="T1075" s="988" t="s">
        <v>1269</v>
      </c>
    </row>
    <row r="1076" spans="1:20" s="1013" customFormat="1" ht="41.25" customHeight="1">
      <c r="A1076" s="1249">
        <v>152</v>
      </c>
      <c r="B1076" s="1371" t="s">
        <v>2115</v>
      </c>
      <c r="C1076" s="1249">
        <v>1983</v>
      </c>
      <c r="D1076" s="1249"/>
      <c r="E1076" s="1249" t="s">
        <v>218</v>
      </c>
      <c r="F1076" s="1249">
        <v>5</v>
      </c>
      <c r="G1076" s="1249">
        <v>4</v>
      </c>
      <c r="H1076" s="998">
        <v>3321.1</v>
      </c>
      <c r="I1076" s="998">
        <v>2980.7</v>
      </c>
      <c r="J1076" s="998">
        <f>I1076-242.8-49.7</f>
        <v>2688.2</v>
      </c>
      <c r="K1076" s="986">
        <v>126</v>
      </c>
      <c r="L1076" s="998">
        <v>2244189</v>
      </c>
      <c r="M1076" s="998">
        <v>0</v>
      </c>
      <c r="N1076" s="998">
        <v>0</v>
      </c>
      <c r="O1076" s="998">
        <v>2244189</v>
      </c>
      <c r="P1076" s="998">
        <v>0</v>
      </c>
      <c r="Q1076" s="998">
        <v>0</v>
      </c>
      <c r="R1076" s="998">
        <f t="shared" si="348"/>
        <v>752.90669976851075</v>
      </c>
      <c r="S1076" s="988">
        <v>2018</v>
      </c>
      <c r="T1076" s="988" t="s">
        <v>1269</v>
      </c>
    </row>
    <row r="1077" spans="1:20" s="1013" customFormat="1" ht="41.25" customHeight="1">
      <c r="A1077" s="1249">
        <v>153</v>
      </c>
      <c r="B1077" s="1371" t="s">
        <v>2116</v>
      </c>
      <c r="C1077" s="1249">
        <v>1978</v>
      </c>
      <c r="D1077" s="1249"/>
      <c r="E1077" s="1249" t="s">
        <v>218</v>
      </c>
      <c r="F1077" s="1249">
        <v>9</v>
      </c>
      <c r="G1077" s="1249">
        <v>1</v>
      </c>
      <c r="H1077" s="998">
        <v>4578.5</v>
      </c>
      <c r="I1077" s="998">
        <v>3991.2</v>
      </c>
      <c r="J1077" s="998">
        <f>I1077-348.3</f>
        <v>3642.8999999999996</v>
      </c>
      <c r="K1077" s="986">
        <v>141</v>
      </c>
      <c r="L1077" s="998">
        <v>3823864</v>
      </c>
      <c r="M1077" s="998">
        <v>0</v>
      </c>
      <c r="N1077" s="998">
        <v>0</v>
      </c>
      <c r="O1077" s="998">
        <v>3823864</v>
      </c>
      <c r="P1077" s="998">
        <v>0</v>
      </c>
      <c r="Q1077" s="998">
        <v>0</v>
      </c>
      <c r="R1077" s="998">
        <f t="shared" si="348"/>
        <v>958.07376227700945</v>
      </c>
      <c r="S1077" s="988">
        <v>2018</v>
      </c>
      <c r="T1077" s="988" t="s">
        <v>1269</v>
      </c>
    </row>
    <row r="1078" spans="1:20" s="1013" customFormat="1" ht="41.25" customHeight="1">
      <c r="A1078" s="1249">
        <v>154</v>
      </c>
      <c r="B1078" s="1371" t="s">
        <v>2117</v>
      </c>
      <c r="C1078" s="1249">
        <v>1979</v>
      </c>
      <c r="D1078" s="1249"/>
      <c r="E1078" s="1249" t="s">
        <v>218</v>
      </c>
      <c r="F1078" s="1249">
        <v>5</v>
      </c>
      <c r="G1078" s="1249">
        <v>2</v>
      </c>
      <c r="H1078" s="998">
        <v>4432.5</v>
      </c>
      <c r="I1078" s="998">
        <v>4142.6000000000004</v>
      </c>
      <c r="J1078" s="998">
        <f>I1078-38.5</f>
        <v>4104.1000000000004</v>
      </c>
      <c r="K1078" s="986">
        <v>234</v>
      </c>
      <c r="L1078" s="998">
        <v>3683615</v>
      </c>
      <c r="M1078" s="998">
        <v>0</v>
      </c>
      <c r="N1078" s="998">
        <v>0</v>
      </c>
      <c r="O1078" s="998">
        <v>3683615</v>
      </c>
      <c r="P1078" s="998">
        <v>0</v>
      </c>
      <c r="Q1078" s="998">
        <v>0</v>
      </c>
      <c r="R1078" s="998">
        <f t="shared" si="348"/>
        <v>889.20364022594504</v>
      </c>
      <c r="S1078" s="988">
        <v>2018</v>
      </c>
      <c r="T1078" s="988" t="s">
        <v>1269</v>
      </c>
    </row>
    <row r="1079" spans="1:20" s="1013" customFormat="1" ht="41.25" customHeight="1">
      <c r="A1079" s="1249">
        <v>155</v>
      </c>
      <c r="B1079" s="1371" t="s">
        <v>2118</v>
      </c>
      <c r="C1079" s="1249">
        <v>1990</v>
      </c>
      <c r="D1079" s="1249"/>
      <c r="E1079" s="1249" t="s">
        <v>218</v>
      </c>
      <c r="F1079" s="1249">
        <v>5</v>
      </c>
      <c r="G1079" s="1249">
        <v>4</v>
      </c>
      <c r="H1079" s="998">
        <v>2807.3</v>
      </c>
      <c r="I1079" s="998">
        <v>2511.8000000000002</v>
      </c>
      <c r="J1079" s="998">
        <f>I1079-129.9</f>
        <v>2381.9</v>
      </c>
      <c r="K1079" s="986">
        <v>109</v>
      </c>
      <c r="L1079" s="998">
        <v>1834011</v>
      </c>
      <c r="M1079" s="998">
        <v>0</v>
      </c>
      <c r="N1079" s="998">
        <v>0</v>
      </c>
      <c r="O1079" s="998">
        <v>1834011</v>
      </c>
      <c r="P1079" s="998">
        <v>0</v>
      </c>
      <c r="Q1079" s="998">
        <v>0</v>
      </c>
      <c r="R1079" s="998">
        <f t="shared" si="348"/>
        <v>730.15805398518989</v>
      </c>
      <c r="S1079" s="988">
        <v>2018</v>
      </c>
      <c r="T1079" s="988" t="s">
        <v>1269</v>
      </c>
    </row>
    <row r="1080" spans="1:20" s="1013" customFormat="1" ht="41.25" customHeight="1">
      <c r="A1080" s="1249">
        <v>156</v>
      </c>
      <c r="B1080" s="1371" t="s">
        <v>2119</v>
      </c>
      <c r="C1080" s="1249">
        <v>1982</v>
      </c>
      <c r="D1080" s="1249"/>
      <c r="E1080" s="1249" t="s">
        <v>219</v>
      </c>
      <c r="F1080" s="1249">
        <v>9</v>
      </c>
      <c r="G1080" s="1249">
        <v>4</v>
      </c>
      <c r="H1080" s="998">
        <v>8678.6</v>
      </c>
      <c r="I1080" s="998">
        <v>7762.8</v>
      </c>
      <c r="J1080" s="998">
        <f>I1080-380.8</f>
        <v>7382</v>
      </c>
      <c r="K1080" s="986">
        <v>338</v>
      </c>
      <c r="L1080" s="998">
        <v>3174246</v>
      </c>
      <c r="M1080" s="998">
        <v>0</v>
      </c>
      <c r="N1080" s="998">
        <v>0</v>
      </c>
      <c r="O1080" s="998">
        <v>3174246</v>
      </c>
      <c r="P1080" s="998">
        <v>0</v>
      </c>
      <c r="Q1080" s="998">
        <v>0</v>
      </c>
      <c r="R1080" s="998">
        <f t="shared" si="348"/>
        <v>408.90477662699027</v>
      </c>
      <c r="S1080" s="988">
        <v>2018</v>
      </c>
      <c r="T1080" s="988" t="s">
        <v>1269</v>
      </c>
    </row>
    <row r="1081" spans="1:20" s="1013" customFormat="1" ht="41.25" customHeight="1">
      <c r="A1081" s="1249">
        <v>157</v>
      </c>
      <c r="B1081" s="1371" t="s">
        <v>2120</v>
      </c>
      <c r="C1081" s="1249">
        <v>1985</v>
      </c>
      <c r="D1081" s="1249"/>
      <c r="E1081" s="1249" t="s">
        <v>219</v>
      </c>
      <c r="F1081" s="1249">
        <v>12</v>
      </c>
      <c r="G1081" s="1249">
        <v>1</v>
      </c>
      <c r="H1081" s="998">
        <v>4461.3999999999996</v>
      </c>
      <c r="I1081" s="998">
        <v>3567.2</v>
      </c>
      <c r="J1081" s="998">
        <f>I1081-149.3</f>
        <v>3417.8999999999996</v>
      </c>
      <c r="K1081" s="986">
        <v>171</v>
      </c>
      <c r="L1081" s="998">
        <v>9148745</v>
      </c>
      <c r="M1081" s="998">
        <v>0</v>
      </c>
      <c r="N1081" s="998">
        <v>0</v>
      </c>
      <c r="O1081" s="998">
        <v>9148745</v>
      </c>
      <c r="P1081" s="998">
        <v>0</v>
      </c>
      <c r="Q1081" s="998">
        <v>0</v>
      </c>
      <c r="R1081" s="998">
        <f t="shared" si="348"/>
        <v>2564.6851872617181</v>
      </c>
      <c r="S1081" s="988">
        <v>2018</v>
      </c>
      <c r="T1081" s="988" t="s">
        <v>1269</v>
      </c>
    </row>
    <row r="1082" spans="1:20" s="1013" customFormat="1" ht="41.25" customHeight="1">
      <c r="A1082" s="1249">
        <v>158</v>
      </c>
      <c r="B1082" s="1371" t="s">
        <v>2121</v>
      </c>
      <c r="C1082" s="1249">
        <v>1985</v>
      </c>
      <c r="D1082" s="1249"/>
      <c r="E1082" s="1249" t="s">
        <v>219</v>
      </c>
      <c r="F1082" s="1249">
        <v>12</v>
      </c>
      <c r="G1082" s="1249">
        <v>1</v>
      </c>
      <c r="H1082" s="998">
        <v>4374.6000000000004</v>
      </c>
      <c r="I1082" s="998">
        <v>3561.4</v>
      </c>
      <c r="J1082" s="998">
        <f>I1082-149.3</f>
        <v>3412.1</v>
      </c>
      <c r="K1082" s="986">
        <v>166</v>
      </c>
      <c r="L1082" s="998">
        <v>9148189</v>
      </c>
      <c r="M1082" s="998">
        <v>0</v>
      </c>
      <c r="N1082" s="998">
        <v>0</v>
      </c>
      <c r="O1082" s="998">
        <v>9148189</v>
      </c>
      <c r="P1082" s="998">
        <v>0</v>
      </c>
      <c r="Q1082" s="998">
        <v>0</v>
      </c>
      <c r="R1082" s="998">
        <f t="shared" si="348"/>
        <v>2568.7058460156118</v>
      </c>
      <c r="S1082" s="988">
        <v>2018</v>
      </c>
      <c r="T1082" s="988" t="s">
        <v>1269</v>
      </c>
    </row>
    <row r="1083" spans="1:20" s="1013" customFormat="1" ht="41.25" customHeight="1">
      <c r="A1083" s="1249">
        <v>159</v>
      </c>
      <c r="B1083" s="1371" t="s">
        <v>2122</v>
      </c>
      <c r="C1083" s="1249">
        <v>1984</v>
      </c>
      <c r="D1083" s="1249"/>
      <c r="E1083" s="1249" t="s">
        <v>219</v>
      </c>
      <c r="F1083" s="1249">
        <v>9</v>
      </c>
      <c r="G1083" s="1249">
        <v>1</v>
      </c>
      <c r="H1083" s="998">
        <v>3478.9</v>
      </c>
      <c r="I1083" s="998">
        <v>2941.2</v>
      </c>
      <c r="J1083" s="998">
        <f>I1083-213.2</f>
        <v>2728</v>
      </c>
      <c r="K1083" s="986">
        <v>84</v>
      </c>
      <c r="L1083" s="998">
        <v>5063291</v>
      </c>
      <c r="M1083" s="998">
        <v>0</v>
      </c>
      <c r="N1083" s="998">
        <v>0</v>
      </c>
      <c r="O1083" s="998">
        <v>5063291</v>
      </c>
      <c r="P1083" s="998">
        <v>0</v>
      </c>
      <c r="Q1083" s="998">
        <v>0</v>
      </c>
      <c r="R1083" s="998">
        <f t="shared" si="348"/>
        <v>1721.5051679586563</v>
      </c>
      <c r="S1083" s="988">
        <v>2018</v>
      </c>
      <c r="T1083" s="988" t="s">
        <v>1269</v>
      </c>
    </row>
    <row r="1084" spans="1:20" s="1013" customFormat="1" ht="41.25" customHeight="1">
      <c r="A1084" s="1249">
        <v>160</v>
      </c>
      <c r="B1084" s="1371" t="s">
        <v>2123</v>
      </c>
      <c r="C1084" s="1249">
        <v>1986</v>
      </c>
      <c r="D1084" s="1249"/>
      <c r="E1084" s="1249" t="s">
        <v>219</v>
      </c>
      <c r="F1084" s="1249">
        <v>9</v>
      </c>
      <c r="G1084" s="1249">
        <v>1</v>
      </c>
      <c r="H1084" s="998">
        <v>3982.2</v>
      </c>
      <c r="I1084" s="998">
        <v>3205</v>
      </c>
      <c r="J1084" s="998">
        <f>I1084-413.7</f>
        <v>2791.3</v>
      </c>
      <c r="K1084" s="986">
        <v>181</v>
      </c>
      <c r="L1084" s="998">
        <v>4631684</v>
      </c>
      <c r="M1084" s="998">
        <v>0</v>
      </c>
      <c r="N1084" s="998">
        <v>0</v>
      </c>
      <c r="O1084" s="998">
        <v>4631684</v>
      </c>
      <c r="P1084" s="998">
        <v>0</v>
      </c>
      <c r="Q1084" s="998">
        <v>0</v>
      </c>
      <c r="R1084" s="998">
        <f t="shared" si="348"/>
        <v>1445.1432137285492</v>
      </c>
      <c r="S1084" s="988">
        <v>2018</v>
      </c>
      <c r="T1084" s="988" t="s">
        <v>1269</v>
      </c>
    </row>
    <row r="1085" spans="1:20" s="1013" customFormat="1" ht="41.25" customHeight="1">
      <c r="A1085" s="1370">
        <v>161</v>
      </c>
      <c r="B1085" s="1374" t="s">
        <v>2124</v>
      </c>
      <c r="C1085" s="1370">
        <v>1990</v>
      </c>
      <c r="D1085" s="1376"/>
      <c r="E1085" s="1376" t="s">
        <v>219</v>
      </c>
      <c r="F1085" s="1376">
        <v>5</v>
      </c>
      <c r="G1085" s="1376">
        <v>1</v>
      </c>
      <c r="H1085" s="998">
        <v>2617.9</v>
      </c>
      <c r="I1085" s="998">
        <v>2249.6</v>
      </c>
      <c r="J1085" s="998">
        <f>I1085-197.3</f>
        <v>2052.2999999999997</v>
      </c>
      <c r="K1085" s="986">
        <v>73</v>
      </c>
      <c r="L1085" s="998">
        <v>1604996</v>
      </c>
      <c r="M1085" s="996">
        <v>0</v>
      </c>
      <c r="N1085" s="985">
        <v>0</v>
      </c>
      <c r="O1085" s="985">
        <v>1604996</v>
      </c>
      <c r="P1085" s="985">
        <v>0</v>
      </c>
      <c r="Q1085" s="985">
        <v>0</v>
      </c>
      <c r="R1085" s="985">
        <f t="shared" si="348"/>
        <v>713.45839260312948</v>
      </c>
      <c r="S1085" s="988">
        <v>2018</v>
      </c>
      <c r="T1085" s="988" t="s">
        <v>1269</v>
      </c>
    </row>
    <row r="1086" spans="1:20" s="1013" customFormat="1" ht="41.25" customHeight="1">
      <c r="A1086" s="1370">
        <v>162</v>
      </c>
      <c r="B1086" s="1374" t="s">
        <v>2125</v>
      </c>
      <c r="C1086" s="1370">
        <v>1985</v>
      </c>
      <c r="D1086" s="1376"/>
      <c r="E1086" s="1046" t="s">
        <v>218</v>
      </c>
      <c r="F1086" s="1376">
        <v>5</v>
      </c>
      <c r="G1086" s="1376">
        <v>3</v>
      </c>
      <c r="H1086" s="998">
        <v>2305.6999999999998</v>
      </c>
      <c r="I1086" s="998">
        <v>2030.3</v>
      </c>
      <c r="J1086" s="998">
        <f>I1086-52.4-32.9</f>
        <v>1944.9999999999998</v>
      </c>
      <c r="K1086" s="986">
        <v>89</v>
      </c>
      <c r="L1086" s="998">
        <v>1474392</v>
      </c>
      <c r="M1086" s="996">
        <v>0</v>
      </c>
      <c r="N1086" s="985">
        <v>0</v>
      </c>
      <c r="O1086" s="985">
        <v>1474392</v>
      </c>
      <c r="P1086" s="985">
        <v>0</v>
      </c>
      <c r="Q1086" s="985">
        <v>0</v>
      </c>
      <c r="R1086" s="985">
        <f t="shared" si="348"/>
        <v>726.19415849874406</v>
      </c>
      <c r="S1086" s="988">
        <v>2018</v>
      </c>
      <c r="T1086" s="988" t="s">
        <v>1269</v>
      </c>
    </row>
    <row r="1087" spans="1:20" s="1013" customFormat="1" ht="41.25" customHeight="1">
      <c r="A1087" s="1370">
        <v>163</v>
      </c>
      <c r="B1087" s="1374" t="s">
        <v>2126</v>
      </c>
      <c r="C1087" s="1370">
        <v>1984</v>
      </c>
      <c r="D1087" s="1376"/>
      <c r="E1087" s="1046" t="s">
        <v>218</v>
      </c>
      <c r="F1087" s="1376">
        <v>5</v>
      </c>
      <c r="G1087" s="1376">
        <v>3</v>
      </c>
      <c r="H1087" s="998">
        <v>2270.3000000000002</v>
      </c>
      <c r="I1087" s="998">
        <v>1999.8</v>
      </c>
      <c r="J1087" s="998">
        <f>I1087-122.3</f>
        <v>1877.5</v>
      </c>
      <c r="K1087" s="986">
        <v>89</v>
      </c>
      <c r="L1087" s="998">
        <v>1473151</v>
      </c>
      <c r="M1087" s="998">
        <v>0</v>
      </c>
      <c r="N1087" s="998">
        <v>0</v>
      </c>
      <c r="O1087" s="985">
        <v>1473151</v>
      </c>
      <c r="P1087" s="985">
        <v>0</v>
      </c>
      <c r="Q1087" s="985">
        <v>0</v>
      </c>
      <c r="R1087" s="985">
        <f t="shared" si="348"/>
        <v>736.64916491649171</v>
      </c>
      <c r="S1087" s="988">
        <v>2018</v>
      </c>
      <c r="T1087" s="988" t="s">
        <v>1269</v>
      </c>
    </row>
    <row r="1088" spans="1:20" s="1013" customFormat="1" ht="41.25" customHeight="1">
      <c r="A1088" s="1249">
        <v>164</v>
      </c>
      <c r="B1088" s="1371" t="s">
        <v>2127</v>
      </c>
      <c r="C1088" s="1249">
        <v>1955</v>
      </c>
      <c r="D1088" s="1249"/>
      <c r="E1088" s="1249" t="s">
        <v>218</v>
      </c>
      <c r="F1088" s="1249">
        <v>3</v>
      </c>
      <c r="G1088" s="1249">
        <v>3</v>
      </c>
      <c r="H1088" s="998">
        <v>3785.4</v>
      </c>
      <c r="I1088" s="998">
        <v>2044.7</v>
      </c>
      <c r="J1088" s="998">
        <f>I1088-169.6</f>
        <v>1875.1000000000001</v>
      </c>
      <c r="K1088" s="986">
        <v>64</v>
      </c>
      <c r="L1088" s="998">
        <v>4723244</v>
      </c>
      <c r="M1088" s="998">
        <v>0</v>
      </c>
      <c r="N1088" s="998">
        <v>0</v>
      </c>
      <c r="O1088" s="998">
        <v>4723244</v>
      </c>
      <c r="P1088" s="998">
        <v>0</v>
      </c>
      <c r="Q1088" s="998">
        <v>0</v>
      </c>
      <c r="R1088" s="998">
        <f t="shared" si="348"/>
        <v>2309.9936420990853</v>
      </c>
      <c r="S1088" s="988">
        <v>2018</v>
      </c>
      <c r="T1088" s="988" t="s">
        <v>1269</v>
      </c>
    </row>
    <row r="1089" spans="1:20" s="1013" customFormat="1" ht="41.25" customHeight="1">
      <c r="A1089" s="1249">
        <v>165</v>
      </c>
      <c r="B1089" s="1371" t="s">
        <v>2128</v>
      </c>
      <c r="C1089" s="1249">
        <v>1955</v>
      </c>
      <c r="D1089" s="1249"/>
      <c r="E1089" s="1249" t="s">
        <v>218</v>
      </c>
      <c r="F1089" s="1249">
        <v>3</v>
      </c>
      <c r="G1089" s="1249">
        <v>3</v>
      </c>
      <c r="H1089" s="998">
        <v>1991.5</v>
      </c>
      <c r="I1089" s="998">
        <v>1955</v>
      </c>
      <c r="J1089" s="998">
        <f>I1089-416.8</f>
        <v>1538.2</v>
      </c>
      <c r="K1089" s="986">
        <v>65</v>
      </c>
      <c r="L1089" s="998">
        <v>5861128</v>
      </c>
      <c r="M1089" s="998">
        <v>0</v>
      </c>
      <c r="N1089" s="998">
        <v>0</v>
      </c>
      <c r="O1089" s="998">
        <v>5861128</v>
      </c>
      <c r="P1089" s="998">
        <v>0</v>
      </c>
      <c r="Q1089" s="998">
        <v>0</v>
      </c>
      <c r="R1089" s="998">
        <f t="shared" si="348"/>
        <v>2998.0194373401537</v>
      </c>
      <c r="S1089" s="988">
        <v>2018</v>
      </c>
      <c r="T1089" s="988" t="s">
        <v>1269</v>
      </c>
    </row>
    <row r="1090" spans="1:20" s="1013" customFormat="1" ht="41.25" customHeight="1">
      <c r="A1090" s="1249">
        <v>166</v>
      </c>
      <c r="B1090" s="1371" t="s">
        <v>2129</v>
      </c>
      <c r="C1090" s="1249">
        <v>1959</v>
      </c>
      <c r="D1090" s="1249"/>
      <c r="E1090" s="1249" t="s">
        <v>218</v>
      </c>
      <c r="F1090" s="1249">
        <v>4</v>
      </c>
      <c r="G1090" s="1249">
        <v>4</v>
      </c>
      <c r="H1090" s="998">
        <v>2771.8</v>
      </c>
      <c r="I1090" s="998">
        <v>2547.6</v>
      </c>
      <c r="J1090" s="998">
        <f>I1090-146.4</f>
        <v>2401.1999999999998</v>
      </c>
      <c r="K1090" s="986">
        <v>121</v>
      </c>
      <c r="L1090" s="998">
        <v>1187834</v>
      </c>
      <c r="M1090" s="998">
        <v>0</v>
      </c>
      <c r="N1090" s="998">
        <v>0</v>
      </c>
      <c r="O1090" s="998">
        <v>1187834</v>
      </c>
      <c r="P1090" s="998">
        <v>0</v>
      </c>
      <c r="Q1090" s="998">
        <v>0</v>
      </c>
      <c r="R1090" s="998">
        <f t="shared" si="348"/>
        <v>466.25608415763855</v>
      </c>
      <c r="S1090" s="988">
        <v>2018</v>
      </c>
      <c r="T1090" s="988" t="s">
        <v>1269</v>
      </c>
    </row>
    <row r="1091" spans="1:20" s="1013" customFormat="1" ht="41.25" customHeight="1">
      <c r="A1091" s="1249">
        <v>167</v>
      </c>
      <c r="B1091" s="1371" t="s">
        <v>2186</v>
      </c>
      <c r="C1091" s="1249">
        <v>1937</v>
      </c>
      <c r="D1091" s="1249"/>
      <c r="E1091" s="1249" t="s">
        <v>218</v>
      </c>
      <c r="F1091" s="1249">
        <v>4</v>
      </c>
      <c r="G1091" s="1249">
        <v>4</v>
      </c>
      <c r="H1091" s="998">
        <v>2879.5</v>
      </c>
      <c r="I1091" s="998">
        <v>2373.8000000000002</v>
      </c>
      <c r="J1091" s="998">
        <f>I1091</f>
        <v>2373.8000000000002</v>
      </c>
      <c r="K1091" s="986">
        <v>88</v>
      </c>
      <c r="L1091" s="998">
        <v>3815849</v>
      </c>
      <c r="M1091" s="998">
        <v>0</v>
      </c>
      <c r="N1091" s="998">
        <v>0</v>
      </c>
      <c r="O1091" s="998">
        <v>3815849</v>
      </c>
      <c r="P1091" s="998">
        <v>0</v>
      </c>
      <c r="Q1091" s="998">
        <v>0</v>
      </c>
      <c r="R1091" s="998">
        <f t="shared" si="348"/>
        <v>1607.4854663408878</v>
      </c>
      <c r="S1091" s="988">
        <v>2018</v>
      </c>
      <c r="T1091" s="988" t="s">
        <v>1269</v>
      </c>
    </row>
    <row r="1092" spans="1:20" s="1013" customFormat="1" ht="41.25" customHeight="1">
      <c r="A1092" s="1249">
        <v>168</v>
      </c>
      <c r="B1092" s="1371" t="s">
        <v>2187</v>
      </c>
      <c r="C1092" s="1249">
        <v>1963</v>
      </c>
      <c r="D1092" s="1249"/>
      <c r="E1092" s="1249" t="s">
        <v>218</v>
      </c>
      <c r="F1092" s="1249">
        <v>4</v>
      </c>
      <c r="G1092" s="1249">
        <v>4</v>
      </c>
      <c r="H1092" s="998">
        <v>2729.4</v>
      </c>
      <c r="I1092" s="998">
        <v>2533.4</v>
      </c>
      <c r="J1092" s="998">
        <f>I1092-127.9</f>
        <v>2405.5</v>
      </c>
      <c r="K1092" s="986">
        <v>154</v>
      </c>
      <c r="L1092" s="998">
        <v>1701968</v>
      </c>
      <c r="M1092" s="998">
        <v>0</v>
      </c>
      <c r="N1092" s="998">
        <v>0</v>
      </c>
      <c r="O1092" s="998">
        <v>1701968</v>
      </c>
      <c r="P1092" s="998">
        <v>0</v>
      </c>
      <c r="Q1092" s="998">
        <v>0</v>
      </c>
      <c r="R1092" s="998">
        <f t="shared" si="348"/>
        <v>671.81179442646248</v>
      </c>
      <c r="S1092" s="988">
        <v>2018</v>
      </c>
      <c r="T1092" s="988" t="s">
        <v>1269</v>
      </c>
    </row>
    <row r="1093" spans="1:20" s="1013" customFormat="1" ht="41.25" customHeight="1">
      <c r="A1093" s="1249">
        <v>169</v>
      </c>
      <c r="B1093" s="1371" t="s">
        <v>2130</v>
      </c>
      <c r="C1093" s="1249">
        <v>1937</v>
      </c>
      <c r="D1093" s="1249"/>
      <c r="E1093" s="1249" t="s">
        <v>218</v>
      </c>
      <c r="F1093" s="1249">
        <v>4</v>
      </c>
      <c r="G1093" s="1249">
        <v>4</v>
      </c>
      <c r="H1093" s="998">
        <v>2706</v>
      </c>
      <c r="I1093" s="998">
        <v>2353.1</v>
      </c>
      <c r="J1093" s="998">
        <f>I1093-144.9</f>
        <v>2208.1999999999998</v>
      </c>
      <c r="K1093" s="986">
        <v>122</v>
      </c>
      <c r="L1093" s="998">
        <v>3858424</v>
      </c>
      <c r="M1093" s="998">
        <v>0</v>
      </c>
      <c r="N1093" s="998">
        <v>0</v>
      </c>
      <c r="O1093" s="998">
        <v>3858424</v>
      </c>
      <c r="P1093" s="998">
        <v>0</v>
      </c>
      <c r="Q1093" s="998">
        <v>0</v>
      </c>
      <c r="R1093" s="998">
        <f t="shared" si="348"/>
        <v>1639.7195189324721</v>
      </c>
      <c r="S1093" s="988">
        <v>2018</v>
      </c>
      <c r="T1093" s="988" t="s">
        <v>1269</v>
      </c>
    </row>
    <row r="1094" spans="1:20" s="1013" customFormat="1" ht="41.25" customHeight="1">
      <c r="A1094" s="1249">
        <v>170</v>
      </c>
      <c r="B1094" s="1371" t="s">
        <v>2131</v>
      </c>
      <c r="C1094" s="1249">
        <v>1978</v>
      </c>
      <c r="D1094" s="1249"/>
      <c r="E1094" s="1249" t="s">
        <v>219</v>
      </c>
      <c r="F1094" s="1249">
        <v>9</v>
      </c>
      <c r="G1094" s="1249">
        <v>2</v>
      </c>
      <c r="H1094" s="998">
        <v>5906.9</v>
      </c>
      <c r="I1094" s="998">
        <v>5391.4</v>
      </c>
      <c r="J1094" s="998">
        <f>I1094-246.2</f>
        <v>5145.2</v>
      </c>
      <c r="K1094" s="986">
        <v>246</v>
      </c>
      <c r="L1094" s="998">
        <v>3342485</v>
      </c>
      <c r="M1094" s="998">
        <v>0</v>
      </c>
      <c r="N1094" s="998">
        <v>0</v>
      </c>
      <c r="O1094" s="998">
        <v>3342485</v>
      </c>
      <c r="P1094" s="998">
        <v>0</v>
      </c>
      <c r="Q1094" s="998">
        <v>0</v>
      </c>
      <c r="R1094" s="998">
        <f t="shared" si="348"/>
        <v>619.96605705382649</v>
      </c>
      <c r="S1094" s="988">
        <v>2018</v>
      </c>
      <c r="T1094" s="988" t="s">
        <v>1269</v>
      </c>
    </row>
    <row r="1095" spans="1:20" s="1013" customFormat="1" ht="41.25" customHeight="1">
      <c r="A1095" s="1249">
        <v>171</v>
      </c>
      <c r="B1095" s="1371" t="s">
        <v>2188</v>
      </c>
      <c r="C1095" s="1249">
        <v>1960</v>
      </c>
      <c r="D1095" s="1249"/>
      <c r="E1095" s="1249" t="s">
        <v>218</v>
      </c>
      <c r="F1095" s="1249">
        <v>4</v>
      </c>
      <c r="G1095" s="1249">
        <v>4</v>
      </c>
      <c r="H1095" s="998">
        <v>2786</v>
      </c>
      <c r="I1095" s="998">
        <v>2515.1999999999998</v>
      </c>
      <c r="J1095" s="998">
        <f>I1095-178.8</f>
        <v>2336.3999999999996</v>
      </c>
      <c r="K1095" s="986">
        <v>132</v>
      </c>
      <c r="L1095" s="998">
        <v>1721427</v>
      </c>
      <c r="M1095" s="998">
        <v>0</v>
      </c>
      <c r="N1095" s="998">
        <v>0</v>
      </c>
      <c r="O1095" s="998">
        <v>1721427</v>
      </c>
      <c r="P1095" s="998">
        <v>0</v>
      </c>
      <c r="Q1095" s="998">
        <v>0</v>
      </c>
      <c r="R1095" s="998">
        <f t="shared" si="348"/>
        <v>684.40958969465657</v>
      </c>
      <c r="S1095" s="988">
        <v>2018</v>
      </c>
      <c r="T1095" s="988" t="s">
        <v>1269</v>
      </c>
    </row>
    <row r="1096" spans="1:20" s="1013" customFormat="1" ht="41.25" customHeight="1">
      <c r="A1096" s="1249">
        <v>172</v>
      </c>
      <c r="B1096" s="1371" t="s">
        <v>1914</v>
      </c>
      <c r="C1096" s="1249">
        <v>1997</v>
      </c>
      <c r="D1096" s="1249"/>
      <c r="E1096" s="1249" t="s">
        <v>219</v>
      </c>
      <c r="F1096" s="1249">
        <v>10</v>
      </c>
      <c r="G1096" s="1249">
        <v>4</v>
      </c>
      <c r="H1096" s="998">
        <v>10003.799999999999</v>
      </c>
      <c r="I1096" s="998">
        <v>8939.5</v>
      </c>
      <c r="J1096" s="998">
        <f>I1096-539.3</f>
        <v>8400.2000000000007</v>
      </c>
      <c r="K1096" s="986">
        <v>370</v>
      </c>
      <c r="L1096" s="998">
        <v>6969833</v>
      </c>
      <c r="M1096" s="998">
        <v>0</v>
      </c>
      <c r="N1096" s="998">
        <v>0</v>
      </c>
      <c r="O1096" s="998">
        <v>6969833</v>
      </c>
      <c r="P1096" s="998">
        <v>0</v>
      </c>
      <c r="Q1096" s="998">
        <v>0</v>
      </c>
      <c r="R1096" s="998">
        <f t="shared" si="348"/>
        <v>779.66698361205886</v>
      </c>
      <c r="S1096" s="988">
        <v>2018</v>
      </c>
      <c r="T1096" s="988" t="s">
        <v>1269</v>
      </c>
    </row>
    <row r="1097" spans="1:20" s="1013" customFormat="1" ht="41.25" customHeight="1">
      <c r="A1097" s="1249">
        <v>173</v>
      </c>
      <c r="B1097" s="1371" t="s">
        <v>2132</v>
      </c>
      <c r="C1097" s="1249">
        <v>1964</v>
      </c>
      <c r="D1097" s="1249"/>
      <c r="E1097" s="1249" t="s">
        <v>218</v>
      </c>
      <c r="F1097" s="1249">
        <v>5</v>
      </c>
      <c r="G1097" s="1249">
        <v>3</v>
      </c>
      <c r="H1097" s="998">
        <v>2675.1</v>
      </c>
      <c r="I1097" s="998">
        <v>2492.5</v>
      </c>
      <c r="J1097" s="998">
        <f>I1097-275.6-44.5</f>
        <v>2172.4</v>
      </c>
      <c r="K1097" s="986">
        <v>76</v>
      </c>
      <c r="L1097" s="998">
        <v>2127173</v>
      </c>
      <c r="M1097" s="998">
        <v>0</v>
      </c>
      <c r="N1097" s="998">
        <v>0</v>
      </c>
      <c r="O1097" s="998">
        <v>2127173</v>
      </c>
      <c r="P1097" s="998">
        <v>0</v>
      </c>
      <c r="Q1097" s="998">
        <v>0</v>
      </c>
      <c r="R1097" s="998">
        <f t="shared" si="348"/>
        <v>853.42948846539616</v>
      </c>
      <c r="S1097" s="988">
        <v>2018</v>
      </c>
      <c r="T1097" s="988" t="s">
        <v>1269</v>
      </c>
    </row>
    <row r="1098" spans="1:20" s="1013" customFormat="1" ht="41.25" customHeight="1">
      <c r="A1098" s="1249">
        <v>174</v>
      </c>
      <c r="B1098" s="1371" t="s">
        <v>2133</v>
      </c>
      <c r="C1098" s="1249">
        <v>1917</v>
      </c>
      <c r="D1098" s="1249"/>
      <c r="E1098" s="1249" t="s">
        <v>218</v>
      </c>
      <c r="F1098" s="1249">
        <v>2</v>
      </c>
      <c r="G1098" s="1249">
        <v>2</v>
      </c>
      <c r="H1098" s="998">
        <v>683.5</v>
      </c>
      <c r="I1098" s="998">
        <v>540.70000000000005</v>
      </c>
      <c r="J1098" s="998">
        <f>I1098</f>
        <v>540.70000000000005</v>
      </c>
      <c r="K1098" s="986">
        <v>12</v>
      </c>
      <c r="L1098" s="998">
        <v>1418636</v>
      </c>
      <c r="M1098" s="998">
        <v>0</v>
      </c>
      <c r="N1098" s="998">
        <v>0</v>
      </c>
      <c r="O1098" s="998">
        <v>1418636</v>
      </c>
      <c r="P1098" s="998">
        <v>0</v>
      </c>
      <c r="Q1098" s="998">
        <v>0</v>
      </c>
      <c r="R1098" s="998">
        <f t="shared" si="348"/>
        <v>2623.7026077307191</v>
      </c>
      <c r="S1098" s="988">
        <v>2018</v>
      </c>
      <c r="T1098" s="988" t="s">
        <v>1269</v>
      </c>
    </row>
    <row r="1099" spans="1:20" s="1013" customFormat="1" ht="41.25" customHeight="1">
      <c r="A1099" s="1249">
        <v>175</v>
      </c>
      <c r="B1099" s="1371" t="s">
        <v>2134</v>
      </c>
      <c r="C1099" s="1249">
        <v>1986</v>
      </c>
      <c r="D1099" s="1249"/>
      <c r="E1099" s="1249" t="s">
        <v>219</v>
      </c>
      <c r="F1099" s="1249">
        <v>5</v>
      </c>
      <c r="G1099" s="1249">
        <v>5</v>
      </c>
      <c r="H1099" s="998">
        <v>4332.3</v>
      </c>
      <c r="I1099" s="998">
        <v>4058.9</v>
      </c>
      <c r="J1099" s="998">
        <f>I1099-58</f>
        <v>4000.9</v>
      </c>
      <c r="K1099" s="986">
        <v>122</v>
      </c>
      <c r="L1099" s="998">
        <v>2605172</v>
      </c>
      <c r="M1099" s="998">
        <v>0</v>
      </c>
      <c r="N1099" s="998">
        <v>0</v>
      </c>
      <c r="O1099" s="998">
        <v>2605172</v>
      </c>
      <c r="P1099" s="998">
        <v>0</v>
      </c>
      <c r="Q1099" s="998">
        <v>0</v>
      </c>
      <c r="R1099" s="998">
        <f t="shared" si="348"/>
        <v>641.84187834142256</v>
      </c>
      <c r="S1099" s="988">
        <v>2018</v>
      </c>
      <c r="T1099" s="988" t="s">
        <v>1269</v>
      </c>
    </row>
    <row r="1100" spans="1:20" s="1013" customFormat="1" ht="41.25" customHeight="1">
      <c r="A1100" s="1370">
        <v>176</v>
      </c>
      <c r="B1100" s="1374" t="s">
        <v>1700</v>
      </c>
      <c r="C1100" s="1370">
        <v>1967</v>
      </c>
      <c r="D1100" s="1376"/>
      <c r="E1100" s="1376" t="s">
        <v>219</v>
      </c>
      <c r="F1100" s="1376">
        <v>5</v>
      </c>
      <c r="G1100" s="1376">
        <v>6</v>
      </c>
      <c r="H1100" s="998">
        <v>4806.5</v>
      </c>
      <c r="I1100" s="998">
        <v>4343.6000000000004</v>
      </c>
      <c r="J1100" s="998">
        <f>I1100-269.2</f>
        <v>4074.4000000000005</v>
      </c>
      <c r="K1100" s="986">
        <v>169</v>
      </c>
      <c r="L1100" s="998">
        <v>2870788</v>
      </c>
      <c r="M1100" s="998">
        <v>0</v>
      </c>
      <c r="N1100" s="998">
        <v>0</v>
      </c>
      <c r="O1100" s="985">
        <v>2870788</v>
      </c>
      <c r="P1100" s="985">
        <v>0</v>
      </c>
      <c r="Q1100" s="985">
        <v>0</v>
      </c>
      <c r="R1100" s="985">
        <f t="shared" si="348"/>
        <v>660.92365779537704</v>
      </c>
      <c r="S1100" s="988">
        <v>2018</v>
      </c>
      <c r="T1100" s="988" t="s">
        <v>1269</v>
      </c>
    </row>
    <row r="1101" spans="1:20" s="1013" customFormat="1" ht="41.25" customHeight="1">
      <c r="A1101" s="1249">
        <v>177</v>
      </c>
      <c r="B1101" s="1371" t="s">
        <v>2189</v>
      </c>
      <c r="C1101" s="1249">
        <v>1937</v>
      </c>
      <c r="D1101" s="1249"/>
      <c r="E1101" s="1249" t="s">
        <v>218</v>
      </c>
      <c r="F1101" s="1249">
        <v>4</v>
      </c>
      <c r="G1101" s="1249">
        <v>4</v>
      </c>
      <c r="H1101" s="998">
        <v>2732.9</v>
      </c>
      <c r="I1101" s="998">
        <v>2413.1999999999998</v>
      </c>
      <c r="J1101" s="998">
        <f>I1101-178.8</f>
        <v>2234.3999999999996</v>
      </c>
      <c r="K1101" s="986">
        <v>117</v>
      </c>
      <c r="L1101" s="998">
        <v>9375811</v>
      </c>
      <c r="M1101" s="998">
        <v>0</v>
      </c>
      <c r="N1101" s="998">
        <v>0</v>
      </c>
      <c r="O1101" s="998">
        <v>9375811</v>
      </c>
      <c r="P1101" s="998">
        <v>0</v>
      </c>
      <c r="Q1101" s="998">
        <v>0</v>
      </c>
      <c r="R1101" s="998">
        <f t="shared" si="348"/>
        <v>3885.2192110061333</v>
      </c>
      <c r="S1101" s="988">
        <v>2018</v>
      </c>
      <c r="T1101" s="988" t="s">
        <v>1269</v>
      </c>
    </row>
    <row r="1102" spans="1:20" s="1013" customFormat="1" ht="41.25" customHeight="1">
      <c r="A1102" s="1249">
        <v>178</v>
      </c>
      <c r="B1102" s="1371" t="s">
        <v>2190</v>
      </c>
      <c r="C1102" s="1249">
        <v>1938</v>
      </c>
      <c r="D1102" s="1249"/>
      <c r="E1102" s="1249" t="s">
        <v>218</v>
      </c>
      <c r="F1102" s="1249">
        <v>4</v>
      </c>
      <c r="G1102" s="1249">
        <v>4</v>
      </c>
      <c r="H1102" s="998">
        <v>2728.2</v>
      </c>
      <c r="I1102" s="998">
        <v>2405.8000000000002</v>
      </c>
      <c r="J1102" s="998">
        <f>I1102-102.2</f>
        <v>2303.6000000000004</v>
      </c>
      <c r="K1102" s="986">
        <v>117</v>
      </c>
      <c r="L1102" s="998">
        <v>10032917</v>
      </c>
      <c r="M1102" s="998">
        <v>0</v>
      </c>
      <c r="N1102" s="998">
        <v>0</v>
      </c>
      <c r="O1102" s="998">
        <v>10032917</v>
      </c>
      <c r="P1102" s="998">
        <v>0</v>
      </c>
      <c r="Q1102" s="998">
        <v>0</v>
      </c>
      <c r="R1102" s="998">
        <f t="shared" si="348"/>
        <v>4170.3038490315066</v>
      </c>
      <c r="S1102" s="988">
        <v>2018</v>
      </c>
      <c r="T1102" s="988" t="s">
        <v>1269</v>
      </c>
    </row>
    <row r="1103" spans="1:20" s="1013" customFormat="1" ht="41.25" customHeight="1">
      <c r="A1103" s="1249">
        <v>179</v>
      </c>
      <c r="B1103" s="1371" t="s">
        <v>2135</v>
      </c>
      <c r="C1103" s="1249">
        <v>1959</v>
      </c>
      <c r="D1103" s="1249"/>
      <c r="E1103" s="1249" t="s">
        <v>218</v>
      </c>
      <c r="F1103" s="1249">
        <v>4</v>
      </c>
      <c r="G1103" s="1249">
        <v>4</v>
      </c>
      <c r="H1103" s="998">
        <v>2729</v>
      </c>
      <c r="I1103" s="998">
        <v>2536.3000000000002</v>
      </c>
      <c r="J1103" s="998">
        <f>I1103-32.2</f>
        <v>2504.1000000000004</v>
      </c>
      <c r="K1103" s="986">
        <v>190</v>
      </c>
      <c r="L1103" s="998">
        <v>3275213</v>
      </c>
      <c r="M1103" s="998">
        <v>0</v>
      </c>
      <c r="N1103" s="998">
        <v>0</v>
      </c>
      <c r="O1103" s="998">
        <v>3275213</v>
      </c>
      <c r="P1103" s="998">
        <v>0</v>
      </c>
      <c r="Q1103" s="998">
        <v>0</v>
      </c>
      <c r="R1103" s="998">
        <f t="shared" si="348"/>
        <v>1291.3350155738674</v>
      </c>
      <c r="S1103" s="988">
        <v>2018</v>
      </c>
      <c r="T1103" s="988" t="s">
        <v>1269</v>
      </c>
    </row>
    <row r="1104" spans="1:20" s="1013" customFormat="1" ht="41.25" customHeight="1">
      <c r="A1104" s="1249">
        <v>180</v>
      </c>
      <c r="B1104" s="1371" t="s">
        <v>305</v>
      </c>
      <c r="C1104" s="1249">
        <v>1971</v>
      </c>
      <c r="D1104" s="1249"/>
      <c r="E1104" s="1249" t="s">
        <v>218</v>
      </c>
      <c r="F1104" s="1249">
        <v>5</v>
      </c>
      <c r="G1104" s="1249">
        <v>4</v>
      </c>
      <c r="H1104" s="998">
        <v>3601.8</v>
      </c>
      <c r="I1104" s="998">
        <v>3359.2</v>
      </c>
      <c r="J1104" s="998">
        <f>I1104-151.8-328.2</f>
        <v>2879.2</v>
      </c>
      <c r="K1104" s="986">
        <v>155</v>
      </c>
      <c r="L1104" s="998">
        <v>4914173</v>
      </c>
      <c r="M1104" s="998">
        <v>0</v>
      </c>
      <c r="N1104" s="998">
        <v>0</v>
      </c>
      <c r="O1104" s="998">
        <v>4914173</v>
      </c>
      <c r="P1104" s="998">
        <v>0</v>
      </c>
      <c r="Q1104" s="998">
        <v>0</v>
      </c>
      <c r="R1104" s="998">
        <f t="shared" si="348"/>
        <v>1462.8997975708503</v>
      </c>
      <c r="S1104" s="988">
        <v>2018</v>
      </c>
      <c r="T1104" s="988" t="s">
        <v>1269</v>
      </c>
    </row>
    <row r="1105" spans="1:20" s="1013" customFormat="1" ht="41.25" customHeight="1">
      <c r="A1105" s="1249">
        <v>181</v>
      </c>
      <c r="B1105" s="1371" t="s">
        <v>345</v>
      </c>
      <c r="C1105" s="1249">
        <v>1970</v>
      </c>
      <c r="D1105" s="1249"/>
      <c r="E1105" s="1249" t="s">
        <v>218</v>
      </c>
      <c r="F1105" s="1249">
        <v>5</v>
      </c>
      <c r="G1105" s="1249">
        <v>4</v>
      </c>
      <c r="H1105" s="998">
        <v>3672.3</v>
      </c>
      <c r="I1105" s="998">
        <v>3400.1</v>
      </c>
      <c r="J1105" s="998">
        <f>I1105-96.8-310.4</f>
        <v>2992.8999999999996</v>
      </c>
      <c r="K1105" s="986">
        <v>159</v>
      </c>
      <c r="L1105" s="998">
        <v>4694341</v>
      </c>
      <c r="M1105" s="998">
        <v>0</v>
      </c>
      <c r="N1105" s="998">
        <v>0</v>
      </c>
      <c r="O1105" s="998">
        <v>4694341</v>
      </c>
      <c r="P1105" s="998">
        <v>0</v>
      </c>
      <c r="Q1105" s="998">
        <v>0</v>
      </c>
      <c r="R1105" s="998">
        <f t="shared" si="348"/>
        <v>1380.6479221199377</v>
      </c>
      <c r="S1105" s="988">
        <v>2018</v>
      </c>
      <c r="T1105" s="988" t="s">
        <v>1269</v>
      </c>
    </row>
    <row r="1106" spans="1:20" s="1013" customFormat="1" ht="41.25" customHeight="1">
      <c r="A1106" s="1249">
        <v>182</v>
      </c>
      <c r="B1106" s="1371" t="s">
        <v>2136</v>
      </c>
      <c r="C1106" s="1249">
        <v>1957</v>
      </c>
      <c r="D1106" s="1249"/>
      <c r="E1106" s="1249" t="s">
        <v>218</v>
      </c>
      <c r="F1106" s="1249">
        <v>4</v>
      </c>
      <c r="G1106" s="1249">
        <v>3</v>
      </c>
      <c r="H1106" s="998">
        <v>3313.9</v>
      </c>
      <c r="I1106" s="998">
        <v>2501.3000000000002</v>
      </c>
      <c r="J1106" s="998">
        <f>I1106-58.9</f>
        <v>2442.4</v>
      </c>
      <c r="K1106" s="986">
        <v>103</v>
      </c>
      <c r="L1106" s="998">
        <v>2576107</v>
      </c>
      <c r="M1106" s="998">
        <v>0</v>
      </c>
      <c r="N1106" s="998">
        <v>0</v>
      </c>
      <c r="O1106" s="998">
        <v>2576107</v>
      </c>
      <c r="P1106" s="998">
        <v>0</v>
      </c>
      <c r="Q1106" s="998">
        <v>0</v>
      </c>
      <c r="R1106" s="998">
        <f t="shared" si="348"/>
        <v>1029.9072482309198</v>
      </c>
      <c r="S1106" s="988">
        <v>2018</v>
      </c>
      <c r="T1106" s="988" t="s">
        <v>1269</v>
      </c>
    </row>
    <row r="1107" spans="1:20" s="1013" customFormat="1" ht="41.25" customHeight="1">
      <c r="A1107" s="1249">
        <v>183</v>
      </c>
      <c r="B1107" s="1371" t="s">
        <v>2137</v>
      </c>
      <c r="C1107" s="1249">
        <v>1960</v>
      </c>
      <c r="D1107" s="1249"/>
      <c r="E1107" s="1249" t="s">
        <v>218</v>
      </c>
      <c r="F1107" s="1249">
        <v>2</v>
      </c>
      <c r="G1107" s="1249">
        <v>1</v>
      </c>
      <c r="H1107" s="998">
        <v>306.10000000000002</v>
      </c>
      <c r="I1107" s="998">
        <v>284.2</v>
      </c>
      <c r="J1107" s="998">
        <f>I1107-38.2</f>
        <v>246</v>
      </c>
      <c r="K1107" s="986">
        <v>18</v>
      </c>
      <c r="L1107" s="998">
        <v>807803</v>
      </c>
      <c r="M1107" s="998">
        <v>0</v>
      </c>
      <c r="N1107" s="998">
        <v>0</v>
      </c>
      <c r="O1107" s="998">
        <v>807803</v>
      </c>
      <c r="P1107" s="998">
        <v>0</v>
      </c>
      <c r="Q1107" s="998">
        <v>0</v>
      </c>
      <c r="R1107" s="998">
        <f t="shared" si="348"/>
        <v>2842.3750879662211</v>
      </c>
      <c r="S1107" s="988">
        <v>2018</v>
      </c>
      <c r="T1107" s="988" t="s">
        <v>1269</v>
      </c>
    </row>
    <row r="1108" spans="1:20" s="1013" customFormat="1" ht="41.25" customHeight="1">
      <c r="A1108" s="1249">
        <v>184</v>
      </c>
      <c r="B1108" s="1171" t="s">
        <v>2138</v>
      </c>
      <c r="C1108" s="1249">
        <v>1925</v>
      </c>
      <c r="D1108" s="1249"/>
      <c r="E1108" s="1249" t="s">
        <v>221</v>
      </c>
      <c r="F1108" s="1249">
        <v>2</v>
      </c>
      <c r="G1108" s="1249">
        <v>2</v>
      </c>
      <c r="H1108" s="998">
        <v>449.2</v>
      </c>
      <c r="I1108" s="998">
        <v>404.2</v>
      </c>
      <c r="J1108" s="998">
        <f>I1108-50.2</f>
        <v>354</v>
      </c>
      <c r="K1108" s="986">
        <v>24</v>
      </c>
      <c r="L1108" s="998">
        <v>2610981</v>
      </c>
      <c r="M1108" s="998">
        <v>0</v>
      </c>
      <c r="N1108" s="998">
        <v>0</v>
      </c>
      <c r="O1108" s="998">
        <v>2610981</v>
      </c>
      <c r="P1108" s="998">
        <v>0</v>
      </c>
      <c r="Q1108" s="998">
        <v>0</v>
      </c>
      <c r="R1108" s="998">
        <f t="shared" si="348"/>
        <v>6459.6264225630875</v>
      </c>
      <c r="S1108" s="988">
        <v>2018</v>
      </c>
      <c r="T1108" s="988" t="s">
        <v>1269</v>
      </c>
    </row>
    <row r="1109" spans="1:20" s="1013" customFormat="1" ht="41.25" customHeight="1">
      <c r="A1109" s="1249">
        <v>185</v>
      </c>
      <c r="B1109" s="1371" t="s">
        <v>2139</v>
      </c>
      <c r="C1109" s="1249">
        <v>1925</v>
      </c>
      <c r="D1109" s="1249"/>
      <c r="E1109" s="1249" t="s">
        <v>221</v>
      </c>
      <c r="F1109" s="1249">
        <v>2</v>
      </c>
      <c r="G1109" s="1249">
        <v>2</v>
      </c>
      <c r="H1109" s="998">
        <v>441.1</v>
      </c>
      <c r="I1109" s="998">
        <v>395.6</v>
      </c>
      <c r="J1109" s="998">
        <f>I1109-246.9</f>
        <v>148.70000000000002</v>
      </c>
      <c r="K1109" s="986">
        <v>28</v>
      </c>
      <c r="L1109" s="998">
        <v>1010192</v>
      </c>
      <c r="M1109" s="998">
        <v>0</v>
      </c>
      <c r="N1109" s="998">
        <v>0</v>
      </c>
      <c r="O1109" s="998">
        <v>1010192</v>
      </c>
      <c r="P1109" s="998">
        <v>0</v>
      </c>
      <c r="Q1109" s="998">
        <v>0</v>
      </c>
      <c r="R1109" s="998">
        <f t="shared" si="348"/>
        <v>2553.5692618806875</v>
      </c>
      <c r="S1109" s="988">
        <v>2018</v>
      </c>
      <c r="T1109" s="988" t="s">
        <v>1269</v>
      </c>
    </row>
    <row r="1110" spans="1:20" s="1013" customFormat="1" ht="41.25" customHeight="1">
      <c r="A1110" s="1249">
        <v>186</v>
      </c>
      <c r="B1110" s="1171" t="s">
        <v>2140</v>
      </c>
      <c r="C1110" s="1249">
        <v>1958</v>
      </c>
      <c r="D1110" s="1249"/>
      <c r="E1110" s="1249" t="s">
        <v>218</v>
      </c>
      <c r="F1110" s="1249">
        <v>2</v>
      </c>
      <c r="G1110" s="1249">
        <v>1</v>
      </c>
      <c r="H1110" s="998">
        <v>452.7</v>
      </c>
      <c r="I1110" s="998">
        <v>413.2</v>
      </c>
      <c r="J1110" s="998">
        <f>I1110</f>
        <v>413.2</v>
      </c>
      <c r="K1110" s="986">
        <v>23</v>
      </c>
      <c r="L1110" s="998">
        <v>211148</v>
      </c>
      <c r="M1110" s="998">
        <v>0</v>
      </c>
      <c r="N1110" s="998">
        <v>0</v>
      </c>
      <c r="O1110" s="998">
        <v>211148</v>
      </c>
      <c r="P1110" s="998">
        <v>0</v>
      </c>
      <c r="Q1110" s="998">
        <v>0</v>
      </c>
      <c r="R1110" s="998">
        <f t="shared" si="348"/>
        <v>511.00677637947729</v>
      </c>
      <c r="S1110" s="988">
        <v>2018</v>
      </c>
      <c r="T1110" s="988" t="s">
        <v>1269</v>
      </c>
    </row>
    <row r="1111" spans="1:20" s="1013" customFormat="1" ht="41.25" customHeight="1">
      <c r="A1111" s="1249">
        <v>187</v>
      </c>
      <c r="B1111" s="1371" t="s">
        <v>310</v>
      </c>
      <c r="C1111" s="1249">
        <v>1983</v>
      </c>
      <c r="D1111" s="1249"/>
      <c r="E1111" s="1249" t="s">
        <v>219</v>
      </c>
      <c r="F1111" s="1249">
        <v>9</v>
      </c>
      <c r="G1111" s="1249">
        <v>8</v>
      </c>
      <c r="H1111" s="998">
        <v>17938.599999999999</v>
      </c>
      <c r="I1111" s="998">
        <v>16141.5</v>
      </c>
      <c r="J1111" s="998">
        <f>I1111-608.2</f>
        <v>15533.3</v>
      </c>
      <c r="K1111" s="986">
        <v>632</v>
      </c>
      <c r="L1111" s="998">
        <v>5492477</v>
      </c>
      <c r="M1111" s="998">
        <v>0</v>
      </c>
      <c r="N1111" s="998">
        <v>0</v>
      </c>
      <c r="O1111" s="998">
        <v>5492477</v>
      </c>
      <c r="P1111" s="998">
        <v>0</v>
      </c>
      <c r="Q1111" s="998">
        <v>0</v>
      </c>
      <c r="R1111" s="998">
        <f t="shared" si="348"/>
        <v>340.27054486881639</v>
      </c>
      <c r="S1111" s="988">
        <v>2018</v>
      </c>
      <c r="T1111" s="988" t="s">
        <v>1269</v>
      </c>
    </row>
    <row r="1112" spans="1:20" s="1013" customFormat="1" ht="41.25" customHeight="1">
      <c r="A1112" s="1249">
        <v>188</v>
      </c>
      <c r="B1112" s="1371" t="s">
        <v>2141</v>
      </c>
      <c r="C1112" s="1249">
        <v>1957</v>
      </c>
      <c r="D1112" s="1249"/>
      <c r="E1112" s="1249" t="s">
        <v>218</v>
      </c>
      <c r="F1112" s="1249">
        <v>3</v>
      </c>
      <c r="G1112" s="1249">
        <v>3</v>
      </c>
      <c r="H1112" s="998">
        <v>2389</v>
      </c>
      <c r="I1112" s="998">
        <v>2345.1999999999998</v>
      </c>
      <c r="J1112" s="998">
        <f>I1112</f>
        <v>2345.1999999999998</v>
      </c>
      <c r="K1112" s="986">
        <v>49</v>
      </c>
      <c r="L1112" s="998">
        <v>1322508</v>
      </c>
      <c r="M1112" s="998">
        <v>0</v>
      </c>
      <c r="N1112" s="998">
        <v>0</v>
      </c>
      <c r="O1112" s="998">
        <v>1322508</v>
      </c>
      <c r="P1112" s="998">
        <v>0</v>
      </c>
      <c r="Q1112" s="998">
        <v>0</v>
      </c>
      <c r="R1112" s="998">
        <f t="shared" si="348"/>
        <v>563.9212007504691</v>
      </c>
      <c r="S1112" s="988">
        <v>2018</v>
      </c>
      <c r="T1112" s="988" t="s">
        <v>1269</v>
      </c>
    </row>
    <row r="1113" spans="1:20" s="1013" customFormat="1" ht="41.25" customHeight="1">
      <c r="A1113" s="1249">
        <v>189</v>
      </c>
      <c r="B1113" s="1371" t="s">
        <v>2142</v>
      </c>
      <c r="C1113" s="1249">
        <v>1987</v>
      </c>
      <c r="D1113" s="1249"/>
      <c r="E1113" s="1249" t="s">
        <v>218</v>
      </c>
      <c r="F1113" s="1249">
        <v>9</v>
      </c>
      <c r="G1113" s="1249">
        <v>1</v>
      </c>
      <c r="H1113" s="998">
        <v>3480.6</v>
      </c>
      <c r="I1113" s="998">
        <v>3218.6</v>
      </c>
      <c r="J1113" s="998">
        <f>I1113-26.6</f>
        <v>3192</v>
      </c>
      <c r="K1113" s="986">
        <v>136</v>
      </c>
      <c r="L1113" s="998">
        <v>1440092</v>
      </c>
      <c r="M1113" s="998">
        <v>0</v>
      </c>
      <c r="N1113" s="998">
        <v>0</v>
      </c>
      <c r="O1113" s="998">
        <v>1440092</v>
      </c>
      <c r="P1113" s="998">
        <v>0</v>
      </c>
      <c r="Q1113" s="998">
        <v>0</v>
      </c>
      <c r="R1113" s="998">
        <f t="shared" si="348"/>
        <v>447.42807431802646</v>
      </c>
      <c r="S1113" s="988">
        <v>2018</v>
      </c>
      <c r="T1113" s="988" t="s">
        <v>1269</v>
      </c>
    </row>
    <row r="1114" spans="1:20" s="1013" customFormat="1" ht="41.25" customHeight="1">
      <c r="A1114" s="1249">
        <v>190</v>
      </c>
      <c r="B1114" s="1371" t="s">
        <v>2143</v>
      </c>
      <c r="C1114" s="1249">
        <v>1990</v>
      </c>
      <c r="D1114" s="1249"/>
      <c r="E1114" s="1249" t="s">
        <v>219</v>
      </c>
      <c r="F1114" s="1249">
        <v>9</v>
      </c>
      <c r="G1114" s="1249">
        <v>1</v>
      </c>
      <c r="H1114" s="998">
        <v>4153.1000000000004</v>
      </c>
      <c r="I1114" s="998">
        <v>3872.6</v>
      </c>
      <c r="J1114" s="998">
        <f>I1114-37.1-298.8</f>
        <v>3536.7</v>
      </c>
      <c r="K1114" s="986">
        <v>168</v>
      </c>
      <c r="L1114" s="998">
        <v>2489577</v>
      </c>
      <c r="M1114" s="998">
        <v>0</v>
      </c>
      <c r="N1114" s="998">
        <v>0</v>
      </c>
      <c r="O1114" s="998">
        <v>2489577</v>
      </c>
      <c r="P1114" s="998">
        <v>0</v>
      </c>
      <c r="Q1114" s="998">
        <v>0</v>
      </c>
      <c r="R1114" s="998">
        <f t="shared" si="348"/>
        <v>642.86964829830094</v>
      </c>
      <c r="S1114" s="988">
        <v>2018</v>
      </c>
      <c r="T1114" s="988" t="s">
        <v>1269</v>
      </c>
    </row>
    <row r="1115" spans="1:20" s="1013" customFormat="1" ht="41.25" customHeight="1">
      <c r="A1115" s="1249">
        <v>191</v>
      </c>
      <c r="B1115" s="1371" t="s">
        <v>1906</v>
      </c>
      <c r="C1115" s="1249">
        <v>1974</v>
      </c>
      <c r="D1115" s="1249"/>
      <c r="E1115" s="1249" t="s">
        <v>219</v>
      </c>
      <c r="F1115" s="1249">
        <v>9</v>
      </c>
      <c r="G1115" s="1249">
        <v>6</v>
      </c>
      <c r="H1115" s="998">
        <v>13115.8</v>
      </c>
      <c r="I1115" s="998">
        <v>11295.5</v>
      </c>
      <c r="J1115" s="998">
        <f>I1115-399.3</f>
        <v>10896.2</v>
      </c>
      <c r="K1115" s="986">
        <v>557</v>
      </c>
      <c r="L1115" s="998">
        <v>4490136</v>
      </c>
      <c r="M1115" s="998">
        <v>0</v>
      </c>
      <c r="N1115" s="998">
        <v>0</v>
      </c>
      <c r="O1115" s="998">
        <v>4490136</v>
      </c>
      <c r="P1115" s="998">
        <v>0</v>
      </c>
      <c r="Q1115" s="998">
        <v>0</v>
      </c>
      <c r="R1115" s="998">
        <f t="shared" si="348"/>
        <v>397.5154707626931</v>
      </c>
      <c r="S1115" s="988">
        <v>2018</v>
      </c>
      <c r="T1115" s="988" t="s">
        <v>1269</v>
      </c>
    </row>
    <row r="1116" spans="1:20" s="1013" customFormat="1" ht="41.25" customHeight="1">
      <c r="A1116" s="1249">
        <v>192</v>
      </c>
      <c r="B1116" s="1371" t="s">
        <v>2144</v>
      </c>
      <c r="C1116" s="1249">
        <v>1975</v>
      </c>
      <c r="D1116" s="1249"/>
      <c r="E1116" s="1249" t="s">
        <v>219</v>
      </c>
      <c r="F1116" s="1249">
        <v>9</v>
      </c>
      <c r="G1116" s="1249">
        <v>3</v>
      </c>
      <c r="H1116" s="998">
        <v>6504.8</v>
      </c>
      <c r="I1116" s="998">
        <v>5785.6</v>
      </c>
      <c r="J1116" s="998">
        <f>I1116-145.9</f>
        <v>5639.7000000000007</v>
      </c>
      <c r="K1116" s="986">
        <v>927</v>
      </c>
      <c r="L1116" s="998">
        <v>7327447</v>
      </c>
      <c r="M1116" s="998">
        <v>0</v>
      </c>
      <c r="N1116" s="998">
        <v>0</v>
      </c>
      <c r="O1116" s="998">
        <v>7327447</v>
      </c>
      <c r="P1116" s="998">
        <v>0</v>
      </c>
      <c r="Q1116" s="998">
        <v>0</v>
      </c>
      <c r="R1116" s="998">
        <f t="shared" si="348"/>
        <v>1266.4973382190265</v>
      </c>
      <c r="S1116" s="988">
        <v>2018</v>
      </c>
      <c r="T1116" s="988" t="s">
        <v>1269</v>
      </c>
    </row>
    <row r="1117" spans="1:20" s="999" customFormat="1" ht="41.25" customHeight="1">
      <c r="A1117" s="1249">
        <v>193</v>
      </c>
      <c r="B1117" s="1371" t="s">
        <v>1706</v>
      </c>
      <c r="C1117" s="1249">
        <v>1951</v>
      </c>
      <c r="D1117" s="1249"/>
      <c r="E1117" s="1249" t="s">
        <v>220</v>
      </c>
      <c r="F1117" s="1249">
        <v>2</v>
      </c>
      <c r="G1117" s="1249">
        <v>1</v>
      </c>
      <c r="H1117" s="998">
        <v>559.9</v>
      </c>
      <c r="I1117" s="998">
        <v>515.29999999999995</v>
      </c>
      <c r="J1117" s="998">
        <f>I1117-0</f>
        <v>515.29999999999995</v>
      </c>
      <c r="K1117" s="986">
        <v>24</v>
      </c>
      <c r="L1117" s="998">
        <v>1466735</v>
      </c>
      <c r="M1117" s="998">
        <v>0</v>
      </c>
      <c r="N1117" s="998">
        <v>0</v>
      </c>
      <c r="O1117" s="998">
        <v>1466735</v>
      </c>
      <c r="P1117" s="998">
        <v>0</v>
      </c>
      <c r="Q1117" s="998">
        <v>0</v>
      </c>
      <c r="R1117" s="998">
        <f t="shared" si="348"/>
        <v>2846.371045992626</v>
      </c>
      <c r="S1117" s="988">
        <v>2018</v>
      </c>
      <c r="T1117" s="988" t="s">
        <v>1269</v>
      </c>
    </row>
    <row r="1118" spans="1:20" s="1013" customFormat="1" ht="41.25" customHeight="1">
      <c r="A1118" s="1249">
        <v>194</v>
      </c>
      <c r="B1118" s="1371" t="s">
        <v>292</v>
      </c>
      <c r="C1118" s="1249">
        <v>1951</v>
      </c>
      <c r="D1118" s="1249"/>
      <c r="E1118" s="1249" t="s">
        <v>220</v>
      </c>
      <c r="F1118" s="1249">
        <v>2</v>
      </c>
      <c r="G1118" s="1249">
        <v>3</v>
      </c>
      <c r="H1118" s="998">
        <v>1448</v>
      </c>
      <c r="I1118" s="998">
        <v>1395.9</v>
      </c>
      <c r="J1118" s="998">
        <f>I1118-184.8</f>
        <v>1211.1000000000001</v>
      </c>
      <c r="K1118" s="986">
        <v>78</v>
      </c>
      <c r="L1118" s="998">
        <v>1794824</v>
      </c>
      <c r="M1118" s="998">
        <v>0</v>
      </c>
      <c r="N1118" s="998">
        <v>0</v>
      </c>
      <c r="O1118" s="998">
        <v>1794824</v>
      </c>
      <c r="P1118" s="998">
        <v>0</v>
      </c>
      <c r="Q1118" s="998">
        <v>0</v>
      </c>
      <c r="R1118" s="998">
        <f t="shared" si="348"/>
        <v>1285.7826491869043</v>
      </c>
      <c r="S1118" s="988">
        <v>2018</v>
      </c>
      <c r="T1118" s="988" t="s">
        <v>1269</v>
      </c>
    </row>
    <row r="1119" spans="1:20" s="1013" customFormat="1" ht="41.25" customHeight="1">
      <c r="A1119" s="1249">
        <v>195</v>
      </c>
      <c r="B1119" s="1171" t="s">
        <v>2145</v>
      </c>
      <c r="C1119" s="1249">
        <v>1954</v>
      </c>
      <c r="D1119" s="1249"/>
      <c r="E1119" s="1249" t="s">
        <v>218</v>
      </c>
      <c r="F1119" s="1249">
        <v>2</v>
      </c>
      <c r="G1119" s="1249">
        <v>1</v>
      </c>
      <c r="H1119" s="998">
        <v>288</v>
      </c>
      <c r="I1119" s="998">
        <v>265.60000000000002</v>
      </c>
      <c r="J1119" s="998">
        <f>I1119-66.6</f>
        <v>199.00000000000003</v>
      </c>
      <c r="K1119" s="986">
        <v>22</v>
      </c>
      <c r="L1119" s="998">
        <v>2254777</v>
      </c>
      <c r="M1119" s="998">
        <v>0</v>
      </c>
      <c r="N1119" s="998">
        <v>0</v>
      </c>
      <c r="O1119" s="998">
        <v>2254777</v>
      </c>
      <c r="P1119" s="998">
        <v>0</v>
      </c>
      <c r="Q1119" s="998">
        <v>0</v>
      </c>
      <c r="R1119" s="998">
        <f t="shared" si="348"/>
        <v>8489.3712349397574</v>
      </c>
      <c r="S1119" s="988">
        <v>2018</v>
      </c>
      <c r="T1119" s="988" t="s">
        <v>1269</v>
      </c>
    </row>
    <row r="1120" spans="1:20" s="1013" customFormat="1" ht="41.25" customHeight="1">
      <c r="A1120" s="1249">
        <v>196</v>
      </c>
      <c r="B1120" s="1371" t="s">
        <v>236</v>
      </c>
      <c r="C1120" s="1249">
        <v>1959</v>
      </c>
      <c r="D1120" s="1249"/>
      <c r="E1120" s="1249" t="s">
        <v>218</v>
      </c>
      <c r="F1120" s="1249">
        <v>2</v>
      </c>
      <c r="G1120" s="1249">
        <v>2</v>
      </c>
      <c r="H1120" s="998">
        <v>808.3</v>
      </c>
      <c r="I1120" s="998">
        <v>741.9</v>
      </c>
      <c r="J1120" s="998">
        <f>I1120-74.1</f>
        <v>667.8</v>
      </c>
      <c r="K1120" s="986">
        <v>30</v>
      </c>
      <c r="L1120" s="998">
        <v>1111295</v>
      </c>
      <c r="M1120" s="998">
        <v>0</v>
      </c>
      <c r="N1120" s="998">
        <v>0</v>
      </c>
      <c r="O1120" s="998">
        <v>1111295</v>
      </c>
      <c r="P1120" s="998">
        <v>0</v>
      </c>
      <c r="Q1120" s="998">
        <v>0</v>
      </c>
      <c r="R1120" s="998">
        <f t="shared" si="348"/>
        <v>1497.9040301927485</v>
      </c>
      <c r="S1120" s="988">
        <v>2018</v>
      </c>
      <c r="T1120" s="988" t="s">
        <v>1269</v>
      </c>
    </row>
    <row r="1121" spans="1:20" s="1013" customFormat="1" ht="41.25" customHeight="1">
      <c r="A1121" s="1249">
        <v>197</v>
      </c>
      <c r="B1121" s="1371" t="s">
        <v>2191</v>
      </c>
      <c r="C1121" s="1249">
        <v>1961</v>
      </c>
      <c r="D1121" s="1249"/>
      <c r="E1121" s="1249" t="s">
        <v>218</v>
      </c>
      <c r="F1121" s="1249">
        <v>4</v>
      </c>
      <c r="G1121" s="1249">
        <v>4</v>
      </c>
      <c r="H1121" s="998">
        <v>2718.7</v>
      </c>
      <c r="I1121" s="998">
        <v>2528.1999999999998</v>
      </c>
      <c r="J1121" s="998">
        <f>I1121-72.4</f>
        <v>2455.7999999999997</v>
      </c>
      <c r="K1121" s="986">
        <v>102</v>
      </c>
      <c r="L1121" s="998">
        <v>5955329</v>
      </c>
      <c r="M1121" s="998">
        <v>0</v>
      </c>
      <c r="N1121" s="998">
        <v>0</v>
      </c>
      <c r="O1121" s="998">
        <v>5955329</v>
      </c>
      <c r="P1121" s="998">
        <v>0</v>
      </c>
      <c r="Q1121" s="998">
        <v>0</v>
      </c>
      <c r="R1121" s="998">
        <f t="shared" si="348"/>
        <v>2355.5608733486279</v>
      </c>
      <c r="S1121" s="988">
        <v>2018</v>
      </c>
      <c r="T1121" s="988" t="s">
        <v>1269</v>
      </c>
    </row>
    <row r="1122" spans="1:20" s="1013" customFormat="1" ht="41.25" customHeight="1">
      <c r="A1122" s="1249">
        <v>198</v>
      </c>
      <c r="B1122" s="1371" t="s">
        <v>2146</v>
      </c>
      <c r="C1122" s="1249">
        <v>1975</v>
      </c>
      <c r="D1122" s="1249"/>
      <c r="E1122" s="1249" t="s">
        <v>218</v>
      </c>
      <c r="F1122" s="1249">
        <v>5</v>
      </c>
      <c r="G1122" s="1249">
        <v>4</v>
      </c>
      <c r="H1122" s="998">
        <v>3328.1</v>
      </c>
      <c r="I1122" s="998">
        <v>3084.2</v>
      </c>
      <c r="J1122" s="998">
        <f>I1122-160-306.3</f>
        <v>2617.8999999999996</v>
      </c>
      <c r="K1122" s="986">
        <v>167</v>
      </c>
      <c r="L1122" s="998">
        <v>4380171</v>
      </c>
      <c r="M1122" s="998">
        <v>0</v>
      </c>
      <c r="N1122" s="998">
        <v>0</v>
      </c>
      <c r="O1122" s="998">
        <v>4380171</v>
      </c>
      <c r="P1122" s="998">
        <v>0</v>
      </c>
      <c r="Q1122" s="998">
        <v>0</v>
      </c>
      <c r="R1122" s="998">
        <f t="shared" si="348"/>
        <v>1420.1968095454251</v>
      </c>
      <c r="S1122" s="988">
        <v>2018</v>
      </c>
      <c r="T1122" s="988" t="s">
        <v>1269</v>
      </c>
    </row>
    <row r="1123" spans="1:20" s="1013" customFormat="1" ht="41.25" customHeight="1">
      <c r="A1123" s="1249">
        <v>199</v>
      </c>
      <c r="B1123" s="1371" t="s">
        <v>2147</v>
      </c>
      <c r="C1123" s="1249">
        <v>1983</v>
      </c>
      <c r="D1123" s="1249"/>
      <c r="E1123" s="1249" t="s">
        <v>218</v>
      </c>
      <c r="F1123" s="1249">
        <v>9</v>
      </c>
      <c r="G1123" s="1249">
        <v>1</v>
      </c>
      <c r="H1123" s="998">
        <v>3455.6</v>
      </c>
      <c r="I1123" s="998">
        <v>3236.2</v>
      </c>
      <c r="J1123" s="998">
        <f>I1123-93.5</f>
        <v>3142.7</v>
      </c>
      <c r="K1123" s="986">
        <v>125</v>
      </c>
      <c r="L1123" s="998">
        <v>6649805</v>
      </c>
      <c r="M1123" s="998">
        <v>0</v>
      </c>
      <c r="N1123" s="998">
        <v>0</v>
      </c>
      <c r="O1123" s="998">
        <v>6649805</v>
      </c>
      <c r="P1123" s="998">
        <v>0</v>
      </c>
      <c r="Q1123" s="998">
        <v>0</v>
      </c>
      <c r="R1123" s="998">
        <f t="shared" si="348"/>
        <v>2054.8189234287129</v>
      </c>
      <c r="S1123" s="988">
        <v>2018</v>
      </c>
      <c r="T1123" s="988" t="s">
        <v>1269</v>
      </c>
    </row>
    <row r="1124" spans="1:20" s="1013" customFormat="1" ht="41.25" customHeight="1">
      <c r="A1124" s="1249">
        <v>200</v>
      </c>
      <c r="B1124" s="1371" t="s">
        <v>258</v>
      </c>
      <c r="C1124" s="1249">
        <v>1950</v>
      </c>
      <c r="D1124" s="1249"/>
      <c r="E1124" s="1249" t="s">
        <v>220</v>
      </c>
      <c r="F1124" s="1249">
        <v>2</v>
      </c>
      <c r="G1124" s="1249">
        <v>3</v>
      </c>
      <c r="H1124" s="998">
        <v>1395.9</v>
      </c>
      <c r="I1124" s="998">
        <v>1264.5999999999999</v>
      </c>
      <c r="J1124" s="998">
        <f>I1124-213-138.3</f>
        <v>913.3</v>
      </c>
      <c r="K1124" s="986">
        <v>49</v>
      </c>
      <c r="L1124" s="998">
        <v>1864763</v>
      </c>
      <c r="M1124" s="998">
        <v>0</v>
      </c>
      <c r="N1124" s="998">
        <v>0</v>
      </c>
      <c r="O1124" s="998">
        <v>1864763</v>
      </c>
      <c r="P1124" s="998">
        <v>0</v>
      </c>
      <c r="Q1124" s="998">
        <v>0</v>
      </c>
      <c r="R1124" s="998">
        <f t="shared" si="348"/>
        <v>1474.5872212557331</v>
      </c>
      <c r="S1124" s="988">
        <v>2018</v>
      </c>
      <c r="T1124" s="988" t="s">
        <v>1269</v>
      </c>
    </row>
    <row r="1125" spans="1:20" s="1013" customFormat="1" ht="41.25" customHeight="1">
      <c r="A1125" s="1249">
        <v>201</v>
      </c>
      <c r="B1125" s="1371" t="s">
        <v>250</v>
      </c>
      <c r="C1125" s="1249">
        <v>1948</v>
      </c>
      <c r="D1125" s="1249"/>
      <c r="E1125" s="1249" t="s">
        <v>218</v>
      </c>
      <c r="F1125" s="1249">
        <v>2</v>
      </c>
      <c r="G1125" s="1249">
        <v>3</v>
      </c>
      <c r="H1125" s="998">
        <v>1329.8</v>
      </c>
      <c r="I1125" s="998">
        <v>1212.2</v>
      </c>
      <c r="J1125" s="998">
        <f>I1125</f>
        <v>1212.2</v>
      </c>
      <c r="K1125" s="986">
        <v>55</v>
      </c>
      <c r="L1125" s="998">
        <v>4196302</v>
      </c>
      <c r="M1125" s="998">
        <v>0</v>
      </c>
      <c r="N1125" s="998">
        <v>0</v>
      </c>
      <c r="O1125" s="998">
        <v>4196302</v>
      </c>
      <c r="P1125" s="998">
        <v>0</v>
      </c>
      <c r="Q1125" s="998">
        <v>0</v>
      </c>
      <c r="R1125" s="998">
        <f t="shared" si="348"/>
        <v>3461.7241379310344</v>
      </c>
      <c r="S1125" s="988">
        <v>2018</v>
      </c>
      <c r="T1125" s="988" t="s">
        <v>1269</v>
      </c>
    </row>
    <row r="1126" spans="1:20" s="1013" customFormat="1" ht="41.25" customHeight="1">
      <c r="A1126" s="1249">
        <v>202</v>
      </c>
      <c r="B1126" s="1371" t="s">
        <v>2148</v>
      </c>
      <c r="C1126" s="1249">
        <v>1981</v>
      </c>
      <c r="D1126" s="1249"/>
      <c r="E1126" s="1249" t="s">
        <v>218</v>
      </c>
      <c r="F1126" s="1249">
        <v>5</v>
      </c>
      <c r="G1126" s="1249">
        <v>5</v>
      </c>
      <c r="H1126" s="998">
        <v>4041.1</v>
      </c>
      <c r="I1126" s="998">
        <v>3451.5</v>
      </c>
      <c r="J1126" s="998">
        <f>I1126-356.8</f>
        <v>3094.7</v>
      </c>
      <c r="K1126" s="986">
        <v>162</v>
      </c>
      <c r="L1126" s="998">
        <v>5919970</v>
      </c>
      <c r="M1126" s="998">
        <v>0</v>
      </c>
      <c r="N1126" s="998">
        <v>0</v>
      </c>
      <c r="O1126" s="998">
        <v>5919970</v>
      </c>
      <c r="P1126" s="998">
        <v>0</v>
      </c>
      <c r="Q1126" s="998">
        <v>0</v>
      </c>
      <c r="R1126" s="998">
        <f t="shared" si="348"/>
        <v>1715.1875995943792</v>
      </c>
      <c r="S1126" s="988">
        <v>2018</v>
      </c>
      <c r="T1126" s="988" t="s">
        <v>1269</v>
      </c>
    </row>
    <row r="1127" spans="1:20" s="1013" customFormat="1" ht="41.25" customHeight="1">
      <c r="A1127" s="1249">
        <v>203</v>
      </c>
      <c r="B1127" s="1371" t="s">
        <v>2192</v>
      </c>
      <c r="C1127" s="1249">
        <v>1989</v>
      </c>
      <c r="D1127" s="1249"/>
      <c r="E1127" s="1249" t="s">
        <v>218</v>
      </c>
      <c r="F1127" s="1249">
        <v>13</v>
      </c>
      <c r="G1127" s="1249">
        <v>1</v>
      </c>
      <c r="H1127" s="998">
        <v>3937.2</v>
      </c>
      <c r="I1127" s="998">
        <v>3855.9</v>
      </c>
      <c r="J1127" s="998">
        <f>I1127-265.4</f>
        <v>3590.5</v>
      </c>
      <c r="K1127" s="986">
        <v>155</v>
      </c>
      <c r="L1127" s="998">
        <v>3939943</v>
      </c>
      <c r="M1127" s="998">
        <v>0</v>
      </c>
      <c r="N1127" s="998">
        <v>0</v>
      </c>
      <c r="O1127" s="998">
        <v>3939943</v>
      </c>
      <c r="P1127" s="998">
        <v>0</v>
      </c>
      <c r="Q1127" s="998">
        <v>0</v>
      </c>
      <c r="R1127" s="998">
        <f t="shared" si="348"/>
        <v>1021.7959490650691</v>
      </c>
      <c r="S1127" s="988">
        <v>2018</v>
      </c>
      <c r="T1127" s="988" t="s">
        <v>1269</v>
      </c>
    </row>
    <row r="1128" spans="1:20" s="1013" customFormat="1" ht="41.25" customHeight="1">
      <c r="A1128" s="1249">
        <v>204</v>
      </c>
      <c r="B1128" s="1371" t="s">
        <v>2149</v>
      </c>
      <c r="C1128" s="1249">
        <v>1986</v>
      </c>
      <c r="D1128" s="1249"/>
      <c r="E1128" s="1249" t="s">
        <v>219</v>
      </c>
      <c r="F1128" s="1249">
        <v>9</v>
      </c>
      <c r="G1128" s="1249">
        <v>5</v>
      </c>
      <c r="H1128" s="998">
        <v>12062.1</v>
      </c>
      <c r="I1128" s="998">
        <v>9715.2000000000007</v>
      </c>
      <c r="J1128" s="998">
        <f>I1128-569.1-14.7</f>
        <v>9131.4</v>
      </c>
      <c r="K1128" s="986">
        <v>468</v>
      </c>
      <c r="L1128" s="998">
        <v>4014859</v>
      </c>
      <c r="M1128" s="998">
        <v>0</v>
      </c>
      <c r="N1128" s="998">
        <v>0</v>
      </c>
      <c r="O1128" s="998">
        <v>4014859</v>
      </c>
      <c r="P1128" s="998">
        <v>0</v>
      </c>
      <c r="Q1128" s="998">
        <v>0</v>
      </c>
      <c r="R1128" s="998">
        <f t="shared" si="348"/>
        <v>413.25541419631088</v>
      </c>
      <c r="S1128" s="988">
        <v>2018</v>
      </c>
      <c r="T1128" s="988" t="s">
        <v>1269</v>
      </c>
    </row>
    <row r="1129" spans="1:20" s="1013" customFormat="1" ht="41.25" customHeight="1">
      <c r="A1129" s="1249">
        <v>205</v>
      </c>
      <c r="B1129" s="1371" t="s">
        <v>2193</v>
      </c>
      <c r="C1129" s="1249">
        <v>1988</v>
      </c>
      <c r="D1129" s="1249"/>
      <c r="E1129" s="1249" t="s">
        <v>219</v>
      </c>
      <c r="F1129" s="1249">
        <v>12</v>
      </c>
      <c r="G1129" s="1249">
        <v>1</v>
      </c>
      <c r="H1129" s="998">
        <v>4446.5</v>
      </c>
      <c r="I1129" s="998">
        <v>3628.8</v>
      </c>
      <c r="J1129" s="998">
        <f>I1129-35.6-56.4</f>
        <v>3536.8</v>
      </c>
      <c r="K1129" s="986">
        <v>160</v>
      </c>
      <c r="L1129" s="998">
        <v>1180131</v>
      </c>
      <c r="M1129" s="998">
        <v>0</v>
      </c>
      <c r="N1129" s="998">
        <v>0</v>
      </c>
      <c r="O1129" s="998">
        <v>1180131</v>
      </c>
      <c r="P1129" s="998">
        <v>0</v>
      </c>
      <c r="Q1129" s="998">
        <v>0</v>
      </c>
      <c r="R1129" s="998">
        <f t="shared" si="348"/>
        <v>325.21246693121691</v>
      </c>
      <c r="S1129" s="988">
        <v>2018</v>
      </c>
      <c r="T1129" s="988" t="s">
        <v>1269</v>
      </c>
    </row>
    <row r="1130" spans="1:20" s="1013" customFormat="1" ht="41.25" customHeight="1">
      <c r="A1130" s="1249">
        <v>206</v>
      </c>
      <c r="B1130" s="1371" t="s">
        <v>2150</v>
      </c>
      <c r="C1130" s="1249">
        <v>1966</v>
      </c>
      <c r="D1130" s="1249"/>
      <c r="E1130" s="1249" t="s">
        <v>219</v>
      </c>
      <c r="F1130" s="1249">
        <v>5</v>
      </c>
      <c r="G1130" s="1249">
        <v>4</v>
      </c>
      <c r="H1130" s="998">
        <v>3824.4</v>
      </c>
      <c r="I1130" s="998">
        <v>3536.4</v>
      </c>
      <c r="J1130" s="998">
        <f>I1130-324.7</f>
        <v>3211.7000000000003</v>
      </c>
      <c r="K1130" s="986">
        <v>181</v>
      </c>
      <c r="L1130" s="998">
        <v>2766878</v>
      </c>
      <c r="M1130" s="998">
        <v>0</v>
      </c>
      <c r="N1130" s="998">
        <v>0</v>
      </c>
      <c r="O1130" s="998">
        <v>2766878</v>
      </c>
      <c r="P1130" s="998">
        <v>0</v>
      </c>
      <c r="Q1130" s="998">
        <v>0</v>
      </c>
      <c r="R1130" s="998">
        <f t="shared" si="348"/>
        <v>782.39961542811898</v>
      </c>
      <c r="S1130" s="988">
        <v>2018</v>
      </c>
      <c r="T1130" s="988" t="s">
        <v>1269</v>
      </c>
    </row>
    <row r="1131" spans="1:20" s="1013" customFormat="1" ht="41.25" customHeight="1">
      <c r="A1131" s="1249">
        <v>207</v>
      </c>
      <c r="B1131" s="1371" t="s">
        <v>2194</v>
      </c>
      <c r="C1131" s="1249">
        <v>1984</v>
      </c>
      <c r="D1131" s="1249"/>
      <c r="E1131" s="1249" t="s">
        <v>219</v>
      </c>
      <c r="F1131" s="1249">
        <v>9</v>
      </c>
      <c r="G1131" s="1249">
        <v>1</v>
      </c>
      <c r="H1131" s="998">
        <v>2185.6</v>
      </c>
      <c r="I1131" s="998">
        <v>1927.1</v>
      </c>
      <c r="J1131" s="998">
        <f>I1131-66.8</f>
        <v>1860.3</v>
      </c>
      <c r="K1131" s="986">
        <v>86</v>
      </c>
      <c r="L1131" s="998">
        <v>872207</v>
      </c>
      <c r="M1131" s="998">
        <v>0</v>
      </c>
      <c r="N1131" s="998">
        <v>0</v>
      </c>
      <c r="O1131" s="998">
        <v>872207</v>
      </c>
      <c r="P1131" s="998">
        <v>0</v>
      </c>
      <c r="Q1131" s="998">
        <v>0</v>
      </c>
      <c r="R1131" s="998">
        <f t="shared" si="348"/>
        <v>452.6007991282238</v>
      </c>
      <c r="S1131" s="988">
        <v>2018</v>
      </c>
      <c r="T1131" s="988" t="s">
        <v>1269</v>
      </c>
    </row>
    <row r="1132" spans="1:20" s="1013" customFormat="1" ht="41.25" customHeight="1">
      <c r="A1132" s="1249">
        <v>208</v>
      </c>
      <c r="B1132" s="1371" t="s">
        <v>2195</v>
      </c>
      <c r="C1132" s="1249">
        <v>1989</v>
      </c>
      <c r="D1132" s="1249"/>
      <c r="E1132" s="1249" t="s">
        <v>219</v>
      </c>
      <c r="F1132" s="1249">
        <v>9</v>
      </c>
      <c r="G1132" s="1249">
        <v>6</v>
      </c>
      <c r="H1132" s="998">
        <v>17322.900000000001</v>
      </c>
      <c r="I1132" s="998">
        <v>14905.3</v>
      </c>
      <c r="J1132" s="998">
        <f>I1132-97.8-852.1</f>
        <v>13955.4</v>
      </c>
      <c r="K1132" s="986">
        <v>657</v>
      </c>
      <c r="L1132" s="998">
        <v>5660742</v>
      </c>
      <c r="M1132" s="998">
        <v>0</v>
      </c>
      <c r="N1132" s="998">
        <v>0</v>
      </c>
      <c r="O1132" s="998">
        <v>5660742</v>
      </c>
      <c r="P1132" s="998">
        <v>0</v>
      </c>
      <c r="Q1132" s="998">
        <v>0</v>
      </c>
      <c r="R1132" s="998">
        <f t="shared" ref="R1132:R1172" si="349">L1132/I1132</f>
        <v>379.78048076858568</v>
      </c>
      <c r="S1132" s="988">
        <v>2018</v>
      </c>
      <c r="T1132" s="988" t="s">
        <v>1269</v>
      </c>
    </row>
    <row r="1133" spans="1:20" s="1028" customFormat="1" ht="41.25" customHeight="1">
      <c r="A1133" s="1249">
        <v>209</v>
      </c>
      <c r="B1133" s="1371" t="s">
        <v>2151</v>
      </c>
      <c r="C1133" s="1249">
        <v>1989</v>
      </c>
      <c r="D1133" s="1249"/>
      <c r="E1133" s="1249" t="s">
        <v>218</v>
      </c>
      <c r="F1133" s="1249">
        <v>9</v>
      </c>
      <c r="G1133" s="1249">
        <v>5</v>
      </c>
      <c r="H1133" s="998">
        <v>13574.1</v>
      </c>
      <c r="I1133" s="998">
        <v>10659.2</v>
      </c>
      <c r="J1133" s="998">
        <f>I1133-1010.4</f>
        <v>9648.8000000000011</v>
      </c>
      <c r="K1133" s="986">
        <v>520</v>
      </c>
      <c r="L1133" s="998">
        <v>5360944.45</v>
      </c>
      <c r="M1133" s="998">
        <v>0</v>
      </c>
      <c r="N1133" s="998">
        <v>0</v>
      </c>
      <c r="O1133" s="998">
        <f>L1133</f>
        <v>5360944.45</v>
      </c>
      <c r="P1133" s="998">
        <v>0</v>
      </c>
      <c r="Q1133" s="998">
        <v>0</v>
      </c>
      <c r="R1133" s="998">
        <f t="shared" si="349"/>
        <v>502.94060060792555</v>
      </c>
      <c r="S1133" s="988">
        <v>2018</v>
      </c>
      <c r="T1133" s="988" t="s">
        <v>1269</v>
      </c>
    </row>
    <row r="1134" spans="1:20" s="1028" customFormat="1" ht="41.25" customHeight="1">
      <c r="A1134" s="1249">
        <v>210</v>
      </c>
      <c r="B1134" s="1371" t="s">
        <v>2152</v>
      </c>
      <c r="C1134" s="1249">
        <v>1951</v>
      </c>
      <c r="D1134" s="1249"/>
      <c r="E1134" s="1249" t="s">
        <v>218</v>
      </c>
      <c r="F1134" s="1249">
        <v>2</v>
      </c>
      <c r="G1134" s="1249">
        <v>1</v>
      </c>
      <c r="H1134" s="998">
        <v>536.70000000000005</v>
      </c>
      <c r="I1134" s="998">
        <v>498</v>
      </c>
      <c r="J1134" s="998">
        <f>I1134-22.1</f>
        <v>475.9</v>
      </c>
      <c r="K1134" s="986">
        <v>20</v>
      </c>
      <c r="L1134" s="998">
        <v>1861754</v>
      </c>
      <c r="M1134" s="998">
        <v>0</v>
      </c>
      <c r="N1134" s="998">
        <v>0</v>
      </c>
      <c r="O1134" s="998">
        <v>1861754</v>
      </c>
      <c r="P1134" s="998">
        <v>0</v>
      </c>
      <c r="Q1134" s="998">
        <v>0</v>
      </c>
      <c r="R1134" s="998">
        <f t="shared" si="349"/>
        <v>3738.4618473895584</v>
      </c>
      <c r="S1134" s="988">
        <v>2018</v>
      </c>
      <c r="T1134" s="988" t="s">
        <v>1269</v>
      </c>
    </row>
    <row r="1135" spans="1:20" s="1028" customFormat="1" ht="41.25" customHeight="1">
      <c r="A1135" s="1249">
        <v>211</v>
      </c>
      <c r="B1135" s="1371" t="s">
        <v>2153</v>
      </c>
      <c r="C1135" s="1249">
        <v>1895</v>
      </c>
      <c r="D1135" s="1249"/>
      <c r="E1135" s="1249" t="s">
        <v>218</v>
      </c>
      <c r="F1135" s="1249">
        <v>2</v>
      </c>
      <c r="G1135" s="1249">
        <v>1</v>
      </c>
      <c r="H1135" s="998">
        <v>497.1</v>
      </c>
      <c r="I1135" s="998">
        <v>363.5</v>
      </c>
      <c r="J1135" s="998">
        <f>I1135</f>
        <v>363.5</v>
      </c>
      <c r="K1135" s="986">
        <v>12</v>
      </c>
      <c r="L1135" s="998">
        <v>1336656</v>
      </c>
      <c r="M1135" s="998">
        <v>0</v>
      </c>
      <c r="N1135" s="998">
        <v>0</v>
      </c>
      <c r="O1135" s="998">
        <v>1336656</v>
      </c>
      <c r="P1135" s="998">
        <v>0</v>
      </c>
      <c r="Q1135" s="998">
        <v>0</v>
      </c>
      <c r="R1135" s="998">
        <f t="shared" si="349"/>
        <v>3677.1829436038515</v>
      </c>
      <c r="S1135" s="988">
        <v>2018</v>
      </c>
      <c r="T1135" s="988" t="s">
        <v>1269</v>
      </c>
    </row>
    <row r="1136" spans="1:20" s="1013" customFormat="1" ht="41.25" customHeight="1">
      <c r="A1136" s="1249">
        <v>212</v>
      </c>
      <c r="B1136" s="1374" t="s">
        <v>2154</v>
      </c>
      <c r="C1136" s="1249">
        <v>1986</v>
      </c>
      <c r="D1136" s="1255"/>
      <c r="E1136" s="1249" t="s">
        <v>219</v>
      </c>
      <c r="F1136" s="1255">
        <v>5</v>
      </c>
      <c r="G1136" s="1255">
        <v>8</v>
      </c>
      <c r="H1136" s="998">
        <v>6649.8</v>
      </c>
      <c r="I1136" s="998">
        <v>6072.5</v>
      </c>
      <c r="J1136" s="998">
        <f>I1136-219.7</f>
        <v>5852.8</v>
      </c>
      <c r="K1136" s="986">
        <v>246</v>
      </c>
      <c r="L1136" s="998">
        <v>3919318</v>
      </c>
      <c r="M1136" s="998">
        <v>0</v>
      </c>
      <c r="N1136" s="998">
        <v>0</v>
      </c>
      <c r="O1136" s="985">
        <v>3919318</v>
      </c>
      <c r="P1136" s="985">
        <v>0</v>
      </c>
      <c r="Q1136" s="985">
        <v>0</v>
      </c>
      <c r="R1136" s="985">
        <f t="shared" si="349"/>
        <v>645.42083161794983</v>
      </c>
      <c r="S1136" s="988">
        <v>2018</v>
      </c>
      <c r="T1136" s="988" t="s">
        <v>1269</v>
      </c>
    </row>
    <row r="1137" spans="1:20" s="1013" customFormat="1" ht="41.25" customHeight="1">
      <c r="A1137" s="1249">
        <v>213</v>
      </c>
      <c r="B1137" s="1371" t="s">
        <v>2155</v>
      </c>
      <c r="C1137" s="1249">
        <v>1972</v>
      </c>
      <c r="D1137" s="1249"/>
      <c r="E1137" s="1249" t="s">
        <v>218</v>
      </c>
      <c r="F1137" s="1249">
        <v>5</v>
      </c>
      <c r="G1137" s="1249">
        <v>2</v>
      </c>
      <c r="H1137" s="998">
        <v>3773.99</v>
      </c>
      <c r="I1137" s="998">
        <v>3489.29</v>
      </c>
      <c r="J1137" s="998">
        <f>I1137-639.8</f>
        <v>2849.49</v>
      </c>
      <c r="K1137" s="986">
        <v>191</v>
      </c>
      <c r="L1137" s="998">
        <v>2610618</v>
      </c>
      <c r="M1137" s="998">
        <v>0</v>
      </c>
      <c r="N1137" s="998">
        <v>0</v>
      </c>
      <c r="O1137" s="998">
        <v>2610618</v>
      </c>
      <c r="P1137" s="998">
        <v>0</v>
      </c>
      <c r="Q1137" s="998">
        <v>0</v>
      </c>
      <c r="R1137" s="998">
        <f t="shared" si="349"/>
        <v>748.1802888266667</v>
      </c>
      <c r="S1137" s="988">
        <v>2018</v>
      </c>
      <c r="T1137" s="988" t="s">
        <v>1269</v>
      </c>
    </row>
    <row r="1138" spans="1:20" s="1013" customFormat="1" ht="41.25" customHeight="1">
      <c r="A1138" s="1249">
        <v>214</v>
      </c>
      <c r="B1138" s="1371" t="s">
        <v>2156</v>
      </c>
      <c r="C1138" s="1249">
        <v>1956</v>
      </c>
      <c r="D1138" s="1249"/>
      <c r="E1138" s="1249" t="s">
        <v>218</v>
      </c>
      <c r="F1138" s="1249">
        <v>2</v>
      </c>
      <c r="G1138" s="1249">
        <v>3</v>
      </c>
      <c r="H1138" s="998">
        <v>1305.5999999999999</v>
      </c>
      <c r="I1138" s="998">
        <v>1143.5999999999999</v>
      </c>
      <c r="J1138" s="998">
        <f>I1138-57.9-60.1</f>
        <v>1025.5999999999999</v>
      </c>
      <c r="K1138" s="986">
        <v>22</v>
      </c>
      <c r="L1138" s="998">
        <v>1300391</v>
      </c>
      <c r="M1138" s="998">
        <v>0</v>
      </c>
      <c r="N1138" s="998">
        <v>0</v>
      </c>
      <c r="O1138" s="998">
        <v>1300391</v>
      </c>
      <c r="P1138" s="998">
        <v>0</v>
      </c>
      <c r="Q1138" s="998">
        <v>0</v>
      </c>
      <c r="R1138" s="998">
        <f t="shared" si="349"/>
        <v>1137.1030080447711</v>
      </c>
      <c r="S1138" s="988">
        <v>2018</v>
      </c>
      <c r="T1138" s="988" t="s">
        <v>1269</v>
      </c>
    </row>
    <row r="1139" spans="1:20" s="1013" customFormat="1" ht="41.25" customHeight="1">
      <c r="A1139" s="1249">
        <v>215</v>
      </c>
      <c r="B1139" s="1371" t="s">
        <v>2157</v>
      </c>
      <c r="C1139" s="1249">
        <v>1956</v>
      </c>
      <c r="D1139" s="1249"/>
      <c r="E1139" s="1249" t="s">
        <v>218</v>
      </c>
      <c r="F1139" s="1249">
        <v>2</v>
      </c>
      <c r="G1139" s="1249">
        <v>2</v>
      </c>
      <c r="H1139" s="998">
        <v>439.4</v>
      </c>
      <c r="I1139" s="998">
        <v>395.2</v>
      </c>
      <c r="J1139" s="998">
        <f>I1139-43.3</f>
        <v>351.9</v>
      </c>
      <c r="K1139" s="986">
        <v>24</v>
      </c>
      <c r="L1139" s="998">
        <v>2495535</v>
      </c>
      <c r="M1139" s="998">
        <v>0</v>
      </c>
      <c r="N1139" s="998">
        <v>0</v>
      </c>
      <c r="O1139" s="998">
        <v>2495535</v>
      </c>
      <c r="P1139" s="998">
        <v>0</v>
      </c>
      <c r="Q1139" s="998">
        <v>0</v>
      </c>
      <c r="R1139" s="998">
        <f t="shared" si="349"/>
        <v>6314.6128542510123</v>
      </c>
      <c r="S1139" s="988">
        <v>2018</v>
      </c>
      <c r="T1139" s="988" t="s">
        <v>1269</v>
      </c>
    </row>
    <row r="1140" spans="1:20" s="1013" customFormat="1" ht="41.25" customHeight="1">
      <c r="A1140" s="1249">
        <v>216</v>
      </c>
      <c r="B1140" s="1171" t="s">
        <v>2196</v>
      </c>
      <c r="C1140" s="1249">
        <v>1962</v>
      </c>
      <c r="D1140" s="1249"/>
      <c r="E1140" s="1249" t="s">
        <v>218</v>
      </c>
      <c r="F1140" s="1249">
        <v>3</v>
      </c>
      <c r="G1140" s="1249">
        <v>2</v>
      </c>
      <c r="H1140" s="998">
        <v>1023.3</v>
      </c>
      <c r="I1140" s="998">
        <v>950.3</v>
      </c>
      <c r="J1140" s="998">
        <f>I1140-129.4</f>
        <v>820.9</v>
      </c>
      <c r="K1140" s="986">
        <v>38</v>
      </c>
      <c r="L1140" s="998">
        <v>1766431</v>
      </c>
      <c r="M1140" s="998">
        <v>0</v>
      </c>
      <c r="N1140" s="998">
        <v>0</v>
      </c>
      <c r="O1140" s="998">
        <v>1766431</v>
      </c>
      <c r="P1140" s="998">
        <v>0</v>
      </c>
      <c r="Q1140" s="998">
        <v>0</v>
      </c>
      <c r="R1140" s="998">
        <f t="shared" si="349"/>
        <v>1858.8140587182995</v>
      </c>
      <c r="S1140" s="988">
        <v>2018</v>
      </c>
      <c r="T1140" s="988" t="s">
        <v>1269</v>
      </c>
    </row>
    <row r="1141" spans="1:20" s="1013" customFormat="1" ht="41.25" customHeight="1">
      <c r="A1141" s="1249">
        <v>217</v>
      </c>
      <c r="B1141" s="1371" t="s">
        <v>2158</v>
      </c>
      <c r="C1141" s="1249">
        <v>1956</v>
      </c>
      <c r="D1141" s="1249"/>
      <c r="E1141" s="1249" t="s">
        <v>218</v>
      </c>
      <c r="F1141" s="1249">
        <v>2</v>
      </c>
      <c r="G1141" s="1249">
        <v>2</v>
      </c>
      <c r="H1141" s="998">
        <v>399.1</v>
      </c>
      <c r="I1141" s="998">
        <v>352.1</v>
      </c>
      <c r="J1141" s="998">
        <f>I1141-43.9</f>
        <v>308.20000000000005</v>
      </c>
      <c r="K1141" s="986">
        <v>27</v>
      </c>
      <c r="L1141" s="998">
        <v>1335814</v>
      </c>
      <c r="M1141" s="998">
        <v>0</v>
      </c>
      <c r="N1141" s="998">
        <v>0</v>
      </c>
      <c r="O1141" s="998">
        <v>1335814</v>
      </c>
      <c r="P1141" s="998">
        <v>0</v>
      </c>
      <c r="Q1141" s="998">
        <v>0</v>
      </c>
      <c r="R1141" s="998">
        <f t="shared" si="349"/>
        <v>3793.8483385401873</v>
      </c>
      <c r="S1141" s="988">
        <v>2018</v>
      </c>
      <c r="T1141" s="988" t="s">
        <v>1269</v>
      </c>
    </row>
    <row r="1142" spans="1:20" s="1013" customFormat="1" ht="41.25" customHeight="1">
      <c r="A1142" s="1249">
        <v>218</v>
      </c>
      <c r="B1142" s="1371" t="s">
        <v>2159</v>
      </c>
      <c r="C1142" s="1249">
        <v>1960</v>
      </c>
      <c r="D1142" s="1249"/>
      <c r="E1142" s="1249" t="s">
        <v>218</v>
      </c>
      <c r="F1142" s="1249">
        <v>2</v>
      </c>
      <c r="G1142" s="1249">
        <v>2</v>
      </c>
      <c r="H1142" s="998">
        <v>684.3</v>
      </c>
      <c r="I1142" s="998">
        <v>635.70000000000005</v>
      </c>
      <c r="J1142" s="998">
        <f>I1142-80.8</f>
        <v>554.90000000000009</v>
      </c>
      <c r="K1142" s="986">
        <v>34</v>
      </c>
      <c r="L1142" s="998">
        <v>1745649</v>
      </c>
      <c r="M1142" s="998">
        <v>0</v>
      </c>
      <c r="N1142" s="998">
        <v>0</v>
      </c>
      <c r="O1142" s="998">
        <v>1745649</v>
      </c>
      <c r="P1142" s="998">
        <v>0</v>
      </c>
      <c r="Q1142" s="998">
        <v>0</v>
      </c>
      <c r="R1142" s="998">
        <f t="shared" si="349"/>
        <v>2746.0264275601699</v>
      </c>
      <c r="S1142" s="988">
        <v>2018</v>
      </c>
      <c r="T1142" s="988" t="s">
        <v>1269</v>
      </c>
    </row>
    <row r="1143" spans="1:20" s="1013" customFormat="1" ht="41.25" customHeight="1">
      <c r="A1143" s="1249">
        <v>219</v>
      </c>
      <c r="B1143" s="1371" t="s">
        <v>2160</v>
      </c>
      <c r="C1143" s="1249">
        <v>1973</v>
      </c>
      <c r="D1143" s="1249"/>
      <c r="E1143" s="1249" t="s">
        <v>219</v>
      </c>
      <c r="F1143" s="1249">
        <v>5</v>
      </c>
      <c r="G1143" s="1249">
        <v>6</v>
      </c>
      <c r="H1143" s="998">
        <v>5002.5</v>
      </c>
      <c r="I1143" s="998">
        <v>4596.5</v>
      </c>
      <c r="J1143" s="998">
        <f>I1143-201.2-106.2</f>
        <v>4289.1000000000004</v>
      </c>
      <c r="K1143" s="986">
        <v>162</v>
      </c>
      <c r="L1143" s="998">
        <v>9290675</v>
      </c>
      <c r="M1143" s="998">
        <v>0</v>
      </c>
      <c r="N1143" s="998">
        <v>0</v>
      </c>
      <c r="O1143" s="998">
        <v>9290675</v>
      </c>
      <c r="P1143" s="998">
        <v>0</v>
      </c>
      <c r="Q1143" s="998">
        <v>0</v>
      </c>
      <c r="R1143" s="998">
        <f t="shared" si="349"/>
        <v>2021.2498640269771</v>
      </c>
      <c r="S1143" s="988">
        <v>2018</v>
      </c>
      <c r="T1143" s="988" t="s">
        <v>1269</v>
      </c>
    </row>
    <row r="1144" spans="1:20" s="1013" customFormat="1" ht="41.25" customHeight="1">
      <c r="A1144" s="1249">
        <v>220</v>
      </c>
      <c r="B1144" s="1371" t="s">
        <v>2161</v>
      </c>
      <c r="C1144" s="1249">
        <v>1987</v>
      </c>
      <c r="D1144" s="1249"/>
      <c r="E1144" s="1249" t="s">
        <v>219</v>
      </c>
      <c r="F1144" s="1249">
        <v>12</v>
      </c>
      <c r="G1144" s="1249">
        <v>1</v>
      </c>
      <c r="H1144" s="998">
        <v>4299.6000000000004</v>
      </c>
      <c r="I1144" s="998">
        <v>3466.1</v>
      </c>
      <c r="J1144" s="998">
        <f>I1144-94.8</f>
        <v>3371.2999999999997</v>
      </c>
      <c r="K1144" s="986">
        <v>158</v>
      </c>
      <c r="L1144" s="998">
        <v>3932680</v>
      </c>
      <c r="M1144" s="998">
        <v>0</v>
      </c>
      <c r="N1144" s="998">
        <v>0</v>
      </c>
      <c r="O1144" s="998">
        <v>3932680</v>
      </c>
      <c r="P1144" s="998">
        <v>0</v>
      </c>
      <c r="Q1144" s="998">
        <v>0</v>
      </c>
      <c r="R1144" s="998">
        <f t="shared" si="349"/>
        <v>1134.6123885635152</v>
      </c>
      <c r="S1144" s="988">
        <v>2018</v>
      </c>
      <c r="T1144" s="988" t="s">
        <v>1269</v>
      </c>
    </row>
    <row r="1145" spans="1:20" s="1013" customFormat="1" ht="41.25" customHeight="1">
      <c r="A1145" s="1249">
        <v>221</v>
      </c>
      <c r="B1145" s="1371" t="s">
        <v>2162</v>
      </c>
      <c r="C1145" s="1249">
        <v>1990</v>
      </c>
      <c r="D1145" s="1249"/>
      <c r="E1145" s="1249" t="s">
        <v>219</v>
      </c>
      <c r="F1145" s="1249">
        <v>12</v>
      </c>
      <c r="G1145" s="1249">
        <v>1</v>
      </c>
      <c r="H1145" s="998">
        <v>4286</v>
      </c>
      <c r="I1145" s="998">
        <v>3601.4</v>
      </c>
      <c r="J1145" s="998">
        <f>I1145-157.8</f>
        <v>3443.6</v>
      </c>
      <c r="K1145" s="986">
        <v>119</v>
      </c>
      <c r="L1145" s="998">
        <v>3933674</v>
      </c>
      <c r="M1145" s="998">
        <v>0</v>
      </c>
      <c r="N1145" s="998">
        <v>0</v>
      </c>
      <c r="O1145" s="998">
        <v>3933674</v>
      </c>
      <c r="P1145" s="998">
        <v>0</v>
      </c>
      <c r="Q1145" s="998">
        <v>0</v>
      </c>
      <c r="R1145" s="998">
        <f t="shared" si="349"/>
        <v>1092.2624534903093</v>
      </c>
      <c r="S1145" s="988">
        <v>2018</v>
      </c>
      <c r="T1145" s="988" t="s">
        <v>1269</v>
      </c>
    </row>
    <row r="1146" spans="1:20" s="1013" customFormat="1" ht="41.25" customHeight="1">
      <c r="A1146" s="1249">
        <v>222</v>
      </c>
      <c r="B1146" s="1371" t="s">
        <v>2197</v>
      </c>
      <c r="C1146" s="1249">
        <v>1987</v>
      </c>
      <c r="D1146" s="1249"/>
      <c r="E1146" s="1249" t="s">
        <v>219</v>
      </c>
      <c r="F1146" s="1249">
        <v>12</v>
      </c>
      <c r="G1146" s="1249">
        <v>1</v>
      </c>
      <c r="H1146" s="998">
        <v>3837.1</v>
      </c>
      <c r="I1146" s="998">
        <v>3542.8</v>
      </c>
      <c r="J1146" s="998">
        <f>I1146-784.3</f>
        <v>2758.5</v>
      </c>
      <c r="K1146" s="986">
        <v>132</v>
      </c>
      <c r="L1146" s="998">
        <v>3934192</v>
      </c>
      <c r="M1146" s="998">
        <v>0</v>
      </c>
      <c r="N1146" s="998">
        <v>0</v>
      </c>
      <c r="O1146" s="998">
        <v>3934192</v>
      </c>
      <c r="P1146" s="998">
        <v>0</v>
      </c>
      <c r="Q1146" s="998">
        <v>0</v>
      </c>
      <c r="R1146" s="998">
        <f t="shared" si="349"/>
        <v>1110.475330247262</v>
      </c>
      <c r="S1146" s="988">
        <v>2018</v>
      </c>
      <c r="T1146" s="988" t="s">
        <v>1269</v>
      </c>
    </row>
    <row r="1147" spans="1:20" s="1013" customFormat="1" ht="41.25" customHeight="1">
      <c r="A1147" s="1249">
        <v>223</v>
      </c>
      <c r="B1147" s="1371" t="s">
        <v>2163</v>
      </c>
      <c r="C1147" s="1249">
        <v>1985</v>
      </c>
      <c r="D1147" s="1249"/>
      <c r="E1147" s="1249" t="s">
        <v>219</v>
      </c>
      <c r="F1147" s="1249">
        <v>9</v>
      </c>
      <c r="G1147" s="1249">
        <v>6</v>
      </c>
      <c r="H1147" s="998">
        <v>13004.2</v>
      </c>
      <c r="I1147" s="998">
        <v>11596.8</v>
      </c>
      <c r="J1147" s="998">
        <f>I1147-508.6</f>
        <v>11088.199999999999</v>
      </c>
      <c r="K1147" s="986">
        <v>513</v>
      </c>
      <c r="L1147" s="998">
        <v>4401727</v>
      </c>
      <c r="M1147" s="998">
        <v>0</v>
      </c>
      <c r="N1147" s="998">
        <v>0</v>
      </c>
      <c r="O1147" s="998">
        <v>4401727</v>
      </c>
      <c r="P1147" s="998">
        <v>0</v>
      </c>
      <c r="Q1147" s="998">
        <v>0</v>
      </c>
      <c r="R1147" s="998">
        <f t="shared" si="349"/>
        <v>379.56393142935985</v>
      </c>
      <c r="S1147" s="988">
        <v>2018</v>
      </c>
      <c r="T1147" s="988" t="s">
        <v>1269</v>
      </c>
    </row>
    <row r="1148" spans="1:20" s="1013" customFormat="1" ht="41.25" customHeight="1">
      <c r="A1148" s="1249">
        <v>224</v>
      </c>
      <c r="B1148" s="1371" t="s">
        <v>1174</v>
      </c>
      <c r="C1148" s="1249">
        <v>1917</v>
      </c>
      <c r="D1148" s="1249"/>
      <c r="E1148" s="1249" t="s">
        <v>218</v>
      </c>
      <c r="F1148" s="1129" t="s">
        <v>1672</v>
      </c>
      <c r="G1148" s="1249">
        <v>4</v>
      </c>
      <c r="H1148" s="998">
        <v>2304.3000000000002</v>
      </c>
      <c r="I1148" s="998">
        <v>2167.6999999999998</v>
      </c>
      <c r="J1148" s="998">
        <f>I1148-390.4</f>
        <v>1777.2999999999997</v>
      </c>
      <c r="K1148" s="986">
        <v>61</v>
      </c>
      <c r="L1148" s="998">
        <v>6361087.0899999999</v>
      </c>
      <c r="M1148" s="998">
        <v>0</v>
      </c>
      <c r="N1148" s="998">
        <v>0</v>
      </c>
      <c r="O1148" s="998">
        <f>L1148</f>
        <v>6361087.0899999999</v>
      </c>
      <c r="P1148" s="998">
        <v>0</v>
      </c>
      <c r="Q1148" s="998">
        <v>0</v>
      </c>
      <c r="R1148" s="998">
        <f t="shared" si="349"/>
        <v>2934.4868247451218</v>
      </c>
      <c r="S1148" s="988">
        <v>2018</v>
      </c>
      <c r="T1148" s="988" t="s">
        <v>1269</v>
      </c>
    </row>
    <row r="1149" spans="1:20" s="1013" customFormat="1" ht="41.25" customHeight="1">
      <c r="A1149" s="1249">
        <v>225</v>
      </c>
      <c r="B1149" s="1371" t="s">
        <v>1744</v>
      </c>
      <c r="C1149" s="1249">
        <v>1953</v>
      </c>
      <c r="D1149" s="1249"/>
      <c r="E1149" s="1249" t="s">
        <v>218</v>
      </c>
      <c r="F1149" s="1249">
        <v>4</v>
      </c>
      <c r="G1149" s="1249">
        <v>9</v>
      </c>
      <c r="H1149" s="998">
        <v>7344.1</v>
      </c>
      <c r="I1149" s="998">
        <v>6786.8</v>
      </c>
      <c r="J1149" s="998">
        <f>I1149-842.1-1022.6</f>
        <v>4922.0999999999995</v>
      </c>
      <c r="K1149" s="986">
        <v>141</v>
      </c>
      <c r="L1149" s="998">
        <v>6599999</v>
      </c>
      <c r="M1149" s="998">
        <v>0</v>
      </c>
      <c r="N1149" s="998">
        <v>0</v>
      </c>
      <c r="O1149" s="998">
        <v>6599999</v>
      </c>
      <c r="P1149" s="998">
        <v>0</v>
      </c>
      <c r="Q1149" s="998">
        <v>0</v>
      </c>
      <c r="R1149" s="998">
        <f t="shared" si="349"/>
        <v>972.47583544527606</v>
      </c>
      <c r="S1149" s="988">
        <v>2018</v>
      </c>
      <c r="T1149" s="988" t="s">
        <v>1269</v>
      </c>
    </row>
    <row r="1150" spans="1:20" s="1013" customFormat="1" ht="41.25" customHeight="1">
      <c r="A1150" s="1249">
        <v>226</v>
      </c>
      <c r="B1150" s="1371" t="s">
        <v>2164</v>
      </c>
      <c r="C1150" s="1249">
        <v>1985</v>
      </c>
      <c r="D1150" s="1249"/>
      <c r="E1150" s="1249" t="s">
        <v>218</v>
      </c>
      <c r="F1150" s="1249">
        <v>9</v>
      </c>
      <c r="G1150" s="1249">
        <v>2</v>
      </c>
      <c r="H1150" s="998">
        <v>8993.2000000000007</v>
      </c>
      <c r="I1150" s="998">
        <v>7992.2</v>
      </c>
      <c r="J1150" s="998">
        <f>I1150-458.8-172.3</f>
        <v>7361.0999999999995</v>
      </c>
      <c r="K1150" s="986">
        <v>313</v>
      </c>
      <c r="L1150" s="998">
        <v>9367364</v>
      </c>
      <c r="M1150" s="998">
        <v>0</v>
      </c>
      <c r="N1150" s="998">
        <v>0</v>
      </c>
      <c r="O1150" s="998">
        <v>9367364</v>
      </c>
      <c r="P1150" s="998">
        <v>0</v>
      </c>
      <c r="Q1150" s="998">
        <v>0</v>
      </c>
      <c r="R1150" s="998">
        <f t="shared" si="349"/>
        <v>1172.0632616801381</v>
      </c>
      <c r="S1150" s="988">
        <v>2018</v>
      </c>
      <c r="T1150" s="988" t="s">
        <v>1269</v>
      </c>
    </row>
    <row r="1151" spans="1:20" s="1013" customFormat="1" ht="41.25" customHeight="1">
      <c r="A1151" s="1249">
        <v>227</v>
      </c>
      <c r="B1151" s="1371" t="s">
        <v>275</v>
      </c>
      <c r="C1151" s="1249">
        <v>1951</v>
      </c>
      <c r="D1151" s="1249"/>
      <c r="E1151" s="1249" t="s">
        <v>218</v>
      </c>
      <c r="F1151" s="1249">
        <v>3</v>
      </c>
      <c r="G1151" s="1249">
        <v>3</v>
      </c>
      <c r="H1151" s="998">
        <v>2015</v>
      </c>
      <c r="I1151" s="998">
        <v>1848.5</v>
      </c>
      <c r="J1151" s="998">
        <f>I1151-191.4</f>
        <v>1657.1</v>
      </c>
      <c r="K1151" s="986">
        <v>82</v>
      </c>
      <c r="L1151" s="998">
        <v>467928</v>
      </c>
      <c r="M1151" s="998">
        <v>0</v>
      </c>
      <c r="N1151" s="998">
        <v>0</v>
      </c>
      <c r="O1151" s="998">
        <v>467928</v>
      </c>
      <c r="P1151" s="998">
        <v>0</v>
      </c>
      <c r="Q1151" s="998">
        <v>0</v>
      </c>
      <c r="R1151" s="998">
        <f t="shared" si="349"/>
        <v>253.13930213686774</v>
      </c>
      <c r="S1151" s="988">
        <v>2018</v>
      </c>
      <c r="T1151" s="988" t="s">
        <v>1269</v>
      </c>
    </row>
    <row r="1152" spans="1:20" s="1013" customFormat="1" ht="41.25" customHeight="1">
      <c r="A1152" s="1249">
        <v>228</v>
      </c>
      <c r="B1152" s="1371" t="s">
        <v>2165</v>
      </c>
      <c r="C1152" s="1249">
        <v>1953</v>
      </c>
      <c r="D1152" s="1249"/>
      <c r="E1152" s="1249" t="s">
        <v>218</v>
      </c>
      <c r="F1152" s="1249">
        <v>2</v>
      </c>
      <c r="G1152" s="1249">
        <v>2</v>
      </c>
      <c r="H1152" s="998">
        <v>411.7</v>
      </c>
      <c r="I1152" s="998">
        <v>368.5</v>
      </c>
      <c r="J1152" s="998">
        <f>I1152-21.51</f>
        <v>346.99</v>
      </c>
      <c r="K1152" s="986">
        <v>24</v>
      </c>
      <c r="L1152" s="998">
        <v>1686238</v>
      </c>
      <c r="M1152" s="998">
        <v>0</v>
      </c>
      <c r="N1152" s="998">
        <v>0</v>
      </c>
      <c r="O1152" s="998">
        <v>1686238</v>
      </c>
      <c r="P1152" s="998">
        <v>0</v>
      </c>
      <c r="Q1152" s="998">
        <v>0</v>
      </c>
      <c r="R1152" s="998">
        <f t="shared" si="349"/>
        <v>4575.9511533242876</v>
      </c>
      <c r="S1152" s="988">
        <v>2018</v>
      </c>
      <c r="T1152" s="988" t="s">
        <v>1269</v>
      </c>
    </row>
    <row r="1153" spans="1:20" s="1013" customFormat="1" ht="41.25" customHeight="1">
      <c r="A1153" s="1249">
        <v>229</v>
      </c>
      <c r="B1153" s="1371" t="s">
        <v>2166</v>
      </c>
      <c r="C1153" s="1249">
        <v>1926</v>
      </c>
      <c r="D1153" s="1249"/>
      <c r="E1153" s="1249" t="s">
        <v>221</v>
      </c>
      <c r="F1153" s="1249">
        <v>2</v>
      </c>
      <c r="G1153" s="1249">
        <v>2</v>
      </c>
      <c r="H1153" s="998">
        <v>564.5</v>
      </c>
      <c r="I1153" s="998">
        <v>519.70000000000005</v>
      </c>
      <c r="J1153" s="998">
        <f>I1153-63.6</f>
        <v>456.1</v>
      </c>
      <c r="K1153" s="986">
        <v>29</v>
      </c>
      <c r="L1153" s="998">
        <v>691750</v>
      </c>
      <c r="M1153" s="998">
        <v>0</v>
      </c>
      <c r="N1153" s="998">
        <v>0</v>
      </c>
      <c r="O1153" s="998">
        <v>691750</v>
      </c>
      <c r="P1153" s="998">
        <v>0</v>
      </c>
      <c r="Q1153" s="998">
        <v>0</v>
      </c>
      <c r="R1153" s="998">
        <f t="shared" si="349"/>
        <v>1331.0563786800076</v>
      </c>
      <c r="S1153" s="988">
        <v>2018</v>
      </c>
      <c r="T1153" s="988" t="s">
        <v>1269</v>
      </c>
    </row>
    <row r="1154" spans="1:20" s="1028" customFormat="1" ht="41.25" customHeight="1">
      <c r="A1154" s="1249">
        <v>230</v>
      </c>
      <c r="B1154" s="1371" t="s">
        <v>900</v>
      </c>
      <c r="C1154" s="1249">
        <v>1971</v>
      </c>
      <c r="D1154" s="1249"/>
      <c r="E1154" s="1249" t="s">
        <v>219</v>
      </c>
      <c r="F1154" s="1249">
        <v>5</v>
      </c>
      <c r="G1154" s="1249">
        <v>4</v>
      </c>
      <c r="H1154" s="998">
        <v>3373.1</v>
      </c>
      <c r="I1154" s="998">
        <v>3094.9</v>
      </c>
      <c r="J1154" s="998">
        <f>I1154-178.5-411.9</f>
        <v>2504.5</v>
      </c>
      <c r="K1154" s="986">
        <v>127</v>
      </c>
      <c r="L1154" s="998">
        <v>5704245</v>
      </c>
      <c r="M1154" s="998">
        <v>0</v>
      </c>
      <c r="N1154" s="998">
        <v>0</v>
      </c>
      <c r="O1154" s="998">
        <v>5704245</v>
      </c>
      <c r="P1154" s="998">
        <v>0</v>
      </c>
      <c r="Q1154" s="998">
        <v>0</v>
      </c>
      <c r="R1154" s="998">
        <f t="shared" si="349"/>
        <v>1843.1112475362693</v>
      </c>
      <c r="S1154" s="988">
        <v>2018</v>
      </c>
      <c r="T1154" s="988" t="s">
        <v>1269</v>
      </c>
    </row>
    <row r="1155" spans="1:20" s="1013" customFormat="1" ht="41.25" customHeight="1">
      <c r="A1155" s="1249">
        <v>231</v>
      </c>
      <c r="B1155" s="1371" t="s">
        <v>2198</v>
      </c>
      <c r="C1155" s="1249">
        <v>1984</v>
      </c>
      <c r="D1155" s="1249"/>
      <c r="E1155" s="1249" t="s">
        <v>219</v>
      </c>
      <c r="F1155" s="1249">
        <v>9</v>
      </c>
      <c r="G1155" s="1249">
        <v>4</v>
      </c>
      <c r="H1155" s="998">
        <v>9066.6</v>
      </c>
      <c r="I1155" s="998">
        <v>8150.7</v>
      </c>
      <c r="J1155" s="998">
        <f>I1155-500.3</f>
        <v>7650.4</v>
      </c>
      <c r="K1155" s="986">
        <v>362</v>
      </c>
      <c r="L1155" s="998">
        <v>18696087</v>
      </c>
      <c r="M1155" s="998">
        <v>0</v>
      </c>
      <c r="N1155" s="998">
        <v>0</v>
      </c>
      <c r="O1155" s="998">
        <v>18696087</v>
      </c>
      <c r="P1155" s="998">
        <v>0</v>
      </c>
      <c r="Q1155" s="998">
        <v>0</v>
      </c>
      <c r="R1155" s="998">
        <f t="shared" si="349"/>
        <v>2293.8013912915458</v>
      </c>
      <c r="S1155" s="988">
        <v>2018</v>
      </c>
      <c r="T1155" s="988" t="s">
        <v>1269</v>
      </c>
    </row>
    <row r="1156" spans="1:20" s="1013" customFormat="1" ht="41.25" customHeight="1">
      <c r="A1156" s="1249">
        <v>232</v>
      </c>
      <c r="B1156" s="1371" t="s">
        <v>2167</v>
      </c>
      <c r="C1156" s="1249">
        <v>1958</v>
      </c>
      <c r="D1156" s="1249"/>
      <c r="E1156" s="1249" t="s">
        <v>218</v>
      </c>
      <c r="F1156" s="1249">
        <v>2</v>
      </c>
      <c r="G1156" s="1249">
        <v>2</v>
      </c>
      <c r="H1156" s="998">
        <v>433.5</v>
      </c>
      <c r="I1156" s="998">
        <v>388.7</v>
      </c>
      <c r="J1156" s="998">
        <f>I1156</f>
        <v>388.7</v>
      </c>
      <c r="K1156" s="986">
        <v>28</v>
      </c>
      <c r="L1156" s="998">
        <v>712501</v>
      </c>
      <c r="M1156" s="998">
        <v>0</v>
      </c>
      <c r="N1156" s="998">
        <v>0</v>
      </c>
      <c r="O1156" s="998">
        <v>712501</v>
      </c>
      <c r="P1156" s="998">
        <v>0</v>
      </c>
      <c r="Q1156" s="998">
        <v>0</v>
      </c>
      <c r="R1156" s="998">
        <f t="shared" si="349"/>
        <v>1833.0357602263957</v>
      </c>
      <c r="S1156" s="988">
        <v>2018</v>
      </c>
      <c r="T1156" s="988" t="s">
        <v>1269</v>
      </c>
    </row>
    <row r="1157" spans="1:20" s="1013" customFormat="1" ht="41.25" customHeight="1">
      <c r="A1157" s="1249">
        <v>233</v>
      </c>
      <c r="B1157" s="1371" t="s">
        <v>2199</v>
      </c>
      <c r="C1157" s="1249">
        <v>1959</v>
      </c>
      <c r="D1157" s="1249"/>
      <c r="E1157" s="1249" t="s">
        <v>218</v>
      </c>
      <c r="F1157" s="1249">
        <v>5</v>
      </c>
      <c r="G1157" s="1249">
        <v>4</v>
      </c>
      <c r="H1157" s="998">
        <v>3486.6</v>
      </c>
      <c r="I1157" s="998">
        <v>3199.7</v>
      </c>
      <c r="J1157" s="998">
        <f>I1157-44</f>
        <v>3155.7</v>
      </c>
      <c r="K1157" s="986">
        <v>132</v>
      </c>
      <c r="L1157" s="998">
        <v>6817111</v>
      </c>
      <c r="M1157" s="998">
        <v>0</v>
      </c>
      <c r="N1157" s="998">
        <v>0</v>
      </c>
      <c r="O1157" s="998">
        <v>6817111</v>
      </c>
      <c r="P1157" s="998">
        <v>0</v>
      </c>
      <c r="Q1157" s="998">
        <v>0</v>
      </c>
      <c r="R1157" s="998">
        <f t="shared" si="349"/>
        <v>2130.5469262743381</v>
      </c>
      <c r="S1157" s="988">
        <v>2018</v>
      </c>
      <c r="T1157" s="988" t="s">
        <v>1269</v>
      </c>
    </row>
    <row r="1158" spans="1:20" s="1013" customFormat="1" ht="41.25" customHeight="1">
      <c r="A1158" s="1249">
        <v>234</v>
      </c>
      <c r="B1158" s="1371" t="s">
        <v>2168</v>
      </c>
      <c r="C1158" s="1249">
        <v>1968</v>
      </c>
      <c r="D1158" s="1249"/>
      <c r="E1158" s="1249" t="s">
        <v>218</v>
      </c>
      <c r="F1158" s="1249">
        <v>5</v>
      </c>
      <c r="G1158" s="1249">
        <v>4</v>
      </c>
      <c r="H1158" s="998">
        <v>3442</v>
      </c>
      <c r="I1158" s="998">
        <v>2835.3</v>
      </c>
      <c r="J1158" s="998">
        <f>I1158</f>
        <v>2835.3</v>
      </c>
      <c r="K1158" s="986">
        <v>151</v>
      </c>
      <c r="L1158" s="998">
        <v>3967506</v>
      </c>
      <c r="M1158" s="998">
        <v>0</v>
      </c>
      <c r="N1158" s="998">
        <v>0</v>
      </c>
      <c r="O1158" s="998">
        <v>3967506</v>
      </c>
      <c r="P1158" s="998">
        <v>0</v>
      </c>
      <c r="Q1158" s="998">
        <v>0</v>
      </c>
      <c r="R1158" s="998">
        <f t="shared" si="349"/>
        <v>1399.3249391598772</v>
      </c>
      <c r="S1158" s="988">
        <v>2018</v>
      </c>
      <c r="T1158" s="988" t="s">
        <v>1269</v>
      </c>
    </row>
    <row r="1159" spans="1:20" s="1013" customFormat="1" ht="41.25" customHeight="1">
      <c r="A1159" s="1370">
        <v>235</v>
      </c>
      <c r="B1159" s="1371" t="s">
        <v>2200</v>
      </c>
      <c r="C1159" s="1370">
        <v>1981</v>
      </c>
      <c r="D1159" s="1376"/>
      <c r="E1159" s="1376" t="s">
        <v>219</v>
      </c>
      <c r="F1159" s="1376">
        <v>9</v>
      </c>
      <c r="G1159" s="1376">
        <v>3</v>
      </c>
      <c r="H1159" s="996">
        <v>6875.6</v>
      </c>
      <c r="I1159" s="996">
        <v>6135.6</v>
      </c>
      <c r="J1159" s="996">
        <f>I1159-196.2</f>
        <v>5939.4000000000005</v>
      </c>
      <c r="K1159" s="986">
        <v>272</v>
      </c>
      <c r="L1159" s="996">
        <v>2423424</v>
      </c>
      <c r="M1159" s="996">
        <v>0</v>
      </c>
      <c r="N1159" s="985">
        <v>0</v>
      </c>
      <c r="O1159" s="985">
        <f>L1159</f>
        <v>2423424</v>
      </c>
      <c r="P1159" s="985">
        <v>0</v>
      </c>
      <c r="Q1159" s="985">
        <v>0</v>
      </c>
      <c r="R1159" s="985">
        <f t="shared" si="349"/>
        <v>394.97750831214546</v>
      </c>
      <c r="S1159" s="988">
        <v>2018</v>
      </c>
      <c r="T1159" s="988" t="s">
        <v>1269</v>
      </c>
    </row>
    <row r="1160" spans="1:20" s="1013" customFormat="1" ht="41.25" customHeight="1">
      <c r="A1160" s="1249">
        <v>236</v>
      </c>
      <c r="B1160" s="1371" t="s">
        <v>2169</v>
      </c>
      <c r="C1160" s="1249">
        <v>1957</v>
      </c>
      <c r="D1160" s="1249"/>
      <c r="E1160" s="1249" t="s">
        <v>218</v>
      </c>
      <c r="F1160" s="1249">
        <v>2</v>
      </c>
      <c r="G1160" s="1249">
        <v>2</v>
      </c>
      <c r="H1160" s="998">
        <v>426.7</v>
      </c>
      <c r="I1160" s="998">
        <v>385.4</v>
      </c>
      <c r="J1160" s="998">
        <f>I1160</f>
        <v>385.4</v>
      </c>
      <c r="K1160" s="986">
        <v>27</v>
      </c>
      <c r="L1160" s="998">
        <v>2468719</v>
      </c>
      <c r="M1160" s="998">
        <v>0</v>
      </c>
      <c r="N1160" s="998">
        <v>0</v>
      </c>
      <c r="O1160" s="998">
        <v>2468719</v>
      </c>
      <c r="P1160" s="998">
        <v>0</v>
      </c>
      <c r="Q1160" s="998">
        <v>0</v>
      </c>
      <c r="R1160" s="998">
        <f t="shared" si="349"/>
        <v>6405.6019719771666</v>
      </c>
      <c r="S1160" s="988">
        <v>2018</v>
      </c>
      <c r="T1160" s="988" t="s">
        <v>1269</v>
      </c>
    </row>
    <row r="1161" spans="1:20" s="1013" customFormat="1" ht="41.25" customHeight="1">
      <c r="A1161" s="1249">
        <v>237</v>
      </c>
      <c r="B1161" s="1371" t="s">
        <v>302</v>
      </c>
      <c r="C1161" s="1249">
        <v>1986</v>
      </c>
      <c r="D1161" s="1249"/>
      <c r="E1161" s="1249" t="s">
        <v>219</v>
      </c>
      <c r="F1161" s="1249">
        <v>9</v>
      </c>
      <c r="G1161" s="1249">
        <v>3</v>
      </c>
      <c r="H1161" s="998">
        <v>9783.5</v>
      </c>
      <c r="I1161" s="998">
        <v>9111.2000000000007</v>
      </c>
      <c r="J1161" s="998">
        <f>I1161-431.9</f>
        <v>8679.3000000000011</v>
      </c>
      <c r="K1161" s="986">
        <v>179</v>
      </c>
      <c r="L1161" s="998">
        <v>3431464</v>
      </c>
      <c r="M1161" s="998">
        <v>0</v>
      </c>
      <c r="N1161" s="998">
        <v>0</v>
      </c>
      <c r="O1161" s="998">
        <v>3431464</v>
      </c>
      <c r="P1161" s="998">
        <v>0</v>
      </c>
      <c r="Q1161" s="998">
        <v>0</v>
      </c>
      <c r="R1161" s="998">
        <f t="shared" si="349"/>
        <v>376.62042321538325</v>
      </c>
      <c r="S1161" s="988">
        <v>2018</v>
      </c>
      <c r="T1161" s="988" t="s">
        <v>1269</v>
      </c>
    </row>
    <row r="1162" spans="1:20" s="1013" customFormat="1" ht="41.25" customHeight="1">
      <c r="A1162" s="1249">
        <v>238</v>
      </c>
      <c r="B1162" s="1371" t="s">
        <v>1826</v>
      </c>
      <c r="C1162" s="1249">
        <v>1960</v>
      </c>
      <c r="D1162" s="1249"/>
      <c r="E1162" s="1249" t="s">
        <v>218</v>
      </c>
      <c r="F1162" s="1249">
        <v>4</v>
      </c>
      <c r="G1162" s="1249">
        <v>3</v>
      </c>
      <c r="H1162" s="998">
        <v>2188</v>
      </c>
      <c r="I1162" s="998">
        <v>2040.8</v>
      </c>
      <c r="J1162" s="998">
        <f>I1162-184.2</f>
        <v>1856.6</v>
      </c>
      <c r="K1162" s="986">
        <v>97</v>
      </c>
      <c r="L1162" s="998">
        <v>2740531</v>
      </c>
      <c r="M1162" s="998">
        <v>0</v>
      </c>
      <c r="N1162" s="998">
        <v>0</v>
      </c>
      <c r="O1162" s="998">
        <v>2740531</v>
      </c>
      <c r="P1162" s="998">
        <v>0</v>
      </c>
      <c r="Q1162" s="998">
        <v>0</v>
      </c>
      <c r="R1162" s="998">
        <f t="shared" si="349"/>
        <v>1342.8709329674637</v>
      </c>
      <c r="S1162" s="988">
        <v>2018</v>
      </c>
      <c r="T1162" s="988" t="s">
        <v>1269</v>
      </c>
    </row>
    <row r="1163" spans="1:20" s="1013" customFormat="1" ht="41.25" customHeight="1">
      <c r="A1163" s="1249">
        <v>239</v>
      </c>
      <c r="B1163" s="1371" t="s">
        <v>2201</v>
      </c>
      <c r="C1163" s="1249">
        <v>1965</v>
      </c>
      <c r="D1163" s="1249"/>
      <c r="E1163" s="1249" t="s">
        <v>219</v>
      </c>
      <c r="F1163" s="1249">
        <v>5</v>
      </c>
      <c r="G1163" s="1249">
        <v>5</v>
      </c>
      <c r="H1163" s="998">
        <v>3654.8</v>
      </c>
      <c r="I1163" s="998">
        <v>3252.7</v>
      </c>
      <c r="J1163" s="998">
        <f>I1163-467.7</f>
        <v>2785</v>
      </c>
      <c r="K1163" s="986">
        <v>140</v>
      </c>
      <c r="L1163" s="998">
        <v>1194865</v>
      </c>
      <c r="M1163" s="998">
        <v>0</v>
      </c>
      <c r="N1163" s="998">
        <v>0</v>
      </c>
      <c r="O1163" s="998">
        <v>1194865</v>
      </c>
      <c r="P1163" s="998">
        <v>0</v>
      </c>
      <c r="Q1163" s="998">
        <v>0</v>
      </c>
      <c r="R1163" s="998">
        <f t="shared" si="349"/>
        <v>367.34558981768993</v>
      </c>
      <c r="S1163" s="988">
        <v>2018</v>
      </c>
      <c r="T1163" s="988" t="s">
        <v>1269</v>
      </c>
    </row>
    <row r="1164" spans="1:20" s="1013" customFormat="1" ht="41.25" customHeight="1">
      <c r="A1164" s="1249">
        <v>240</v>
      </c>
      <c r="B1164" s="1371" t="s">
        <v>1175</v>
      </c>
      <c r="C1164" s="1249">
        <v>1984</v>
      </c>
      <c r="D1164" s="1249"/>
      <c r="E1164" s="1249" t="s">
        <v>219</v>
      </c>
      <c r="F1164" s="1249">
        <v>9</v>
      </c>
      <c r="G1164" s="1249">
        <v>5</v>
      </c>
      <c r="H1164" s="998">
        <v>11476.1</v>
      </c>
      <c r="I1164" s="998">
        <v>10001.700000000001</v>
      </c>
      <c r="J1164" s="998">
        <f>I1164-278.2-395.3</f>
        <v>9328.2000000000007</v>
      </c>
      <c r="K1164" s="986">
        <v>400</v>
      </c>
      <c r="L1164" s="998">
        <v>3985513</v>
      </c>
      <c r="M1164" s="998">
        <v>0</v>
      </c>
      <c r="N1164" s="998">
        <v>0</v>
      </c>
      <c r="O1164" s="998">
        <v>3985513</v>
      </c>
      <c r="P1164" s="998">
        <v>0</v>
      </c>
      <c r="Q1164" s="998">
        <v>0</v>
      </c>
      <c r="R1164" s="998">
        <f t="shared" si="349"/>
        <v>398.48355779517482</v>
      </c>
      <c r="S1164" s="988">
        <v>2018</v>
      </c>
      <c r="T1164" s="988" t="s">
        <v>1269</v>
      </c>
    </row>
    <row r="1165" spans="1:20" s="1013" customFormat="1" ht="41.25" customHeight="1">
      <c r="A1165" s="1249">
        <v>241</v>
      </c>
      <c r="B1165" s="1371" t="s">
        <v>2273</v>
      </c>
      <c r="C1165" s="1249">
        <v>1987</v>
      </c>
      <c r="D1165" s="1249"/>
      <c r="E1165" s="1249" t="s">
        <v>219</v>
      </c>
      <c r="F1165" s="1249">
        <v>9</v>
      </c>
      <c r="G1165" s="1249">
        <v>4</v>
      </c>
      <c r="H1165" s="998">
        <v>8694</v>
      </c>
      <c r="I1165" s="998">
        <v>7667.4</v>
      </c>
      <c r="J1165" s="998">
        <f>I1165-282</f>
        <v>7385.4</v>
      </c>
      <c r="K1165" s="986">
        <v>365</v>
      </c>
      <c r="L1165" s="998">
        <v>3218731</v>
      </c>
      <c r="M1165" s="998">
        <v>0</v>
      </c>
      <c r="N1165" s="998">
        <v>0</v>
      </c>
      <c r="O1165" s="998">
        <v>3218731</v>
      </c>
      <c r="P1165" s="998">
        <v>0</v>
      </c>
      <c r="Q1165" s="998">
        <v>0</v>
      </c>
      <c r="R1165" s="998">
        <f t="shared" si="349"/>
        <v>419.79432402118061</v>
      </c>
      <c r="S1165" s="988">
        <v>2018</v>
      </c>
      <c r="T1165" s="988" t="s">
        <v>1269</v>
      </c>
    </row>
    <row r="1166" spans="1:20" s="1013" customFormat="1" ht="41.25" customHeight="1">
      <c r="A1166" s="1249">
        <v>242</v>
      </c>
      <c r="B1166" s="1371" t="s">
        <v>2202</v>
      </c>
      <c r="C1166" s="1249">
        <v>1989</v>
      </c>
      <c r="D1166" s="1249"/>
      <c r="E1166" s="1249" t="s">
        <v>219</v>
      </c>
      <c r="F1166" s="1249">
        <v>5</v>
      </c>
      <c r="G1166" s="1249">
        <v>3</v>
      </c>
      <c r="H1166" s="998">
        <v>2457.9</v>
      </c>
      <c r="I1166" s="998">
        <v>2139.1999999999998</v>
      </c>
      <c r="J1166" s="998">
        <f>I1166-108.8</f>
        <v>2030.3999999999999</v>
      </c>
      <c r="K1166" s="986">
        <v>135</v>
      </c>
      <c r="L1166" s="998">
        <v>1378607</v>
      </c>
      <c r="M1166" s="998">
        <v>0</v>
      </c>
      <c r="N1166" s="998">
        <v>0</v>
      </c>
      <c r="O1166" s="998">
        <v>1378607</v>
      </c>
      <c r="P1166" s="998">
        <v>0</v>
      </c>
      <c r="Q1166" s="998">
        <v>0</v>
      </c>
      <c r="R1166" s="998">
        <f t="shared" si="349"/>
        <v>644.44979431563206</v>
      </c>
      <c r="S1166" s="988">
        <v>2018</v>
      </c>
      <c r="T1166" s="988" t="s">
        <v>1269</v>
      </c>
    </row>
    <row r="1167" spans="1:20" s="1013" customFormat="1" ht="41.25" customHeight="1">
      <c r="A1167" s="1249">
        <v>243</v>
      </c>
      <c r="B1167" s="1371" t="s">
        <v>2209</v>
      </c>
      <c r="C1167" s="1249">
        <v>1927</v>
      </c>
      <c r="D1167" s="1249"/>
      <c r="E1167" s="1249" t="s">
        <v>221</v>
      </c>
      <c r="F1167" s="1249">
        <v>2</v>
      </c>
      <c r="G1167" s="1249">
        <v>1</v>
      </c>
      <c r="H1167" s="998">
        <v>351.1</v>
      </c>
      <c r="I1167" s="998">
        <v>322.89999999999998</v>
      </c>
      <c r="J1167" s="998">
        <f>I1167-38.8</f>
        <v>284.09999999999997</v>
      </c>
      <c r="K1167" s="986">
        <v>16</v>
      </c>
      <c r="L1167" s="998">
        <v>1220099</v>
      </c>
      <c r="M1167" s="998">
        <v>0</v>
      </c>
      <c r="N1167" s="998">
        <v>0</v>
      </c>
      <c r="O1167" s="998">
        <v>1220099</v>
      </c>
      <c r="P1167" s="998">
        <v>0</v>
      </c>
      <c r="Q1167" s="998">
        <v>0</v>
      </c>
      <c r="R1167" s="998">
        <f t="shared" si="349"/>
        <v>3778.5661195416542</v>
      </c>
      <c r="S1167" s="988">
        <v>2018</v>
      </c>
      <c r="T1167" s="988" t="s">
        <v>1269</v>
      </c>
    </row>
    <row r="1168" spans="1:20" s="1013" customFormat="1" ht="41.25" customHeight="1">
      <c r="A1168" s="1249">
        <v>244</v>
      </c>
      <c r="B1168" s="1371" t="s">
        <v>2210</v>
      </c>
      <c r="C1168" s="1249">
        <v>1939</v>
      </c>
      <c r="D1168" s="1249"/>
      <c r="E1168" s="1249" t="s">
        <v>218</v>
      </c>
      <c r="F1168" s="1249">
        <v>4</v>
      </c>
      <c r="G1168" s="1249">
        <v>7</v>
      </c>
      <c r="H1168" s="998">
        <v>4990.8999999999996</v>
      </c>
      <c r="I1168" s="998">
        <v>4423.3999999999996</v>
      </c>
      <c r="J1168" s="998">
        <f>I1168-383.4-136.5</f>
        <v>3903.4999999999995</v>
      </c>
      <c r="K1168" s="986">
        <v>145</v>
      </c>
      <c r="L1168" s="998">
        <v>16840471</v>
      </c>
      <c r="M1168" s="998">
        <v>0</v>
      </c>
      <c r="N1168" s="998">
        <v>0</v>
      </c>
      <c r="O1168" s="998">
        <v>16840471</v>
      </c>
      <c r="P1168" s="998">
        <v>0</v>
      </c>
      <c r="Q1168" s="998">
        <v>0</v>
      </c>
      <c r="R1168" s="998">
        <f t="shared" si="349"/>
        <v>3807.1327485644529</v>
      </c>
      <c r="S1168" s="988">
        <v>2018</v>
      </c>
      <c r="T1168" s="988" t="s">
        <v>1269</v>
      </c>
    </row>
    <row r="1169" spans="1:20" s="1013" customFormat="1" ht="41.25" customHeight="1">
      <c r="A1169" s="1249">
        <v>245</v>
      </c>
      <c r="B1169" s="1371" t="s">
        <v>2211</v>
      </c>
      <c r="C1169" s="1249">
        <v>1929</v>
      </c>
      <c r="D1169" s="1249"/>
      <c r="E1169" s="1249" t="s">
        <v>218</v>
      </c>
      <c r="F1169" s="1249">
        <v>3</v>
      </c>
      <c r="G1169" s="1249">
        <v>1</v>
      </c>
      <c r="H1169" s="998">
        <v>1271</v>
      </c>
      <c r="I1169" s="998">
        <v>1164.0999999999999</v>
      </c>
      <c r="J1169" s="998">
        <f>I1169-876</f>
        <v>288.09999999999991</v>
      </c>
      <c r="K1169" s="986">
        <v>11</v>
      </c>
      <c r="L1169" s="998">
        <v>1600936</v>
      </c>
      <c r="M1169" s="998">
        <v>0</v>
      </c>
      <c r="N1169" s="998">
        <v>0</v>
      </c>
      <c r="O1169" s="998">
        <v>1600936</v>
      </c>
      <c r="P1169" s="998">
        <v>0</v>
      </c>
      <c r="Q1169" s="998">
        <v>0</v>
      </c>
      <c r="R1169" s="998">
        <f t="shared" si="349"/>
        <v>1375.2564212696504</v>
      </c>
      <c r="S1169" s="988">
        <v>2018</v>
      </c>
      <c r="T1169" s="988" t="s">
        <v>1269</v>
      </c>
    </row>
    <row r="1170" spans="1:20" s="1013" customFormat="1" ht="41.25" customHeight="1">
      <c r="A1170" s="1249">
        <v>246</v>
      </c>
      <c r="B1170" s="1371" t="s">
        <v>2212</v>
      </c>
      <c r="C1170" s="1249">
        <v>1929</v>
      </c>
      <c r="D1170" s="1249"/>
      <c r="E1170" s="1249" t="s">
        <v>220</v>
      </c>
      <c r="F1170" s="1249">
        <v>3</v>
      </c>
      <c r="G1170" s="1249">
        <v>2</v>
      </c>
      <c r="H1170" s="998">
        <v>1006.1</v>
      </c>
      <c r="I1170" s="998">
        <v>966.2</v>
      </c>
      <c r="J1170" s="998">
        <f>I1170-58.1</f>
        <v>908.1</v>
      </c>
      <c r="K1170" s="986">
        <v>41</v>
      </c>
      <c r="L1170" s="998">
        <v>2307047</v>
      </c>
      <c r="M1170" s="998">
        <v>0</v>
      </c>
      <c r="N1170" s="998">
        <v>0</v>
      </c>
      <c r="O1170" s="998">
        <v>2307047</v>
      </c>
      <c r="P1170" s="998">
        <v>0</v>
      </c>
      <c r="Q1170" s="998">
        <v>0</v>
      </c>
      <c r="R1170" s="998">
        <f t="shared" si="349"/>
        <v>2387.7530531980956</v>
      </c>
      <c r="S1170" s="988">
        <v>2018</v>
      </c>
      <c r="T1170" s="988" t="s">
        <v>1269</v>
      </c>
    </row>
    <row r="1171" spans="1:20" s="1013" customFormat="1" ht="41.25" customHeight="1">
      <c r="A1171" s="1249">
        <v>247</v>
      </c>
      <c r="B1171" s="1371" t="s">
        <v>2213</v>
      </c>
      <c r="C1171" s="1249">
        <v>1950</v>
      </c>
      <c r="D1171" s="1249"/>
      <c r="E1171" s="1249" t="s">
        <v>220</v>
      </c>
      <c r="F1171" s="1249">
        <v>2</v>
      </c>
      <c r="G1171" s="1249">
        <v>1</v>
      </c>
      <c r="H1171" s="998">
        <v>463.1</v>
      </c>
      <c r="I1171" s="998">
        <v>422.3</v>
      </c>
      <c r="J1171" s="998">
        <f>I1171-53.6-136.5</f>
        <v>232.2</v>
      </c>
      <c r="K1171" s="986">
        <v>20</v>
      </c>
      <c r="L1171" s="998">
        <v>214414</v>
      </c>
      <c r="M1171" s="998">
        <v>0</v>
      </c>
      <c r="N1171" s="998">
        <v>0</v>
      </c>
      <c r="O1171" s="998">
        <v>214414</v>
      </c>
      <c r="P1171" s="998">
        <v>0</v>
      </c>
      <c r="Q1171" s="998">
        <v>0</v>
      </c>
      <c r="R1171" s="998">
        <f t="shared" si="349"/>
        <v>507.7291025337438</v>
      </c>
      <c r="S1171" s="988">
        <v>2018</v>
      </c>
      <c r="T1171" s="988" t="s">
        <v>1269</v>
      </c>
    </row>
    <row r="1172" spans="1:20" s="1013" customFormat="1" ht="41.25" customHeight="1">
      <c r="A1172" s="1249">
        <v>248</v>
      </c>
      <c r="B1172" s="1371" t="s">
        <v>2242</v>
      </c>
      <c r="C1172" s="1249">
        <v>1964</v>
      </c>
      <c r="D1172" s="1249"/>
      <c r="E1172" s="1249" t="s">
        <v>218</v>
      </c>
      <c r="F1172" s="1249">
        <v>5</v>
      </c>
      <c r="G1172" s="1249">
        <v>4</v>
      </c>
      <c r="H1172" s="998">
        <v>4243</v>
      </c>
      <c r="I1172" s="998">
        <v>3248.9</v>
      </c>
      <c r="J1172" s="998">
        <f>I1172-705.7-425.1</f>
        <v>2118.1</v>
      </c>
      <c r="K1172" s="986">
        <v>114</v>
      </c>
      <c r="L1172" s="998">
        <v>3036528</v>
      </c>
      <c r="M1172" s="998">
        <v>0</v>
      </c>
      <c r="N1172" s="998">
        <v>0</v>
      </c>
      <c r="O1172" s="998">
        <v>3036528</v>
      </c>
      <c r="P1172" s="998">
        <v>0</v>
      </c>
      <c r="Q1172" s="998">
        <v>0</v>
      </c>
      <c r="R1172" s="998">
        <f t="shared" si="349"/>
        <v>934.63264489519531</v>
      </c>
      <c r="S1172" s="988">
        <v>2018</v>
      </c>
      <c r="T1172" s="988" t="s">
        <v>1269</v>
      </c>
    </row>
    <row r="1173" spans="1:20" s="1013" customFormat="1" ht="41.25" customHeight="1">
      <c r="A1173" s="1249">
        <v>249</v>
      </c>
      <c r="B1173" s="1371" t="s">
        <v>2214</v>
      </c>
      <c r="C1173" s="1249">
        <v>1984</v>
      </c>
      <c r="D1173" s="1249"/>
      <c r="E1173" s="1249" t="s">
        <v>219</v>
      </c>
      <c r="F1173" s="1249">
        <v>9</v>
      </c>
      <c r="G1173" s="1249">
        <v>1</v>
      </c>
      <c r="H1173" s="998">
        <v>5289.8</v>
      </c>
      <c r="I1173" s="998">
        <v>4502.8</v>
      </c>
      <c r="J1173" s="998">
        <f>I1173-615.4-322.5</f>
        <v>3564.9</v>
      </c>
      <c r="K1173" s="986">
        <v>214</v>
      </c>
      <c r="L1173" s="998">
        <v>7849898</v>
      </c>
      <c r="M1173" s="998">
        <v>0</v>
      </c>
      <c r="N1173" s="998">
        <v>0</v>
      </c>
      <c r="O1173" s="998">
        <v>7849898</v>
      </c>
      <c r="P1173" s="998">
        <v>0</v>
      </c>
      <c r="Q1173" s="998">
        <v>0</v>
      </c>
      <c r="R1173" s="998">
        <f>L1173/I1173</f>
        <v>1743.3370347339433</v>
      </c>
      <c r="S1173" s="988">
        <v>2018</v>
      </c>
      <c r="T1173" s="988" t="s">
        <v>1269</v>
      </c>
    </row>
    <row r="1174" spans="1:20" s="1013" customFormat="1" ht="41.25" customHeight="1">
      <c r="A1174" s="1249">
        <v>250</v>
      </c>
      <c r="B1174" s="1369" t="s">
        <v>258</v>
      </c>
      <c r="C1174" s="1249">
        <v>1950</v>
      </c>
      <c r="D1174" s="1249"/>
      <c r="E1174" s="1249" t="s">
        <v>823</v>
      </c>
      <c r="F1174" s="1249">
        <v>2</v>
      </c>
      <c r="G1174" s="1249">
        <v>3</v>
      </c>
      <c r="H1174" s="998">
        <v>1395.9</v>
      </c>
      <c r="I1174" s="998">
        <v>1264.5999999999999</v>
      </c>
      <c r="J1174" s="998">
        <v>913.3</v>
      </c>
      <c r="K1174" s="986">
        <v>49</v>
      </c>
      <c r="L1174" s="998">
        <v>72530</v>
      </c>
      <c r="M1174" s="998">
        <v>0</v>
      </c>
      <c r="N1174" s="998">
        <v>0</v>
      </c>
      <c r="O1174" s="998">
        <v>72530</v>
      </c>
      <c r="P1174" s="998">
        <v>0</v>
      </c>
      <c r="Q1174" s="998">
        <v>0</v>
      </c>
      <c r="R1174" s="998">
        <f t="shared" ref="R1174:R1214" si="350">L1174/I1174</f>
        <v>57.354104064526339</v>
      </c>
      <c r="S1174" s="1249">
        <v>2019</v>
      </c>
      <c r="T1174" s="1129" t="s">
        <v>1269</v>
      </c>
    </row>
    <row r="1175" spans="1:20" s="1013" customFormat="1" ht="41.25" customHeight="1">
      <c r="A1175" s="1249">
        <v>251</v>
      </c>
      <c r="B1175" s="1371" t="s">
        <v>2170</v>
      </c>
      <c r="C1175" s="1249">
        <v>1975</v>
      </c>
      <c r="D1175" s="1249"/>
      <c r="E1175" s="1249" t="s">
        <v>219</v>
      </c>
      <c r="F1175" s="1249">
        <v>9</v>
      </c>
      <c r="G1175" s="1249">
        <v>2</v>
      </c>
      <c r="H1175" s="998">
        <v>4377.7</v>
      </c>
      <c r="I1175" s="998">
        <v>3881.7</v>
      </c>
      <c r="J1175" s="998">
        <v>3766.9</v>
      </c>
      <c r="K1175" s="986">
        <v>160</v>
      </c>
      <c r="L1175" s="998">
        <v>454777</v>
      </c>
      <c r="M1175" s="998">
        <v>0</v>
      </c>
      <c r="N1175" s="998">
        <v>0</v>
      </c>
      <c r="O1175" s="998">
        <v>454777</v>
      </c>
      <c r="P1175" s="998">
        <v>0</v>
      </c>
      <c r="Q1175" s="998">
        <v>0</v>
      </c>
      <c r="R1175" s="998">
        <f t="shared" si="350"/>
        <v>117.1592343560811</v>
      </c>
      <c r="S1175" s="1249">
        <v>2019</v>
      </c>
      <c r="T1175" s="1129" t="s">
        <v>1269</v>
      </c>
    </row>
    <row r="1176" spans="1:20" s="1013" customFormat="1" ht="41.25" customHeight="1">
      <c r="A1176" s="1249">
        <v>252</v>
      </c>
      <c r="B1176" s="1371" t="s">
        <v>2171</v>
      </c>
      <c r="C1176" s="1249" t="s">
        <v>190</v>
      </c>
      <c r="D1176" s="1249"/>
      <c r="E1176" s="1249" t="s">
        <v>218</v>
      </c>
      <c r="F1176" s="1249">
        <v>4</v>
      </c>
      <c r="G1176" s="1249">
        <v>2</v>
      </c>
      <c r="H1176" s="998">
        <v>1002.4</v>
      </c>
      <c r="I1176" s="998">
        <v>878.31</v>
      </c>
      <c r="J1176" s="998">
        <v>586.1</v>
      </c>
      <c r="K1176" s="986">
        <v>26</v>
      </c>
      <c r="L1176" s="998">
        <v>372974</v>
      </c>
      <c r="M1176" s="998">
        <v>0</v>
      </c>
      <c r="N1176" s="998">
        <v>0</v>
      </c>
      <c r="O1176" s="998">
        <v>372974</v>
      </c>
      <c r="P1176" s="998">
        <v>0</v>
      </c>
      <c r="Q1176" s="998">
        <v>0</v>
      </c>
      <c r="R1176" s="998">
        <f t="shared" si="350"/>
        <v>424.6496111851169</v>
      </c>
      <c r="S1176" s="1249">
        <v>2019</v>
      </c>
      <c r="T1176" s="1129" t="s">
        <v>1269</v>
      </c>
    </row>
    <row r="1177" spans="1:20" s="1013" customFormat="1" ht="41.25" customHeight="1">
      <c r="A1177" s="1249">
        <v>253</v>
      </c>
      <c r="B1177" s="1371" t="s">
        <v>2203</v>
      </c>
      <c r="C1177" s="1249">
        <v>1963</v>
      </c>
      <c r="D1177" s="1249"/>
      <c r="E1177" s="1249" t="s">
        <v>218</v>
      </c>
      <c r="F1177" s="1249">
        <v>4</v>
      </c>
      <c r="G1177" s="1249">
        <v>4</v>
      </c>
      <c r="H1177" s="998">
        <v>2674.2</v>
      </c>
      <c r="I1177" s="998">
        <v>2572.4</v>
      </c>
      <c r="J1177" s="998">
        <v>2530.3000000000002</v>
      </c>
      <c r="K1177" s="986">
        <v>129</v>
      </c>
      <c r="L1177" s="998">
        <v>2568253.77</v>
      </c>
      <c r="M1177" s="998">
        <v>0</v>
      </c>
      <c r="N1177" s="998">
        <v>0</v>
      </c>
      <c r="O1177" s="998">
        <f>L1177</f>
        <v>2568253.77</v>
      </c>
      <c r="P1177" s="998">
        <v>0</v>
      </c>
      <c r="Q1177" s="998">
        <v>0</v>
      </c>
      <c r="R1177" s="998">
        <f t="shared" si="350"/>
        <v>998.3881861296843</v>
      </c>
      <c r="S1177" s="1249">
        <v>2019</v>
      </c>
      <c r="T1177" s="1129" t="s">
        <v>1269</v>
      </c>
    </row>
    <row r="1178" spans="1:20" s="1013" customFormat="1" ht="41.25" customHeight="1">
      <c r="A1178" s="1249">
        <v>254</v>
      </c>
      <c r="B1178" s="1369" t="s">
        <v>2172</v>
      </c>
      <c r="C1178" s="1249">
        <v>1926</v>
      </c>
      <c r="D1178" s="1249"/>
      <c r="E1178" s="1249" t="s">
        <v>221</v>
      </c>
      <c r="F1178" s="1249">
        <v>2</v>
      </c>
      <c r="G1178" s="1249">
        <v>2</v>
      </c>
      <c r="H1178" s="998">
        <v>565.29999999999995</v>
      </c>
      <c r="I1178" s="998">
        <v>548.4</v>
      </c>
      <c r="J1178" s="998">
        <v>321.10000000000002</v>
      </c>
      <c r="K1178" s="986">
        <v>24</v>
      </c>
      <c r="L1178" s="998">
        <v>243748</v>
      </c>
      <c r="M1178" s="998">
        <v>0</v>
      </c>
      <c r="N1178" s="998">
        <v>0</v>
      </c>
      <c r="O1178" s="998">
        <v>243748</v>
      </c>
      <c r="P1178" s="998">
        <v>0</v>
      </c>
      <c r="Q1178" s="998">
        <v>0</v>
      </c>
      <c r="R1178" s="998">
        <f t="shared" si="350"/>
        <v>444.47118891320207</v>
      </c>
      <c r="S1178" s="1249">
        <v>2019</v>
      </c>
      <c r="T1178" s="1129" t="s">
        <v>1269</v>
      </c>
    </row>
    <row r="1179" spans="1:20" s="1172" customFormat="1" ht="41.25" customHeight="1">
      <c r="A1179" s="1249">
        <v>255</v>
      </c>
      <c r="B1179" s="1371" t="s">
        <v>2173</v>
      </c>
      <c r="C1179" s="1249">
        <v>1997</v>
      </c>
      <c r="D1179" s="1249"/>
      <c r="E1179" s="1249" t="s">
        <v>219</v>
      </c>
      <c r="F1179" s="1249" t="s">
        <v>1673</v>
      </c>
      <c r="G1179" s="1249">
        <v>4</v>
      </c>
      <c r="H1179" s="998">
        <v>11350.73</v>
      </c>
      <c r="I1179" s="998">
        <v>10040</v>
      </c>
      <c r="J1179" s="998">
        <v>10040</v>
      </c>
      <c r="K1179" s="986">
        <v>363</v>
      </c>
      <c r="L1179" s="998">
        <v>3647790</v>
      </c>
      <c r="M1179" s="998">
        <v>0</v>
      </c>
      <c r="N1179" s="998">
        <v>0</v>
      </c>
      <c r="O1179" s="998">
        <v>3647790</v>
      </c>
      <c r="P1179" s="998">
        <v>0</v>
      </c>
      <c r="Q1179" s="998">
        <v>0</v>
      </c>
      <c r="R1179" s="998">
        <f t="shared" si="350"/>
        <v>363.32569721115539</v>
      </c>
      <c r="S1179" s="1249">
        <v>2019</v>
      </c>
      <c r="T1179" s="1129" t="s">
        <v>1269</v>
      </c>
    </row>
    <row r="1180" spans="1:20" s="1172" customFormat="1" ht="41.25" customHeight="1">
      <c r="A1180" s="1249">
        <v>256</v>
      </c>
      <c r="B1180" s="1371" t="s">
        <v>2174</v>
      </c>
      <c r="C1180" s="1249">
        <v>1834</v>
      </c>
      <c r="D1180" s="1249"/>
      <c r="E1180" s="1249" t="s">
        <v>218</v>
      </c>
      <c r="F1180" s="1249">
        <v>3</v>
      </c>
      <c r="G1180" s="1249">
        <v>2</v>
      </c>
      <c r="H1180" s="998">
        <v>946.3</v>
      </c>
      <c r="I1180" s="998">
        <v>852.3</v>
      </c>
      <c r="J1180" s="998">
        <v>261.89999999999998</v>
      </c>
      <c r="K1180" s="986">
        <v>9</v>
      </c>
      <c r="L1180" s="998">
        <v>10188480</v>
      </c>
      <c r="M1180" s="998">
        <v>0</v>
      </c>
      <c r="N1180" s="998">
        <v>0</v>
      </c>
      <c r="O1180" s="998">
        <f>L1180</f>
        <v>10188480</v>
      </c>
      <c r="P1180" s="998">
        <v>0</v>
      </c>
      <c r="Q1180" s="998">
        <v>0</v>
      </c>
      <c r="R1180" s="998">
        <f t="shared" si="350"/>
        <v>11954.100668778599</v>
      </c>
      <c r="S1180" s="1249">
        <v>2019</v>
      </c>
      <c r="T1180" s="1129" t="s">
        <v>1269</v>
      </c>
    </row>
    <row r="1181" spans="1:20" s="1013" customFormat="1" ht="41.25" customHeight="1">
      <c r="A1181" s="1249">
        <v>257</v>
      </c>
      <c r="B1181" s="1371" t="s">
        <v>2175</v>
      </c>
      <c r="C1181" s="1249">
        <v>1853</v>
      </c>
      <c r="D1181" s="1249"/>
      <c r="E1181" s="1249" t="s">
        <v>221</v>
      </c>
      <c r="F1181" s="1249">
        <v>2</v>
      </c>
      <c r="G1181" s="1249">
        <v>1</v>
      </c>
      <c r="H1181" s="998">
        <v>183.2</v>
      </c>
      <c r="I1181" s="998">
        <v>169.7</v>
      </c>
      <c r="J1181" s="998">
        <v>82</v>
      </c>
      <c r="K1181" s="986">
        <v>17</v>
      </c>
      <c r="L1181" s="998">
        <v>446556</v>
      </c>
      <c r="M1181" s="998">
        <v>0</v>
      </c>
      <c r="N1181" s="998">
        <v>0</v>
      </c>
      <c r="O1181" s="998">
        <f>L1181</f>
        <v>446556</v>
      </c>
      <c r="P1181" s="998">
        <v>0</v>
      </c>
      <c r="Q1181" s="998">
        <v>0</v>
      </c>
      <c r="R1181" s="998">
        <f t="shared" si="350"/>
        <v>2631.4437242192107</v>
      </c>
      <c r="S1181" s="1249">
        <v>2019</v>
      </c>
      <c r="T1181" s="1129" t="s">
        <v>1269</v>
      </c>
    </row>
    <row r="1182" spans="1:20" s="1013" customFormat="1" ht="41.25" customHeight="1">
      <c r="A1182" s="1249">
        <v>258</v>
      </c>
      <c r="B1182" s="1371" t="s">
        <v>2243</v>
      </c>
      <c r="C1182" s="1249">
        <v>1911</v>
      </c>
      <c r="D1182" s="1249"/>
      <c r="E1182" s="1249" t="s">
        <v>218</v>
      </c>
      <c r="F1182" s="1249">
        <v>4</v>
      </c>
      <c r="G1182" s="1249">
        <v>3</v>
      </c>
      <c r="H1182" s="998">
        <v>4610.2</v>
      </c>
      <c r="I1182" s="998">
        <v>2936.2</v>
      </c>
      <c r="J1182" s="998">
        <v>601.9</v>
      </c>
      <c r="K1182" s="986">
        <v>302</v>
      </c>
      <c r="L1182" s="998">
        <v>1931197</v>
      </c>
      <c r="M1182" s="998">
        <v>0</v>
      </c>
      <c r="N1182" s="998">
        <v>0</v>
      </c>
      <c r="O1182" s="998">
        <v>1931197</v>
      </c>
      <c r="P1182" s="998">
        <v>0</v>
      </c>
      <c r="Q1182" s="998">
        <v>0</v>
      </c>
      <c r="R1182" s="998">
        <f t="shared" si="350"/>
        <v>657.7198419726177</v>
      </c>
      <c r="S1182" s="1249">
        <v>2019</v>
      </c>
      <c r="T1182" s="1129" t="s">
        <v>1269</v>
      </c>
    </row>
    <row r="1183" spans="1:20" s="1013" customFormat="1" ht="41.25" customHeight="1">
      <c r="A1183" s="1249">
        <v>259</v>
      </c>
      <c r="B1183" s="1371" t="s">
        <v>2176</v>
      </c>
      <c r="C1183" s="1249" t="s">
        <v>190</v>
      </c>
      <c r="D1183" s="1249"/>
      <c r="E1183" s="1249" t="s">
        <v>218</v>
      </c>
      <c r="F1183" s="1249">
        <v>3</v>
      </c>
      <c r="G1183" s="1249">
        <v>2</v>
      </c>
      <c r="H1183" s="998">
        <v>781.2</v>
      </c>
      <c r="I1183" s="998">
        <v>709.4</v>
      </c>
      <c r="J1183" s="998">
        <v>436.3</v>
      </c>
      <c r="K1183" s="986">
        <v>42</v>
      </c>
      <c r="L1183" s="998">
        <v>405378</v>
      </c>
      <c r="M1183" s="998">
        <v>0</v>
      </c>
      <c r="N1183" s="998">
        <v>0</v>
      </c>
      <c r="O1183" s="998">
        <f>L1183</f>
        <v>405378</v>
      </c>
      <c r="P1183" s="998">
        <v>0</v>
      </c>
      <c r="Q1183" s="998">
        <v>0</v>
      </c>
      <c r="R1183" s="998">
        <f t="shared" si="350"/>
        <v>571.4378347899634</v>
      </c>
      <c r="S1183" s="1249">
        <v>2019</v>
      </c>
      <c r="T1183" s="1129" t="s">
        <v>1269</v>
      </c>
    </row>
    <row r="1184" spans="1:20" s="999" customFormat="1" ht="41.25" customHeight="1">
      <c r="A1184" s="1249">
        <v>260</v>
      </c>
      <c r="B1184" s="1371" t="s">
        <v>2204</v>
      </c>
      <c r="C1184" s="1249">
        <v>1853</v>
      </c>
      <c r="D1184" s="1249"/>
      <c r="E1184" s="1249" t="s">
        <v>221</v>
      </c>
      <c r="F1184" s="1249">
        <v>2</v>
      </c>
      <c r="G1184" s="1249">
        <v>2</v>
      </c>
      <c r="H1184" s="998">
        <v>203.4</v>
      </c>
      <c r="I1184" s="998">
        <v>483.2</v>
      </c>
      <c r="J1184" s="998">
        <v>454.1</v>
      </c>
      <c r="K1184" s="986">
        <v>26</v>
      </c>
      <c r="L1184" s="998">
        <v>3508066</v>
      </c>
      <c r="M1184" s="998">
        <v>0</v>
      </c>
      <c r="N1184" s="998">
        <v>0</v>
      </c>
      <c r="O1184" s="1157">
        <f>L1184</f>
        <v>3508066</v>
      </c>
      <c r="P1184" s="998">
        <v>0</v>
      </c>
      <c r="Q1184" s="998">
        <v>0</v>
      </c>
      <c r="R1184" s="998">
        <f t="shared" si="350"/>
        <v>7260.0703642384105</v>
      </c>
      <c r="S1184" s="1249">
        <v>2019</v>
      </c>
      <c r="T1184" s="1129" t="s">
        <v>1269</v>
      </c>
    </row>
    <row r="1185" spans="1:20" s="999" customFormat="1" ht="41.25" customHeight="1">
      <c r="A1185" s="1249">
        <v>261</v>
      </c>
      <c r="B1185" s="1371" t="s">
        <v>2205</v>
      </c>
      <c r="C1185" s="1249">
        <v>1853</v>
      </c>
      <c r="D1185" s="1249"/>
      <c r="E1185" s="1249" t="s">
        <v>221</v>
      </c>
      <c r="F1185" s="1249">
        <v>2</v>
      </c>
      <c r="G1185" s="1249">
        <v>2</v>
      </c>
      <c r="H1185" s="998">
        <v>516.70000000000005</v>
      </c>
      <c r="I1185" s="998">
        <v>492.3</v>
      </c>
      <c r="J1185" s="998">
        <v>462.3</v>
      </c>
      <c r="K1185" s="986">
        <v>24</v>
      </c>
      <c r="L1185" s="998">
        <v>1292824</v>
      </c>
      <c r="M1185" s="998">
        <v>0</v>
      </c>
      <c r="N1185" s="998">
        <v>0</v>
      </c>
      <c r="O1185" s="1157">
        <v>1292824</v>
      </c>
      <c r="P1185" s="998">
        <v>0</v>
      </c>
      <c r="Q1185" s="998">
        <v>0</v>
      </c>
      <c r="R1185" s="998">
        <f t="shared" si="350"/>
        <v>2626.089782652854</v>
      </c>
      <c r="S1185" s="1249">
        <v>2019</v>
      </c>
      <c r="T1185" s="1129" t="s">
        <v>1269</v>
      </c>
    </row>
    <row r="1186" spans="1:20" s="999" customFormat="1" ht="41.25" customHeight="1">
      <c r="A1186" s="1249">
        <v>262</v>
      </c>
      <c r="B1186" s="1371" t="s">
        <v>2366</v>
      </c>
      <c r="C1186" s="1249">
        <v>1910</v>
      </c>
      <c r="D1186" s="1249"/>
      <c r="E1186" s="1249" t="s">
        <v>218</v>
      </c>
      <c r="F1186" s="1249">
        <v>4</v>
      </c>
      <c r="G1186" s="1249">
        <v>1</v>
      </c>
      <c r="H1186" s="998">
        <v>3725.7</v>
      </c>
      <c r="I1186" s="998">
        <v>1795.2</v>
      </c>
      <c r="J1186" s="998">
        <v>385</v>
      </c>
      <c r="K1186" s="986">
        <v>140</v>
      </c>
      <c r="L1186" s="998">
        <v>20648243</v>
      </c>
      <c r="M1186" s="998">
        <v>0</v>
      </c>
      <c r="N1186" s="998">
        <v>0</v>
      </c>
      <c r="O1186" s="1157">
        <v>20648243</v>
      </c>
      <c r="P1186" s="998">
        <v>0</v>
      </c>
      <c r="Q1186" s="998">
        <v>0</v>
      </c>
      <c r="R1186" s="998">
        <f t="shared" si="350"/>
        <v>11501.917892156862</v>
      </c>
      <c r="S1186" s="1249">
        <v>2019</v>
      </c>
      <c r="T1186" s="1129" t="s">
        <v>1269</v>
      </c>
    </row>
    <row r="1187" spans="1:20" s="999" customFormat="1" ht="41.25" customHeight="1">
      <c r="A1187" s="1249">
        <v>263</v>
      </c>
      <c r="B1187" s="1369" t="s">
        <v>2221</v>
      </c>
      <c r="C1187" s="1249">
        <v>1974</v>
      </c>
      <c r="D1187" s="1249"/>
      <c r="E1187" s="1249" t="s">
        <v>218</v>
      </c>
      <c r="F1187" s="1249">
        <v>9</v>
      </c>
      <c r="G1187" s="1249">
        <v>5</v>
      </c>
      <c r="H1187" s="998">
        <v>15709.9</v>
      </c>
      <c r="I1187" s="998">
        <v>15001.9</v>
      </c>
      <c r="J1187" s="998">
        <v>9777.4</v>
      </c>
      <c r="K1187" s="986">
        <v>340</v>
      </c>
      <c r="L1187" s="998">
        <v>7212203</v>
      </c>
      <c r="M1187" s="998">
        <v>0</v>
      </c>
      <c r="N1187" s="998">
        <v>0</v>
      </c>
      <c r="O1187" s="1157">
        <v>7212203</v>
      </c>
      <c r="P1187" s="998">
        <v>0</v>
      </c>
      <c r="Q1187" s="998">
        <v>0</v>
      </c>
      <c r="R1187" s="998">
        <f t="shared" si="350"/>
        <v>480.75263799918679</v>
      </c>
      <c r="S1187" s="1249">
        <v>2019</v>
      </c>
      <c r="T1187" s="1129" t="s">
        <v>1269</v>
      </c>
    </row>
    <row r="1188" spans="1:20" s="999" customFormat="1" ht="41.25" customHeight="1">
      <c r="A1188" s="1249">
        <v>264</v>
      </c>
      <c r="B1188" s="1371" t="s">
        <v>2222</v>
      </c>
      <c r="C1188" s="1249">
        <v>1954</v>
      </c>
      <c r="D1188" s="1249"/>
      <c r="E1188" s="1249" t="s">
        <v>218</v>
      </c>
      <c r="F1188" s="1249">
        <v>3</v>
      </c>
      <c r="G1188" s="1249">
        <v>3</v>
      </c>
      <c r="H1188" s="998">
        <v>2245.63</v>
      </c>
      <c r="I1188" s="998">
        <v>2070.73</v>
      </c>
      <c r="J1188" s="998">
        <v>1565.93</v>
      </c>
      <c r="K1188" s="986">
        <v>50</v>
      </c>
      <c r="L1188" s="998">
        <v>681212</v>
      </c>
      <c r="M1188" s="998">
        <v>0</v>
      </c>
      <c r="N1188" s="998">
        <v>0</v>
      </c>
      <c r="O1188" s="1157">
        <v>681212</v>
      </c>
      <c r="P1188" s="998">
        <v>0</v>
      </c>
      <c r="Q1188" s="998">
        <v>0</v>
      </c>
      <c r="R1188" s="998">
        <f t="shared" si="350"/>
        <v>328.97190845740391</v>
      </c>
      <c r="S1188" s="1249">
        <v>2019</v>
      </c>
      <c r="T1188" s="1129" t="s">
        <v>1269</v>
      </c>
    </row>
    <row r="1189" spans="1:20" s="1013" customFormat="1" ht="41.25" customHeight="1">
      <c r="A1189" s="1249">
        <v>265</v>
      </c>
      <c r="B1189" s="1371" t="s">
        <v>2244</v>
      </c>
      <c r="C1189" s="1249">
        <v>1982</v>
      </c>
      <c r="D1189" s="1249"/>
      <c r="E1189" s="1249" t="s">
        <v>219</v>
      </c>
      <c r="F1189" s="1249">
        <v>9</v>
      </c>
      <c r="G1189" s="1249">
        <v>1</v>
      </c>
      <c r="H1189" s="998">
        <v>4242.7</v>
      </c>
      <c r="I1189" s="998">
        <v>3874.7</v>
      </c>
      <c r="J1189" s="998">
        <v>3524.5</v>
      </c>
      <c r="K1189" s="986">
        <v>166</v>
      </c>
      <c r="L1189" s="998">
        <v>2431524</v>
      </c>
      <c r="M1189" s="998">
        <v>0</v>
      </c>
      <c r="N1189" s="998">
        <v>0</v>
      </c>
      <c r="O1189" s="1157">
        <v>2431524</v>
      </c>
      <c r="P1189" s="998">
        <v>0</v>
      </c>
      <c r="Q1189" s="998">
        <v>0</v>
      </c>
      <c r="R1189" s="998">
        <f t="shared" si="350"/>
        <v>627.53864815340546</v>
      </c>
      <c r="S1189" s="1249">
        <v>2019</v>
      </c>
      <c r="T1189" s="1129" t="s">
        <v>1269</v>
      </c>
    </row>
    <row r="1190" spans="1:20" s="1013" customFormat="1" ht="41.25" customHeight="1">
      <c r="A1190" s="1249">
        <v>266</v>
      </c>
      <c r="B1190" s="1371" t="s">
        <v>2215</v>
      </c>
      <c r="C1190" s="1249">
        <v>1884</v>
      </c>
      <c r="D1190" s="1249"/>
      <c r="E1190" s="1249" t="s">
        <v>218</v>
      </c>
      <c r="F1190" s="1249">
        <v>2</v>
      </c>
      <c r="G1190" s="1249">
        <v>2</v>
      </c>
      <c r="H1190" s="998">
        <v>975.5</v>
      </c>
      <c r="I1190" s="998">
        <v>886.1</v>
      </c>
      <c r="J1190" s="998">
        <v>658.7</v>
      </c>
      <c r="K1190" s="986">
        <v>52</v>
      </c>
      <c r="L1190" s="998">
        <v>1897034</v>
      </c>
      <c r="M1190" s="998">
        <v>0</v>
      </c>
      <c r="N1190" s="998">
        <v>0</v>
      </c>
      <c r="O1190" s="1157">
        <v>1897034</v>
      </c>
      <c r="P1190" s="998">
        <v>0</v>
      </c>
      <c r="Q1190" s="998">
        <v>0</v>
      </c>
      <c r="R1190" s="998">
        <f t="shared" si="350"/>
        <v>2140.880261821465</v>
      </c>
      <c r="S1190" s="1249">
        <v>2019</v>
      </c>
      <c r="T1190" s="1129" t="s">
        <v>1269</v>
      </c>
    </row>
    <row r="1191" spans="1:20" s="1013" customFormat="1" ht="41.25" customHeight="1">
      <c r="A1191" s="1249">
        <v>267</v>
      </c>
      <c r="B1191" s="1371" t="s">
        <v>2177</v>
      </c>
      <c r="C1191" s="1249">
        <v>1954</v>
      </c>
      <c r="D1191" s="1249"/>
      <c r="E1191" s="1249" t="s">
        <v>218</v>
      </c>
      <c r="F1191" s="1249">
        <v>3</v>
      </c>
      <c r="G1191" s="1249">
        <v>3</v>
      </c>
      <c r="H1191" s="998">
        <v>1585</v>
      </c>
      <c r="I1191" s="998">
        <v>1437.5</v>
      </c>
      <c r="J1191" s="998">
        <v>1281.2</v>
      </c>
      <c r="K1191" s="986">
        <v>71</v>
      </c>
      <c r="L1191" s="998">
        <v>4332481.62</v>
      </c>
      <c r="M1191" s="998">
        <v>0</v>
      </c>
      <c r="N1191" s="998">
        <v>0</v>
      </c>
      <c r="O1191" s="1157">
        <f>L1191</f>
        <v>4332481.62</v>
      </c>
      <c r="P1191" s="998">
        <v>0</v>
      </c>
      <c r="Q1191" s="998">
        <v>0</v>
      </c>
      <c r="R1191" s="998">
        <f t="shared" si="350"/>
        <v>3013.9002573913044</v>
      </c>
      <c r="S1191" s="1249">
        <v>2019</v>
      </c>
      <c r="T1191" s="1129" t="s">
        <v>1269</v>
      </c>
    </row>
    <row r="1192" spans="1:20" s="1013" customFormat="1" ht="41.25" customHeight="1">
      <c r="A1192" s="1249">
        <v>268</v>
      </c>
      <c r="B1192" s="1369" t="s">
        <v>2245</v>
      </c>
      <c r="C1192" s="1249">
        <v>1964</v>
      </c>
      <c r="D1192" s="1249"/>
      <c r="E1192" s="1249" t="s">
        <v>219</v>
      </c>
      <c r="F1192" s="1249">
        <v>5</v>
      </c>
      <c r="G1192" s="1249">
        <v>4</v>
      </c>
      <c r="H1192" s="998">
        <v>3687.9</v>
      </c>
      <c r="I1192" s="998">
        <v>3542</v>
      </c>
      <c r="J1192" s="998">
        <v>3311.8</v>
      </c>
      <c r="K1192" s="986">
        <v>160</v>
      </c>
      <c r="L1192" s="998">
        <v>1376298</v>
      </c>
      <c r="M1192" s="998">
        <v>0</v>
      </c>
      <c r="N1192" s="998">
        <v>0</v>
      </c>
      <c r="O1192" s="1157">
        <v>1376298</v>
      </c>
      <c r="P1192" s="998">
        <v>0</v>
      </c>
      <c r="Q1192" s="998">
        <v>0</v>
      </c>
      <c r="R1192" s="998">
        <f t="shared" si="350"/>
        <v>388.56521739130437</v>
      </c>
      <c r="S1192" s="1249">
        <v>2019</v>
      </c>
      <c r="T1192" s="1129" t="s">
        <v>1269</v>
      </c>
    </row>
    <row r="1193" spans="1:20" s="1013" customFormat="1" ht="41.25" customHeight="1">
      <c r="A1193" s="1249">
        <v>269</v>
      </c>
      <c r="B1193" s="1371" t="s">
        <v>2367</v>
      </c>
      <c r="C1193" s="1249">
        <v>1914</v>
      </c>
      <c r="D1193" s="1249"/>
      <c r="E1193" s="1249" t="s">
        <v>218</v>
      </c>
      <c r="F1193" s="1249">
        <v>4</v>
      </c>
      <c r="G1193" s="1249">
        <v>5</v>
      </c>
      <c r="H1193" s="998">
        <v>2953.4</v>
      </c>
      <c r="I1193" s="998">
        <v>2592.5</v>
      </c>
      <c r="J1193" s="998">
        <v>2418.9</v>
      </c>
      <c r="K1193" s="986">
        <v>90</v>
      </c>
      <c r="L1193" s="998">
        <v>1667542</v>
      </c>
      <c r="M1193" s="998">
        <v>0</v>
      </c>
      <c r="N1193" s="998">
        <v>0</v>
      </c>
      <c r="O1193" s="1157">
        <v>1667542</v>
      </c>
      <c r="P1193" s="998">
        <v>0</v>
      </c>
      <c r="Q1193" s="998">
        <v>0</v>
      </c>
      <c r="R1193" s="998">
        <f t="shared" si="350"/>
        <v>643.21774349083898</v>
      </c>
      <c r="S1193" s="1249">
        <v>2019</v>
      </c>
      <c r="T1193" s="1129" t="s">
        <v>1269</v>
      </c>
    </row>
    <row r="1194" spans="1:20" s="1013" customFormat="1" ht="41.25" customHeight="1">
      <c r="A1194" s="1249">
        <v>270</v>
      </c>
      <c r="B1194" s="1371" t="s">
        <v>2369</v>
      </c>
      <c r="C1194" s="1249">
        <v>1990</v>
      </c>
      <c r="D1194" s="1249"/>
      <c r="E1194" s="1249" t="s">
        <v>219</v>
      </c>
      <c r="F1194" s="1249">
        <v>12</v>
      </c>
      <c r="G1194" s="1249">
        <v>1</v>
      </c>
      <c r="H1194" s="998">
        <v>3817.1</v>
      </c>
      <c r="I1194" s="998">
        <v>3612.4</v>
      </c>
      <c r="J1194" s="998">
        <v>3555.9</v>
      </c>
      <c r="K1194" s="986">
        <v>142</v>
      </c>
      <c r="L1194" s="998">
        <v>1826687</v>
      </c>
      <c r="M1194" s="998">
        <v>0</v>
      </c>
      <c r="N1194" s="998">
        <v>0</v>
      </c>
      <c r="O1194" s="1157">
        <v>1826687</v>
      </c>
      <c r="P1194" s="998">
        <v>0</v>
      </c>
      <c r="Q1194" s="998">
        <v>0</v>
      </c>
      <c r="R1194" s="998">
        <f t="shared" si="350"/>
        <v>505.67129885948401</v>
      </c>
      <c r="S1194" s="1249">
        <v>2019</v>
      </c>
      <c r="T1194" s="1129" t="s">
        <v>1269</v>
      </c>
    </row>
    <row r="1195" spans="1:20" s="1013" customFormat="1" ht="41.25" customHeight="1">
      <c r="A1195" s="1249">
        <v>271</v>
      </c>
      <c r="B1195" s="1371" t="s">
        <v>2368</v>
      </c>
      <c r="C1195" s="1249">
        <v>1985</v>
      </c>
      <c r="D1195" s="1249"/>
      <c r="E1195" s="1249" t="s">
        <v>219</v>
      </c>
      <c r="F1195" s="1249">
        <v>9</v>
      </c>
      <c r="G1195" s="1249">
        <v>10</v>
      </c>
      <c r="H1195" s="998">
        <v>21907.599999999999</v>
      </c>
      <c r="I1195" s="998">
        <v>19734.8</v>
      </c>
      <c r="J1195" s="998">
        <v>19157.599999999999</v>
      </c>
      <c r="K1195" s="986">
        <v>827</v>
      </c>
      <c r="L1195" s="998">
        <v>9302719</v>
      </c>
      <c r="M1195" s="998">
        <v>0</v>
      </c>
      <c r="N1195" s="998">
        <v>0</v>
      </c>
      <c r="O1195" s="1157">
        <v>9302719</v>
      </c>
      <c r="P1195" s="998">
        <v>0</v>
      </c>
      <c r="Q1195" s="998">
        <v>0</v>
      </c>
      <c r="R1195" s="998">
        <f t="shared" si="350"/>
        <v>471.38653546020231</v>
      </c>
      <c r="S1195" s="1249">
        <v>2019</v>
      </c>
      <c r="T1195" s="1129" t="s">
        <v>1269</v>
      </c>
    </row>
    <row r="1196" spans="1:20" s="1013" customFormat="1" ht="41.25" customHeight="1">
      <c r="A1196" s="1249">
        <v>272</v>
      </c>
      <c r="B1196" s="1371" t="s">
        <v>2224</v>
      </c>
      <c r="C1196" s="1249">
        <v>1971</v>
      </c>
      <c r="D1196" s="1249"/>
      <c r="E1196" s="1249" t="s">
        <v>219</v>
      </c>
      <c r="F1196" s="1249">
        <v>9</v>
      </c>
      <c r="G1196" s="1249">
        <v>2</v>
      </c>
      <c r="H1196" s="998">
        <v>4256.6000000000004</v>
      </c>
      <c r="I1196" s="998">
        <v>3834.6</v>
      </c>
      <c r="J1196" s="998">
        <v>3511.5</v>
      </c>
      <c r="K1196" s="986">
        <v>174</v>
      </c>
      <c r="L1196" s="998">
        <v>4863049</v>
      </c>
      <c r="M1196" s="998">
        <v>0</v>
      </c>
      <c r="N1196" s="998">
        <v>0</v>
      </c>
      <c r="O1196" s="1157">
        <v>4863049</v>
      </c>
      <c r="P1196" s="998">
        <v>0</v>
      </c>
      <c r="Q1196" s="998">
        <v>0</v>
      </c>
      <c r="R1196" s="998">
        <f t="shared" si="350"/>
        <v>1268.20242006989</v>
      </c>
      <c r="S1196" s="1249">
        <v>2019</v>
      </c>
      <c r="T1196" s="1129" t="s">
        <v>1269</v>
      </c>
    </row>
    <row r="1197" spans="1:20" s="1013" customFormat="1" ht="41.25" customHeight="1">
      <c r="A1197" s="1249">
        <v>273</v>
      </c>
      <c r="B1197" s="1369" t="s">
        <v>2223</v>
      </c>
      <c r="C1197" s="1249">
        <v>1966</v>
      </c>
      <c r="D1197" s="1249"/>
      <c r="E1197" s="1249" t="s">
        <v>218</v>
      </c>
      <c r="F1197" s="1249">
        <v>9</v>
      </c>
      <c r="G1197" s="1249">
        <v>1</v>
      </c>
      <c r="H1197" s="998">
        <v>3134.8</v>
      </c>
      <c r="I1197" s="998">
        <v>2851.7</v>
      </c>
      <c r="J1197" s="998">
        <v>1892.1</v>
      </c>
      <c r="K1197" s="986">
        <v>96</v>
      </c>
      <c r="L1197" s="998">
        <v>6225321</v>
      </c>
      <c r="M1197" s="998">
        <v>0</v>
      </c>
      <c r="N1197" s="998">
        <v>0</v>
      </c>
      <c r="O1197" s="1157">
        <v>6225321</v>
      </c>
      <c r="P1197" s="998">
        <v>0</v>
      </c>
      <c r="Q1197" s="998">
        <v>0</v>
      </c>
      <c r="R1197" s="998">
        <f t="shared" si="350"/>
        <v>2183.0210050145529</v>
      </c>
      <c r="S1197" s="1249">
        <v>2019</v>
      </c>
      <c r="T1197" s="1129" t="s">
        <v>1269</v>
      </c>
    </row>
    <row r="1198" spans="1:20" s="1013" customFormat="1" ht="41.25" customHeight="1">
      <c r="A1198" s="1249">
        <v>274</v>
      </c>
      <c r="B1198" s="1369" t="s">
        <v>1889</v>
      </c>
      <c r="C1198" s="1249">
        <v>1961</v>
      </c>
      <c r="D1198" s="1249"/>
      <c r="E1198" s="1249" t="s">
        <v>218</v>
      </c>
      <c r="F1198" s="1249">
        <v>5</v>
      </c>
      <c r="G1198" s="1249">
        <v>2</v>
      </c>
      <c r="H1198" s="998">
        <v>1734.2</v>
      </c>
      <c r="I1198" s="998">
        <v>1611.9</v>
      </c>
      <c r="J1198" s="998">
        <v>1579.7</v>
      </c>
      <c r="K1198" s="986">
        <v>43</v>
      </c>
      <c r="L1198" s="998">
        <v>1193601</v>
      </c>
      <c r="M1198" s="998">
        <v>0</v>
      </c>
      <c r="N1198" s="998">
        <v>0</v>
      </c>
      <c r="O1198" s="998">
        <v>1193601</v>
      </c>
      <c r="P1198" s="998">
        <v>0</v>
      </c>
      <c r="Q1198" s="998">
        <v>0</v>
      </c>
      <c r="R1198" s="998">
        <f t="shared" si="350"/>
        <v>740.49320677461378</v>
      </c>
      <c r="S1198" s="1249">
        <v>2019</v>
      </c>
      <c r="T1198" s="1129" t="s">
        <v>1269</v>
      </c>
    </row>
    <row r="1199" spans="1:20" s="1013" customFormat="1" ht="41.25" customHeight="1">
      <c r="A1199" s="1249">
        <v>275</v>
      </c>
      <c r="B1199" s="1369" t="s">
        <v>2178</v>
      </c>
      <c r="C1199" s="1249">
        <v>1859</v>
      </c>
      <c r="D1199" s="1249"/>
      <c r="E1199" s="1249" t="s">
        <v>218</v>
      </c>
      <c r="F1199" s="1249" t="s">
        <v>1674</v>
      </c>
      <c r="G1199" s="1249">
        <v>2</v>
      </c>
      <c r="H1199" s="998">
        <v>2133.6999999999998</v>
      </c>
      <c r="I1199" s="998">
        <v>1888.7</v>
      </c>
      <c r="J1199" s="998">
        <v>1325.3</v>
      </c>
      <c r="K1199" s="986">
        <v>47</v>
      </c>
      <c r="L1199" s="998">
        <v>14340281</v>
      </c>
      <c r="M1199" s="998">
        <v>0</v>
      </c>
      <c r="N1199" s="998">
        <v>0</v>
      </c>
      <c r="O1199" s="1157">
        <v>14340281</v>
      </c>
      <c r="P1199" s="998">
        <v>0</v>
      </c>
      <c r="Q1199" s="998">
        <v>0</v>
      </c>
      <c r="R1199" s="998">
        <f t="shared" si="350"/>
        <v>7592.6727378620217</v>
      </c>
      <c r="S1199" s="1249">
        <v>2019</v>
      </c>
      <c r="T1199" s="1129" t="s">
        <v>1269</v>
      </c>
    </row>
    <row r="1200" spans="1:20" s="1013" customFormat="1" ht="41.25" customHeight="1">
      <c r="A1200" s="1249">
        <v>276</v>
      </c>
      <c r="B1200" s="1371" t="s">
        <v>2206</v>
      </c>
      <c r="C1200" s="1249">
        <v>1984</v>
      </c>
      <c r="D1200" s="1249"/>
      <c r="E1200" s="1249" t="s">
        <v>219</v>
      </c>
      <c r="F1200" s="1249">
        <v>9</v>
      </c>
      <c r="G1200" s="1249">
        <v>2</v>
      </c>
      <c r="H1200" s="998">
        <v>4402.8999999999996</v>
      </c>
      <c r="I1200" s="998">
        <v>3852.5</v>
      </c>
      <c r="J1200" s="998">
        <v>3852.5</v>
      </c>
      <c r="K1200" s="986">
        <v>162</v>
      </c>
      <c r="L1200" s="998">
        <v>2164977</v>
      </c>
      <c r="M1200" s="998">
        <v>0</v>
      </c>
      <c r="N1200" s="998">
        <v>0</v>
      </c>
      <c r="O1200" s="1157">
        <v>2164977</v>
      </c>
      <c r="P1200" s="998">
        <v>0</v>
      </c>
      <c r="Q1200" s="998">
        <v>0</v>
      </c>
      <c r="R1200" s="998">
        <f t="shared" si="350"/>
        <v>561.9667748215445</v>
      </c>
      <c r="S1200" s="1249">
        <v>2019</v>
      </c>
      <c r="T1200" s="1129" t="s">
        <v>1269</v>
      </c>
    </row>
    <row r="1201" spans="1:20" s="1013" customFormat="1" ht="41.25" customHeight="1">
      <c r="A1201" s="1249">
        <v>277</v>
      </c>
      <c r="B1201" s="1369" t="s">
        <v>2225</v>
      </c>
      <c r="C1201" s="1249">
        <v>1988</v>
      </c>
      <c r="D1201" s="1249"/>
      <c r="E1201" s="1249" t="s">
        <v>219</v>
      </c>
      <c r="F1201" s="1249">
        <v>9</v>
      </c>
      <c r="G1201" s="1249">
        <v>3</v>
      </c>
      <c r="H1201" s="998">
        <v>6516.4</v>
      </c>
      <c r="I1201" s="998">
        <v>5802.1</v>
      </c>
      <c r="J1201" s="998">
        <v>5701</v>
      </c>
      <c r="K1201" s="986">
        <v>252</v>
      </c>
      <c r="L1201" s="998">
        <v>3159503</v>
      </c>
      <c r="M1201" s="998">
        <v>0</v>
      </c>
      <c r="N1201" s="998">
        <v>0</v>
      </c>
      <c r="O1201" s="1157">
        <v>3159503</v>
      </c>
      <c r="P1201" s="998">
        <v>0</v>
      </c>
      <c r="Q1201" s="998">
        <v>0</v>
      </c>
      <c r="R1201" s="998">
        <f t="shared" si="350"/>
        <v>544.54473380327806</v>
      </c>
      <c r="S1201" s="1249">
        <v>2019</v>
      </c>
      <c r="T1201" s="1129" t="s">
        <v>1269</v>
      </c>
    </row>
    <row r="1202" spans="1:20" ht="44.4" customHeight="1">
      <c r="A1202" s="1249">
        <v>278</v>
      </c>
      <c r="B1202" s="1371" t="s">
        <v>2179</v>
      </c>
      <c r="C1202" s="1249">
        <v>1953</v>
      </c>
      <c r="D1202" s="1249"/>
      <c r="E1202" s="1249" t="s">
        <v>218</v>
      </c>
      <c r="F1202" s="1249">
        <v>4</v>
      </c>
      <c r="G1202" s="1249">
        <v>5</v>
      </c>
      <c r="H1202" s="998">
        <v>5296</v>
      </c>
      <c r="I1202" s="998">
        <v>4249.7</v>
      </c>
      <c r="J1202" s="998">
        <v>3177.9</v>
      </c>
      <c r="K1202" s="986">
        <v>155</v>
      </c>
      <c r="L1202" s="998">
        <v>12525464</v>
      </c>
      <c r="M1202" s="998">
        <v>0</v>
      </c>
      <c r="N1202" s="998">
        <v>0</v>
      </c>
      <c r="O1202" s="1157">
        <v>12525464</v>
      </c>
      <c r="P1202" s="998">
        <v>0</v>
      </c>
      <c r="Q1202" s="998">
        <v>0</v>
      </c>
      <c r="R1202" s="998">
        <f t="shared" si="350"/>
        <v>2947.3760500741232</v>
      </c>
      <c r="S1202" s="1249">
        <v>2019</v>
      </c>
      <c r="T1202" s="1129" t="s">
        <v>1269</v>
      </c>
    </row>
    <row r="1203" spans="1:20" ht="40.200000000000003" customHeight="1">
      <c r="A1203" s="1249">
        <v>279</v>
      </c>
      <c r="B1203" s="1371" t="s">
        <v>2180</v>
      </c>
      <c r="C1203" s="1249">
        <v>1979</v>
      </c>
      <c r="D1203" s="1249"/>
      <c r="E1203" s="1249" t="s">
        <v>218</v>
      </c>
      <c r="F1203" s="1249">
        <v>9</v>
      </c>
      <c r="G1203" s="1249">
        <v>1</v>
      </c>
      <c r="H1203" s="998">
        <v>2675.2</v>
      </c>
      <c r="I1203" s="998">
        <v>2382.6</v>
      </c>
      <c r="J1203" s="998">
        <v>2314.3000000000002</v>
      </c>
      <c r="K1203" s="986">
        <v>88</v>
      </c>
      <c r="L1203" s="998">
        <v>1527891</v>
      </c>
      <c r="M1203" s="998">
        <v>0</v>
      </c>
      <c r="N1203" s="998">
        <v>0</v>
      </c>
      <c r="O1203" s="1157">
        <v>1527891</v>
      </c>
      <c r="P1203" s="998">
        <v>0</v>
      </c>
      <c r="Q1203" s="998">
        <v>0</v>
      </c>
      <c r="R1203" s="998">
        <f t="shared" si="350"/>
        <v>641.27046084109793</v>
      </c>
      <c r="S1203" s="1249">
        <v>2019</v>
      </c>
      <c r="T1203" s="1129" t="s">
        <v>1269</v>
      </c>
    </row>
    <row r="1204" spans="1:20" ht="42" customHeight="1">
      <c r="A1204" s="1249">
        <v>280</v>
      </c>
      <c r="B1204" s="1371" t="s">
        <v>2181</v>
      </c>
      <c r="C1204" s="1249">
        <v>1939</v>
      </c>
      <c r="D1204" s="1249"/>
      <c r="E1204" s="1249" t="s">
        <v>218</v>
      </c>
      <c r="F1204" s="1249">
        <v>5</v>
      </c>
      <c r="G1204" s="1249">
        <v>12</v>
      </c>
      <c r="H1204" s="998">
        <v>9744.2999999999993</v>
      </c>
      <c r="I1204" s="998">
        <v>8657.4</v>
      </c>
      <c r="J1204" s="998">
        <v>8470.7999999999993</v>
      </c>
      <c r="K1204" s="986">
        <v>164</v>
      </c>
      <c r="L1204" s="998">
        <v>5568593</v>
      </c>
      <c r="M1204" s="998">
        <v>0</v>
      </c>
      <c r="N1204" s="998">
        <v>0</v>
      </c>
      <c r="O1204" s="1157">
        <v>5568593</v>
      </c>
      <c r="P1204" s="998">
        <v>0</v>
      </c>
      <c r="Q1204" s="998">
        <v>0</v>
      </c>
      <c r="R1204" s="998">
        <f t="shared" si="350"/>
        <v>643.21770970499233</v>
      </c>
      <c r="S1204" s="1249">
        <v>2019</v>
      </c>
      <c r="T1204" s="1129" t="s">
        <v>1269</v>
      </c>
    </row>
    <row r="1205" spans="1:20" ht="42.6" customHeight="1">
      <c r="A1205" s="1249">
        <v>281</v>
      </c>
      <c r="B1205" s="1371" t="s">
        <v>2182</v>
      </c>
      <c r="C1205" s="1249">
        <v>1956</v>
      </c>
      <c r="D1205" s="1249"/>
      <c r="E1205" s="1249" t="s">
        <v>218</v>
      </c>
      <c r="F1205" s="1249">
        <v>2</v>
      </c>
      <c r="G1205" s="1249">
        <v>1</v>
      </c>
      <c r="H1205" s="998">
        <v>569.20000000000005</v>
      </c>
      <c r="I1205" s="998">
        <v>523.9</v>
      </c>
      <c r="J1205" s="998">
        <v>523.9</v>
      </c>
      <c r="K1205" s="986">
        <v>33</v>
      </c>
      <c r="L1205" s="998">
        <v>3073193.41</v>
      </c>
      <c r="M1205" s="998">
        <v>0</v>
      </c>
      <c r="N1205" s="998">
        <v>0</v>
      </c>
      <c r="O1205" s="1157">
        <f>L1205</f>
        <v>3073193.41</v>
      </c>
      <c r="P1205" s="998">
        <v>0</v>
      </c>
      <c r="Q1205" s="998">
        <v>0</v>
      </c>
      <c r="R1205" s="998">
        <f t="shared" si="350"/>
        <v>5865.9923840427564</v>
      </c>
      <c r="S1205" s="1249">
        <v>2019</v>
      </c>
      <c r="T1205" s="1129" t="s">
        <v>1269</v>
      </c>
    </row>
    <row r="1206" spans="1:20" ht="42" customHeight="1">
      <c r="A1206" s="1249">
        <v>282</v>
      </c>
      <c r="B1206" s="1371" t="s">
        <v>2183</v>
      </c>
      <c r="C1206" s="1249">
        <v>1980</v>
      </c>
      <c r="D1206" s="1249"/>
      <c r="E1206" s="1249" t="s">
        <v>218</v>
      </c>
      <c r="F1206" s="1249">
        <v>9</v>
      </c>
      <c r="G1206" s="1249">
        <v>1</v>
      </c>
      <c r="H1206" s="998">
        <v>2599.8000000000002</v>
      </c>
      <c r="I1206" s="998">
        <v>2307</v>
      </c>
      <c r="J1206" s="998">
        <v>2307</v>
      </c>
      <c r="K1206" s="986">
        <v>109</v>
      </c>
      <c r="L1206" s="998">
        <v>1527891</v>
      </c>
      <c r="M1206" s="998">
        <v>0</v>
      </c>
      <c r="N1206" s="998">
        <v>0</v>
      </c>
      <c r="O1206" s="1157">
        <v>1527891</v>
      </c>
      <c r="P1206" s="998">
        <v>0</v>
      </c>
      <c r="Q1206" s="998">
        <v>0</v>
      </c>
      <c r="R1206" s="998">
        <f t="shared" si="350"/>
        <v>662.28478543563074</v>
      </c>
      <c r="S1206" s="1249">
        <v>2019</v>
      </c>
      <c r="T1206" s="1129" t="s">
        <v>1269</v>
      </c>
    </row>
    <row r="1207" spans="1:20" ht="37.200000000000003" customHeight="1">
      <c r="A1207" s="1249">
        <v>283</v>
      </c>
      <c r="B1207" s="1369" t="s">
        <v>2207</v>
      </c>
      <c r="C1207" s="1249">
        <v>1984</v>
      </c>
      <c r="D1207" s="1249"/>
      <c r="E1207" s="1249" t="s">
        <v>219</v>
      </c>
      <c r="F1207" s="1249">
        <v>9</v>
      </c>
      <c r="G1207" s="1249">
        <v>3</v>
      </c>
      <c r="H1207" s="998">
        <v>8084.9</v>
      </c>
      <c r="I1207" s="998">
        <v>6870</v>
      </c>
      <c r="J1207" s="998">
        <v>5645.6</v>
      </c>
      <c r="K1207" s="986">
        <v>234</v>
      </c>
      <c r="L1207" s="998">
        <v>7294573</v>
      </c>
      <c r="M1207" s="998">
        <v>0</v>
      </c>
      <c r="N1207" s="998">
        <v>0</v>
      </c>
      <c r="O1207" s="1157">
        <v>7294573</v>
      </c>
      <c r="P1207" s="998">
        <v>0</v>
      </c>
      <c r="Q1207" s="998">
        <v>0</v>
      </c>
      <c r="R1207" s="998">
        <f t="shared" si="350"/>
        <v>1061.801018922853</v>
      </c>
      <c r="S1207" s="1249">
        <v>2019</v>
      </c>
      <c r="T1207" s="1129" t="s">
        <v>1269</v>
      </c>
    </row>
    <row r="1208" spans="1:20" ht="33.6" customHeight="1">
      <c r="A1208" s="1249">
        <v>284</v>
      </c>
      <c r="B1208" s="1371" t="s">
        <v>2216</v>
      </c>
      <c r="C1208" s="1249">
        <v>1927</v>
      </c>
      <c r="D1208" s="1249"/>
      <c r="E1208" s="1249" t="s">
        <v>221</v>
      </c>
      <c r="F1208" s="1249">
        <v>2</v>
      </c>
      <c r="G1208" s="1249">
        <v>1</v>
      </c>
      <c r="H1208" s="998">
        <v>351.1</v>
      </c>
      <c r="I1208" s="998">
        <v>322.89999999999998</v>
      </c>
      <c r="J1208" s="998">
        <v>322.89999999999998</v>
      </c>
      <c r="K1208" s="986">
        <v>16</v>
      </c>
      <c r="L1208" s="998">
        <v>207695</v>
      </c>
      <c r="M1208" s="998">
        <v>0</v>
      </c>
      <c r="N1208" s="998">
        <v>0</v>
      </c>
      <c r="O1208" s="998">
        <v>207695</v>
      </c>
      <c r="P1208" s="998">
        <v>0</v>
      </c>
      <c r="Q1208" s="998">
        <v>0</v>
      </c>
      <c r="R1208" s="998">
        <f t="shared" si="350"/>
        <v>643.21771446268201</v>
      </c>
      <c r="S1208" s="1249">
        <v>2019</v>
      </c>
      <c r="T1208" s="1129" t="s">
        <v>1269</v>
      </c>
    </row>
    <row r="1209" spans="1:20" ht="33" customHeight="1">
      <c r="A1209" s="1249">
        <v>285</v>
      </c>
      <c r="B1209" s="1371" t="s">
        <v>2259</v>
      </c>
      <c r="C1209" s="1249">
        <v>1983</v>
      </c>
      <c r="D1209" s="1249"/>
      <c r="E1209" s="1249" t="s">
        <v>219</v>
      </c>
      <c r="F1209" s="1249">
        <v>9</v>
      </c>
      <c r="G1209" s="1249">
        <v>9</v>
      </c>
      <c r="H1209" s="998">
        <v>20300.099999999999</v>
      </c>
      <c r="I1209" s="998">
        <v>17962.599999999999</v>
      </c>
      <c r="J1209" s="998">
        <v>16952.2</v>
      </c>
      <c r="K1209" s="986">
        <v>752</v>
      </c>
      <c r="L1209" s="998">
        <v>11094163</v>
      </c>
      <c r="M1209" s="998">
        <v>0</v>
      </c>
      <c r="N1209" s="998">
        <v>0</v>
      </c>
      <c r="O1209" s="1157">
        <v>11094163</v>
      </c>
      <c r="P1209" s="998">
        <v>0</v>
      </c>
      <c r="Q1209" s="998">
        <v>0</v>
      </c>
      <c r="R1209" s="998">
        <f t="shared" si="350"/>
        <v>617.62567779720086</v>
      </c>
      <c r="S1209" s="1249">
        <v>2019</v>
      </c>
      <c r="T1209" s="1129" t="s">
        <v>1269</v>
      </c>
    </row>
    <row r="1210" spans="1:20" ht="34.200000000000003" customHeight="1">
      <c r="A1210" s="1249">
        <v>286</v>
      </c>
      <c r="B1210" s="1369" t="s">
        <v>2208</v>
      </c>
      <c r="C1210" s="1249">
        <v>1980</v>
      </c>
      <c r="D1210" s="1249"/>
      <c r="E1210" s="1249" t="s">
        <v>219</v>
      </c>
      <c r="F1210" s="1249">
        <v>9</v>
      </c>
      <c r="G1210" s="1249">
        <v>4</v>
      </c>
      <c r="H1210" s="998">
        <v>9087</v>
      </c>
      <c r="I1210" s="998">
        <v>8181</v>
      </c>
      <c r="J1210" s="998">
        <v>7859.2</v>
      </c>
      <c r="K1210" s="986">
        <v>344</v>
      </c>
      <c r="L1210" s="998">
        <v>9726097</v>
      </c>
      <c r="M1210" s="998">
        <v>0</v>
      </c>
      <c r="N1210" s="998">
        <v>0</v>
      </c>
      <c r="O1210" s="1157">
        <v>9726097</v>
      </c>
      <c r="P1210" s="998">
        <v>0</v>
      </c>
      <c r="Q1210" s="998">
        <v>0</v>
      </c>
      <c r="R1210" s="998">
        <f t="shared" si="350"/>
        <v>1188.8640752964186</v>
      </c>
      <c r="S1210" s="1249">
        <v>2019</v>
      </c>
      <c r="T1210" s="1129" t="s">
        <v>1269</v>
      </c>
    </row>
    <row r="1211" spans="1:20" ht="37.200000000000003" customHeight="1">
      <c r="A1211" s="1249">
        <v>287</v>
      </c>
      <c r="B1211" s="1371" t="s">
        <v>2184</v>
      </c>
      <c r="C1211" s="1249">
        <v>1917</v>
      </c>
      <c r="D1211" s="1249"/>
      <c r="E1211" s="1249" t="s">
        <v>221</v>
      </c>
      <c r="F1211" s="1249">
        <v>2</v>
      </c>
      <c r="G1211" s="1249">
        <v>1</v>
      </c>
      <c r="H1211" s="998">
        <v>209.8</v>
      </c>
      <c r="I1211" s="998">
        <v>209.8</v>
      </c>
      <c r="J1211" s="998">
        <v>144.1</v>
      </c>
      <c r="K1211" s="986">
        <v>12</v>
      </c>
      <c r="L1211" s="998">
        <v>269720</v>
      </c>
      <c r="M1211" s="998">
        <v>0</v>
      </c>
      <c r="N1211" s="998">
        <v>0</v>
      </c>
      <c r="O1211" s="1157">
        <f>L1211</f>
        <v>269720</v>
      </c>
      <c r="P1211" s="998">
        <v>0</v>
      </c>
      <c r="Q1211" s="998">
        <v>0</v>
      </c>
      <c r="R1211" s="998">
        <f t="shared" si="350"/>
        <v>1285.6053384175405</v>
      </c>
      <c r="S1211" s="1249">
        <v>2019</v>
      </c>
      <c r="T1211" s="1129" t="s">
        <v>1269</v>
      </c>
    </row>
    <row r="1212" spans="1:20" ht="36.6" customHeight="1">
      <c r="A1212" s="1249">
        <v>288</v>
      </c>
      <c r="B1212" s="1371" t="s">
        <v>2185</v>
      </c>
      <c r="C1212" s="1249">
        <v>1987</v>
      </c>
      <c r="D1212" s="1249"/>
      <c r="E1212" s="1249" t="s">
        <v>219</v>
      </c>
      <c r="F1212" s="1249">
        <v>9</v>
      </c>
      <c r="G1212" s="1249">
        <v>6</v>
      </c>
      <c r="H1212" s="998">
        <v>13422.25</v>
      </c>
      <c r="I1212" s="998">
        <v>11924.85</v>
      </c>
      <c r="J1212" s="998">
        <v>11403.05</v>
      </c>
      <c r="K1212" s="986">
        <v>591</v>
      </c>
      <c r="L1212" s="998">
        <v>14589146</v>
      </c>
      <c r="M1212" s="998">
        <v>0</v>
      </c>
      <c r="N1212" s="998">
        <v>0</v>
      </c>
      <c r="O1212" s="1157">
        <v>14589146</v>
      </c>
      <c r="P1212" s="998">
        <v>0</v>
      </c>
      <c r="Q1212" s="998">
        <v>0</v>
      </c>
      <c r="R1212" s="998">
        <f t="shared" si="350"/>
        <v>1223.4238585810303</v>
      </c>
      <c r="S1212" s="1249">
        <v>2019</v>
      </c>
      <c r="T1212" s="1129" t="s">
        <v>1269</v>
      </c>
    </row>
    <row r="1213" spans="1:20" ht="42.6" customHeight="1">
      <c r="A1213" s="1249">
        <v>289</v>
      </c>
      <c r="B1213" s="1371" t="s">
        <v>2226</v>
      </c>
      <c r="C1213" s="1249">
        <v>1985</v>
      </c>
      <c r="D1213" s="1249"/>
      <c r="E1213" s="1249" t="s">
        <v>218</v>
      </c>
      <c r="F1213" s="1249" t="s">
        <v>1675</v>
      </c>
      <c r="G1213" s="1249">
        <v>9</v>
      </c>
      <c r="H1213" s="998">
        <v>14388.19</v>
      </c>
      <c r="I1213" s="998">
        <v>13809.3</v>
      </c>
      <c r="J1213" s="998">
        <v>12995.4</v>
      </c>
      <c r="K1213" s="986">
        <v>310</v>
      </c>
      <c r="L1213" s="998">
        <v>14589146</v>
      </c>
      <c r="M1213" s="998">
        <v>0</v>
      </c>
      <c r="N1213" s="998">
        <v>0</v>
      </c>
      <c r="O1213" s="1157">
        <v>14589146</v>
      </c>
      <c r="P1213" s="998">
        <v>0</v>
      </c>
      <c r="Q1213" s="998">
        <v>0</v>
      </c>
      <c r="R1213" s="998">
        <f t="shared" si="350"/>
        <v>1056.4725221408762</v>
      </c>
      <c r="S1213" s="1249">
        <v>2019</v>
      </c>
      <c r="T1213" s="1129" t="s">
        <v>1269</v>
      </c>
    </row>
    <row r="1214" spans="1:20" ht="33" customHeight="1">
      <c r="A1214" s="1249">
        <v>290</v>
      </c>
      <c r="B1214" s="1371" t="s">
        <v>2246</v>
      </c>
      <c r="C1214" s="1249">
        <v>1989</v>
      </c>
      <c r="D1214" s="1249"/>
      <c r="E1214" s="1249" t="s">
        <v>219</v>
      </c>
      <c r="F1214" s="1249">
        <v>9</v>
      </c>
      <c r="G1214" s="1249">
        <v>4</v>
      </c>
      <c r="H1214" s="998">
        <v>8704.2000000000007</v>
      </c>
      <c r="I1214" s="998">
        <v>7733.8</v>
      </c>
      <c r="J1214" s="998">
        <v>7523.8</v>
      </c>
      <c r="K1214" s="986">
        <v>339</v>
      </c>
      <c r="L1214" s="998">
        <v>9726097</v>
      </c>
      <c r="M1214" s="998">
        <v>0</v>
      </c>
      <c r="N1214" s="998">
        <v>0</v>
      </c>
      <c r="O1214" s="1157">
        <v>9726097</v>
      </c>
      <c r="P1214" s="998">
        <v>0</v>
      </c>
      <c r="Q1214" s="998">
        <v>0</v>
      </c>
      <c r="R1214" s="998">
        <f t="shared" si="350"/>
        <v>1257.6090666942512</v>
      </c>
      <c r="S1214" s="1249">
        <v>2019</v>
      </c>
      <c r="T1214" s="1129" t="s">
        <v>1269</v>
      </c>
    </row>
    <row r="1215" spans="1:20" ht="44.4" customHeight="1">
      <c r="A1215" s="1249"/>
      <c r="B1215" s="1257" t="s">
        <v>1619</v>
      </c>
      <c r="C1215" s="991"/>
      <c r="D1215" s="992"/>
      <c r="E1215" s="993"/>
      <c r="F1215" s="991"/>
      <c r="G1215" s="994"/>
      <c r="H1215" s="998">
        <f>SUM(H1216:H1248)</f>
        <v>39360.650000000009</v>
      </c>
      <c r="I1215" s="998">
        <f t="shared" ref="I1215:Q1215" si="351">SUM(I1216:I1248)</f>
        <v>33722.01</v>
      </c>
      <c r="J1215" s="998">
        <f t="shared" si="351"/>
        <v>29162.625</v>
      </c>
      <c r="K1215" s="998">
        <f t="shared" si="351"/>
        <v>1341</v>
      </c>
      <c r="L1215" s="998">
        <f t="shared" si="351"/>
        <v>71106383.589999989</v>
      </c>
      <c r="M1215" s="998">
        <f t="shared" si="351"/>
        <v>0</v>
      </c>
      <c r="N1215" s="998">
        <f t="shared" si="351"/>
        <v>0</v>
      </c>
      <c r="O1215" s="998">
        <f t="shared" si="351"/>
        <v>71106383.589999989</v>
      </c>
      <c r="P1215" s="998">
        <f t="shared" si="351"/>
        <v>0</v>
      </c>
      <c r="Q1215" s="998">
        <f t="shared" si="351"/>
        <v>0</v>
      </c>
      <c r="R1215" s="996" t="s">
        <v>40</v>
      </c>
      <c r="S1215" s="996" t="s">
        <v>40</v>
      </c>
      <c r="T1215" s="996" t="s">
        <v>40</v>
      </c>
    </row>
    <row r="1216" spans="1:20" ht="40.799999999999997" customHeight="1">
      <c r="A1216" s="1249">
        <v>291</v>
      </c>
      <c r="B1216" s="1265" t="s">
        <v>1189</v>
      </c>
      <c r="C1216" s="988">
        <v>1956</v>
      </c>
      <c r="D1216" s="1256"/>
      <c r="E1216" s="1249" t="s">
        <v>218</v>
      </c>
      <c r="F1216" s="988">
        <v>2</v>
      </c>
      <c r="G1216" s="988">
        <v>2</v>
      </c>
      <c r="H1216" s="998">
        <v>649.6</v>
      </c>
      <c r="I1216" s="998">
        <v>578.5</v>
      </c>
      <c r="J1216" s="998">
        <v>524.79999999999995</v>
      </c>
      <c r="K1216" s="986">
        <v>23</v>
      </c>
      <c r="L1216" s="998">
        <v>188556</v>
      </c>
      <c r="M1216" s="987">
        <v>0</v>
      </c>
      <c r="N1216" s="987">
        <v>0</v>
      </c>
      <c r="O1216" s="985">
        <v>188556</v>
      </c>
      <c r="P1216" s="987">
        <v>0</v>
      </c>
      <c r="Q1216" s="987">
        <v>0</v>
      </c>
      <c r="R1216" s="1067">
        <f t="shared" ref="R1216:R1248" si="352">L1216/I1216</f>
        <v>325.93949870354362</v>
      </c>
      <c r="S1216" s="1022">
        <v>2018</v>
      </c>
      <c r="T1216" s="1022">
        <v>2020</v>
      </c>
    </row>
    <row r="1217" spans="1:20" ht="40.799999999999997" customHeight="1">
      <c r="A1217" s="1249">
        <v>292</v>
      </c>
      <c r="B1217" s="1265" t="s">
        <v>1941</v>
      </c>
      <c r="C1217" s="1037">
        <v>1961</v>
      </c>
      <c r="D1217" s="1037"/>
      <c r="E1217" s="1249" t="s">
        <v>218</v>
      </c>
      <c r="F1217" s="1037">
        <v>2</v>
      </c>
      <c r="G1217" s="1037">
        <v>2</v>
      </c>
      <c r="H1217" s="1038">
        <v>850.8</v>
      </c>
      <c r="I1217" s="1038">
        <v>850.8</v>
      </c>
      <c r="J1217" s="1038">
        <v>614.4</v>
      </c>
      <c r="K1217" s="1039">
        <v>19</v>
      </c>
      <c r="L1217" s="1038">
        <v>1388702</v>
      </c>
      <c r="M1217" s="987">
        <v>0</v>
      </c>
      <c r="N1217" s="987">
        <v>0</v>
      </c>
      <c r="O1217" s="1038">
        <v>1388702</v>
      </c>
      <c r="P1217" s="987">
        <v>0</v>
      </c>
      <c r="Q1217" s="987">
        <v>0</v>
      </c>
      <c r="R1217" s="1067">
        <f t="shared" si="352"/>
        <v>1632.2308415608841</v>
      </c>
      <c r="S1217" s="1022">
        <v>2018</v>
      </c>
      <c r="T1217" s="1022">
        <v>2020</v>
      </c>
    </row>
    <row r="1218" spans="1:20" ht="43.2" customHeight="1">
      <c r="A1218" s="1249">
        <v>293</v>
      </c>
      <c r="B1218" s="1265" t="s">
        <v>1751</v>
      </c>
      <c r="C1218" s="1048">
        <v>1961</v>
      </c>
      <c r="D1218" s="1048"/>
      <c r="E1218" s="1249" t="s">
        <v>218</v>
      </c>
      <c r="F1218" s="1048">
        <v>3</v>
      </c>
      <c r="G1218" s="1048">
        <v>3</v>
      </c>
      <c r="H1218" s="1067">
        <v>2371.6999999999998</v>
      </c>
      <c r="I1218" s="1067">
        <v>1184</v>
      </c>
      <c r="J1218" s="1067">
        <v>219.3</v>
      </c>
      <c r="K1218" s="1077">
        <v>50</v>
      </c>
      <c r="L1218" s="1067">
        <v>4551344</v>
      </c>
      <c r="M1218" s="987">
        <v>0</v>
      </c>
      <c r="N1218" s="987">
        <v>0</v>
      </c>
      <c r="O1218" s="1067">
        <v>4551344</v>
      </c>
      <c r="P1218" s="987">
        <v>0</v>
      </c>
      <c r="Q1218" s="987">
        <v>0</v>
      </c>
      <c r="R1218" s="1067">
        <f t="shared" si="352"/>
        <v>3844.0405405405404</v>
      </c>
      <c r="S1218" s="1022">
        <v>2018</v>
      </c>
      <c r="T1218" s="1022">
        <v>2020</v>
      </c>
    </row>
    <row r="1219" spans="1:20" ht="41.4" customHeight="1">
      <c r="A1219" s="1249">
        <v>294</v>
      </c>
      <c r="B1219" s="1265" t="s">
        <v>1503</v>
      </c>
      <c r="C1219" s="1255">
        <v>1914</v>
      </c>
      <c r="D1219" s="1255"/>
      <c r="E1219" s="1249" t="s">
        <v>218</v>
      </c>
      <c r="F1219" s="1255">
        <v>2</v>
      </c>
      <c r="G1219" s="1255">
        <v>1</v>
      </c>
      <c r="H1219" s="985">
        <v>184.8</v>
      </c>
      <c r="I1219" s="985">
        <v>184.8</v>
      </c>
      <c r="J1219" s="985">
        <v>184.8</v>
      </c>
      <c r="K1219" s="995">
        <v>11</v>
      </c>
      <c r="L1219" s="998">
        <v>734458</v>
      </c>
      <c r="M1219" s="987">
        <v>0</v>
      </c>
      <c r="N1219" s="987">
        <v>0</v>
      </c>
      <c r="O1219" s="998">
        <v>734458</v>
      </c>
      <c r="P1219" s="987">
        <v>0</v>
      </c>
      <c r="Q1219" s="987">
        <v>0</v>
      </c>
      <c r="R1219" s="1067">
        <f t="shared" si="352"/>
        <v>3974.3398268398264</v>
      </c>
      <c r="S1219" s="1022">
        <v>2018</v>
      </c>
      <c r="T1219" s="1022">
        <v>2020</v>
      </c>
    </row>
    <row r="1220" spans="1:20" ht="40.799999999999997" customHeight="1">
      <c r="A1220" s="1249">
        <v>295</v>
      </c>
      <c r="B1220" s="1265" t="s">
        <v>1942</v>
      </c>
      <c r="C1220" s="1048">
        <v>1928</v>
      </c>
      <c r="D1220" s="1048"/>
      <c r="E1220" s="1249" t="s">
        <v>218</v>
      </c>
      <c r="F1220" s="1048">
        <v>3</v>
      </c>
      <c r="G1220" s="1048">
        <v>2</v>
      </c>
      <c r="H1220" s="1067">
        <v>919.7</v>
      </c>
      <c r="I1220" s="1067">
        <v>613.79999999999995</v>
      </c>
      <c r="J1220" s="1067">
        <v>613.79999999999995</v>
      </c>
      <c r="K1220" s="1077">
        <v>11</v>
      </c>
      <c r="L1220" s="1067">
        <v>976872</v>
      </c>
      <c r="M1220" s="987">
        <v>0</v>
      </c>
      <c r="N1220" s="987">
        <v>0</v>
      </c>
      <c r="O1220" s="1067">
        <v>976872</v>
      </c>
      <c r="P1220" s="987">
        <v>0</v>
      </c>
      <c r="Q1220" s="987">
        <v>0</v>
      </c>
      <c r="R1220" s="1067">
        <f t="shared" si="352"/>
        <v>1591.5151515151517</v>
      </c>
      <c r="S1220" s="1022">
        <v>2018</v>
      </c>
      <c r="T1220" s="1022">
        <v>2020</v>
      </c>
    </row>
    <row r="1221" spans="1:20" ht="40.200000000000003" customHeight="1">
      <c r="A1221" s="1249">
        <v>296</v>
      </c>
      <c r="B1221" s="1248" t="s">
        <v>1943</v>
      </c>
      <c r="C1221" s="1046">
        <v>1917</v>
      </c>
      <c r="D1221" s="1046"/>
      <c r="E1221" s="1046" t="s">
        <v>824</v>
      </c>
      <c r="F1221" s="1046">
        <v>2</v>
      </c>
      <c r="G1221" s="1046">
        <v>1</v>
      </c>
      <c r="H1221" s="1107">
        <v>118.3</v>
      </c>
      <c r="I1221" s="1107">
        <v>117.6</v>
      </c>
      <c r="J1221" s="1107">
        <v>86.7</v>
      </c>
      <c r="K1221" s="1108">
        <v>4</v>
      </c>
      <c r="L1221" s="1107">
        <v>389230</v>
      </c>
      <c r="M1221" s="987">
        <v>0</v>
      </c>
      <c r="N1221" s="987">
        <v>0</v>
      </c>
      <c r="O1221" s="1107">
        <v>389230</v>
      </c>
      <c r="P1221" s="987">
        <v>0</v>
      </c>
      <c r="Q1221" s="987">
        <v>0</v>
      </c>
      <c r="R1221" s="1057">
        <f t="shared" si="352"/>
        <v>3309.778911564626</v>
      </c>
      <c r="S1221" s="1022">
        <v>2018</v>
      </c>
      <c r="T1221" s="1022">
        <v>2020</v>
      </c>
    </row>
    <row r="1222" spans="1:20" ht="43.8" customHeight="1">
      <c r="A1222" s="1249">
        <v>297</v>
      </c>
      <c r="B1222" s="1248" t="s">
        <v>2370</v>
      </c>
      <c r="C1222" s="1046">
        <v>1960</v>
      </c>
      <c r="D1222" s="1046"/>
      <c r="E1222" s="1249" t="s">
        <v>218</v>
      </c>
      <c r="F1222" s="1046">
        <v>2</v>
      </c>
      <c r="G1222" s="1046">
        <v>3</v>
      </c>
      <c r="H1222" s="1107">
        <v>489.41</v>
      </c>
      <c r="I1222" s="1107">
        <v>489.41</v>
      </c>
      <c r="J1222" s="1107">
        <v>317</v>
      </c>
      <c r="K1222" s="1108">
        <v>19</v>
      </c>
      <c r="L1222" s="1067">
        <v>1571786.7</v>
      </c>
      <c r="M1222" s="987">
        <v>0</v>
      </c>
      <c r="N1222" s="987">
        <v>0</v>
      </c>
      <c r="O1222" s="1107">
        <v>1571786.7</v>
      </c>
      <c r="P1222" s="987">
        <v>0</v>
      </c>
      <c r="Q1222" s="987">
        <v>0</v>
      </c>
      <c r="R1222" s="1057">
        <f t="shared" si="352"/>
        <v>3211.5949817126743</v>
      </c>
      <c r="S1222" s="1022">
        <v>2018</v>
      </c>
      <c r="T1222" s="1022">
        <v>2020</v>
      </c>
    </row>
    <row r="1223" spans="1:20" ht="40.200000000000003" customHeight="1">
      <c r="A1223" s="1249">
        <v>298</v>
      </c>
      <c r="B1223" s="1248" t="s">
        <v>2371</v>
      </c>
      <c r="C1223" s="1046">
        <v>1955</v>
      </c>
      <c r="D1223" s="1046"/>
      <c r="E1223" s="1249" t="s">
        <v>218</v>
      </c>
      <c r="F1223" s="1046">
        <v>2</v>
      </c>
      <c r="G1223" s="1046">
        <v>2</v>
      </c>
      <c r="H1223" s="1107">
        <v>386.6</v>
      </c>
      <c r="I1223" s="1107">
        <v>364.6</v>
      </c>
      <c r="J1223" s="1107">
        <v>324.3</v>
      </c>
      <c r="K1223" s="1108">
        <v>19</v>
      </c>
      <c r="L1223" s="1107">
        <v>1343680</v>
      </c>
      <c r="M1223" s="987">
        <v>0</v>
      </c>
      <c r="N1223" s="987">
        <v>0</v>
      </c>
      <c r="O1223" s="1107">
        <v>1343680</v>
      </c>
      <c r="P1223" s="987">
        <v>0</v>
      </c>
      <c r="Q1223" s="987">
        <v>0</v>
      </c>
      <c r="R1223" s="1057">
        <f t="shared" si="352"/>
        <v>3685.3538123971475</v>
      </c>
      <c r="S1223" s="1022">
        <v>2018</v>
      </c>
      <c r="T1223" s="1022">
        <v>2020</v>
      </c>
    </row>
    <row r="1224" spans="1:20" ht="40.799999999999997" customHeight="1">
      <c r="A1224" s="1249">
        <v>299</v>
      </c>
      <c r="B1224" s="1265" t="s">
        <v>1217</v>
      </c>
      <c r="C1224" s="988">
        <v>1959</v>
      </c>
      <c r="D1224" s="1256"/>
      <c r="E1224" s="1249" t="s">
        <v>218</v>
      </c>
      <c r="F1224" s="988">
        <v>2</v>
      </c>
      <c r="G1224" s="988">
        <v>1</v>
      </c>
      <c r="H1224" s="998">
        <v>280</v>
      </c>
      <c r="I1224" s="998">
        <v>263.10000000000002</v>
      </c>
      <c r="J1224" s="998">
        <v>205.14</v>
      </c>
      <c r="K1224" s="986">
        <v>17</v>
      </c>
      <c r="L1224" s="998">
        <v>58288</v>
      </c>
      <c r="M1224" s="987">
        <v>0</v>
      </c>
      <c r="N1224" s="987">
        <v>0</v>
      </c>
      <c r="O1224" s="985">
        <v>58288</v>
      </c>
      <c r="P1224" s="987">
        <v>0</v>
      </c>
      <c r="Q1224" s="987">
        <v>0</v>
      </c>
      <c r="R1224" s="1067">
        <f t="shared" si="352"/>
        <v>221.54313949068793</v>
      </c>
      <c r="S1224" s="1022">
        <v>2019</v>
      </c>
      <c r="T1224" s="1022">
        <v>2020</v>
      </c>
    </row>
    <row r="1225" spans="1:20" ht="35.4" customHeight="1">
      <c r="A1225" s="1249">
        <v>300</v>
      </c>
      <c r="B1225" s="1265" t="s">
        <v>1216</v>
      </c>
      <c r="C1225" s="988">
        <v>1949</v>
      </c>
      <c r="D1225" s="1256"/>
      <c r="E1225" s="1256" t="s">
        <v>824</v>
      </c>
      <c r="F1225" s="988">
        <v>2</v>
      </c>
      <c r="G1225" s="988">
        <v>2</v>
      </c>
      <c r="H1225" s="998">
        <v>408.3</v>
      </c>
      <c r="I1225" s="998">
        <v>408.3</v>
      </c>
      <c r="J1225" s="998">
        <v>408.3</v>
      </c>
      <c r="K1225" s="986">
        <v>20</v>
      </c>
      <c r="L1225" s="998">
        <v>64243</v>
      </c>
      <c r="M1225" s="987">
        <v>0</v>
      </c>
      <c r="N1225" s="987">
        <v>0</v>
      </c>
      <c r="O1225" s="985">
        <v>64243</v>
      </c>
      <c r="P1225" s="987">
        <v>0</v>
      </c>
      <c r="Q1225" s="987">
        <v>0</v>
      </c>
      <c r="R1225" s="1067">
        <f t="shared" si="352"/>
        <v>157.34264021552778</v>
      </c>
      <c r="S1225" s="1022">
        <v>2019</v>
      </c>
      <c r="T1225" s="1022">
        <v>2020</v>
      </c>
    </row>
    <row r="1226" spans="1:20" ht="39.6" customHeight="1">
      <c r="A1226" s="1249">
        <v>301</v>
      </c>
      <c r="B1226" s="1265" t="s">
        <v>1944</v>
      </c>
      <c r="C1226" s="988">
        <v>1975</v>
      </c>
      <c r="D1226" s="1256"/>
      <c r="E1226" s="1249" t="s">
        <v>218</v>
      </c>
      <c r="F1226" s="988">
        <v>1</v>
      </c>
      <c r="G1226" s="988">
        <v>1</v>
      </c>
      <c r="H1226" s="998">
        <v>180</v>
      </c>
      <c r="I1226" s="998">
        <v>178</v>
      </c>
      <c r="J1226" s="998">
        <v>178</v>
      </c>
      <c r="K1226" s="986">
        <v>8</v>
      </c>
      <c r="L1226" s="998">
        <v>1685224.61</v>
      </c>
      <c r="M1226" s="987">
        <v>0</v>
      </c>
      <c r="N1226" s="987">
        <v>0</v>
      </c>
      <c r="O1226" s="985">
        <v>1685224.61</v>
      </c>
      <c r="P1226" s="987">
        <v>0</v>
      </c>
      <c r="Q1226" s="987">
        <v>0</v>
      </c>
      <c r="R1226" s="1067">
        <f t="shared" si="352"/>
        <v>9467.5539887640462</v>
      </c>
      <c r="S1226" s="1022">
        <v>2019</v>
      </c>
      <c r="T1226" s="1022">
        <v>2020</v>
      </c>
    </row>
    <row r="1227" spans="1:20" ht="43.8" customHeight="1">
      <c r="A1227" s="1249">
        <v>302</v>
      </c>
      <c r="B1227" s="1265" t="s">
        <v>967</v>
      </c>
      <c r="C1227" s="988">
        <v>1960</v>
      </c>
      <c r="D1227" s="1256"/>
      <c r="E1227" s="1249" t="s">
        <v>218</v>
      </c>
      <c r="F1227" s="988">
        <v>3</v>
      </c>
      <c r="G1227" s="988">
        <v>3</v>
      </c>
      <c r="H1227" s="998">
        <v>1641.6</v>
      </c>
      <c r="I1227" s="998">
        <v>1533.4</v>
      </c>
      <c r="J1227" s="998">
        <v>1492.4</v>
      </c>
      <c r="K1227" s="986">
        <v>53</v>
      </c>
      <c r="L1227" s="998">
        <v>4406007.5199999996</v>
      </c>
      <c r="M1227" s="987">
        <v>0</v>
      </c>
      <c r="N1227" s="987">
        <v>0</v>
      </c>
      <c r="O1227" s="985">
        <v>4406007.5199999996</v>
      </c>
      <c r="P1227" s="987">
        <v>0</v>
      </c>
      <c r="Q1227" s="987">
        <v>0</v>
      </c>
      <c r="R1227" s="1067">
        <f t="shared" si="352"/>
        <v>2873.3582365984084</v>
      </c>
      <c r="S1227" s="1022">
        <v>2019</v>
      </c>
      <c r="T1227" s="1022">
        <v>2020</v>
      </c>
    </row>
    <row r="1228" spans="1:20" ht="41.4" customHeight="1">
      <c r="A1228" s="1249">
        <v>303</v>
      </c>
      <c r="B1228" s="1265" t="s">
        <v>1041</v>
      </c>
      <c r="C1228" s="988">
        <v>1970</v>
      </c>
      <c r="D1228" s="1256"/>
      <c r="E1228" s="1256" t="s">
        <v>221</v>
      </c>
      <c r="F1228" s="988">
        <v>2</v>
      </c>
      <c r="G1228" s="988">
        <v>2</v>
      </c>
      <c r="H1228" s="998">
        <v>599.4</v>
      </c>
      <c r="I1228" s="998">
        <v>503.8</v>
      </c>
      <c r="J1228" s="998">
        <v>121.7</v>
      </c>
      <c r="K1228" s="986">
        <v>21</v>
      </c>
      <c r="L1228" s="998">
        <v>2506832.6599999997</v>
      </c>
      <c r="M1228" s="987">
        <v>0</v>
      </c>
      <c r="N1228" s="987">
        <v>0</v>
      </c>
      <c r="O1228" s="985">
        <v>2506832.6599999997</v>
      </c>
      <c r="P1228" s="987">
        <v>0</v>
      </c>
      <c r="Q1228" s="987">
        <v>0</v>
      </c>
      <c r="R1228" s="1067">
        <f t="shared" si="352"/>
        <v>4975.8488685986495</v>
      </c>
      <c r="S1228" s="1022">
        <v>2019</v>
      </c>
      <c r="T1228" s="1022">
        <v>2020</v>
      </c>
    </row>
    <row r="1229" spans="1:20" ht="37.799999999999997" customHeight="1">
      <c r="A1229" s="1249">
        <v>304</v>
      </c>
      <c r="B1229" s="1374" t="s">
        <v>964</v>
      </c>
      <c r="C1229" s="988">
        <v>1917</v>
      </c>
      <c r="D1229" s="1256"/>
      <c r="E1229" s="1256" t="s">
        <v>824</v>
      </c>
      <c r="F1229" s="988">
        <v>2</v>
      </c>
      <c r="G1229" s="988">
        <v>1</v>
      </c>
      <c r="H1229" s="998">
        <v>153.19999999999999</v>
      </c>
      <c r="I1229" s="998">
        <v>140.69999999999999</v>
      </c>
      <c r="J1229" s="998">
        <v>117.3</v>
      </c>
      <c r="K1229" s="986">
        <v>7</v>
      </c>
      <c r="L1229" s="998">
        <v>1097838.3500000001</v>
      </c>
      <c r="M1229" s="987">
        <v>0</v>
      </c>
      <c r="N1229" s="987">
        <v>0</v>
      </c>
      <c r="O1229" s="985">
        <v>1097838.3500000001</v>
      </c>
      <c r="P1229" s="987">
        <v>0</v>
      </c>
      <c r="Q1229" s="987">
        <v>0</v>
      </c>
      <c r="R1229" s="1067">
        <f t="shared" si="352"/>
        <v>7802.6890547263692</v>
      </c>
      <c r="S1229" s="1022">
        <v>2019</v>
      </c>
      <c r="T1229" s="1022">
        <v>2020</v>
      </c>
    </row>
    <row r="1230" spans="1:20" ht="36.6" customHeight="1">
      <c r="A1230" s="1249">
        <v>305</v>
      </c>
      <c r="B1230" s="1265" t="s">
        <v>1040</v>
      </c>
      <c r="C1230" s="988">
        <v>1933</v>
      </c>
      <c r="D1230" s="1256"/>
      <c r="E1230" s="1256" t="s">
        <v>824</v>
      </c>
      <c r="F1230" s="988">
        <v>2</v>
      </c>
      <c r="G1230" s="988">
        <v>2</v>
      </c>
      <c r="H1230" s="998">
        <v>451.1</v>
      </c>
      <c r="I1230" s="998">
        <v>425.6</v>
      </c>
      <c r="J1230" s="998">
        <v>299.8</v>
      </c>
      <c r="K1230" s="986">
        <v>21</v>
      </c>
      <c r="L1230" s="998">
        <v>1963653.02</v>
      </c>
      <c r="M1230" s="987">
        <v>0</v>
      </c>
      <c r="N1230" s="987">
        <v>0</v>
      </c>
      <c r="O1230" s="985">
        <v>1963653.02</v>
      </c>
      <c r="P1230" s="987">
        <v>0</v>
      </c>
      <c r="Q1230" s="987">
        <v>0</v>
      </c>
      <c r="R1230" s="1067">
        <f t="shared" si="352"/>
        <v>4613.8463815789473</v>
      </c>
      <c r="S1230" s="1022">
        <v>2019</v>
      </c>
      <c r="T1230" s="1022">
        <v>2020</v>
      </c>
    </row>
    <row r="1231" spans="1:20" ht="39" customHeight="1">
      <c r="A1231" s="1249">
        <v>306</v>
      </c>
      <c r="B1231" s="1265" t="s">
        <v>1504</v>
      </c>
      <c r="C1231" s="988">
        <v>1959</v>
      </c>
      <c r="D1231" s="1256"/>
      <c r="E1231" s="1256" t="s">
        <v>823</v>
      </c>
      <c r="F1231" s="988">
        <v>2</v>
      </c>
      <c r="G1231" s="988">
        <v>2</v>
      </c>
      <c r="H1231" s="998">
        <v>671.6</v>
      </c>
      <c r="I1231" s="998">
        <v>671.1</v>
      </c>
      <c r="J1231" s="998">
        <v>659.2</v>
      </c>
      <c r="K1231" s="986">
        <v>21</v>
      </c>
      <c r="L1231" s="998">
        <v>2012146.0099999998</v>
      </c>
      <c r="M1231" s="987">
        <v>0</v>
      </c>
      <c r="N1231" s="987">
        <v>0</v>
      </c>
      <c r="O1231" s="985">
        <v>2012146.0099999998</v>
      </c>
      <c r="P1231" s="987">
        <v>0</v>
      </c>
      <c r="Q1231" s="987">
        <v>0</v>
      </c>
      <c r="R1231" s="1067">
        <f t="shared" si="352"/>
        <v>2998.2804500074499</v>
      </c>
      <c r="S1231" s="1022">
        <v>2019</v>
      </c>
      <c r="T1231" s="1022">
        <v>2020</v>
      </c>
    </row>
    <row r="1232" spans="1:20" ht="37.799999999999997" customHeight="1">
      <c r="A1232" s="1249">
        <v>307</v>
      </c>
      <c r="B1232" s="1265" t="s">
        <v>969</v>
      </c>
      <c r="C1232" s="988">
        <v>1958</v>
      </c>
      <c r="D1232" s="1256"/>
      <c r="E1232" s="1256" t="s">
        <v>824</v>
      </c>
      <c r="F1232" s="988">
        <v>2</v>
      </c>
      <c r="G1232" s="988">
        <v>1</v>
      </c>
      <c r="H1232" s="998">
        <v>414.3</v>
      </c>
      <c r="I1232" s="998">
        <v>296.8</v>
      </c>
      <c r="J1232" s="998">
        <v>206.2</v>
      </c>
      <c r="K1232" s="986">
        <v>12</v>
      </c>
      <c r="L1232" s="998">
        <v>1673843.24</v>
      </c>
      <c r="M1232" s="987">
        <v>0</v>
      </c>
      <c r="N1232" s="987">
        <v>0</v>
      </c>
      <c r="O1232" s="985">
        <v>1673843.24</v>
      </c>
      <c r="P1232" s="987">
        <v>0</v>
      </c>
      <c r="Q1232" s="987">
        <v>0</v>
      </c>
      <c r="R1232" s="1067">
        <f t="shared" si="352"/>
        <v>5639.6335579514825</v>
      </c>
      <c r="S1232" s="1022">
        <v>2019</v>
      </c>
      <c r="T1232" s="1022">
        <v>2020</v>
      </c>
    </row>
    <row r="1233" spans="1:20" ht="42" customHeight="1">
      <c r="A1233" s="1249">
        <v>308</v>
      </c>
      <c r="B1233" s="1265" t="s">
        <v>1210</v>
      </c>
      <c r="C1233" s="988">
        <v>1964</v>
      </c>
      <c r="D1233" s="1256"/>
      <c r="E1233" s="1249" t="s">
        <v>218</v>
      </c>
      <c r="F1233" s="988">
        <v>4</v>
      </c>
      <c r="G1233" s="988">
        <v>2</v>
      </c>
      <c r="H1233" s="998">
        <v>1273.7</v>
      </c>
      <c r="I1233" s="998">
        <v>1233.2</v>
      </c>
      <c r="J1233" s="998">
        <v>999.27499999999998</v>
      </c>
      <c r="K1233" s="986">
        <v>41</v>
      </c>
      <c r="L1233" s="998">
        <v>2813592.38</v>
      </c>
      <c r="M1233" s="987">
        <v>0</v>
      </c>
      <c r="N1233" s="987">
        <v>0</v>
      </c>
      <c r="O1233" s="985">
        <v>2813592.38</v>
      </c>
      <c r="P1233" s="987">
        <v>0</v>
      </c>
      <c r="Q1233" s="987">
        <v>0</v>
      </c>
      <c r="R1233" s="1067">
        <f t="shared" si="352"/>
        <v>2281.5377716509893</v>
      </c>
      <c r="S1233" s="1022">
        <v>2019</v>
      </c>
      <c r="T1233" s="1022">
        <v>2020</v>
      </c>
    </row>
    <row r="1234" spans="1:20" ht="54">
      <c r="A1234" s="1249">
        <v>309</v>
      </c>
      <c r="B1234" s="1265" t="s">
        <v>1945</v>
      </c>
      <c r="C1234" s="988">
        <v>1936</v>
      </c>
      <c r="D1234" s="1256"/>
      <c r="E1234" s="1249" t="s">
        <v>218</v>
      </c>
      <c r="F1234" s="988">
        <v>1</v>
      </c>
      <c r="G1234" s="988" t="s">
        <v>1464</v>
      </c>
      <c r="H1234" s="998">
        <v>200.2</v>
      </c>
      <c r="I1234" s="998">
        <v>200.2</v>
      </c>
      <c r="J1234" s="998">
        <v>200.2</v>
      </c>
      <c r="K1234" s="986">
        <v>7</v>
      </c>
      <c r="L1234" s="998">
        <v>1154149</v>
      </c>
      <c r="M1234" s="987">
        <v>0</v>
      </c>
      <c r="N1234" s="987">
        <v>0</v>
      </c>
      <c r="O1234" s="985">
        <v>1154149</v>
      </c>
      <c r="P1234" s="987">
        <v>0</v>
      </c>
      <c r="Q1234" s="987">
        <v>0</v>
      </c>
      <c r="R1234" s="1067">
        <f t="shared" si="352"/>
        <v>5764.9800199800202</v>
      </c>
      <c r="S1234" s="1022">
        <v>2019</v>
      </c>
      <c r="T1234" s="1022">
        <v>2020</v>
      </c>
    </row>
    <row r="1235" spans="1:20" ht="42.6" customHeight="1">
      <c r="A1235" s="1249">
        <v>310</v>
      </c>
      <c r="B1235" s="1265" t="s">
        <v>1946</v>
      </c>
      <c r="C1235" s="988">
        <v>1952</v>
      </c>
      <c r="D1235" s="1256"/>
      <c r="E1235" s="1249" t="s">
        <v>218</v>
      </c>
      <c r="F1235" s="988">
        <v>3</v>
      </c>
      <c r="G1235" s="988">
        <v>3</v>
      </c>
      <c r="H1235" s="998">
        <v>1677.34</v>
      </c>
      <c r="I1235" s="998">
        <v>1287.19</v>
      </c>
      <c r="J1235" s="998">
        <v>1287.19</v>
      </c>
      <c r="K1235" s="986">
        <v>56</v>
      </c>
      <c r="L1235" s="998">
        <v>4234137.3499999996</v>
      </c>
      <c r="M1235" s="987">
        <v>0</v>
      </c>
      <c r="N1235" s="987">
        <v>0</v>
      </c>
      <c r="O1235" s="985">
        <v>4234137.3499999996</v>
      </c>
      <c r="P1235" s="987">
        <v>0</v>
      </c>
      <c r="Q1235" s="987">
        <v>0</v>
      </c>
      <c r="R1235" s="1067">
        <f t="shared" si="352"/>
        <v>3289.442390012352</v>
      </c>
      <c r="S1235" s="1022">
        <v>2019</v>
      </c>
      <c r="T1235" s="1022">
        <v>2020</v>
      </c>
    </row>
    <row r="1236" spans="1:20" ht="40.799999999999997" customHeight="1">
      <c r="A1236" s="1249">
        <v>311</v>
      </c>
      <c r="B1236" s="1265" t="s">
        <v>1947</v>
      </c>
      <c r="C1236" s="988">
        <v>1960</v>
      </c>
      <c r="D1236" s="1256"/>
      <c r="E1236" s="1249" t="s">
        <v>218</v>
      </c>
      <c r="F1236" s="988">
        <v>2</v>
      </c>
      <c r="G1236" s="988">
        <v>2</v>
      </c>
      <c r="H1236" s="998">
        <v>620.70000000000005</v>
      </c>
      <c r="I1236" s="998">
        <v>620.70000000000005</v>
      </c>
      <c r="J1236" s="998">
        <v>591.5</v>
      </c>
      <c r="K1236" s="986">
        <v>23</v>
      </c>
      <c r="L1236" s="998">
        <v>2301529.5</v>
      </c>
      <c r="M1236" s="987">
        <v>0</v>
      </c>
      <c r="N1236" s="987">
        <v>0</v>
      </c>
      <c r="O1236" s="985">
        <v>2301529.5</v>
      </c>
      <c r="P1236" s="987">
        <v>0</v>
      </c>
      <c r="Q1236" s="987">
        <v>0</v>
      </c>
      <c r="R1236" s="1067">
        <f t="shared" si="352"/>
        <v>3707.9579507008216</v>
      </c>
      <c r="S1236" s="1022">
        <v>2019</v>
      </c>
      <c r="T1236" s="1022">
        <v>2020</v>
      </c>
    </row>
    <row r="1237" spans="1:20" ht="32.4" customHeight="1">
      <c r="A1237" s="1249">
        <v>312</v>
      </c>
      <c r="B1237" s="1265" t="s">
        <v>1506</v>
      </c>
      <c r="C1237" s="988">
        <v>1937</v>
      </c>
      <c r="D1237" s="1256"/>
      <c r="E1237" s="1375" t="s">
        <v>221</v>
      </c>
      <c r="F1237" s="988">
        <v>2</v>
      </c>
      <c r="G1237" s="988">
        <v>2</v>
      </c>
      <c r="H1237" s="998">
        <v>614.5</v>
      </c>
      <c r="I1237" s="998">
        <v>499.1</v>
      </c>
      <c r="J1237" s="998">
        <v>434.7</v>
      </c>
      <c r="K1237" s="986">
        <v>25</v>
      </c>
      <c r="L1237" s="998">
        <v>2929066.9</v>
      </c>
      <c r="M1237" s="987">
        <v>0</v>
      </c>
      <c r="N1237" s="987">
        <v>0</v>
      </c>
      <c r="O1237" s="985">
        <v>2929066.9</v>
      </c>
      <c r="P1237" s="987">
        <v>0</v>
      </c>
      <c r="Q1237" s="987">
        <v>0</v>
      </c>
      <c r="R1237" s="1067">
        <f t="shared" si="352"/>
        <v>5868.697455419755</v>
      </c>
      <c r="S1237" s="1022">
        <v>2019</v>
      </c>
      <c r="T1237" s="1022">
        <v>2020</v>
      </c>
    </row>
    <row r="1238" spans="1:20" ht="38.4" customHeight="1">
      <c r="A1238" s="1249">
        <v>313</v>
      </c>
      <c r="B1238" s="1248" t="s">
        <v>1038</v>
      </c>
      <c r="C1238" s="988">
        <v>1984</v>
      </c>
      <c r="D1238" s="1256"/>
      <c r="E1238" s="1256" t="s">
        <v>219</v>
      </c>
      <c r="F1238" s="988">
        <v>5</v>
      </c>
      <c r="G1238" s="988">
        <v>6</v>
      </c>
      <c r="H1238" s="998">
        <v>4808.8</v>
      </c>
      <c r="I1238" s="998">
        <v>4808.8</v>
      </c>
      <c r="J1238" s="998">
        <v>4300.8</v>
      </c>
      <c r="K1238" s="986">
        <v>198</v>
      </c>
      <c r="L1238" s="998">
        <v>5137383</v>
      </c>
      <c r="M1238" s="987">
        <v>0</v>
      </c>
      <c r="N1238" s="987">
        <v>0</v>
      </c>
      <c r="O1238" s="998">
        <v>5137383</v>
      </c>
      <c r="P1238" s="987">
        <v>0</v>
      </c>
      <c r="Q1238" s="987">
        <v>0</v>
      </c>
      <c r="R1238" s="1057">
        <f t="shared" si="352"/>
        <v>1068.3295208783895</v>
      </c>
      <c r="S1238" s="1022">
        <v>2019</v>
      </c>
      <c r="T1238" s="1022">
        <v>2020</v>
      </c>
    </row>
    <row r="1239" spans="1:20" ht="40.200000000000003" customHeight="1">
      <c r="A1239" s="1249">
        <v>314</v>
      </c>
      <c r="B1239" s="1248" t="s">
        <v>1948</v>
      </c>
      <c r="C1239" s="988">
        <v>1972</v>
      </c>
      <c r="D1239" s="1256"/>
      <c r="E1239" s="1249" t="s">
        <v>218</v>
      </c>
      <c r="F1239" s="988">
        <v>5</v>
      </c>
      <c r="G1239" s="988">
        <v>4</v>
      </c>
      <c r="H1239" s="998">
        <v>3992.9</v>
      </c>
      <c r="I1239" s="998">
        <v>2555.4</v>
      </c>
      <c r="J1239" s="998">
        <v>2298</v>
      </c>
      <c r="K1239" s="986">
        <v>101</v>
      </c>
      <c r="L1239" s="998">
        <v>2401149</v>
      </c>
      <c r="M1239" s="987">
        <v>0</v>
      </c>
      <c r="N1239" s="987">
        <v>0</v>
      </c>
      <c r="O1239" s="998">
        <v>2401149</v>
      </c>
      <c r="P1239" s="987">
        <v>0</v>
      </c>
      <c r="Q1239" s="987">
        <v>0</v>
      </c>
      <c r="R1239" s="1057">
        <f t="shared" si="352"/>
        <v>939.63723878844792</v>
      </c>
      <c r="S1239" s="1022">
        <v>2019</v>
      </c>
      <c r="T1239" s="1022">
        <v>2020</v>
      </c>
    </row>
    <row r="1240" spans="1:20" ht="42.6" customHeight="1">
      <c r="A1240" s="1249">
        <v>315</v>
      </c>
      <c r="B1240" s="1248" t="s">
        <v>1949</v>
      </c>
      <c r="C1240" s="988">
        <v>1961</v>
      </c>
      <c r="D1240" s="1256"/>
      <c r="E1240" s="1249" t="s">
        <v>218</v>
      </c>
      <c r="F1240" s="988">
        <v>3</v>
      </c>
      <c r="G1240" s="988">
        <v>2</v>
      </c>
      <c r="H1240" s="998">
        <v>990.1</v>
      </c>
      <c r="I1240" s="998">
        <v>965.5</v>
      </c>
      <c r="J1240" s="998">
        <v>647.29999999999995</v>
      </c>
      <c r="K1240" s="986">
        <v>36</v>
      </c>
      <c r="L1240" s="998">
        <v>1776821</v>
      </c>
      <c r="M1240" s="987">
        <v>0</v>
      </c>
      <c r="N1240" s="987">
        <v>0</v>
      </c>
      <c r="O1240" s="998">
        <v>1776821</v>
      </c>
      <c r="P1240" s="987">
        <v>0</v>
      </c>
      <c r="Q1240" s="987">
        <v>0</v>
      </c>
      <c r="R1240" s="1057">
        <f t="shared" si="352"/>
        <v>1840.3117555670638</v>
      </c>
      <c r="S1240" s="1022">
        <v>2019</v>
      </c>
      <c r="T1240" s="1022">
        <v>2020</v>
      </c>
    </row>
    <row r="1241" spans="1:20" ht="40.200000000000003" customHeight="1">
      <c r="A1241" s="1249">
        <v>316</v>
      </c>
      <c r="B1241" s="1371" t="s">
        <v>2217</v>
      </c>
      <c r="C1241" s="988">
        <v>1960</v>
      </c>
      <c r="D1241" s="1256"/>
      <c r="E1241" s="1249" t="s">
        <v>218</v>
      </c>
      <c r="F1241" s="988">
        <v>2</v>
      </c>
      <c r="G1241" s="988">
        <v>2</v>
      </c>
      <c r="H1241" s="998">
        <v>902.4</v>
      </c>
      <c r="I1241" s="998">
        <v>866.8</v>
      </c>
      <c r="J1241" s="998">
        <v>662.3</v>
      </c>
      <c r="K1241" s="986">
        <v>32</v>
      </c>
      <c r="L1241" s="998">
        <v>3015490</v>
      </c>
      <c r="M1241" s="987">
        <v>0</v>
      </c>
      <c r="N1241" s="987">
        <v>0</v>
      </c>
      <c r="O1241" s="998">
        <v>3015490</v>
      </c>
      <c r="P1241" s="987">
        <v>0</v>
      </c>
      <c r="Q1241" s="987">
        <v>0</v>
      </c>
      <c r="R1241" s="1057">
        <f t="shared" si="352"/>
        <v>3478.8763267189665</v>
      </c>
      <c r="S1241" s="1022">
        <v>2019</v>
      </c>
      <c r="T1241" s="1022">
        <v>2020</v>
      </c>
    </row>
    <row r="1242" spans="1:20" ht="42" customHeight="1">
      <c r="A1242" s="1249">
        <v>317</v>
      </c>
      <c r="B1242" s="1248" t="s">
        <v>1039</v>
      </c>
      <c r="C1242" s="988">
        <v>1917</v>
      </c>
      <c r="D1242" s="1256"/>
      <c r="E1242" s="1249" t="s">
        <v>218</v>
      </c>
      <c r="F1242" s="988">
        <v>3</v>
      </c>
      <c r="G1242" s="988">
        <v>2</v>
      </c>
      <c r="H1242" s="998">
        <v>827.3</v>
      </c>
      <c r="I1242" s="998">
        <v>757.3</v>
      </c>
      <c r="J1242" s="998">
        <v>663.6</v>
      </c>
      <c r="K1242" s="986">
        <v>25</v>
      </c>
      <c r="L1242" s="998">
        <v>2452124</v>
      </c>
      <c r="M1242" s="987">
        <v>0</v>
      </c>
      <c r="N1242" s="987">
        <v>0</v>
      </c>
      <c r="O1242" s="998">
        <v>2452124</v>
      </c>
      <c r="P1242" s="987">
        <v>0</v>
      </c>
      <c r="Q1242" s="987">
        <v>0</v>
      </c>
      <c r="R1242" s="1057">
        <f t="shared" si="352"/>
        <v>3237.9823055592237</v>
      </c>
      <c r="S1242" s="1022">
        <v>2019</v>
      </c>
      <c r="T1242" s="1022">
        <v>2020</v>
      </c>
    </row>
    <row r="1243" spans="1:20" ht="40.200000000000003" customHeight="1">
      <c r="A1243" s="1249">
        <v>318</v>
      </c>
      <c r="B1243" s="1248" t="s">
        <v>973</v>
      </c>
      <c r="C1243" s="988">
        <v>1972</v>
      </c>
      <c r="D1243" s="1256"/>
      <c r="E1243" s="1249" t="s">
        <v>218</v>
      </c>
      <c r="F1243" s="988">
        <v>5</v>
      </c>
      <c r="G1243" s="988">
        <v>3</v>
      </c>
      <c r="H1243" s="998">
        <v>2528.8000000000002</v>
      </c>
      <c r="I1243" s="998">
        <v>2020.1</v>
      </c>
      <c r="J1243" s="998">
        <v>1665.61</v>
      </c>
      <c r="K1243" s="986">
        <v>76</v>
      </c>
      <c r="L1243" s="998">
        <v>4248573</v>
      </c>
      <c r="M1243" s="987">
        <v>0</v>
      </c>
      <c r="N1243" s="987">
        <v>0</v>
      </c>
      <c r="O1243" s="998">
        <v>4248573</v>
      </c>
      <c r="P1243" s="987">
        <v>0</v>
      </c>
      <c r="Q1243" s="987">
        <v>0</v>
      </c>
      <c r="R1243" s="1057">
        <f t="shared" si="352"/>
        <v>2103.1498440671253</v>
      </c>
      <c r="S1243" s="1022">
        <v>2019</v>
      </c>
      <c r="T1243" s="1022">
        <v>2020</v>
      </c>
    </row>
    <row r="1244" spans="1:20" ht="40.799999999999997" customHeight="1">
      <c r="A1244" s="1249">
        <v>319</v>
      </c>
      <c r="B1244" s="1248" t="s">
        <v>1620</v>
      </c>
      <c r="C1244" s="988">
        <v>1983</v>
      </c>
      <c r="D1244" s="1256"/>
      <c r="E1244" s="1249" t="s">
        <v>218</v>
      </c>
      <c r="F1244" s="988">
        <v>5</v>
      </c>
      <c r="G1244" s="988">
        <v>6</v>
      </c>
      <c r="H1244" s="998">
        <v>4014</v>
      </c>
      <c r="I1244" s="998">
        <v>4014</v>
      </c>
      <c r="J1244" s="998">
        <v>4014</v>
      </c>
      <c r="K1244" s="986">
        <v>168</v>
      </c>
      <c r="L1244" s="998">
        <v>3545886</v>
      </c>
      <c r="M1244" s="987">
        <v>0</v>
      </c>
      <c r="N1244" s="987">
        <v>0</v>
      </c>
      <c r="O1244" s="998">
        <v>3545886</v>
      </c>
      <c r="P1244" s="987">
        <v>0</v>
      </c>
      <c r="Q1244" s="987">
        <v>0</v>
      </c>
      <c r="R1244" s="1057">
        <f t="shared" si="352"/>
        <v>883.3796711509716</v>
      </c>
      <c r="S1244" s="1022">
        <v>2019</v>
      </c>
      <c r="T1244" s="1022">
        <v>2020</v>
      </c>
    </row>
    <row r="1245" spans="1:20" ht="40.799999999999997" customHeight="1">
      <c r="A1245" s="1249">
        <v>320</v>
      </c>
      <c r="B1245" s="1248" t="s">
        <v>2372</v>
      </c>
      <c r="C1245" s="988">
        <v>1970</v>
      </c>
      <c r="D1245" s="1256"/>
      <c r="E1245" s="1249" t="s">
        <v>218</v>
      </c>
      <c r="F1245" s="988">
        <v>5</v>
      </c>
      <c r="G1245" s="988">
        <v>4</v>
      </c>
      <c r="H1245" s="998">
        <v>3642.1</v>
      </c>
      <c r="I1245" s="998">
        <v>3274.61</v>
      </c>
      <c r="J1245" s="998">
        <v>3121.61</v>
      </c>
      <c r="K1245" s="986">
        <v>158</v>
      </c>
      <c r="L1245" s="998">
        <v>2579122</v>
      </c>
      <c r="M1245" s="987">
        <v>0</v>
      </c>
      <c r="N1245" s="987">
        <v>0</v>
      </c>
      <c r="O1245" s="998">
        <v>2579122</v>
      </c>
      <c r="P1245" s="987">
        <v>0</v>
      </c>
      <c r="Q1245" s="987">
        <v>0</v>
      </c>
      <c r="R1245" s="1057">
        <f t="shared" si="352"/>
        <v>787.61195989751445</v>
      </c>
      <c r="S1245" s="1022">
        <v>2019</v>
      </c>
      <c r="T1245" s="1022">
        <v>2020</v>
      </c>
    </row>
    <row r="1246" spans="1:20" ht="42" customHeight="1">
      <c r="A1246" s="1249">
        <v>321</v>
      </c>
      <c r="B1246" s="1248" t="s">
        <v>1950</v>
      </c>
      <c r="C1246" s="988">
        <v>1967</v>
      </c>
      <c r="D1246" s="1256"/>
      <c r="E1246" s="1249" t="s">
        <v>218</v>
      </c>
      <c r="F1246" s="988">
        <v>2</v>
      </c>
      <c r="G1246" s="988">
        <v>2</v>
      </c>
      <c r="H1246" s="998">
        <v>523.9</v>
      </c>
      <c r="I1246" s="998">
        <v>470.7</v>
      </c>
      <c r="J1246" s="998">
        <v>433.4</v>
      </c>
      <c r="K1246" s="986">
        <v>13</v>
      </c>
      <c r="L1246" s="998">
        <v>1468917.79</v>
      </c>
      <c r="M1246" s="987">
        <v>0</v>
      </c>
      <c r="N1246" s="987">
        <v>0</v>
      </c>
      <c r="O1246" s="998">
        <v>1468917.79</v>
      </c>
      <c r="P1246" s="987">
        <v>0</v>
      </c>
      <c r="Q1246" s="987">
        <v>0</v>
      </c>
      <c r="R1246" s="1057">
        <f t="shared" si="352"/>
        <v>3120.709135330359</v>
      </c>
      <c r="S1246" s="1022">
        <v>2019</v>
      </c>
      <c r="T1246" s="1022">
        <v>2020</v>
      </c>
    </row>
    <row r="1247" spans="1:20" ht="42.6" customHeight="1">
      <c r="A1247" s="1249">
        <v>322</v>
      </c>
      <c r="B1247" s="1248" t="s">
        <v>1951</v>
      </c>
      <c r="C1247" s="988">
        <v>1967</v>
      </c>
      <c r="D1247" s="1256"/>
      <c r="E1247" s="1249" t="s">
        <v>218</v>
      </c>
      <c r="F1247" s="988">
        <v>2</v>
      </c>
      <c r="G1247" s="988">
        <v>2</v>
      </c>
      <c r="H1247" s="998">
        <v>501.4</v>
      </c>
      <c r="I1247" s="998">
        <v>471.2</v>
      </c>
      <c r="J1247" s="998">
        <v>397.1</v>
      </c>
      <c r="K1247" s="986">
        <v>21</v>
      </c>
      <c r="L1247" s="998">
        <v>1468917.79</v>
      </c>
      <c r="M1247" s="987">
        <v>0</v>
      </c>
      <c r="N1247" s="987">
        <v>0</v>
      </c>
      <c r="O1247" s="998">
        <v>1468917.79</v>
      </c>
      <c r="P1247" s="987">
        <v>0</v>
      </c>
      <c r="Q1247" s="987">
        <v>0</v>
      </c>
      <c r="R1247" s="1057">
        <f t="shared" si="352"/>
        <v>3117.397686757216</v>
      </c>
      <c r="S1247" s="1022">
        <v>2019</v>
      </c>
      <c r="T1247" s="1022">
        <v>2020</v>
      </c>
    </row>
    <row r="1248" spans="1:20" ht="43.8" customHeight="1">
      <c r="A1248" s="1249">
        <v>323</v>
      </c>
      <c r="B1248" s="1248" t="s">
        <v>2023</v>
      </c>
      <c r="C1248" s="988">
        <v>1984</v>
      </c>
      <c r="D1248" s="1256"/>
      <c r="E1248" s="1249" t="s">
        <v>218</v>
      </c>
      <c r="F1248" s="988">
        <v>2</v>
      </c>
      <c r="G1248" s="988">
        <v>2</v>
      </c>
      <c r="H1248" s="998">
        <v>1472.1</v>
      </c>
      <c r="I1248" s="998">
        <v>872.9</v>
      </c>
      <c r="J1248" s="998">
        <v>872.9</v>
      </c>
      <c r="K1248" s="986">
        <v>25</v>
      </c>
      <c r="L1248" s="998">
        <v>2966819.77</v>
      </c>
      <c r="M1248" s="987">
        <v>0</v>
      </c>
      <c r="N1248" s="987">
        <v>0</v>
      </c>
      <c r="O1248" s="998">
        <v>2966819.77</v>
      </c>
      <c r="P1248" s="987">
        <v>0</v>
      </c>
      <c r="Q1248" s="987">
        <v>0</v>
      </c>
      <c r="R1248" s="1057">
        <f t="shared" si="352"/>
        <v>3398.8083056478408</v>
      </c>
      <c r="S1248" s="1022">
        <v>2019</v>
      </c>
      <c r="T1248" s="1022">
        <v>2020</v>
      </c>
    </row>
    <row r="1249" spans="1:20" ht="42" customHeight="1">
      <c r="A1249" s="1249"/>
      <c r="B1249" s="1257" t="s">
        <v>1072</v>
      </c>
      <c r="C1249" s="1121"/>
      <c r="D1249" s="1173"/>
      <c r="E1249" s="1173"/>
      <c r="F1249" s="1121"/>
      <c r="G1249" s="1122"/>
      <c r="H1249" s="998">
        <f>H1250+H1251+H1252</f>
        <v>1838.4</v>
      </c>
      <c r="I1249" s="998">
        <f t="shared" ref="I1249:Q1249" si="353">I1250+I1251+I1252</f>
        <v>1672.5</v>
      </c>
      <c r="J1249" s="998">
        <f t="shared" si="353"/>
        <v>1276</v>
      </c>
      <c r="K1249" s="986">
        <f t="shared" si="353"/>
        <v>95</v>
      </c>
      <c r="L1249" s="998">
        <f t="shared" si="353"/>
        <v>1785657</v>
      </c>
      <c r="M1249" s="998">
        <f t="shared" si="353"/>
        <v>0</v>
      </c>
      <c r="N1249" s="998">
        <f t="shared" si="353"/>
        <v>0</v>
      </c>
      <c r="O1249" s="998">
        <f t="shared" si="353"/>
        <v>1785657</v>
      </c>
      <c r="P1249" s="998">
        <f t="shared" si="353"/>
        <v>0</v>
      </c>
      <c r="Q1249" s="998">
        <f t="shared" si="353"/>
        <v>0</v>
      </c>
      <c r="R1249" s="996" t="s">
        <v>40</v>
      </c>
      <c r="S1249" s="996" t="s">
        <v>40</v>
      </c>
      <c r="T1249" s="996" t="s">
        <v>40</v>
      </c>
    </row>
    <row r="1250" spans="1:20" ht="36" customHeight="1">
      <c r="A1250" s="1249">
        <v>324</v>
      </c>
      <c r="B1250" s="1265" t="s">
        <v>645</v>
      </c>
      <c r="C1250" s="988">
        <v>1953</v>
      </c>
      <c r="D1250" s="1256"/>
      <c r="E1250" s="1256" t="s">
        <v>1601</v>
      </c>
      <c r="F1250" s="988">
        <v>2</v>
      </c>
      <c r="G1250" s="988">
        <v>1</v>
      </c>
      <c r="H1250" s="998">
        <v>432.8</v>
      </c>
      <c r="I1250" s="998">
        <v>396.8</v>
      </c>
      <c r="J1250" s="998">
        <v>245.1</v>
      </c>
      <c r="K1250" s="986">
        <v>27</v>
      </c>
      <c r="L1250" s="998">
        <v>494147</v>
      </c>
      <c r="M1250" s="987">
        <v>0</v>
      </c>
      <c r="N1250" s="987">
        <v>0</v>
      </c>
      <c r="O1250" s="985">
        <v>494147</v>
      </c>
      <c r="P1250" s="987">
        <v>0</v>
      </c>
      <c r="Q1250" s="987">
        <v>0</v>
      </c>
      <c r="R1250" s="1067">
        <f t="shared" ref="R1250:R1252" si="354">L1250/I1250</f>
        <v>1245.3301411290322</v>
      </c>
      <c r="S1250" s="1022">
        <v>2017</v>
      </c>
      <c r="T1250" s="1022">
        <v>2020</v>
      </c>
    </row>
    <row r="1251" spans="1:20" ht="33" customHeight="1">
      <c r="A1251" s="1249">
        <v>325</v>
      </c>
      <c r="B1251" s="1265" t="s">
        <v>647</v>
      </c>
      <c r="C1251" s="988">
        <v>1953</v>
      </c>
      <c r="D1251" s="1256"/>
      <c r="E1251" s="1256" t="s">
        <v>1601</v>
      </c>
      <c r="F1251" s="988">
        <v>2</v>
      </c>
      <c r="G1251" s="988">
        <v>1</v>
      </c>
      <c r="H1251" s="998">
        <v>431.8</v>
      </c>
      <c r="I1251" s="998">
        <v>395.2</v>
      </c>
      <c r="J1251" s="998">
        <v>288.8</v>
      </c>
      <c r="K1251" s="986">
        <v>22</v>
      </c>
      <c r="L1251" s="998">
        <v>591972</v>
      </c>
      <c r="M1251" s="987">
        <v>0</v>
      </c>
      <c r="N1251" s="987">
        <v>0</v>
      </c>
      <c r="O1251" s="985">
        <v>591972</v>
      </c>
      <c r="P1251" s="987">
        <v>0</v>
      </c>
      <c r="Q1251" s="987">
        <v>0</v>
      </c>
      <c r="R1251" s="1067">
        <f t="shared" si="354"/>
        <v>1497.9048582995952</v>
      </c>
      <c r="S1251" s="1022">
        <v>2018</v>
      </c>
      <c r="T1251" s="1022">
        <v>2020</v>
      </c>
    </row>
    <row r="1252" spans="1:20" ht="42.6" customHeight="1">
      <c r="A1252" s="1249">
        <v>326</v>
      </c>
      <c r="B1252" s="1265" t="s">
        <v>1170</v>
      </c>
      <c r="C1252" s="988">
        <v>1959</v>
      </c>
      <c r="D1252" s="1256"/>
      <c r="E1252" s="1256" t="s">
        <v>218</v>
      </c>
      <c r="F1252" s="988">
        <v>3</v>
      </c>
      <c r="G1252" s="988">
        <v>3</v>
      </c>
      <c r="H1252" s="998">
        <v>973.8</v>
      </c>
      <c r="I1252" s="998">
        <v>880.5</v>
      </c>
      <c r="J1252" s="998">
        <v>742.1</v>
      </c>
      <c r="K1252" s="986">
        <v>46</v>
      </c>
      <c r="L1252" s="998">
        <v>699538</v>
      </c>
      <c r="M1252" s="987">
        <v>0</v>
      </c>
      <c r="N1252" s="987">
        <v>0</v>
      </c>
      <c r="O1252" s="985">
        <v>699538</v>
      </c>
      <c r="P1252" s="987">
        <v>0</v>
      </c>
      <c r="Q1252" s="987">
        <v>0</v>
      </c>
      <c r="R1252" s="1067">
        <f t="shared" si="354"/>
        <v>794.47813742191931</v>
      </c>
      <c r="S1252" s="1022">
        <v>2018</v>
      </c>
      <c r="T1252" s="1022">
        <v>2020</v>
      </c>
    </row>
    <row r="1253" spans="1:20" ht="40.799999999999997" customHeight="1">
      <c r="A1253" s="1249"/>
      <c r="B1253" s="1257" t="s">
        <v>1073</v>
      </c>
      <c r="C1253" s="991"/>
      <c r="D1253" s="992"/>
      <c r="E1253" s="993"/>
      <c r="F1253" s="991"/>
      <c r="G1253" s="994"/>
      <c r="H1253" s="998">
        <f>SUM(H1254:H1326)</f>
        <v>162313.40000000002</v>
      </c>
      <c r="I1253" s="998">
        <f t="shared" ref="I1253:P1253" si="355">SUM(I1254:I1326)</f>
        <v>145275.40000000002</v>
      </c>
      <c r="J1253" s="998">
        <f t="shared" si="355"/>
        <v>106598.92000000001</v>
      </c>
      <c r="K1253" s="986">
        <f t="shared" si="355"/>
        <v>4953</v>
      </c>
      <c r="L1253" s="998">
        <f t="shared" si="355"/>
        <v>247910143.35000008</v>
      </c>
      <c r="M1253" s="998">
        <f t="shared" si="355"/>
        <v>0</v>
      </c>
      <c r="N1253" s="998">
        <f t="shared" si="355"/>
        <v>0</v>
      </c>
      <c r="O1253" s="998">
        <f t="shared" si="355"/>
        <v>247910143.35000008</v>
      </c>
      <c r="P1253" s="998">
        <f t="shared" si="355"/>
        <v>0</v>
      </c>
      <c r="Q1253" s="1020">
        <f>SUM(Q1254:Q1326)</f>
        <v>0</v>
      </c>
      <c r="R1253" s="996" t="s">
        <v>40</v>
      </c>
      <c r="S1253" s="996" t="s">
        <v>40</v>
      </c>
      <c r="T1253" s="996" t="s">
        <v>40</v>
      </c>
    </row>
    <row r="1254" spans="1:20" ht="40.200000000000003" customHeight="1">
      <c r="A1254" s="1249">
        <v>327</v>
      </c>
      <c r="B1254" s="1003" t="s">
        <v>1952</v>
      </c>
      <c r="C1254" s="1249">
        <v>1949</v>
      </c>
      <c r="D1254" s="1249"/>
      <c r="E1254" s="1256" t="s">
        <v>218</v>
      </c>
      <c r="F1254" s="1249">
        <v>3</v>
      </c>
      <c r="G1254" s="1249">
        <v>3</v>
      </c>
      <c r="H1254" s="1008">
        <v>2081.1</v>
      </c>
      <c r="I1254" s="1008">
        <v>1851.9</v>
      </c>
      <c r="J1254" s="1008">
        <v>972.4</v>
      </c>
      <c r="K1254" s="986">
        <v>21</v>
      </c>
      <c r="L1254" s="998">
        <v>2149116.9500000002</v>
      </c>
      <c r="M1254" s="998">
        <v>0</v>
      </c>
      <c r="N1254" s="998">
        <v>0</v>
      </c>
      <c r="O1254" s="998">
        <v>2149116.9500000002</v>
      </c>
      <c r="P1254" s="1139">
        <v>0</v>
      </c>
      <c r="Q1254" s="1008">
        <v>0</v>
      </c>
      <c r="R1254" s="1021">
        <f t="shared" ref="R1254:R1255" si="356">L1254/I1254</f>
        <v>1160.4929801825153</v>
      </c>
      <c r="S1254" s="1022">
        <v>2016</v>
      </c>
      <c r="T1254" s="1022">
        <v>2020</v>
      </c>
    </row>
    <row r="1255" spans="1:20" ht="43.8" customHeight="1">
      <c r="A1255" s="1249">
        <v>328</v>
      </c>
      <c r="B1255" s="1260" t="s">
        <v>1124</v>
      </c>
      <c r="C1255" s="1249">
        <v>1956</v>
      </c>
      <c r="D1255" s="1249"/>
      <c r="E1255" s="1256" t="s">
        <v>218</v>
      </c>
      <c r="F1255" s="1249">
        <v>2</v>
      </c>
      <c r="G1255" s="1249">
        <v>2</v>
      </c>
      <c r="H1255" s="1008">
        <v>1147.5</v>
      </c>
      <c r="I1255" s="1008">
        <v>1088.5999999999999</v>
      </c>
      <c r="J1255" s="1008">
        <v>378.2</v>
      </c>
      <c r="K1255" s="986">
        <v>28</v>
      </c>
      <c r="L1255" s="998">
        <v>2009956.76</v>
      </c>
      <c r="M1255" s="998">
        <v>0</v>
      </c>
      <c r="N1255" s="998">
        <v>0</v>
      </c>
      <c r="O1255" s="998">
        <v>2009956.76</v>
      </c>
      <c r="P1255" s="1139">
        <v>0</v>
      </c>
      <c r="Q1255" s="1008">
        <v>0</v>
      </c>
      <c r="R1255" s="1021">
        <f t="shared" si="356"/>
        <v>1846.3685100128607</v>
      </c>
      <c r="S1255" s="1022">
        <v>2016</v>
      </c>
      <c r="T1255" s="1022">
        <v>2020</v>
      </c>
    </row>
    <row r="1256" spans="1:20" ht="42.6" customHeight="1">
      <c r="A1256" s="1249">
        <v>329</v>
      </c>
      <c r="B1256" s="1260" t="s">
        <v>771</v>
      </c>
      <c r="C1256" s="1249">
        <v>1963</v>
      </c>
      <c r="D1256" s="1249"/>
      <c r="E1256" s="1256" t="s">
        <v>218</v>
      </c>
      <c r="F1256" s="1249">
        <v>4</v>
      </c>
      <c r="G1256" s="1249">
        <v>3</v>
      </c>
      <c r="H1256" s="1008">
        <v>2682.4</v>
      </c>
      <c r="I1256" s="1008">
        <v>1997.5</v>
      </c>
      <c r="J1256" s="1008">
        <v>1997.5</v>
      </c>
      <c r="K1256" s="986">
        <v>97</v>
      </c>
      <c r="L1256" s="998">
        <v>2759971.39</v>
      </c>
      <c r="M1256" s="998">
        <v>0</v>
      </c>
      <c r="N1256" s="998">
        <v>0</v>
      </c>
      <c r="O1256" s="998">
        <v>2759971.39</v>
      </c>
      <c r="P1256" s="1139">
        <v>0</v>
      </c>
      <c r="Q1256" s="1008">
        <v>0</v>
      </c>
      <c r="R1256" s="1021">
        <f t="shared" ref="R1256:R1319" si="357">L1256/I1256</f>
        <v>1381.7128360450563</v>
      </c>
      <c r="S1256" s="1022">
        <v>2016</v>
      </c>
      <c r="T1256" s="1022">
        <v>2020</v>
      </c>
    </row>
    <row r="1257" spans="1:20" ht="42.6" customHeight="1">
      <c r="A1257" s="1249">
        <v>330</v>
      </c>
      <c r="B1257" s="1260" t="s">
        <v>1125</v>
      </c>
      <c r="C1257" s="1249">
        <v>1959</v>
      </c>
      <c r="D1257" s="1249"/>
      <c r="E1257" s="1256" t="s">
        <v>218</v>
      </c>
      <c r="F1257" s="1249">
        <v>4</v>
      </c>
      <c r="G1257" s="1249">
        <v>4</v>
      </c>
      <c r="H1257" s="1008">
        <v>3445</v>
      </c>
      <c r="I1257" s="1008">
        <v>2645.4</v>
      </c>
      <c r="J1257" s="1008">
        <v>1889.2</v>
      </c>
      <c r="K1257" s="986">
        <v>86</v>
      </c>
      <c r="L1257" s="998">
        <v>4023969.09</v>
      </c>
      <c r="M1257" s="998">
        <v>0</v>
      </c>
      <c r="N1257" s="998">
        <v>0</v>
      </c>
      <c r="O1257" s="998">
        <v>4023969.09</v>
      </c>
      <c r="P1257" s="1139">
        <v>0</v>
      </c>
      <c r="Q1257" s="1008">
        <v>0</v>
      </c>
      <c r="R1257" s="1021">
        <f t="shared" si="357"/>
        <v>1521.1193354502154</v>
      </c>
      <c r="S1257" s="1022">
        <v>2016</v>
      </c>
      <c r="T1257" s="1022">
        <v>2020</v>
      </c>
    </row>
    <row r="1258" spans="1:20" ht="39" customHeight="1">
      <c r="A1258" s="1249">
        <v>331</v>
      </c>
      <c r="B1258" s="1260" t="s">
        <v>357</v>
      </c>
      <c r="C1258" s="1249">
        <v>1966</v>
      </c>
      <c r="D1258" s="1249"/>
      <c r="E1258" s="1249" t="s">
        <v>220</v>
      </c>
      <c r="F1258" s="1249">
        <v>5</v>
      </c>
      <c r="G1258" s="1249">
        <v>3</v>
      </c>
      <c r="H1258" s="1008">
        <v>3322.6</v>
      </c>
      <c r="I1258" s="1008">
        <v>2607.1</v>
      </c>
      <c r="J1258" s="1008">
        <v>2037.1</v>
      </c>
      <c r="K1258" s="986">
        <v>97</v>
      </c>
      <c r="L1258" s="998">
        <v>2514434.98</v>
      </c>
      <c r="M1258" s="998">
        <v>0</v>
      </c>
      <c r="N1258" s="998">
        <v>0</v>
      </c>
      <c r="O1258" s="998">
        <v>2514434.98</v>
      </c>
      <c r="P1258" s="1139">
        <v>0</v>
      </c>
      <c r="Q1258" s="1008">
        <v>0</v>
      </c>
      <c r="R1258" s="1021">
        <f t="shared" si="357"/>
        <v>964.45666832879442</v>
      </c>
      <c r="S1258" s="1022">
        <v>2016</v>
      </c>
      <c r="T1258" s="1022">
        <v>2020</v>
      </c>
    </row>
    <row r="1259" spans="1:20" ht="44.4" customHeight="1">
      <c r="A1259" s="1249">
        <v>332</v>
      </c>
      <c r="B1259" s="1019" t="s">
        <v>1054</v>
      </c>
      <c r="C1259" s="1249">
        <v>1958</v>
      </c>
      <c r="D1259" s="1249"/>
      <c r="E1259" s="1256" t="s">
        <v>218</v>
      </c>
      <c r="F1259" s="1249">
        <v>2</v>
      </c>
      <c r="G1259" s="1249">
        <v>2</v>
      </c>
      <c r="H1259" s="1008">
        <v>1345.8</v>
      </c>
      <c r="I1259" s="1008">
        <v>1345.8</v>
      </c>
      <c r="J1259" s="1008">
        <v>720.55</v>
      </c>
      <c r="K1259" s="986">
        <v>34</v>
      </c>
      <c r="L1259" s="998">
        <v>3552093</v>
      </c>
      <c r="M1259" s="998">
        <v>0</v>
      </c>
      <c r="N1259" s="998">
        <v>0</v>
      </c>
      <c r="O1259" s="998">
        <v>3552093</v>
      </c>
      <c r="P1259" s="1139">
        <v>0</v>
      </c>
      <c r="Q1259" s="1008">
        <v>0</v>
      </c>
      <c r="R1259" s="1021">
        <f t="shared" si="357"/>
        <v>2639.3914400356666</v>
      </c>
      <c r="S1259" s="1022">
        <v>2017</v>
      </c>
      <c r="T1259" s="1022">
        <v>2020</v>
      </c>
    </row>
    <row r="1260" spans="1:20" ht="40.200000000000003" customHeight="1">
      <c r="A1260" s="1249">
        <v>333</v>
      </c>
      <c r="B1260" s="1019" t="s">
        <v>1636</v>
      </c>
      <c r="C1260" s="1249">
        <v>1977</v>
      </c>
      <c r="D1260" s="1249"/>
      <c r="E1260" s="1256" t="s">
        <v>218</v>
      </c>
      <c r="F1260" s="1249">
        <v>5</v>
      </c>
      <c r="G1260" s="1249">
        <v>4</v>
      </c>
      <c r="H1260" s="1008">
        <v>3655</v>
      </c>
      <c r="I1260" s="1008">
        <v>3655</v>
      </c>
      <c r="J1260" s="1008">
        <v>2511.63</v>
      </c>
      <c r="K1260" s="986">
        <v>170</v>
      </c>
      <c r="L1260" s="998">
        <v>3600852.29</v>
      </c>
      <c r="M1260" s="998">
        <v>0</v>
      </c>
      <c r="N1260" s="998">
        <v>0</v>
      </c>
      <c r="O1260" s="998">
        <v>3600852.29</v>
      </c>
      <c r="P1260" s="1139">
        <v>0</v>
      </c>
      <c r="Q1260" s="1008">
        <v>0</v>
      </c>
      <c r="R1260" s="1021">
        <f t="shared" si="357"/>
        <v>985.18530506155946</v>
      </c>
      <c r="S1260" s="1022">
        <v>2017</v>
      </c>
      <c r="T1260" s="1022">
        <v>2020</v>
      </c>
    </row>
    <row r="1261" spans="1:20" ht="42" customHeight="1">
      <c r="A1261" s="1249">
        <v>334</v>
      </c>
      <c r="B1261" s="1019" t="s">
        <v>1953</v>
      </c>
      <c r="C1261" s="1249">
        <v>1963</v>
      </c>
      <c r="D1261" s="1249"/>
      <c r="E1261" s="1256" t="s">
        <v>218</v>
      </c>
      <c r="F1261" s="1249">
        <v>2</v>
      </c>
      <c r="G1261" s="1249">
        <v>1</v>
      </c>
      <c r="H1261" s="1008">
        <v>719.8</v>
      </c>
      <c r="I1261" s="1008">
        <v>461.7</v>
      </c>
      <c r="J1261" s="1008">
        <v>107.4</v>
      </c>
      <c r="K1261" s="986">
        <v>46</v>
      </c>
      <c r="L1261" s="985">
        <v>1763431</v>
      </c>
      <c r="M1261" s="998">
        <v>0</v>
      </c>
      <c r="N1261" s="998">
        <v>0</v>
      </c>
      <c r="O1261" s="985">
        <v>1763431</v>
      </c>
      <c r="P1261" s="1139">
        <v>0</v>
      </c>
      <c r="Q1261" s="1008">
        <v>0</v>
      </c>
      <c r="R1261" s="1021">
        <f t="shared" si="357"/>
        <v>3819.4303660385531</v>
      </c>
      <c r="S1261" s="1022">
        <v>2017</v>
      </c>
      <c r="T1261" s="1022">
        <v>2020</v>
      </c>
    </row>
    <row r="1262" spans="1:20" ht="36.6" customHeight="1">
      <c r="A1262" s="1249">
        <v>335</v>
      </c>
      <c r="B1262" s="1019" t="s">
        <v>1055</v>
      </c>
      <c r="C1262" s="1249">
        <v>1974</v>
      </c>
      <c r="D1262" s="1249"/>
      <c r="E1262" s="1249" t="s">
        <v>219</v>
      </c>
      <c r="F1262" s="1249">
        <v>5</v>
      </c>
      <c r="G1262" s="1249">
        <v>5</v>
      </c>
      <c r="H1262" s="1008">
        <v>3970.6</v>
      </c>
      <c r="I1262" s="1008">
        <v>3970.6</v>
      </c>
      <c r="J1262" s="1008">
        <v>2778.35</v>
      </c>
      <c r="K1262" s="986">
        <v>121</v>
      </c>
      <c r="L1262" s="998">
        <v>2904552.11</v>
      </c>
      <c r="M1262" s="998">
        <v>0</v>
      </c>
      <c r="N1262" s="998">
        <v>0</v>
      </c>
      <c r="O1262" s="998">
        <v>2904552.11</v>
      </c>
      <c r="P1262" s="1139">
        <v>0</v>
      </c>
      <c r="Q1262" s="1008">
        <v>0</v>
      </c>
      <c r="R1262" s="1021">
        <f t="shared" si="357"/>
        <v>731.51466025285845</v>
      </c>
      <c r="S1262" s="1022">
        <v>2017</v>
      </c>
      <c r="T1262" s="1022">
        <v>2020</v>
      </c>
    </row>
    <row r="1263" spans="1:20" ht="42.6" customHeight="1">
      <c r="A1263" s="1249">
        <v>336</v>
      </c>
      <c r="B1263" s="1019" t="s">
        <v>1056</v>
      </c>
      <c r="C1263" s="1249">
        <v>1959</v>
      </c>
      <c r="D1263" s="1249"/>
      <c r="E1263" s="1256" t="s">
        <v>218</v>
      </c>
      <c r="F1263" s="1249">
        <v>3</v>
      </c>
      <c r="G1263" s="1249">
        <v>4</v>
      </c>
      <c r="H1263" s="1008">
        <v>2824.9</v>
      </c>
      <c r="I1263" s="1008">
        <v>1991.7</v>
      </c>
      <c r="J1263" s="1008">
        <v>1721.5</v>
      </c>
      <c r="K1263" s="986">
        <v>43</v>
      </c>
      <c r="L1263" s="998">
        <v>3902737</v>
      </c>
      <c r="M1263" s="998">
        <v>0</v>
      </c>
      <c r="N1263" s="998">
        <v>0</v>
      </c>
      <c r="O1263" s="998">
        <v>3902737</v>
      </c>
      <c r="P1263" s="1139">
        <v>0</v>
      </c>
      <c r="Q1263" s="1008">
        <v>0</v>
      </c>
      <c r="R1263" s="1021">
        <f t="shared" si="357"/>
        <v>1959.5004267710999</v>
      </c>
      <c r="S1263" s="1022">
        <v>2017</v>
      </c>
      <c r="T1263" s="1022">
        <v>2020</v>
      </c>
    </row>
    <row r="1264" spans="1:20" ht="42" customHeight="1">
      <c r="A1264" s="1249">
        <v>337</v>
      </c>
      <c r="B1264" s="1260" t="s">
        <v>1167</v>
      </c>
      <c r="C1264" s="1249">
        <v>1962</v>
      </c>
      <c r="D1264" s="1249"/>
      <c r="E1264" s="1256" t="s">
        <v>218</v>
      </c>
      <c r="F1264" s="1249">
        <v>2</v>
      </c>
      <c r="G1264" s="1249">
        <v>1</v>
      </c>
      <c r="H1264" s="1008">
        <v>326.3</v>
      </c>
      <c r="I1264" s="1008">
        <v>294.89999999999998</v>
      </c>
      <c r="J1264" s="1008">
        <v>294.89999999999998</v>
      </c>
      <c r="K1264" s="986">
        <v>23</v>
      </c>
      <c r="L1264" s="998">
        <v>978003.2</v>
      </c>
      <c r="M1264" s="998">
        <v>0</v>
      </c>
      <c r="N1264" s="998">
        <v>0</v>
      </c>
      <c r="O1264" s="998">
        <v>978003.2</v>
      </c>
      <c r="P1264" s="1139">
        <v>0</v>
      </c>
      <c r="Q1264" s="1008">
        <v>0</v>
      </c>
      <c r="R1264" s="1021">
        <f t="shared" si="357"/>
        <v>3316.3892845032215</v>
      </c>
      <c r="S1264" s="1022">
        <v>2018</v>
      </c>
      <c r="T1264" s="1022">
        <v>2020</v>
      </c>
    </row>
    <row r="1265" spans="1:20" ht="45" customHeight="1">
      <c r="A1265" s="1249">
        <v>338</v>
      </c>
      <c r="B1265" s="1260" t="s">
        <v>1954</v>
      </c>
      <c r="C1265" s="1249">
        <v>1952</v>
      </c>
      <c r="D1265" s="1249"/>
      <c r="E1265" s="1256" t="s">
        <v>218</v>
      </c>
      <c r="F1265" s="1249">
        <v>2</v>
      </c>
      <c r="G1265" s="1249">
        <v>2</v>
      </c>
      <c r="H1265" s="1008">
        <v>750.6</v>
      </c>
      <c r="I1265" s="1008">
        <v>750.6</v>
      </c>
      <c r="J1265" s="1008">
        <v>383.3</v>
      </c>
      <c r="K1265" s="986">
        <v>17</v>
      </c>
      <c r="L1265" s="998">
        <v>1784217.57</v>
      </c>
      <c r="M1265" s="998">
        <v>0</v>
      </c>
      <c r="N1265" s="998">
        <v>0</v>
      </c>
      <c r="O1265" s="998">
        <v>1784217.57</v>
      </c>
      <c r="P1265" s="1008">
        <v>0</v>
      </c>
      <c r="Q1265" s="998">
        <v>0</v>
      </c>
      <c r="R1265" s="1021">
        <f t="shared" si="357"/>
        <v>2377.0551159072743</v>
      </c>
      <c r="S1265" s="1022">
        <v>2018</v>
      </c>
      <c r="T1265" s="1022">
        <v>2020</v>
      </c>
    </row>
    <row r="1266" spans="1:20" ht="40.200000000000003" customHeight="1">
      <c r="A1266" s="1249">
        <v>339</v>
      </c>
      <c r="B1266" s="1260" t="s">
        <v>1955</v>
      </c>
      <c r="C1266" s="1249">
        <v>1952</v>
      </c>
      <c r="D1266" s="1249"/>
      <c r="E1266" s="1256" t="s">
        <v>218</v>
      </c>
      <c r="F1266" s="1249">
        <v>2</v>
      </c>
      <c r="G1266" s="1249">
        <v>1</v>
      </c>
      <c r="H1266" s="1008">
        <v>411.3</v>
      </c>
      <c r="I1266" s="1008">
        <v>411.3</v>
      </c>
      <c r="J1266" s="1008">
        <v>316.8</v>
      </c>
      <c r="K1266" s="986">
        <v>12</v>
      </c>
      <c r="L1266" s="998">
        <v>3158928.86</v>
      </c>
      <c r="M1266" s="998">
        <v>0</v>
      </c>
      <c r="N1266" s="998">
        <v>0</v>
      </c>
      <c r="O1266" s="998">
        <v>3158928.86</v>
      </c>
      <c r="P1266" s="1008">
        <v>0</v>
      </c>
      <c r="Q1266" s="998">
        <v>0</v>
      </c>
      <c r="R1266" s="1021">
        <f t="shared" si="357"/>
        <v>7680.3522003403832</v>
      </c>
      <c r="S1266" s="1022">
        <v>2018</v>
      </c>
      <c r="T1266" s="1022">
        <v>2020</v>
      </c>
    </row>
    <row r="1267" spans="1:20" ht="39.6" customHeight="1">
      <c r="A1267" s="1249">
        <v>340</v>
      </c>
      <c r="B1267" s="1260" t="s">
        <v>1061</v>
      </c>
      <c r="C1267" s="1249">
        <v>1966</v>
      </c>
      <c r="D1267" s="1249"/>
      <c r="E1267" s="1255" t="s">
        <v>1066</v>
      </c>
      <c r="F1267" s="1249">
        <v>5</v>
      </c>
      <c r="G1267" s="1249">
        <v>3</v>
      </c>
      <c r="H1267" s="1008">
        <v>2671.1</v>
      </c>
      <c r="I1267" s="1008">
        <v>2017.3</v>
      </c>
      <c r="J1267" s="1008">
        <v>1311.11</v>
      </c>
      <c r="K1267" s="986">
        <v>106</v>
      </c>
      <c r="L1267" s="985">
        <v>3036095.52</v>
      </c>
      <c r="M1267" s="998">
        <v>0</v>
      </c>
      <c r="N1267" s="998">
        <v>0</v>
      </c>
      <c r="O1267" s="985">
        <v>3036095.52</v>
      </c>
      <c r="P1267" s="998">
        <v>0</v>
      </c>
      <c r="Q1267" s="998">
        <v>0</v>
      </c>
      <c r="R1267" s="1021">
        <f t="shared" si="357"/>
        <v>1505.0292569275764</v>
      </c>
      <c r="S1267" s="1022">
        <v>2018</v>
      </c>
      <c r="T1267" s="1022">
        <v>2020</v>
      </c>
    </row>
    <row r="1268" spans="1:20" ht="42.6" customHeight="1">
      <c r="A1268" s="1249">
        <v>341</v>
      </c>
      <c r="B1268" s="1260" t="s">
        <v>1062</v>
      </c>
      <c r="C1268" s="1249">
        <v>1961</v>
      </c>
      <c r="D1268" s="1249"/>
      <c r="E1268" s="1256" t="s">
        <v>218</v>
      </c>
      <c r="F1268" s="1249">
        <v>3</v>
      </c>
      <c r="G1268" s="1249">
        <v>2</v>
      </c>
      <c r="H1268" s="1008">
        <v>996.8</v>
      </c>
      <c r="I1268" s="1008">
        <v>921.2</v>
      </c>
      <c r="J1268" s="1008">
        <v>613.92999999999995</v>
      </c>
      <c r="K1268" s="986">
        <v>41</v>
      </c>
      <c r="L1268" s="985">
        <v>1862600</v>
      </c>
      <c r="M1268" s="998">
        <v>0</v>
      </c>
      <c r="N1268" s="998">
        <v>0</v>
      </c>
      <c r="O1268" s="985">
        <v>1862600</v>
      </c>
      <c r="P1268" s="998">
        <v>0</v>
      </c>
      <c r="Q1268" s="998">
        <v>0</v>
      </c>
      <c r="R1268" s="1021">
        <f t="shared" si="357"/>
        <v>2021.9279201042118</v>
      </c>
      <c r="S1268" s="1022">
        <v>2018</v>
      </c>
      <c r="T1268" s="1022">
        <v>2020</v>
      </c>
    </row>
    <row r="1269" spans="1:20" ht="37.799999999999997" customHeight="1">
      <c r="A1269" s="1249">
        <v>342</v>
      </c>
      <c r="B1269" s="1260" t="s">
        <v>1063</v>
      </c>
      <c r="C1269" s="1249">
        <v>1975</v>
      </c>
      <c r="D1269" s="1249"/>
      <c r="E1269" s="1249" t="s">
        <v>220</v>
      </c>
      <c r="F1269" s="1249">
        <v>5</v>
      </c>
      <c r="G1269" s="1249">
        <v>6</v>
      </c>
      <c r="H1269" s="1008">
        <v>5023.3999999999996</v>
      </c>
      <c r="I1269" s="1008">
        <v>4578.3999999999996</v>
      </c>
      <c r="J1269" s="1008">
        <v>2958.48</v>
      </c>
      <c r="K1269" s="986">
        <v>159</v>
      </c>
      <c r="L1269" s="985">
        <v>4863448.7699999996</v>
      </c>
      <c r="M1269" s="998">
        <v>0</v>
      </c>
      <c r="N1269" s="998">
        <v>0</v>
      </c>
      <c r="O1269" s="985">
        <v>4863448.7699999996</v>
      </c>
      <c r="P1269" s="998">
        <v>0</v>
      </c>
      <c r="Q1269" s="998">
        <v>0</v>
      </c>
      <c r="R1269" s="1021">
        <f t="shared" si="357"/>
        <v>1062.2594727415692</v>
      </c>
      <c r="S1269" s="1022">
        <v>2018</v>
      </c>
      <c r="T1269" s="1022">
        <v>2020</v>
      </c>
    </row>
    <row r="1270" spans="1:20" ht="42.6" customHeight="1">
      <c r="A1270" s="1249">
        <v>343</v>
      </c>
      <c r="B1270" s="1260" t="s">
        <v>1065</v>
      </c>
      <c r="C1270" s="1249">
        <v>1960</v>
      </c>
      <c r="D1270" s="1249"/>
      <c r="E1270" s="1256" t="s">
        <v>218</v>
      </c>
      <c r="F1270" s="1249">
        <v>2</v>
      </c>
      <c r="G1270" s="1249">
        <v>1</v>
      </c>
      <c r="H1270" s="1008">
        <v>629.70000000000005</v>
      </c>
      <c r="I1270" s="1008">
        <v>445.8</v>
      </c>
      <c r="J1270" s="1008">
        <v>246.5</v>
      </c>
      <c r="K1270" s="986">
        <v>14</v>
      </c>
      <c r="L1270" s="985">
        <v>1408601</v>
      </c>
      <c r="M1270" s="998">
        <v>0</v>
      </c>
      <c r="N1270" s="998">
        <v>0</v>
      </c>
      <c r="O1270" s="985">
        <v>1408601</v>
      </c>
      <c r="P1270" s="998">
        <v>0</v>
      </c>
      <c r="Q1270" s="998">
        <v>0</v>
      </c>
      <c r="R1270" s="1021">
        <f t="shared" si="357"/>
        <v>3159.7151188873931</v>
      </c>
      <c r="S1270" s="1022">
        <v>2018</v>
      </c>
      <c r="T1270" s="1022">
        <v>2020</v>
      </c>
    </row>
    <row r="1271" spans="1:20" ht="42.6" customHeight="1">
      <c r="A1271" s="1249">
        <v>344</v>
      </c>
      <c r="B1271" s="1260" t="s">
        <v>1064</v>
      </c>
      <c r="C1271" s="1249">
        <v>1981</v>
      </c>
      <c r="D1271" s="1249"/>
      <c r="E1271" s="1256" t="s">
        <v>218</v>
      </c>
      <c r="F1271" s="1249">
        <v>9</v>
      </c>
      <c r="G1271" s="1249">
        <v>1</v>
      </c>
      <c r="H1271" s="1008">
        <v>3946.8</v>
      </c>
      <c r="I1271" s="1008">
        <v>3774</v>
      </c>
      <c r="J1271" s="1008">
        <v>2446.89</v>
      </c>
      <c r="K1271" s="986">
        <v>126</v>
      </c>
      <c r="L1271" s="998">
        <v>1964604.77</v>
      </c>
      <c r="M1271" s="998">
        <v>0</v>
      </c>
      <c r="N1271" s="998">
        <v>0</v>
      </c>
      <c r="O1271" s="998">
        <v>1964604.77</v>
      </c>
      <c r="P1271" s="998">
        <v>0</v>
      </c>
      <c r="Q1271" s="998">
        <v>0</v>
      </c>
      <c r="R1271" s="1021">
        <f t="shared" si="357"/>
        <v>520.56300211976679</v>
      </c>
      <c r="S1271" s="1022">
        <v>2018</v>
      </c>
      <c r="T1271" s="1022">
        <v>2020</v>
      </c>
    </row>
    <row r="1272" spans="1:20" ht="42" customHeight="1">
      <c r="A1272" s="1249">
        <v>345</v>
      </c>
      <c r="B1272" s="1373" t="s">
        <v>2218</v>
      </c>
      <c r="C1272" s="1249">
        <v>1951</v>
      </c>
      <c r="D1272" s="1249"/>
      <c r="E1272" s="1256" t="s">
        <v>218</v>
      </c>
      <c r="F1272" s="1249">
        <v>2</v>
      </c>
      <c r="G1272" s="1249">
        <v>1</v>
      </c>
      <c r="H1272" s="1008">
        <v>799.7</v>
      </c>
      <c r="I1272" s="1008">
        <v>518.6</v>
      </c>
      <c r="J1272" s="1008">
        <v>518.6</v>
      </c>
      <c r="K1272" s="986">
        <v>18</v>
      </c>
      <c r="L1272" s="998">
        <v>2267684</v>
      </c>
      <c r="M1272" s="998">
        <v>0</v>
      </c>
      <c r="N1272" s="998">
        <v>0</v>
      </c>
      <c r="O1272" s="998">
        <v>2267684</v>
      </c>
      <c r="P1272" s="998">
        <v>0</v>
      </c>
      <c r="Q1272" s="998">
        <v>0</v>
      </c>
      <c r="R1272" s="1021">
        <f t="shared" si="357"/>
        <v>4372.7034323177786</v>
      </c>
      <c r="S1272" s="1022">
        <v>2018</v>
      </c>
      <c r="T1272" s="1022">
        <v>2020</v>
      </c>
    </row>
    <row r="1273" spans="1:20" ht="40.799999999999997" customHeight="1">
      <c r="A1273" s="1249">
        <v>346</v>
      </c>
      <c r="B1273" s="1260" t="s">
        <v>1637</v>
      </c>
      <c r="C1273" s="1249">
        <v>1959</v>
      </c>
      <c r="D1273" s="1249"/>
      <c r="E1273" s="1256" t="s">
        <v>218</v>
      </c>
      <c r="F1273" s="1249">
        <v>2</v>
      </c>
      <c r="G1273" s="1249">
        <v>2</v>
      </c>
      <c r="H1273" s="1008">
        <v>490.5</v>
      </c>
      <c r="I1273" s="1008">
        <v>442</v>
      </c>
      <c r="J1273" s="1008">
        <v>442</v>
      </c>
      <c r="K1273" s="986">
        <v>21</v>
      </c>
      <c r="L1273" s="998">
        <v>1489225</v>
      </c>
      <c r="M1273" s="998">
        <v>0</v>
      </c>
      <c r="N1273" s="998">
        <v>0</v>
      </c>
      <c r="O1273" s="998">
        <v>1489225</v>
      </c>
      <c r="P1273" s="998">
        <v>0</v>
      </c>
      <c r="Q1273" s="998">
        <v>0</v>
      </c>
      <c r="R1273" s="1021">
        <f t="shared" si="357"/>
        <v>3369.2873303167421</v>
      </c>
      <c r="S1273" s="1022">
        <v>2018</v>
      </c>
      <c r="T1273" s="1022">
        <v>2020</v>
      </c>
    </row>
    <row r="1274" spans="1:20" ht="42" customHeight="1">
      <c r="A1274" s="1249">
        <v>347</v>
      </c>
      <c r="B1274" s="1247" t="s">
        <v>1638</v>
      </c>
      <c r="C1274" s="1249">
        <v>1976</v>
      </c>
      <c r="D1274" s="1249"/>
      <c r="E1274" s="1256" t="s">
        <v>218</v>
      </c>
      <c r="F1274" s="1249">
        <v>5</v>
      </c>
      <c r="G1274" s="1249">
        <v>1</v>
      </c>
      <c r="H1274" s="1008">
        <v>4763.3</v>
      </c>
      <c r="I1274" s="1008">
        <v>2443.9</v>
      </c>
      <c r="J1274" s="1008">
        <v>1658.38</v>
      </c>
      <c r="K1274" s="986">
        <v>176</v>
      </c>
      <c r="L1274" s="998">
        <v>3019437</v>
      </c>
      <c r="M1274" s="998">
        <v>0</v>
      </c>
      <c r="N1274" s="998">
        <v>0</v>
      </c>
      <c r="O1274" s="998">
        <v>3019437</v>
      </c>
      <c r="P1274" s="998">
        <v>0</v>
      </c>
      <c r="Q1274" s="998">
        <v>0</v>
      </c>
      <c r="R1274" s="1021">
        <f t="shared" si="357"/>
        <v>1235.4994066860345</v>
      </c>
      <c r="S1274" s="1022">
        <v>2018</v>
      </c>
      <c r="T1274" s="1022">
        <v>2020</v>
      </c>
    </row>
    <row r="1275" spans="1:20" ht="37.200000000000003" customHeight="1">
      <c r="A1275" s="1249">
        <v>348</v>
      </c>
      <c r="B1275" s="1247" t="s">
        <v>1177</v>
      </c>
      <c r="C1275" s="1249">
        <v>1959</v>
      </c>
      <c r="D1275" s="1249"/>
      <c r="E1275" s="1249" t="s">
        <v>823</v>
      </c>
      <c r="F1275" s="1249">
        <v>2</v>
      </c>
      <c r="G1275" s="1249">
        <v>1</v>
      </c>
      <c r="H1275" s="1008">
        <v>265.10000000000002</v>
      </c>
      <c r="I1275" s="1008">
        <v>245.1</v>
      </c>
      <c r="J1275" s="1008">
        <v>187.7</v>
      </c>
      <c r="K1275" s="986">
        <v>19</v>
      </c>
      <c r="L1275" s="998">
        <v>760568</v>
      </c>
      <c r="M1275" s="998">
        <v>0</v>
      </c>
      <c r="N1275" s="998">
        <v>0</v>
      </c>
      <c r="O1275" s="998">
        <v>760568</v>
      </c>
      <c r="P1275" s="998">
        <v>0</v>
      </c>
      <c r="Q1275" s="998">
        <v>0</v>
      </c>
      <c r="R1275" s="1021">
        <f t="shared" si="357"/>
        <v>3103.0926152590778</v>
      </c>
      <c r="S1275" s="1022">
        <v>2018</v>
      </c>
      <c r="T1275" s="1022">
        <v>2020</v>
      </c>
    </row>
    <row r="1276" spans="1:20" ht="43.8" customHeight="1">
      <c r="A1276" s="1249">
        <v>349</v>
      </c>
      <c r="B1276" s="1247" t="s">
        <v>1178</v>
      </c>
      <c r="C1276" s="1249">
        <v>1966</v>
      </c>
      <c r="D1276" s="1249"/>
      <c r="E1276" s="1256" t="s">
        <v>218</v>
      </c>
      <c r="F1276" s="1249">
        <v>5</v>
      </c>
      <c r="G1276" s="1249">
        <v>4</v>
      </c>
      <c r="H1276" s="1008">
        <v>4007.7</v>
      </c>
      <c r="I1276" s="1008">
        <v>3112.3</v>
      </c>
      <c r="J1276" s="1008">
        <v>2493.4</v>
      </c>
      <c r="K1276" s="986">
        <v>198</v>
      </c>
      <c r="L1276" s="998">
        <v>3540294</v>
      </c>
      <c r="M1276" s="998">
        <v>0</v>
      </c>
      <c r="N1276" s="998">
        <v>0</v>
      </c>
      <c r="O1276" s="998">
        <v>3540294</v>
      </c>
      <c r="P1276" s="998">
        <v>0</v>
      </c>
      <c r="Q1276" s="998">
        <v>0</v>
      </c>
      <c r="R1276" s="1021">
        <f t="shared" si="357"/>
        <v>1137.5169488802492</v>
      </c>
      <c r="S1276" s="1022">
        <v>2018</v>
      </c>
      <c r="T1276" s="1022">
        <v>2020</v>
      </c>
    </row>
    <row r="1277" spans="1:20" ht="40.200000000000003" customHeight="1">
      <c r="A1277" s="1249">
        <v>350</v>
      </c>
      <c r="B1277" s="1247" t="s">
        <v>1639</v>
      </c>
      <c r="C1277" s="1249">
        <v>1960</v>
      </c>
      <c r="D1277" s="1249"/>
      <c r="E1277" s="1256" t="s">
        <v>218</v>
      </c>
      <c r="F1277" s="1249">
        <v>2</v>
      </c>
      <c r="G1277" s="1249">
        <v>2</v>
      </c>
      <c r="H1277" s="1008">
        <v>602.4</v>
      </c>
      <c r="I1277" s="1008">
        <v>558</v>
      </c>
      <c r="J1277" s="1008">
        <v>382.99</v>
      </c>
      <c r="K1277" s="986">
        <v>49</v>
      </c>
      <c r="L1277" s="998">
        <v>1658455</v>
      </c>
      <c r="M1277" s="998">
        <v>0</v>
      </c>
      <c r="N1277" s="998">
        <v>0</v>
      </c>
      <c r="O1277" s="998">
        <v>1658455</v>
      </c>
      <c r="P1277" s="998">
        <v>0</v>
      </c>
      <c r="Q1277" s="998">
        <v>0</v>
      </c>
      <c r="R1277" s="1021">
        <f t="shared" si="357"/>
        <v>2972.1415770609319</v>
      </c>
      <c r="S1277" s="1022">
        <v>2018</v>
      </c>
      <c r="T1277" s="1022">
        <v>2020</v>
      </c>
    </row>
    <row r="1278" spans="1:20" ht="43.8" customHeight="1">
      <c r="A1278" s="1249">
        <v>351</v>
      </c>
      <c r="B1278" s="1247" t="s">
        <v>1956</v>
      </c>
      <c r="C1278" s="1249">
        <v>1957</v>
      </c>
      <c r="D1278" s="1249"/>
      <c r="E1278" s="1256" t="s">
        <v>218</v>
      </c>
      <c r="F1278" s="1249">
        <v>2</v>
      </c>
      <c r="G1278" s="1249">
        <v>1</v>
      </c>
      <c r="H1278" s="1008">
        <v>433</v>
      </c>
      <c r="I1278" s="1008">
        <v>393.8</v>
      </c>
      <c r="J1278" s="1008">
        <v>393.8</v>
      </c>
      <c r="K1278" s="986">
        <v>17</v>
      </c>
      <c r="L1278" s="998">
        <v>1093226</v>
      </c>
      <c r="M1278" s="998">
        <v>0</v>
      </c>
      <c r="N1278" s="998">
        <v>0</v>
      </c>
      <c r="O1278" s="998">
        <v>1093226</v>
      </c>
      <c r="P1278" s="998">
        <v>0</v>
      </c>
      <c r="Q1278" s="998">
        <v>0</v>
      </c>
      <c r="R1278" s="1021">
        <f t="shared" si="357"/>
        <v>2776.0944641950227</v>
      </c>
      <c r="S1278" s="1022">
        <v>2018</v>
      </c>
      <c r="T1278" s="1022">
        <v>2020</v>
      </c>
    </row>
    <row r="1279" spans="1:20" ht="33.6" customHeight="1">
      <c r="A1279" s="1249">
        <v>352</v>
      </c>
      <c r="B1279" s="1003" t="s">
        <v>791</v>
      </c>
      <c r="C1279" s="1249">
        <v>1991</v>
      </c>
      <c r="D1279" s="1249"/>
      <c r="E1279" s="1255" t="s">
        <v>219</v>
      </c>
      <c r="F1279" s="1249">
        <v>5</v>
      </c>
      <c r="G1279" s="1249">
        <v>4</v>
      </c>
      <c r="H1279" s="1008">
        <v>3557.4</v>
      </c>
      <c r="I1279" s="1008">
        <v>3287.3</v>
      </c>
      <c r="J1279" s="1008">
        <v>2188.1</v>
      </c>
      <c r="K1279" s="986">
        <v>79</v>
      </c>
      <c r="L1279" s="998">
        <v>2518802</v>
      </c>
      <c r="M1279" s="998">
        <v>0</v>
      </c>
      <c r="N1279" s="998">
        <v>0</v>
      </c>
      <c r="O1279" s="998">
        <v>2518802</v>
      </c>
      <c r="P1279" s="998">
        <v>0</v>
      </c>
      <c r="Q1279" s="998">
        <v>0</v>
      </c>
      <c r="R1279" s="1021">
        <f t="shared" si="357"/>
        <v>766.22212758190608</v>
      </c>
      <c r="S1279" s="1022">
        <v>2018</v>
      </c>
      <c r="T1279" s="1022">
        <v>2020</v>
      </c>
    </row>
    <row r="1280" spans="1:20" ht="42" customHeight="1">
      <c r="A1280" s="1249">
        <v>353</v>
      </c>
      <c r="B1280" s="1260" t="s">
        <v>1640</v>
      </c>
      <c r="C1280" s="1249">
        <v>1984</v>
      </c>
      <c r="D1280" s="1249"/>
      <c r="E1280" s="1256" t="s">
        <v>218</v>
      </c>
      <c r="F1280" s="1249">
        <v>9</v>
      </c>
      <c r="G1280" s="1249">
        <v>1</v>
      </c>
      <c r="H1280" s="1008">
        <v>4179.8</v>
      </c>
      <c r="I1280" s="1008">
        <v>3189</v>
      </c>
      <c r="J1280" s="1008">
        <v>3189</v>
      </c>
      <c r="K1280" s="986">
        <v>132</v>
      </c>
      <c r="L1280" s="985">
        <v>1964509</v>
      </c>
      <c r="M1280" s="998">
        <v>0</v>
      </c>
      <c r="N1280" s="998">
        <v>0</v>
      </c>
      <c r="O1280" s="985">
        <v>1964509</v>
      </c>
      <c r="P1280" s="998">
        <v>0</v>
      </c>
      <c r="Q1280" s="998">
        <v>0</v>
      </c>
      <c r="R1280" s="1021">
        <f t="shared" si="357"/>
        <v>616.02665412354975</v>
      </c>
      <c r="S1280" s="1022">
        <v>2018</v>
      </c>
      <c r="T1280" s="1022">
        <v>2020</v>
      </c>
    </row>
    <row r="1281" spans="1:20" ht="39.6" customHeight="1">
      <c r="A1281" s="1249">
        <v>354</v>
      </c>
      <c r="B1281" s="1003" t="s">
        <v>790</v>
      </c>
      <c r="C1281" s="1249">
        <v>1979</v>
      </c>
      <c r="D1281" s="1249"/>
      <c r="E1281" s="1255" t="s">
        <v>219</v>
      </c>
      <c r="F1281" s="1249">
        <v>5</v>
      </c>
      <c r="G1281" s="1249">
        <v>5</v>
      </c>
      <c r="H1281" s="1008">
        <v>6227.3</v>
      </c>
      <c r="I1281" s="1008">
        <v>6227.3</v>
      </c>
      <c r="J1281" s="1008">
        <v>3788.52</v>
      </c>
      <c r="K1281" s="986">
        <v>174</v>
      </c>
      <c r="L1281" s="998">
        <v>3697504</v>
      </c>
      <c r="M1281" s="998">
        <v>0</v>
      </c>
      <c r="N1281" s="998">
        <v>0</v>
      </c>
      <c r="O1281" s="998">
        <v>3697504</v>
      </c>
      <c r="P1281" s="998">
        <v>0</v>
      </c>
      <c r="Q1281" s="998">
        <v>0</v>
      </c>
      <c r="R1281" s="1021">
        <f t="shared" si="357"/>
        <v>593.75716602701004</v>
      </c>
      <c r="S1281" s="1022">
        <v>2019</v>
      </c>
      <c r="T1281" s="1022">
        <v>2020</v>
      </c>
    </row>
    <row r="1282" spans="1:20" ht="44.4" customHeight="1">
      <c r="A1282" s="1249">
        <v>355</v>
      </c>
      <c r="B1282" s="1260" t="s">
        <v>792</v>
      </c>
      <c r="C1282" s="1249">
        <v>1950</v>
      </c>
      <c r="D1282" s="1249"/>
      <c r="E1282" s="1256" t="s">
        <v>218</v>
      </c>
      <c r="F1282" s="1249">
        <v>3</v>
      </c>
      <c r="G1282" s="1249">
        <v>4</v>
      </c>
      <c r="H1282" s="1008">
        <v>2375</v>
      </c>
      <c r="I1282" s="1008">
        <v>2375</v>
      </c>
      <c r="J1282" s="1008">
        <v>1480.89</v>
      </c>
      <c r="K1282" s="986">
        <v>54</v>
      </c>
      <c r="L1282" s="998">
        <v>4662878.04</v>
      </c>
      <c r="M1282" s="998">
        <v>0</v>
      </c>
      <c r="N1282" s="998">
        <v>0</v>
      </c>
      <c r="O1282" s="998">
        <v>4662878.04</v>
      </c>
      <c r="P1282" s="998">
        <v>0</v>
      </c>
      <c r="Q1282" s="998">
        <v>0</v>
      </c>
      <c r="R1282" s="1021">
        <f t="shared" si="357"/>
        <v>1963.3170694736841</v>
      </c>
      <c r="S1282" s="1022">
        <v>2019</v>
      </c>
      <c r="T1282" s="1022">
        <v>2020</v>
      </c>
    </row>
    <row r="1283" spans="1:20" ht="42.6" customHeight="1">
      <c r="A1283" s="1249">
        <v>356</v>
      </c>
      <c r="B1283" s="1260" t="s">
        <v>1201</v>
      </c>
      <c r="C1283" s="1249">
        <v>1983</v>
      </c>
      <c r="D1283" s="1249"/>
      <c r="E1283" s="1256" t="s">
        <v>218</v>
      </c>
      <c r="F1283" s="1249">
        <v>5</v>
      </c>
      <c r="G1283" s="1249">
        <v>8</v>
      </c>
      <c r="H1283" s="1008">
        <v>6381.8</v>
      </c>
      <c r="I1283" s="1008">
        <v>5782.4</v>
      </c>
      <c r="J1283" s="1008">
        <v>5782.4</v>
      </c>
      <c r="K1283" s="986">
        <v>251</v>
      </c>
      <c r="L1283" s="998">
        <v>5828295</v>
      </c>
      <c r="M1283" s="998">
        <v>0</v>
      </c>
      <c r="N1283" s="998">
        <v>0</v>
      </c>
      <c r="O1283" s="998">
        <v>5828295</v>
      </c>
      <c r="P1283" s="998">
        <v>0</v>
      </c>
      <c r="Q1283" s="998">
        <v>0</v>
      </c>
      <c r="R1283" s="1021">
        <f t="shared" si="357"/>
        <v>1007.9370157719978</v>
      </c>
      <c r="S1283" s="1022">
        <v>2019</v>
      </c>
      <c r="T1283" s="1022">
        <v>2020</v>
      </c>
    </row>
    <row r="1284" spans="1:20" ht="40.799999999999997" customHeight="1">
      <c r="A1284" s="1249">
        <v>357</v>
      </c>
      <c r="B1284" s="1260" t="s">
        <v>1641</v>
      </c>
      <c r="C1284" s="1249">
        <v>1996</v>
      </c>
      <c r="D1284" s="1249"/>
      <c r="E1284" s="1256" t="s">
        <v>218</v>
      </c>
      <c r="F1284" s="1249">
        <v>5</v>
      </c>
      <c r="G1284" s="1249">
        <v>5</v>
      </c>
      <c r="H1284" s="1008">
        <v>4965.7</v>
      </c>
      <c r="I1284" s="1008">
        <v>3691.7</v>
      </c>
      <c r="J1284" s="1008">
        <v>3691.7</v>
      </c>
      <c r="K1284" s="986">
        <v>138</v>
      </c>
      <c r="L1284" s="998">
        <v>2937787</v>
      </c>
      <c r="M1284" s="998">
        <v>0</v>
      </c>
      <c r="N1284" s="998">
        <v>0</v>
      </c>
      <c r="O1284" s="998">
        <v>2937787</v>
      </c>
      <c r="P1284" s="998">
        <v>0</v>
      </c>
      <c r="Q1284" s="998">
        <v>0</v>
      </c>
      <c r="R1284" s="1021">
        <f t="shared" si="357"/>
        <v>795.7816182246662</v>
      </c>
      <c r="S1284" s="1022">
        <v>2019</v>
      </c>
      <c r="T1284" s="1022">
        <v>2020</v>
      </c>
    </row>
    <row r="1285" spans="1:20" ht="39" customHeight="1">
      <c r="A1285" s="1249">
        <v>358</v>
      </c>
      <c r="B1285" s="1260" t="s">
        <v>1202</v>
      </c>
      <c r="C1285" s="1249">
        <v>1999</v>
      </c>
      <c r="D1285" s="1249"/>
      <c r="E1285" s="1249" t="s">
        <v>219</v>
      </c>
      <c r="F1285" s="1249">
        <v>5</v>
      </c>
      <c r="G1285" s="1249">
        <v>4</v>
      </c>
      <c r="H1285" s="1008">
        <v>3980.5</v>
      </c>
      <c r="I1285" s="1008">
        <v>3402.9</v>
      </c>
      <c r="J1285" s="1008">
        <v>3402.9</v>
      </c>
      <c r="K1285" s="986">
        <v>108</v>
      </c>
      <c r="L1285" s="998">
        <v>3227979</v>
      </c>
      <c r="M1285" s="998">
        <v>0</v>
      </c>
      <c r="N1285" s="998">
        <v>0</v>
      </c>
      <c r="O1285" s="998">
        <v>3227979</v>
      </c>
      <c r="P1285" s="998">
        <v>0</v>
      </c>
      <c r="Q1285" s="998">
        <v>0</v>
      </c>
      <c r="R1285" s="1021">
        <f t="shared" si="357"/>
        <v>948.59649122807014</v>
      </c>
      <c r="S1285" s="1022">
        <v>2019</v>
      </c>
      <c r="T1285" s="1022">
        <v>2020</v>
      </c>
    </row>
    <row r="1286" spans="1:20" ht="40.799999999999997" customHeight="1">
      <c r="A1286" s="1249">
        <v>359</v>
      </c>
      <c r="B1286" s="1260" t="s">
        <v>1203</v>
      </c>
      <c r="C1286" s="1249">
        <v>1957</v>
      </c>
      <c r="D1286" s="1249"/>
      <c r="E1286" s="1256" t="s">
        <v>218</v>
      </c>
      <c r="F1286" s="1249">
        <v>2</v>
      </c>
      <c r="G1286" s="1249">
        <v>2</v>
      </c>
      <c r="H1286" s="1008">
        <v>886</v>
      </c>
      <c r="I1286" s="1008">
        <v>756.4</v>
      </c>
      <c r="J1286" s="1008">
        <v>756.4</v>
      </c>
      <c r="K1286" s="986">
        <v>28</v>
      </c>
      <c r="L1286" s="998">
        <v>2436914</v>
      </c>
      <c r="M1286" s="998">
        <v>0</v>
      </c>
      <c r="N1286" s="998">
        <v>0</v>
      </c>
      <c r="O1286" s="998">
        <v>2436914</v>
      </c>
      <c r="P1286" s="998">
        <v>0</v>
      </c>
      <c r="Q1286" s="998">
        <v>0</v>
      </c>
      <c r="R1286" s="1021">
        <f t="shared" si="357"/>
        <v>3221.7265996827077</v>
      </c>
      <c r="S1286" s="1022">
        <v>2019</v>
      </c>
      <c r="T1286" s="1022">
        <v>2020</v>
      </c>
    </row>
    <row r="1287" spans="1:20" ht="42.6" customHeight="1">
      <c r="A1287" s="1249">
        <v>360</v>
      </c>
      <c r="B1287" s="1260" t="s">
        <v>1204</v>
      </c>
      <c r="C1287" s="1249">
        <v>1967</v>
      </c>
      <c r="D1287" s="1249"/>
      <c r="E1287" s="1256" t="s">
        <v>218</v>
      </c>
      <c r="F1287" s="1249">
        <v>5</v>
      </c>
      <c r="G1287" s="1249">
        <v>4</v>
      </c>
      <c r="H1287" s="1008">
        <v>3678.2</v>
      </c>
      <c r="I1287" s="1008">
        <v>3415.2</v>
      </c>
      <c r="J1287" s="1008">
        <v>3415.2</v>
      </c>
      <c r="K1287" s="986">
        <v>137</v>
      </c>
      <c r="L1287" s="998">
        <v>2920940</v>
      </c>
      <c r="M1287" s="998">
        <v>0</v>
      </c>
      <c r="N1287" s="998">
        <v>0</v>
      </c>
      <c r="O1287" s="998">
        <v>2920940</v>
      </c>
      <c r="P1287" s="998">
        <v>0</v>
      </c>
      <c r="Q1287" s="998">
        <v>0</v>
      </c>
      <c r="R1287" s="1021">
        <f t="shared" si="357"/>
        <v>855.2764113375498</v>
      </c>
      <c r="S1287" s="1022">
        <v>2019</v>
      </c>
      <c r="T1287" s="1022">
        <v>2020</v>
      </c>
    </row>
    <row r="1288" spans="1:20" ht="40.799999999999997" customHeight="1">
      <c r="A1288" s="1249">
        <v>361</v>
      </c>
      <c r="B1288" s="1260" t="s">
        <v>848</v>
      </c>
      <c r="C1288" s="1249">
        <v>1959</v>
      </c>
      <c r="D1288" s="1249"/>
      <c r="E1288" s="1249" t="s">
        <v>2373</v>
      </c>
      <c r="F1288" s="1249">
        <v>2</v>
      </c>
      <c r="G1288" s="1249">
        <v>2</v>
      </c>
      <c r="H1288" s="1008">
        <v>643</v>
      </c>
      <c r="I1288" s="1008">
        <v>399.5</v>
      </c>
      <c r="J1288" s="1008">
        <v>398.5</v>
      </c>
      <c r="K1288" s="986">
        <v>22</v>
      </c>
      <c r="L1288" s="998">
        <v>1353840.88</v>
      </c>
      <c r="M1288" s="998">
        <v>0</v>
      </c>
      <c r="N1288" s="998">
        <v>0</v>
      </c>
      <c r="O1288" s="998">
        <v>1353840.88</v>
      </c>
      <c r="P1288" s="998">
        <v>0</v>
      </c>
      <c r="Q1288" s="998">
        <v>0</v>
      </c>
      <c r="R1288" s="1021">
        <f t="shared" si="357"/>
        <v>3388.8382478097619</v>
      </c>
      <c r="S1288" s="1022">
        <v>2019</v>
      </c>
      <c r="T1288" s="1022">
        <v>2020</v>
      </c>
    </row>
    <row r="1289" spans="1:20" ht="40.799999999999997" customHeight="1">
      <c r="A1289" s="1249">
        <v>362</v>
      </c>
      <c r="B1289" s="1260" t="s">
        <v>1176</v>
      </c>
      <c r="C1289" s="1249">
        <v>1960</v>
      </c>
      <c r="D1289" s="1249"/>
      <c r="E1289" s="1256" t="s">
        <v>218</v>
      </c>
      <c r="F1289" s="1249">
        <v>2</v>
      </c>
      <c r="G1289" s="1249">
        <v>2</v>
      </c>
      <c r="H1289" s="1008">
        <v>607.20000000000005</v>
      </c>
      <c r="I1289" s="1008">
        <v>558.1</v>
      </c>
      <c r="J1289" s="1008">
        <v>406.1</v>
      </c>
      <c r="K1289" s="986">
        <v>41</v>
      </c>
      <c r="L1289" s="998">
        <v>1468863</v>
      </c>
      <c r="M1289" s="998">
        <v>0</v>
      </c>
      <c r="N1289" s="998">
        <v>0</v>
      </c>
      <c r="O1289" s="998">
        <v>1468863</v>
      </c>
      <c r="P1289" s="998">
        <v>0</v>
      </c>
      <c r="Q1289" s="998">
        <v>0</v>
      </c>
      <c r="R1289" s="1021">
        <f t="shared" si="357"/>
        <v>2631.8993012005017</v>
      </c>
      <c r="S1289" s="1022">
        <v>2019</v>
      </c>
      <c r="T1289" s="1022">
        <v>2020</v>
      </c>
    </row>
    <row r="1290" spans="1:20" ht="37.200000000000003" customHeight="1">
      <c r="A1290" s="1249">
        <v>363</v>
      </c>
      <c r="B1290" s="1260" t="s">
        <v>1205</v>
      </c>
      <c r="C1290" s="1249">
        <v>1962</v>
      </c>
      <c r="D1290" s="1249"/>
      <c r="E1290" s="1249" t="s">
        <v>220</v>
      </c>
      <c r="F1290" s="1249">
        <v>5</v>
      </c>
      <c r="G1290" s="1249">
        <v>4</v>
      </c>
      <c r="H1290" s="1008">
        <v>3414.8</v>
      </c>
      <c r="I1290" s="1008">
        <v>3174.8</v>
      </c>
      <c r="J1290" s="1008">
        <v>2740.5</v>
      </c>
      <c r="K1290" s="986">
        <v>97</v>
      </c>
      <c r="L1290" s="998">
        <v>10109420</v>
      </c>
      <c r="M1290" s="998">
        <v>0</v>
      </c>
      <c r="N1290" s="998">
        <v>0</v>
      </c>
      <c r="O1290" s="998">
        <v>10109420</v>
      </c>
      <c r="P1290" s="998">
        <v>0</v>
      </c>
      <c r="Q1290" s="998">
        <v>0</v>
      </c>
      <c r="R1290" s="1021">
        <f t="shared" si="357"/>
        <v>3184.2698752677334</v>
      </c>
      <c r="S1290" s="1022">
        <v>2019</v>
      </c>
      <c r="T1290" s="1022">
        <v>2020</v>
      </c>
    </row>
    <row r="1291" spans="1:20" ht="41.4" customHeight="1">
      <c r="A1291" s="1249">
        <v>364</v>
      </c>
      <c r="B1291" s="1260" t="s">
        <v>1642</v>
      </c>
      <c r="C1291" s="1249">
        <v>1959</v>
      </c>
      <c r="D1291" s="1249"/>
      <c r="E1291" s="1256" t="s">
        <v>218</v>
      </c>
      <c r="F1291" s="1249">
        <v>4</v>
      </c>
      <c r="G1291" s="1249">
        <v>4</v>
      </c>
      <c r="H1291" s="1008">
        <v>3445</v>
      </c>
      <c r="I1291" s="1008">
        <v>2645.4</v>
      </c>
      <c r="J1291" s="1008">
        <v>1889.2</v>
      </c>
      <c r="K1291" s="986">
        <v>86</v>
      </c>
      <c r="L1291" s="998">
        <v>5788595</v>
      </c>
      <c r="M1291" s="998">
        <v>0</v>
      </c>
      <c r="N1291" s="998">
        <v>0</v>
      </c>
      <c r="O1291" s="998">
        <v>5788595</v>
      </c>
      <c r="P1291" s="998">
        <v>0</v>
      </c>
      <c r="Q1291" s="998">
        <v>0</v>
      </c>
      <c r="R1291" s="1021">
        <f t="shared" si="357"/>
        <v>2188.1738111438722</v>
      </c>
      <c r="S1291" s="1022">
        <v>2019</v>
      </c>
      <c r="T1291" s="1022">
        <v>2020</v>
      </c>
    </row>
    <row r="1292" spans="1:20" ht="39" customHeight="1">
      <c r="A1292" s="1249">
        <v>365</v>
      </c>
      <c r="B1292" s="1260" t="s">
        <v>1206</v>
      </c>
      <c r="C1292" s="1249">
        <v>1950</v>
      </c>
      <c r="D1292" s="1249"/>
      <c r="E1292" s="1256" t="s">
        <v>218</v>
      </c>
      <c r="F1292" s="1249">
        <v>4</v>
      </c>
      <c r="G1292" s="1249">
        <v>3</v>
      </c>
      <c r="H1292" s="1008">
        <v>2540.4</v>
      </c>
      <c r="I1292" s="1008">
        <v>2540.4</v>
      </c>
      <c r="J1292" s="1008">
        <v>1507</v>
      </c>
      <c r="K1292" s="986">
        <v>76</v>
      </c>
      <c r="L1292" s="998">
        <v>5662571</v>
      </c>
      <c r="M1292" s="998">
        <v>0</v>
      </c>
      <c r="N1292" s="998">
        <v>0</v>
      </c>
      <c r="O1292" s="998">
        <v>5662571</v>
      </c>
      <c r="P1292" s="998">
        <v>0</v>
      </c>
      <c r="Q1292" s="998">
        <v>0</v>
      </c>
      <c r="R1292" s="1021">
        <f t="shared" si="357"/>
        <v>2229.0076365926625</v>
      </c>
      <c r="S1292" s="1022">
        <v>2019</v>
      </c>
      <c r="T1292" s="1022">
        <v>2020</v>
      </c>
    </row>
    <row r="1293" spans="1:20" ht="40.200000000000003" customHeight="1">
      <c r="A1293" s="1249">
        <v>366</v>
      </c>
      <c r="B1293" s="1260" t="s">
        <v>1207</v>
      </c>
      <c r="C1293" s="1249">
        <v>1961</v>
      </c>
      <c r="D1293" s="1249"/>
      <c r="E1293" s="1256" t="s">
        <v>218</v>
      </c>
      <c r="F1293" s="1249">
        <v>2</v>
      </c>
      <c r="G1293" s="1249">
        <v>2</v>
      </c>
      <c r="H1293" s="1008">
        <v>701.9</v>
      </c>
      <c r="I1293" s="1008">
        <v>655.1</v>
      </c>
      <c r="J1293" s="1008">
        <v>655.1</v>
      </c>
      <c r="K1293" s="986">
        <v>33</v>
      </c>
      <c r="L1293" s="998">
        <v>1843220</v>
      </c>
      <c r="M1293" s="998">
        <v>0</v>
      </c>
      <c r="N1293" s="998">
        <v>0</v>
      </c>
      <c r="O1293" s="998">
        <v>1843220</v>
      </c>
      <c r="P1293" s="998">
        <v>0</v>
      </c>
      <c r="Q1293" s="998">
        <v>0</v>
      </c>
      <c r="R1293" s="1021">
        <f t="shared" si="357"/>
        <v>2813.6467714852693</v>
      </c>
      <c r="S1293" s="1022">
        <v>2019</v>
      </c>
      <c r="T1293" s="1022">
        <v>2020</v>
      </c>
    </row>
    <row r="1294" spans="1:20" ht="42" customHeight="1">
      <c r="A1294" s="1249">
        <v>367</v>
      </c>
      <c r="B1294" s="1003" t="s">
        <v>1212</v>
      </c>
      <c r="C1294" s="1249">
        <v>1959</v>
      </c>
      <c r="D1294" s="1249"/>
      <c r="E1294" s="1256" t="s">
        <v>218</v>
      </c>
      <c r="F1294" s="1249">
        <v>4</v>
      </c>
      <c r="G1294" s="1249">
        <v>4</v>
      </c>
      <c r="H1294" s="1008">
        <v>4393.7</v>
      </c>
      <c r="I1294" s="1008">
        <v>2641.8</v>
      </c>
      <c r="J1294" s="1008">
        <v>2180.4</v>
      </c>
      <c r="K1294" s="986">
        <v>74</v>
      </c>
      <c r="L1294" s="998">
        <v>10579320.57</v>
      </c>
      <c r="M1294" s="998">
        <v>0</v>
      </c>
      <c r="N1294" s="998">
        <v>0</v>
      </c>
      <c r="O1294" s="998">
        <v>10579320.57</v>
      </c>
      <c r="P1294" s="985">
        <v>0</v>
      </c>
      <c r="Q1294" s="985">
        <v>0</v>
      </c>
      <c r="R1294" s="1021">
        <f t="shared" si="357"/>
        <v>4004.5879968203494</v>
      </c>
      <c r="S1294" s="1022">
        <v>2019</v>
      </c>
      <c r="T1294" s="1022">
        <v>2020</v>
      </c>
    </row>
    <row r="1295" spans="1:20" ht="42" customHeight="1">
      <c r="A1295" s="1249">
        <v>368</v>
      </c>
      <c r="B1295" s="1260" t="s">
        <v>1213</v>
      </c>
      <c r="C1295" s="1249">
        <v>1950</v>
      </c>
      <c r="D1295" s="1249"/>
      <c r="E1295" s="1256" t="s">
        <v>218</v>
      </c>
      <c r="F1295" s="1249">
        <v>2</v>
      </c>
      <c r="G1295" s="1249">
        <v>1</v>
      </c>
      <c r="H1295" s="1008">
        <v>441.6</v>
      </c>
      <c r="I1295" s="1008">
        <v>354</v>
      </c>
      <c r="J1295" s="1008">
        <v>354</v>
      </c>
      <c r="K1295" s="986">
        <v>15</v>
      </c>
      <c r="L1295" s="998">
        <v>1380917.7</v>
      </c>
      <c r="M1295" s="998">
        <v>0</v>
      </c>
      <c r="N1295" s="998">
        <v>0</v>
      </c>
      <c r="O1295" s="998">
        <v>1380917.7</v>
      </c>
      <c r="P1295" s="998">
        <v>0</v>
      </c>
      <c r="Q1295" s="998">
        <v>0</v>
      </c>
      <c r="R1295" s="1021">
        <f t="shared" si="357"/>
        <v>3900.8974576271185</v>
      </c>
      <c r="S1295" s="1022">
        <v>2019</v>
      </c>
      <c r="T1295" s="1022">
        <v>2020</v>
      </c>
    </row>
    <row r="1296" spans="1:20" ht="39.6" customHeight="1">
      <c r="A1296" s="1249">
        <v>369</v>
      </c>
      <c r="B1296" s="1260" t="s">
        <v>1179</v>
      </c>
      <c r="C1296" s="1249">
        <v>1977</v>
      </c>
      <c r="D1296" s="1249"/>
      <c r="E1296" s="1256" t="s">
        <v>218</v>
      </c>
      <c r="F1296" s="1249">
        <v>9</v>
      </c>
      <c r="G1296" s="1249">
        <v>1</v>
      </c>
      <c r="H1296" s="1008">
        <v>2537.3000000000002</v>
      </c>
      <c r="I1296" s="1008">
        <v>2237.3000000000002</v>
      </c>
      <c r="J1296" s="1008">
        <v>2237.3000000000002</v>
      </c>
      <c r="K1296" s="986">
        <v>88</v>
      </c>
      <c r="L1296" s="998">
        <v>978176</v>
      </c>
      <c r="M1296" s="998">
        <v>0</v>
      </c>
      <c r="N1296" s="998">
        <v>0</v>
      </c>
      <c r="O1296" s="998">
        <v>978176</v>
      </c>
      <c r="P1296" s="998">
        <v>0</v>
      </c>
      <c r="Q1296" s="998">
        <v>0</v>
      </c>
      <c r="R1296" s="1021">
        <f t="shared" si="357"/>
        <v>437.21271175077101</v>
      </c>
      <c r="S1296" s="1022">
        <v>2019</v>
      </c>
      <c r="T1296" s="1022">
        <v>2020</v>
      </c>
    </row>
    <row r="1297" spans="1:20" ht="40.200000000000003" customHeight="1">
      <c r="A1297" s="1249">
        <v>370</v>
      </c>
      <c r="B1297" s="1260" t="s">
        <v>1214</v>
      </c>
      <c r="C1297" s="1249">
        <v>1959</v>
      </c>
      <c r="D1297" s="1249"/>
      <c r="E1297" s="1256" t="s">
        <v>218</v>
      </c>
      <c r="F1297" s="1249">
        <v>2</v>
      </c>
      <c r="G1297" s="1249">
        <v>2</v>
      </c>
      <c r="H1297" s="1008">
        <v>719.9</v>
      </c>
      <c r="I1297" s="1008">
        <v>434.9</v>
      </c>
      <c r="J1297" s="1008">
        <v>434.9</v>
      </c>
      <c r="K1297" s="986">
        <v>9</v>
      </c>
      <c r="L1297" s="998">
        <v>439998</v>
      </c>
      <c r="M1297" s="998">
        <v>0</v>
      </c>
      <c r="N1297" s="998">
        <v>0</v>
      </c>
      <c r="O1297" s="998">
        <v>439998</v>
      </c>
      <c r="P1297" s="998">
        <v>0</v>
      </c>
      <c r="Q1297" s="998">
        <v>0</v>
      </c>
      <c r="R1297" s="1021">
        <f t="shared" si="357"/>
        <v>1011.722234996551</v>
      </c>
      <c r="S1297" s="1022">
        <v>2019</v>
      </c>
      <c r="T1297" s="1022">
        <v>2020</v>
      </c>
    </row>
    <row r="1298" spans="1:20" ht="40.200000000000003" customHeight="1">
      <c r="A1298" s="1249">
        <v>371</v>
      </c>
      <c r="B1298" s="1260" t="s">
        <v>1643</v>
      </c>
      <c r="C1298" s="1249">
        <v>1961</v>
      </c>
      <c r="D1298" s="1249"/>
      <c r="E1298" s="1256" t="s">
        <v>218</v>
      </c>
      <c r="F1298" s="1249">
        <v>2</v>
      </c>
      <c r="G1298" s="1249">
        <v>2</v>
      </c>
      <c r="H1298" s="1008">
        <v>528.4</v>
      </c>
      <c r="I1298" s="1008">
        <v>467.4</v>
      </c>
      <c r="J1298" s="1008">
        <v>467.4</v>
      </c>
      <c r="K1298" s="986">
        <v>28</v>
      </c>
      <c r="L1298" s="998">
        <v>1441841</v>
      </c>
      <c r="M1298" s="998">
        <v>0</v>
      </c>
      <c r="N1298" s="998">
        <v>0</v>
      </c>
      <c r="O1298" s="998">
        <v>1441841</v>
      </c>
      <c r="P1298" s="998">
        <v>0</v>
      </c>
      <c r="Q1298" s="998">
        <v>0</v>
      </c>
      <c r="R1298" s="1021">
        <f t="shared" si="357"/>
        <v>3084.8117244330338</v>
      </c>
      <c r="S1298" s="1022">
        <v>2019</v>
      </c>
      <c r="T1298" s="1022">
        <v>2020</v>
      </c>
    </row>
    <row r="1299" spans="1:20" ht="46.2" customHeight="1">
      <c r="A1299" s="1249">
        <v>372</v>
      </c>
      <c r="B1299" s="1260" t="s">
        <v>1206</v>
      </c>
      <c r="C1299" s="1249">
        <v>1950</v>
      </c>
      <c r="D1299" s="1249"/>
      <c r="E1299" s="1256" t="s">
        <v>218</v>
      </c>
      <c r="F1299" s="1249">
        <v>4</v>
      </c>
      <c r="G1299" s="1249">
        <v>3</v>
      </c>
      <c r="H1299" s="1008">
        <v>2540.4</v>
      </c>
      <c r="I1299" s="1008">
        <v>2540.4</v>
      </c>
      <c r="J1299" s="1008">
        <v>1507</v>
      </c>
      <c r="K1299" s="986">
        <v>76</v>
      </c>
      <c r="L1299" s="998">
        <v>1357226</v>
      </c>
      <c r="M1299" s="998">
        <v>0</v>
      </c>
      <c r="N1299" s="998">
        <v>0</v>
      </c>
      <c r="O1299" s="998">
        <v>1357226</v>
      </c>
      <c r="P1299" s="998">
        <v>0</v>
      </c>
      <c r="Q1299" s="998">
        <v>0</v>
      </c>
      <c r="R1299" s="1021">
        <f t="shared" si="357"/>
        <v>534.25680995118876</v>
      </c>
      <c r="S1299" s="1022">
        <v>2019</v>
      </c>
      <c r="T1299" s="1022">
        <v>2020</v>
      </c>
    </row>
    <row r="1300" spans="1:20" ht="42.6" customHeight="1">
      <c r="A1300" s="1249">
        <v>373</v>
      </c>
      <c r="B1300" s="1260" t="s">
        <v>1215</v>
      </c>
      <c r="C1300" s="1249">
        <v>1959</v>
      </c>
      <c r="D1300" s="1249"/>
      <c r="E1300" s="1370" t="s">
        <v>2373</v>
      </c>
      <c r="F1300" s="1249">
        <v>2</v>
      </c>
      <c r="G1300" s="1249">
        <v>2</v>
      </c>
      <c r="H1300" s="1008">
        <v>647.1</v>
      </c>
      <c r="I1300" s="1008">
        <v>402.1</v>
      </c>
      <c r="J1300" s="1008">
        <v>402.1</v>
      </c>
      <c r="K1300" s="986">
        <v>19</v>
      </c>
      <c r="L1300" s="998">
        <v>1353840.88</v>
      </c>
      <c r="M1300" s="998">
        <v>0</v>
      </c>
      <c r="N1300" s="998">
        <v>0</v>
      </c>
      <c r="O1300" s="998">
        <v>1353840.88</v>
      </c>
      <c r="P1300" s="998">
        <v>0</v>
      </c>
      <c r="Q1300" s="998">
        <v>0</v>
      </c>
      <c r="R1300" s="1021">
        <f t="shared" si="357"/>
        <v>3366.9258393434466</v>
      </c>
      <c r="S1300" s="1022">
        <v>2019</v>
      </c>
      <c r="T1300" s="1022">
        <v>2020</v>
      </c>
    </row>
    <row r="1301" spans="1:20" ht="40.799999999999997" customHeight="1">
      <c r="A1301" s="1249">
        <v>374</v>
      </c>
      <c r="B1301" s="1076" t="s">
        <v>1957</v>
      </c>
      <c r="C1301" s="1249">
        <v>1954</v>
      </c>
      <c r="D1301" s="1249"/>
      <c r="E1301" s="1256" t="s">
        <v>218</v>
      </c>
      <c r="F1301" s="1249">
        <v>3</v>
      </c>
      <c r="G1301" s="1249">
        <v>2</v>
      </c>
      <c r="H1301" s="1008">
        <v>565.20000000000005</v>
      </c>
      <c r="I1301" s="1008">
        <v>531.1</v>
      </c>
      <c r="J1301" s="1008">
        <v>531.1</v>
      </c>
      <c r="K1301" s="986">
        <v>21</v>
      </c>
      <c r="L1301" s="998">
        <v>2676948.29</v>
      </c>
      <c r="M1301" s="998">
        <v>0</v>
      </c>
      <c r="N1301" s="998">
        <v>0</v>
      </c>
      <c r="O1301" s="1067">
        <v>2676948.29</v>
      </c>
      <c r="P1301" s="985">
        <v>0</v>
      </c>
      <c r="Q1301" s="1067">
        <v>0</v>
      </c>
      <c r="R1301" s="1021">
        <f t="shared" si="357"/>
        <v>5040.3846544906792</v>
      </c>
      <c r="S1301" s="1022">
        <v>2019</v>
      </c>
      <c r="T1301" s="1022">
        <v>2020</v>
      </c>
    </row>
    <row r="1302" spans="1:20" ht="40.799999999999997" customHeight="1">
      <c r="A1302" s="1249">
        <v>375</v>
      </c>
      <c r="B1302" s="1076" t="s">
        <v>1958</v>
      </c>
      <c r="C1302" s="1249">
        <v>1917</v>
      </c>
      <c r="D1302" s="1249"/>
      <c r="E1302" s="1256" t="s">
        <v>218</v>
      </c>
      <c r="F1302" s="1249">
        <v>3</v>
      </c>
      <c r="G1302" s="1249">
        <v>1</v>
      </c>
      <c r="H1302" s="1008">
        <v>435.4</v>
      </c>
      <c r="I1302" s="1008">
        <v>435.4</v>
      </c>
      <c r="J1302" s="1008">
        <v>326.5</v>
      </c>
      <c r="K1302" s="986">
        <v>23</v>
      </c>
      <c r="L1302" s="998">
        <v>1907924.38</v>
      </c>
      <c r="M1302" s="998">
        <v>0</v>
      </c>
      <c r="N1302" s="998">
        <v>0</v>
      </c>
      <c r="O1302" s="1067">
        <v>1907924.38</v>
      </c>
      <c r="P1302" s="985">
        <v>0</v>
      </c>
      <c r="Q1302" s="1067">
        <v>0</v>
      </c>
      <c r="R1302" s="1021">
        <f t="shared" si="357"/>
        <v>4382.0036288470374</v>
      </c>
      <c r="S1302" s="1022">
        <v>2019</v>
      </c>
      <c r="T1302" s="1022">
        <v>2020</v>
      </c>
    </row>
    <row r="1303" spans="1:20" ht="42" customHeight="1">
      <c r="A1303" s="1249">
        <v>376</v>
      </c>
      <c r="B1303" s="1076" t="s">
        <v>1959</v>
      </c>
      <c r="C1303" s="1249">
        <v>1917</v>
      </c>
      <c r="D1303" s="1249"/>
      <c r="E1303" s="1256" t="s">
        <v>218</v>
      </c>
      <c r="F1303" s="1249">
        <v>3</v>
      </c>
      <c r="G1303" s="1249">
        <v>1</v>
      </c>
      <c r="H1303" s="1008">
        <v>304.5</v>
      </c>
      <c r="I1303" s="1008">
        <v>304.5</v>
      </c>
      <c r="J1303" s="1008">
        <v>213.1</v>
      </c>
      <c r="K1303" s="986">
        <v>12</v>
      </c>
      <c r="L1303" s="998">
        <v>1428947.55</v>
      </c>
      <c r="M1303" s="998">
        <v>0</v>
      </c>
      <c r="N1303" s="998">
        <v>0</v>
      </c>
      <c r="O1303" s="1067">
        <v>1428947.55</v>
      </c>
      <c r="P1303" s="985">
        <v>0</v>
      </c>
      <c r="Q1303" s="1067">
        <v>0</v>
      </c>
      <c r="R1303" s="1021">
        <f t="shared" si="357"/>
        <v>4692.7669950738918</v>
      </c>
      <c r="S1303" s="1022">
        <v>2019</v>
      </c>
      <c r="T1303" s="1022">
        <v>2020</v>
      </c>
    </row>
    <row r="1304" spans="1:20" ht="40.799999999999997" customHeight="1">
      <c r="A1304" s="1249">
        <v>377</v>
      </c>
      <c r="B1304" s="1076" t="s">
        <v>1644</v>
      </c>
      <c r="C1304" s="1249">
        <v>1963</v>
      </c>
      <c r="D1304" s="1249"/>
      <c r="E1304" s="1256" t="s">
        <v>218</v>
      </c>
      <c r="F1304" s="1249">
        <v>4</v>
      </c>
      <c r="G1304" s="1249">
        <v>2</v>
      </c>
      <c r="H1304" s="1008">
        <v>2123.6999999999998</v>
      </c>
      <c r="I1304" s="1008">
        <v>2123.6999999999998</v>
      </c>
      <c r="J1304" s="1008">
        <v>1351.1</v>
      </c>
      <c r="K1304" s="986">
        <v>56</v>
      </c>
      <c r="L1304" s="998">
        <v>3799882.84</v>
      </c>
      <c r="M1304" s="998">
        <v>0</v>
      </c>
      <c r="N1304" s="998">
        <v>0</v>
      </c>
      <c r="O1304" s="1067">
        <v>3799882.84</v>
      </c>
      <c r="P1304" s="985">
        <v>0</v>
      </c>
      <c r="Q1304" s="1067">
        <v>0</v>
      </c>
      <c r="R1304" s="1021">
        <f t="shared" si="357"/>
        <v>1789.2747751565664</v>
      </c>
      <c r="S1304" s="1022">
        <v>2019</v>
      </c>
      <c r="T1304" s="1022">
        <v>2020</v>
      </c>
    </row>
    <row r="1305" spans="1:20" ht="40.799999999999997" customHeight="1">
      <c r="A1305" s="1249">
        <v>378</v>
      </c>
      <c r="B1305" s="1071" t="s">
        <v>1645</v>
      </c>
      <c r="C1305" s="1249">
        <v>1961</v>
      </c>
      <c r="D1305" s="1249"/>
      <c r="E1305" s="1256" t="s">
        <v>218</v>
      </c>
      <c r="F1305" s="1249">
        <v>4</v>
      </c>
      <c r="G1305" s="1249">
        <v>2</v>
      </c>
      <c r="H1305" s="1008">
        <v>1372.8</v>
      </c>
      <c r="I1305" s="1008">
        <v>1372.8</v>
      </c>
      <c r="J1305" s="1008">
        <v>1151.7</v>
      </c>
      <c r="K1305" s="986">
        <v>45</v>
      </c>
      <c r="L1305" s="998">
        <v>3060129.76</v>
      </c>
      <c r="M1305" s="998">
        <v>0</v>
      </c>
      <c r="N1305" s="998">
        <v>0</v>
      </c>
      <c r="O1305" s="1067">
        <v>3060129.76</v>
      </c>
      <c r="P1305" s="985">
        <v>0</v>
      </c>
      <c r="Q1305" s="1067">
        <v>0</v>
      </c>
      <c r="R1305" s="1021">
        <f t="shared" si="357"/>
        <v>2229.115501165501</v>
      </c>
      <c r="S1305" s="1022">
        <v>2019</v>
      </c>
      <c r="T1305" s="1022">
        <v>2020</v>
      </c>
    </row>
    <row r="1306" spans="1:20" ht="42.6" customHeight="1">
      <c r="A1306" s="1249">
        <v>379</v>
      </c>
      <c r="B1306" s="1071" t="s">
        <v>1646</v>
      </c>
      <c r="C1306" s="1249">
        <v>1963</v>
      </c>
      <c r="D1306" s="1249"/>
      <c r="E1306" s="1256" t="s">
        <v>218</v>
      </c>
      <c r="F1306" s="1249">
        <v>4</v>
      </c>
      <c r="G1306" s="1249">
        <v>2</v>
      </c>
      <c r="H1306" s="1008">
        <v>1216.5</v>
      </c>
      <c r="I1306" s="1008">
        <v>1216.5</v>
      </c>
      <c r="J1306" s="1008">
        <v>927.6</v>
      </c>
      <c r="K1306" s="986">
        <v>44</v>
      </c>
      <c r="L1306" s="998">
        <v>3060129.76</v>
      </c>
      <c r="M1306" s="998">
        <v>0</v>
      </c>
      <c r="N1306" s="998">
        <v>0</v>
      </c>
      <c r="O1306" s="1067">
        <v>3060129.76</v>
      </c>
      <c r="P1306" s="985">
        <v>0</v>
      </c>
      <c r="Q1306" s="1067">
        <v>0</v>
      </c>
      <c r="R1306" s="1021">
        <f t="shared" si="357"/>
        <v>2515.5197369502671</v>
      </c>
      <c r="S1306" s="1022">
        <v>2019</v>
      </c>
      <c r="T1306" s="1022">
        <v>2020</v>
      </c>
    </row>
    <row r="1307" spans="1:20" ht="40.200000000000003" customHeight="1">
      <c r="A1307" s="1249">
        <v>380</v>
      </c>
      <c r="B1307" s="1071" t="s">
        <v>1647</v>
      </c>
      <c r="C1307" s="1249">
        <v>1962</v>
      </c>
      <c r="D1307" s="1249"/>
      <c r="E1307" s="1256" t="s">
        <v>218</v>
      </c>
      <c r="F1307" s="1249">
        <v>4</v>
      </c>
      <c r="G1307" s="1249">
        <v>2</v>
      </c>
      <c r="H1307" s="1008">
        <v>1668.4</v>
      </c>
      <c r="I1307" s="1008">
        <v>1668.4</v>
      </c>
      <c r="J1307" s="1008">
        <v>1091.0999999999999</v>
      </c>
      <c r="K1307" s="986">
        <v>39</v>
      </c>
      <c r="L1307" s="998">
        <v>2847251.17</v>
      </c>
      <c r="M1307" s="998">
        <v>0</v>
      </c>
      <c r="N1307" s="998">
        <v>0</v>
      </c>
      <c r="O1307" s="1067">
        <v>2847251.17</v>
      </c>
      <c r="P1307" s="985">
        <v>0</v>
      </c>
      <c r="Q1307" s="1067">
        <v>0</v>
      </c>
      <c r="R1307" s="1021">
        <f t="shared" si="357"/>
        <v>1706.5758631023734</v>
      </c>
      <c r="S1307" s="1022">
        <v>2019</v>
      </c>
      <c r="T1307" s="1022">
        <v>2020</v>
      </c>
    </row>
    <row r="1308" spans="1:20" ht="40.200000000000003" customHeight="1">
      <c r="A1308" s="1249">
        <v>381</v>
      </c>
      <c r="B1308" s="1071" t="s">
        <v>1648</v>
      </c>
      <c r="C1308" s="1249">
        <v>1958</v>
      </c>
      <c r="D1308" s="1249"/>
      <c r="E1308" s="1256" t="s">
        <v>218</v>
      </c>
      <c r="F1308" s="1249">
        <v>3</v>
      </c>
      <c r="G1308" s="1249">
        <v>3</v>
      </c>
      <c r="H1308" s="1008">
        <v>1529.3</v>
      </c>
      <c r="I1308" s="1008">
        <v>1529.3</v>
      </c>
      <c r="J1308" s="1008">
        <v>1239.4000000000001</v>
      </c>
      <c r="K1308" s="986">
        <v>45</v>
      </c>
      <c r="L1308" s="998">
        <v>7367461.9699999997</v>
      </c>
      <c r="M1308" s="998">
        <v>0</v>
      </c>
      <c r="N1308" s="998">
        <v>0</v>
      </c>
      <c r="O1308" s="1067">
        <v>7367461.9699999997</v>
      </c>
      <c r="P1308" s="985">
        <v>0</v>
      </c>
      <c r="Q1308" s="1067">
        <v>0</v>
      </c>
      <c r="R1308" s="1021">
        <f t="shared" si="357"/>
        <v>4817.538723599032</v>
      </c>
      <c r="S1308" s="1022">
        <v>2019</v>
      </c>
      <c r="T1308" s="1022">
        <v>2020</v>
      </c>
    </row>
    <row r="1309" spans="1:20" ht="40.200000000000003" customHeight="1">
      <c r="A1309" s="1249">
        <v>382</v>
      </c>
      <c r="B1309" s="1174" t="s">
        <v>1649</v>
      </c>
      <c r="C1309" s="1249">
        <v>1962</v>
      </c>
      <c r="D1309" s="1249"/>
      <c r="E1309" s="1256" t="s">
        <v>218</v>
      </c>
      <c r="F1309" s="1249">
        <v>4</v>
      </c>
      <c r="G1309" s="1249">
        <v>2</v>
      </c>
      <c r="H1309" s="1008">
        <v>1694</v>
      </c>
      <c r="I1309" s="1008">
        <v>1694</v>
      </c>
      <c r="J1309" s="1008">
        <v>1124.2</v>
      </c>
      <c r="K1309" s="986">
        <v>62</v>
      </c>
      <c r="L1309" s="998">
        <v>3219788.7</v>
      </c>
      <c r="M1309" s="998">
        <v>0</v>
      </c>
      <c r="N1309" s="998">
        <v>0</v>
      </c>
      <c r="O1309" s="1067">
        <v>3219788.7</v>
      </c>
      <c r="P1309" s="985">
        <v>0</v>
      </c>
      <c r="Q1309" s="1067">
        <v>0</v>
      </c>
      <c r="R1309" s="1021">
        <f t="shared" si="357"/>
        <v>1900.7017119244392</v>
      </c>
      <c r="S1309" s="1022">
        <v>2019</v>
      </c>
      <c r="T1309" s="1022">
        <v>2020</v>
      </c>
    </row>
    <row r="1310" spans="1:20" ht="40.200000000000003" customHeight="1">
      <c r="A1310" s="1249">
        <v>383</v>
      </c>
      <c r="B1310" s="1070" t="s">
        <v>1960</v>
      </c>
      <c r="C1310" s="1249">
        <v>1917</v>
      </c>
      <c r="D1310" s="1249"/>
      <c r="E1310" s="1256" t="s">
        <v>218</v>
      </c>
      <c r="F1310" s="1249">
        <v>3</v>
      </c>
      <c r="G1310" s="1249">
        <v>2</v>
      </c>
      <c r="H1310" s="1008">
        <v>1148.3</v>
      </c>
      <c r="I1310" s="1008">
        <v>1148.3</v>
      </c>
      <c r="J1310" s="1008">
        <v>1018.3</v>
      </c>
      <c r="K1310" s="986">
        <v>45</v>
      </c>
      <c r="L1310" s="1067">
        <v>3432667.3</v>
      </c>
      <c r="M1310" s="998">
        <v>0</v>
      </c>
      <c r="N1310" s="998">
        <v>0</v>
      </c>
      <c r="O1310" s="1067">
        <v>3432667.3</v>
      </c>
      <c r="P1310" s="985">
        <v>0</v>
      </c>
      <c r="Q1310" s="1067">
        <v>0</v>
      </c>
      <c r="R1310" s="1021">
        <f t="shared" si="357"/>
        <v>2989.3471218322738</v>
      </c>
      <c r="S1310" s="1022">
        <v>2019</v>
      </c>
      <c r="T1310" s="1022">
        <v>2020</v>
      </c>
    </row>
    <row r="1311" spans="1:20" ht="40.200000000000003" customHeight="1">
      <c r="A1311" s="1249">
        <v>384</v>
      </c>
      <c r="B1311" s="1070" t="s">
        <v>1651</v>
      </c>
      <c r="C1311" s="1249">
        <v>1965</v>
      </c>
      <c r="D1311" s="1249"/>
      <c r="E1311" s="1256" t="s">
        <v>218</v>
      </c>
      <c r="F1311" s="1249">
        <v>4</v>
      </c>
      <c r="G1311" s="1249">
        <v>3</v>
      </c>
      <c r="H1311" s="1008">
        <v>2779.1</v>
      </c>
      <c r="I1311" s="1008">
        <v>2779.1</v>
      </c>
      <c r="J1311" s="1008">
        <v>1511.9</v>
      </c>
      <c r="K1311" s="986">
        <v>66</v>
      </c>
      <c r="L1311" s="998">
        <v>4470450.43</v>
      </c>
      <c r="M1311" s="998">
        <v>0</v>
      </c>
      <c r="N1311" s="998">
        <v>0</v>
      </c>
      <c r="O1311" s="998">
        <v>4470450.43</v>
      </c>
      <c r="P1311" s="985">
        <v>0</v>
      </c>
      <c r="Q1311" s="1067">
        <v>0</v>
      </c>
      <c r="R1311" s="1021">
        <f t="shared" si="357"/>
        <v>1608.5964628836673</v>
      </c>
      <c r="S1311" s="1022">
        <v>2019</v>
      </c>
      <c r="T1311" s="1022">
        <v>2020</v>
      </c>
    </row>
    <row r="1312" spans="1:20" ht="42" customHeight="1">
      <c r="A1312" s="1249">
        <v>385</v>
      </c>
      <c r="B1312" s="1071" t="s">
        <v>1652</v>
      </c>
      <c r="C1312" s="1249">
        <v>1966</v>
      </c>
      <c r="D1312" s="1249"/>
      <c r="E1312" s="1256" t="s">
        <v>218</v>
      </c>
      <c r="F1312" s="1249">
        <v>5</v>
      </c>
      <c r="G1312" s="1249">
        <v>3</v>
      </c>
      <c r="H1312" s="1008">
        <v>3322.6</v>
      </c>
      <c r="I1312" s="1008">
        <v>3322.6</v>
      </c>
      <c r="J1312" s="1008">
        <v>2037.1</v>
      </c>
      <c r="K1312" s="986">
        <v>69</v>
      </c>
      <c r="L1312" s="998">
        <v>5029256.74</v>
      </c>
      <c r="M1312" s="998">
        <v>0</v>
      </c>
      <c r="N1312" s="998">
        <v>0</v>
      </c>
      <c r="O1312" s="998">
        <v>5029256.74</v>
      </c>
      <c r="P1312" s="985">
        <v>0</v>
      </c>
      <c r="Q1312" s="1067">
        <v>0</v>
      </c>
      <c r="R1312" s="1021">
        <f t="shared" si="357"/>
        <v>1513.650978149642</v>
      </c>
      <c r="S1312" s="1022">
        <v>2019</v>
      </c>
      <c r="T1312" s="1022">
        <v>2020</v>
      </c>
    </row>
    <row r="1313" spans="1:20" ht="39.6" customHeight="1">
      <c r="A1313" s="1249">
        <v>386</v>
      </c>
      <c r="B1313" s="1070" t="s">
        <v>1653</v>
      </c>
      <c r="C1313" s="1249">
        <v>1974</v>
      </c>
      <c r="D1313" s="1249"/>
      <c r="E1313" s="1256" t="s">
        <v>218</v>
      </c>
      <c r="F1313" s="1249">
        <v>5</v>
      </c>
      <c r="G1313" s="1249">
        <v>4</v>
      </c>
      <c r="H1313" s="1008">
        <v>4732.5</v>
      </c>
      <c r="I1313" s="1008">
        <v>4732.5</v>
      </c>
      <c r="J1313" s="1008">
        <v>2755.4</v>
      </c>
      <c r="K1313" s="986">
        <v>109</v>
      </c>
      <c r="L1313" s="998">
        <v>7078213.1799999997</v>
      </c>
      <c r="M1313" s="998">
        <v>0</v>
      </c>
      <c r="N1313" s="998">
        <v>0</v>
      </c>
      <c r="O1313" s="998">
        <v>7078213.1799999997</v>
      </c>
      <c r="P1313" s="985">
        <v>0</v>
      </c>
      <c r="Q1313" s="1067">
        <v>0</v>
      </c>
      <c r="R1313" s="1021">
        <f t="shared" si="357"/>
        <v>1495.6604712097201</v>
      </c>
      <c r="S1313" s="1022">
        <v>2019</v>
      </c>
      <c r="T1313" s="1022">
        <v>2020</v>
      </c>
    </row>
    <row r="1314" spans="1:20" ht="42" customHeight="1">
      <c r="A1314" s="1249">
        <v>387</v>
      </c>
      <c r="B1314" s="1071" t="s">
        <v>1654</v>
      </c>
      <c r="C1314" s="1249">
        <v>1971</v>
      </c>
      <c r="D1314" s="1249"/>
      <c r="E1314" s="1256" t="s">
        <v>218</v>
      </c>
      <c r="F1314" s="1249">
        <v>5</v>
      </c>
      <c r="G1314" s="1249">
        <v>4</v>
      </c>
      <c r="H1314" s="1008">
        <v>3432.1</v>
      </c>
      <c r="I1314" s="1008">
        <v>3432.1</v>
      </c>
      <c r="J1314" s="1008">
        <v>2532.4</v>
      </c>
      <c r="K1314" s="986">
        <v>105</v>
      </c>
      <c r="L1314" s="998">
        <v>6785505.1200000001</v>
      </c>
      <c r="M1314" s="998">
        <v>0</v>
      </c>
      <c r="N1314" s="998">
        <v>0</v>
      </c>
      <c r="O1314" s="998">
        <v>6785505.1200000001</v>
      </c>
      <c r="P1314" s="985">
        <v>0</v>
      </c>
      <c r="Q1314" s="1067">
        <v>0</v>
      </c>
      <c r="R1314" s="1021">
        <f t="shared" si="357"/>
        <v>1977.0709245068617</v>
      </c>
      <c r="S1314" s="1022">
        <v>2019</v>
      </c>
      <c r="T1314" s="1022">
        <v>2020</v>
      </c>
    </row>
    <row r="1315" spans="1:20" ht="42" customHeight="1">
      <c r="A1315" s="1249">
        <v>388</v>
      </c>
      <c r="B1315" s="1071" t="s">
        <v>1655</v>
      </c>
      <c r="C1315" s="1249">
        <v>1938</v>
      </c>
      <c r="D1315" s="1249"/>
      <c r="E1315" s="1256" t="s">
        <v>218</v>
      </c>
      <c r="F1315" s="1249">
        <v>4</v>
      </c>
      <c r="G1315" s="1249">
        <v>4</v>
      </c>
      <c r="H1315" s="1008">
        <v>1900.1</v>
      </c>
      <c r="I1315" s="1008">
        <v>1900.1</v>
      </c>
      <c r="J1315" s="1008">
        <v>1612.5</v>
      </c>
      <c r="K1315" s="986">
        <v>67</v>
      </c>
      <c r="L1315" s="998">
        <v>5662570.5499999998</v>
      </c>
      <c r="M1315" s="998">
        <v>0</v>
      </c>
      <c r="N1315" s="998">
        <v>0</v>
      </c>
      <c r="O1315" s="998">
        <v>5662570.5499999998</v>
      </c>
      <c r="P1315" s="985">
        <v>0</v>
      </c>
      <c r="Q1315" s="1067">
        <v>0</v>
      </c>
      <c r="R1315" s="1021">
        <f t="shared" si="357"/>
        <v>2980.1434398189567</v>
      </c>
      <c r="S1315" s="1022">
        <v>2019</v>
      </c>
      <c r="T1315" s="1022">
        <v>2020</v>
      </c>
    </row>
    <row r="1316" spans="1:20" ht="39.6" customHeight="1">
      <c r="A1316" s="1249">
        <v>389</v>
      </c>
      <c r="B1316" s="1071" t="s">
        <v>1656</v>
      </c>
      <c r="C1316" s="1249">
        <v>1968</v>
      </c>
      <c r="D1316" s="1249"/>
      <c r="E1316" s="1256" t="s">
        <v>218</v>
      </c>
      <c r="F1316" s="1249">
        <v>5</v>
      </c>
      <c r="G1316" s="1249">
        <v>6</v>
      </c>
      <c r="H1316" s="1008">
        <v>4551.3999999999996</v>
      </c>
      <c r="I1316" s="1008">
        <v>4551.3999999999996</v>
      </c>
      <c r="J1316" s="1008">
        <v>3035.6</v>
      </c>
      <c r="K1316" s="986">
        <v>160</v>
      </c>
      <c r="L1316" s="998">
        <v>8262350.3499999996</v>
      </c>
      <c r="M1316" s="998">
        <v>0</v>
      </c>
      <c r="N1316" s="998">
        <v>0</v>
      </c>
      <c r="O1316" s="998">
        <v>8262350.3499999996</v>
      </c>
      <c r="P1316" s="985">
        <v>0</v>
      </c>
      <c r="Q1316" s="1067">
        <v>0</v>
      </c>
      <c r="R1316" s="1021">
        <f t="shared" si="357"/>
        <v>1815.3426088676013</v>
      </c>
      <c r="S1316" s="1022">
        <v>2019</v>
      </c>
      <c r="T1316" s="1022">
        <v>2020</v>
      </c>
    </row>
    <row r="1317" spans="1:20" ht="40.799999999999997" customHeight="1">
      <c r="A1317" s="1249">
        <v>390</v>
      </c>
      <c r="B1317" s="1070" t="s">
        <v>1657</v>
      </c>
      <c r="C1317" s="1249">
        <v>1917</v>
      </c>
      <c r="D1317" s="1249"/>
      <c r="E1317" s="1256" t="s">
        <v>218</v>
      </c>
      <c r="F1317" s="1249">
        <v>2</v>
      </c>
      <c r="G1317" s="1249">
        <v>1</v>
      </c>
      <c r="H1317" s="1008">
        <v>238.5</v>
      </c>
      <c r="I1317" s="1008">
        <v>238.5</v>
      </c>
      <c r="J1317" s="1008">
        <v>214</v>
      </c>
      <c r="K1317" s="986">
        <v>13</v>
      </c>
      <c r="L1317" s="998">
        <v>2792414.78</v>
      </c>
      <c r="M1317" s="998">
        <v>0</v>
      </c>
      <c r="N1317" s="998">
        <v>0</v>
      </c>
      <c r="O1317" s="998">
        <v>2792414.78</v>
      </c>
      <c r="P1317" s="985">
        <v>0</v>
      </c>
      <c r="Q1317" s="1067">
        <v>0</v>
      </c>
      <c r="R1317" s="1021">
        <f t="shared" si="357"/>
        <v>11708.238071278825</v>
      </c>
      <c r="S1317" s="1022">
        <v>2019</v>
      </c>
      <c r="T1317" s="1022">
        <v>2020</v>
      </c>
    </row>
    <row r="1318" spans="1:20" ht="40.200000000000003" customHeight="1">
      <c r="A1318" s="1249">
        <v>391</v>
      </c>
      <c r="B1318" s="1070" t="s">
        <v>1658</v>
      </c>
      <c r="C1318" s="1249">
        <v>1917</v>
      </c>
      <c r="D1318" s="1249"/>
      <c r="E1318" s="1256" t="s">
        <v>218</v>
      </c>
      <c r="F1318" s="1249">
        <v>3</v>
      </c>
      <c r="G1318" s="1249">
        <v>2</v>
      </c>
      <c r="H1318" s="1008">
        <v>787.2</v>
      </c>
      <c r="I1318" s="1008">
        <v>787.2</v>
      </c>
      <c r="J1318" s="1008">
        <v>508.3</v>
      </c>
      <c r="K1318" s="986">
        <v>21</v>
      </c>
      <c r="L1318" s="998">
        <v>4128151.84</v>
      </c>
      <c r="M1318" s="998">
        <v>0</v>
      </c>
      <c r="N1318" s="998">
        <v>0</v>
      </c>
      <c r="O1318" s="998">
        <v>4128151.84</v>
      </c>
      <c r="P1318" s="985">
        <v>0</v>
      </c>
      <c r="Q1318" s="1067">
        <v>0</v>
      </c>
      <c r="R1318" s="1021">
        <f t="shared" si="357"/>
        <v>5244.0953252032514</v>
      </c>
      <c r="S1318" s="1022">
        <v>2019</v>
      </c>
      <c r="T1318" s="1022">
        <v>2020</v>
      </c>
    </row>
    <row r="1319" spans="1:20" ht="39" customHeight="1">
      <c r="A1319" s="1249">
        <v>392</v>
      </c>
      <c r="B1319" s="1076" t="s">
        <v>1659</v>
      </c>
      <c r="C1319" s="1249">
        <v>1964</v>
      </c>
      <c r="D1319" s="1249"/>
      <c r="E1319" s="1256" t="s">
        <v>218</v>
      </c>
      <c r="F1319" s="1249">
        <v>4</v>
      </c>
      <c r="G1319" s="1249">
        <v>3</v>
      </c>
      <c r="H1319" s="1008">
        <v>2492</v>
      </c>
      <c r="I1319" s="1008">
        <v>2492</v>
      </c>
      <c r="J1319" s="1008">
        <v>1479</v>
      </c>
      <c r="K1319" s="986">
        <v>78</v>
      </c>
      <c r="L1319" s="998">
        <v>4576889.7300000004</v>
      </c>
      <c r="M1319" s="998">
        <v>0</v>
      </c>
      <c r="N1319" s="998">
        <v>0</v>
      </c>
      <c r="O1319" s="998">
        <v>4576889.7300000004</v>
      </c>
      <c r="P1319" s="985">
        <v>0</v>
      </c>
      <c r="Q1319" s="1067">
        <v>0</v>
      </c>
      <c r="R1319" s="1021">
        <f t="shared" si="357"/>
        <v>1836.6331179775282</v>
      </c>
      <c r="S1319" s="1022">
        <v>2019</v>
      </c>
      <c r="T1319" s="1022">
        <v>2020</v>
      </c>
    </row>
    <row r="1320" spans="1:20" ht="39.6" customHeight="1">
      <c r="A1320" s="1249">
        <v>393</v>
      </c>
      <c r="B1320" s="1076" t="s">
        <v>1660</v>
      </c>
      <c r="C1320" s="1249">
        <v>1981</v>
      </c>
      <c r="D1320" s="1249"/>
      <c r="E1320" s="1256" t="s">
        <v>218</v>
      </c>
      <c r="F1320" s="1249">
        <v>2</v>
      </c>
      <c r="G1320" s="1249">
        <v>2</v>
      </c>
      <c r="H1320" s="1008">
        <v>654</v>
      </c>
      <c r="I1320" s="1008">
        <v>654</v>
      </c>
      <c r="J1320" s="1008">
        <v>459.5</v>
      </c>
      <c r="K1320" s="986">
        <v>18</v>
      </c>
      <c r="L1320" s="998">
        <v>2256513.08</v>
      </c>
      <c r="M1320" s="998">
        <v>0</v>
      </c>
      <c r="N1320" s="998">
        <v>0</v>
      </c>
      <c r="O1320" s="998">
        <v>2256513.08</v>
      </c>
      <c r="P1320" s="985">
        <v>0</v>
      </c>
      <c r="Q1320" s="1067">
        <v>0</v>
      </c>
      <c r="R1320" s="1021">
        <f t="shared" ref="R1320:R1326" si="358">L1320/I1320</f>
        <v>3450.3258103975536</v>
      </c>
      <c r="S1320" s="1022">
        <v>2019</v>
      </c>
      <c r="T1320" s="1022">
        <v>2020</v>
      </c>
    </row>
    <row r="1321" spans="1:20" ht="39.6" customHeight="1">
      <c r="A1321" s="1249">
        <v>394</v>
      </c>
      <c r="B1321" s="1071" t="s">
        <v>1661</v>
      </c>
      <c r="C1321" s="1249">
        <v>1957</v>
      </c>
      <c r="D1321" s="1249"/>
      <c r="E1321" s="1256" t="s">
        <v>218</v>
      </c>
      <c r="F1321" s="1249">
        <v>4</v>
      </c>
      <c r="G1321" s="1249">
        <v>4</v>
      </c>
      <c r="H1321" s="1008">
        <v>3664.2</v>
      </c>
      <c r="I1321" s="1008">
        <v>3664.2</v>
      </c>
      <c r="J1321" s="1008">
        <v>2332.1</v>
      </c>
      <c r="K1321" s="986">
        <v>80</v>
      </c>
      <c r="L1321" s="998">
        <v>6838724.7699999996</v>
      </c>
      <c r="M1321" s="998">
        <v>0</v>
      </c>
      <c r="N1321" s="998">
        <v>0</v>
      </c>
      <c r="O1321" s="998">
        <v>6838724.7699999996</v>
      </c>
      <c r="P1321" s="985">
        <v>0</v>
      </c>
      <c r="Q1321" s="1067">
        <v>0</v>
      </c>
      <c r="R1321" s="1021">
        <f t="shared" si="358"/>
        <v>1866.3623082801157</v>
      </c>
      <c r="S1321" s="1022">
        <v>2019</v>
      </c>
      <c r="T1321" s="1022">
        <v>2020</v>
      </c>
    </row>
    <row r="1322" spans="1:20" ht="40.799999999999997" customHeight="1">
      <c r="A1322" s="1249">
        <v>395</v>
      </c>
      <c r="B1322" s="1175" t="s">
        <v>1662</v>
      </c>
      <c r="C1322" s="1249">
        <v>1960</v>
      </c>
      <c r="D1322" s="1249"/>
      <c r="E1322" s="1256" t="s">
        <v>218</v>
      </c>
      <c r="F1322" s="1249">
        <v>3</v>
      </c>
      <c r="G1322" s="1249">
        <v>4</v>
      </c>
      <c r="H1322" s="1008">
        <v>1945.1</v>
      </c>
      <c r="I1322" s="1008">
        <v>1945.1</v>
      </c>
      <c r="J1322" s="1008">
        <v>969</v>
      </c>
      <c r="K1322" s="986">
        <v>39</v>
      </c>
      <c r="L1322" s="998">
        <v>4550279.9000000004</v>
      </c>
      <c r="M1322" s="998">
        <v>0</v>
      </c>
      <c r="N1322" s="998">
        <v>0</v>
      </c>
      <c r="O1322" s="998">
        <v>4550279.9000000004</v>
      </c>
      <c r="P1322" s="985">
        <v>0</v>
      </c>
      <c r="Q1322" s="1067">
        <v>0</v>
      </c>
      <c r="R1322" s="1021">
        <f t="shared" si="358"/>
        <v>2339.3552516580125</v>
      </c>
      <c r="S1322" s="1022">
        <v>2019</v>
      </c>
      <c r="T1322" s="1022">
        <v>2020</v>
      </c>
    </row>
    <row r="1323" spans="1:20" ht="40.200000000000003" customHeight="1">
      <c r="A1323" s="1249">
        <v>396</v>
      </c>
      <c r="B1323" s="1174" t="s">
        <v>1663</v>
      </c>
      <c r="C1323" s="1249">
        <v>1961</v>
      </c>
      <c r="D1323" s="1249"/>
      <c r="E1323" s="1256" t="s">
        <v>218</v>
      </c>
      <c r="F1323" s="1249">
        <v>4</v>
      </c>
      <c r="G1323" s="1249">
        <v>3</v>
      </c>
      <c r="H1323" s="1008">
        <v>2834.9</v>
      </c>
      <c r="I1323" s="1008">
        <v>2834.9</v>
      </c>
      <c r="J1323" s="1008">
        <v>1494.3</v>
      </c>
      <c r="K1323" s="986">
        <v>66</v>
      </c>
      <c r="L1323" s="998">
        <v>4896207.62</v>
      </c>
      <c r="M1323" s="998">
        <v>0</v>
      </c>
      <c r="N1323" s="998">
        <v>0</v>
      </c>
      <c r="O1323" s="998">
        <v>4896207.62</v>
      </c>
      <c r="P1323" s="985">
        <v>0</v>
      </c>
      <c r="Q1323" s="1067">
        <v>0</v>
      </c>
      <c r="R1323" s="1021">
        <f t="shared" si="358"/>
        <v>1727.1182828318458</v>
      </c>
      <c r="S1323" s="1022">
        <v>2019</v>
      </c>
      <c r="T1323" s="1022">
        <v>2020</v>
      </c>
    </row>
    <row r="1324" spans="1:20" ht="40.200000000000003" customHeight="1">
      <c r="A1324" s="1249">
        <v>397</v>
      </c>
      <c r="B1324" s="1174" t="s">
        <v>1635</v>
      </c>
      <c r="C1324" s="1249">
        <v>1962</v>
      </c>
      <c r="D1324" s="1249"/>
      <c r="E1324" s="1256" t="s">
        <v>218</v>
      </c>
      <c r="F1324" s="1249">
        <v>4</v>
      </c>
      <c r="G1324" s="1249">
        <v>2</v>
      </c>
      <c r="H1324" s="1008">
        <v>1840.9</v>
      </c>
      <c r="I1324" s="1008">
        <v>1840.9</v>
      </c>
      <c r="J1324" s="1008">
        <v>1164.5</v>
      </c>
      <c r="K1324" s="986">
        <v>51</v>
      </c>
      <c r="L1324" s="998">
        <v>2794031.52</v>
      </c>
      <c r="M1324" s="998">
        <v>0</v>
      </c>
      <c r="N1324" s="998">
        <v>0</v>
      </c>
      <c r="O1324" s="998">
        <v>2794031.52</v>
      </c>
      <c r="P1324" s="985">
        <v>0</v>
      </c>
      <c r="Q1324" s="1067">
        <v>0</v>
      </c>
      <c r="R1324" s="1021">
        <f t="shared" si="358"/>
        <v>1517.7530121136399</v>
      </c>
      <c r="S1324" s="1022">
        <v>2019</v>
      </c>
      <c r="T1324" s="1022">
        <v>2020</v>
      </c>
    </row>
    <row r="1325" spans="1:20" ht="42" customHeight="1">
      <c r="A1325" s="1249">
        <v>398</v>
      </c>
      <c r="B1325" s="1174" t="s">
        <v>1664</v>
      </c>
      <c r="C1325" s="1249">
        <v>1952</v>
      </c>
      <c r="D1325" s="1249"/>
      <c r="E1325" s="1256" t="s">
        <v>218</v>
      </c>
      <c r="F1325" s="1249">
        <v>4</v>
      </c>
      <c r="G1325" s="1249">
        <v>3</v>
      </c>
      <c r="H1325" s="1008">
        <v>1772.2</v>
      </c>
      <c r="I1325" s="1008">
        <v>1772.2</v>
      </c>
      <c r="J1325" s="1008">
        <v>1359.2</v>
      </c>
      <c r="K1325" s="986">
        <v>66</v>
      </c>
      <c r="L1325" s="998">
        <v>3304940.14</v>
      </c>
      <c r="M1325" s="998">
        <v>0</v>
      </c>
      <c r="N1325" s="998">
        <v>0</v>
      </c>
      <c r="O1325" s="998">
        <v>3304940.14</v>
      </c>
      <c r="P1325" s="985">
        <v>0</v>
      </c>
      <c r="Q1325" s="1067">
        <v>0</v>
      </c>
      <c r="R1325" s="1021">
        <f t="shared" si="358"/>
        <v>1864.8798894030019</v>
      </c>
      <c r="S1325" s="1022">
        <v>2019</v>
      </c>
      <c r="T1325" s="1022">
        <v>2020</v>
      </c>
    </row>
    <row r="1326" spans="1:20" ht="40.799999999999997" customHeight="1">
      <c r="A1326" s="1249">
        <v>399</v>
      </c>
      <c r="B1326" s="1076" t="s">
        <v>1665</v>
      </c>
      <c r="C1326" s="1249">
        <v>1954</v>
      </c>
      <c r="D1326" s="1249"/>
      <c r="E1326" s="1256" t="s">
        <v>218</v>
      </c>
      <c r="F1326" s="1249">
        <v>4</v>
      </c>
      <c r="G1326" s="1249">
        <v>4</v>
      </c>
      <c r="H1326" s="1008">
        <v>2603.6999999999998</v>
      </c>
      <c r="I1326" s="1008">
        <v>2603.6999999999998</v>
      </c>
      <c r="J1326" s="1008">
        <v>1522.8</v>
      </c>
      <c r="K1326" s="986">
        <v>49</v>
      </c>
      <c r="L1326" s="998">
        <v>5662570.5499999998</v>
      </c>
      <c r="M1326" s="998">
        <v>0</v>
      </c>
      <c r="N1326" s="998">
        <v>0</v>
      </c>
      <c r="O1326" s="998">
        <v>5662570.5499999998</v>
      </c>
      <c r="P1326" s="985">
        <v>0</v>
      </c>
      <c r="Q1326" s="1067">
        <v>0</v>
      </c>
      <c r="R1326" s="1021">
        <f t="shared" si="358"/>
        <v>2174.8168183738526</v>
      </c>
      <c r="S1326" s="1022">
        <v>2019</v>
      </c>
      <c r="T1326" s="1022">
        <v>2020</v>
      </c>
    </row>
    <row r="1327" spans="1:20" ht="43.8" customHeight="1">
      <c r="A1327" s="1249"/>
      <c r="B1327" s="1261" t="s">
        <v>1074</v>
      </c>
      <c r="C1327" s="991"/>
      <c r="D1327" s="992"/>
      <c r="E1327" s="993"/>
      <c r="F1327" s="991"/>
      <c r="G1327" s="994"/>
      <c r="H1327" s="985">
        <f>SUM(H1328:H1351)</f>
        <v>50123.100000000006</v>
      </c>
      <c r="I1327" s="985">
        <f t="shared" ref="I1327:Q1327" si="359">SUM(I1328:I1351)</f>
        <v>44810.8</v>
      </c>
      <c r="J1327" s="985">
        <f t="shared" si="359"/>
        <v>41834.200000000012</v>
      </c>
      <c r="K1327" s="995">
        <f t="shared" si="359"/>
        <v>1688</v>
      </c>
      <c r="L1327" s="985">
        <f t="shared" si="359"/>
        <v>61627333.769999996</v>
      </c>
      <c r="M1327" s="985">
        <f t="shared" si="359"/>
        <v>0</v>
      </c>
      <c r="N1327" s="985">
        <f t="shared" si="359"/>
        <v>0</v>
      </c>
      <c r="O1327" s="985">
        <f t="shared" si="359"/>
        <v>61627333.769999996</v>
      </c>
      <c r="P1327" s="985">
        <f t="shared" si="359"/>
        <v>0</v>
      </c>
      <c r="Q1327" s="985">
        <f t="shared" si="359"/>
        <v>0</v>
      </c>
      <c r="R1327" s="996" t="s">
        <v>40</v>
      </c>
      <c r="S1327" s="996" t="s">
        <v>40</v>
      </c>
      <c r="T1327" s="996" t="s">
        <v>40</v>
      </c>
    </row>
    <row r="1328" spans="1:20" ht="43.8" customHeight="1">
      <c r="A1328" s="1249">
        <v>400</v>
      </c>
      <c r="B1328" s="1245" t="s">
        <v>1119</v>
      </c>
      <c r="C1328" s="1255">
        <v>1977</v>
      </c>
      <c r="D1328" s="1249"/>
      <c r="E1328" s="1249" t="s">
        <v>218</v>
      </c>
      <c r="F1328" s="1255">
        <v>5</v>
      </c>
      <c r="G1328" s="1255">
        <v>4</v>
      </c>
      <c r="H1328" s="985">
        <v>2967.8</v>
      </c>
      <c r="I1328" s="985">
        <v>2815.7</v>
      </c>
      <c r="J1328" s="985">
        <v>2754</v>
      </c>
      <c r="K1328" s="986">
        <v>117</v>
      </c>
      <c r="L1328" s="987">
        <f t="shared" ref="L1328" si="360">O1328</f>
        <v>4202669</v>
      </c>
      <c r="M1328" s="987">
        <v>0</v>
      </c>
      <c r="N1328" s="987">
        <v>0</v>
      </c>
      <c r="O1328" s="987">
        <v>4202669</v>
      </c>
      <c r="P1328" s="998">
        <f t="shared" ref="P1328" si="361">Q1328</f>
        <v>0</v>
      </c>
      <c r="Q1328" s="987">
        <v>0</v>
      </c>
      <c r="R1328" s="1021">
        <f t="shared" ref="R1328" si="362">L1328/I1328</f>
        <v>1492.5840821110205</v>
      </c>
      <c r="S1328" s="988">
        <v>2017</v>
      </c>
      <c r="T1328" s="988">
        <v>2020</v>
      </c>
    </row>
    <row r="1329" spans="1:20" ht="40.200000000000003" customHeight="1">
      <c r="A1329" s="1249">
        <v>401</v>
      </c>
      <c r="B1329" s="1260" t="s">
        <v>1129</v>
      </c>
      <c r="C1329" s="1249">
        <v>1976</v>
      </c>
      <c r="D1329" s="1249"/>
      <c r="E1329" s="1249" t="s">
        <v>218</v>
      </c>
      <c r="F1329" s="1255">
        <v>5</v>
      </c>
      <c r="G1329" s="1255">
        <v>5</v>
      </c>
      <c r="H1329" s="985">
        <v>3048</v>
      </c>
      <c r="I1329" s="985">
        <v>2772.4</v>
      </c>
      <c r="J1329" s="985">
        <v>2772.4</v>
      </c>
      <c r="K1329" s="986">
        <v>110</v>
      </c>
      <c r="L1329" s="987">
        <v>2250909.38</v>
      </c>
      <c r="M1329" s="987">
        <v>0</v>
      </c>
      <c r="N1329" s="987">
        <v>0</v>
      </c>
      <c r="O1329" s="987">
        <f t="shared" ref="O1329:O1351" si="363">L1329</f>
        <v>2250909.38</v>
      </c>
      <c r="P1329" s="1057">
        <v>0</v>
      </c>
      <c r="Q1329" s="987">
        <v>0</v>
      </c>
      <c r="R1329" s="1021">
        <f t="shared" ref="R1329:R1343" si="364">L1329/I1329</f>
        <v>811.89921367767988</v>
      </c>
      <c r="S1329" s="988">
        <v>2017</v>
      </c>
      <c r="T1329" s="988">
        <v>2020</v>
      </c>
    </row>
    <row r="1330" spans="1:20" ht="42.6" customHeight="1">
      <c r="A1330" s="1249">
        <v>402</v>
      </c>
      <c r="B1330" s="1105" t="s">
        <v>1130</v>
      </c>
      <c r="C1330" s="1249">
        <v>1966</v>
      </c>
      <c r="D1330" s="1249"/>
      <c r="E1330" s="1249" t="s">
        <v>218</v>
      </c>
      <c r="F1330" s="1255">
        <v>5</v>
      </c>
      <c r="G1330" s="1255">
        <v>4</v>
      </c>
      <c r="H1330" s="985">
        <v>3306.1</v>
      </c>
      <c r="I1330" s="985">
        <v>3109</v>
      </c>
      <c r="J1330" s="985">
        <v>2844.2</v>
      </c>
      <c r="K1330" s="986">
        <v>112</v>
      </c>
      <c r="L1330" s="987">
        <v>2556927.04</v>
      </c>
      <c r="M1330" s="987">
        <v>0</v>
      </c>
      <c r="N1330" s="987">
        <v>0</v>
      </c>
      <c r="O1330" s="987">
        <f t="shared" si="363"/>
        <v>2556927.04</v>
      </c>
      <c r="P1330" s="1057">
        <v>0</v>
      </c>
      <c r="Q1330" s="987">
        <v>0</v>
      </c>
      <c r="R1330" s="1021">
        <f t="shared" si="364"/>
        <v>822.42748150530713</v>
      </c>
      <c r="S1330" s="988">
        <v>2017</v>
      </c>
      <c r="T1330" s="988">
        <v>2020</v>
      </c>
    </row>
    <row r="1331" spans="1:20" ht="40.799999999999997" customHeight="1">
      <c r="A1331" s="1249">
        <v>403</v>
      </c>
      <c r="B1331" s="1260" t="s">
        <v>1127</v>
      </c>
      <c r="C1331" s="1249">
        <v>1969</v>
      </c>
      <c r="D1331" s="1255"/>
      <c r="E1331" s="1249" t="s">
        <v>218</v>
      </c>
      <c r="F1331" s="1255">
        <v>5</v>
      </c>
      <c r="G1331" s="1255">
        <v>4</v>
      </c>
      <c r="H1331" s="985">
        <v>3440.1</v>
      </c>
      <c r="I1331" s="985">
        <v>3182.2</v>
      </c>
      <c r="J1331" s="985">
        <f>2559.8-233.1</f>
        <v>2326.7000000000003</v>
      </c>
      <c r="K1331" s="986">
        <v>110</v>
      </c>
      <c r="L1331" s="985">
        <v>2617852.0699999998</v>
      </c>
      <c r="M1331" s="985">
        <v>0</v>
      </c>
      <c r="N1331" s="985">
        <v>0</v>
      </c>
      <c r="O1331" s="985">
        <f t="shared" si="363"/>
        <v>2617852.0699999998</v>
      </c>
      <c r="P1331" s="985">
        <v>0</v>
      </c>
      <c r="Q1331" s="985">
        <v>0</v>
      </c>
      <c r="R1331" s="985">
        <f t="shared" si="364"/>
        <v>822.65478913958896</v>
      </c>
      <c r="S1331" s="988">
        <v>2017</v>
      </c>
      <c r="T1331" s="988">
        <v>2020</v>
      </c>
    </row>
    <row r="1332" spans="1:20" ht="42" customHeight="1">
      <c r="A1332" s="1249">
        <v>404</v>
      </c>
      <c r="B1332" s="1260" t="s">
        <v>1438</v>
      </c>
      <c r="C1332" s="1249">
        <v>1963</v>
      </c>
      <c r="D1332" s="1255"/>
      <c r="E1332" s="1249" t="s">
        <v>218</v>
      </c>
      <c r="F1332" s="1255">
        <v>4</v>
      </c>
      <c r="G1332" s="1255">
        <v>4</v>
      </c>
      <c r="H1332" s="985">
        <v>2686.9</v>
      </c>
      <c r="I1332" s="985">
        <v>2453.4</v>
      </c>
      <c r="J1332" s="985">
        <f>2453.4-28.2</f>
        <v>2425.2000000000003</v>
      </c>
      <c r="K1332" s="986">
        <v>100</v>
      </c>
      <c r="L1332" s="985">
        <v>3577155.73</v>
      </c>
      <c r="M1332" s="985">
        <v>0</v>
      </c>
      <c r="N1332" s="985">
        <v>0</v>
      </c>
      <c r="O1332" s="985">
        <f t="shared" si="363"/>
        <v>3577155.73</v>
      </c>
      <c r="P1332" s="985">
        <v>0</v>
      </c>
      <c r="Q1332" s="985">
        <v>0</v>
      </c>
      <c r="R1332" s="985">
        <f t="shared" si="364"/>
        <v>1458.0401605934621</v>
      </c>
      <c r="S1332" s="988">
        <v>2017</v>
      </c>
      <c r="T1332" s="988">
        <v>2020</v>
      </c>
    </row>
    <row r="1333" spans="1:20" ht="40.799999999999997" customHeight="1">
      <c r="A1333" s="1249">
        <v>405</v>
      </c>
      <c r="B1333" s="1260" t="s">
        <v>1128</v>
      </c>
      <c r="C1333" s="1249">
        <v>1965</v>
      </c>
      <c r="D1333" s="1255"/>
      <c r="E1333" s="1249" t="s">
        <v>218</v>
      </c>
      <c r="F1333" s="1255">
        <v>5</v>
      </c>
      <c r="G1333" s="1255">
        <v>2</v>
      </c>
      <c r="H1333" s="985">
        <v>2078.6999999999998</v>
      </c>
      <c r="I1333" s="985">
        <v>1782.9</v>
      </c>
      <c r="J1333" s="985">
        <v>1782.9</v>
      </c>
      <c r="K1333" s="986">
        <v>60</v>
      </c>
      <c r="L1333" s="985">
        <v>1500157.35</v>
      </c>
      <c r="M1333" s="985">
        <v>0</v>
      </c>
      <c r="N1333" s="985">
        <v>0</v>
      </c>
      <c r="O1333" s="985">
        <f t="shared" si="363"/>
        <v>1500157.35</v>
      </c>
      <c r="P1333" s="985">
        <v>0</v>
      </c>
      <c r="Q1333" s="985">
        <v>0</v>
      </c>
      <c r="R1333" s="985">
        <f t="shared" si="364"/>
        <v>841.41418475517412</v>
      </c>
      <c r="S1333" s="988">
        <v>2017</v>
      </c>
      <c r="T1333" s="988">
        <v>2020</v>
      </c>
    </row>
    <row r="1334" spans="1:20" ht="40.799999999999997" customHeight="1">
      <c r="A1334" s="1249">
        <v>406</v>
      </c>
      <c r="B1334" s="1260" t="s">
        <v>1126</v>
      </c>
      <c r="C1334" s="1249">
        <v>1960</v>
      </c>
      <c r="D1334" s="1249"/>
      <c r="E1334" s="1249" t="s">
        <v>218</v>
      </c>
      <c r="F1334" s="1255">
        <v>3</v>
      </c>
      <c r="G1334" s="1255">
        <v>3</v>
      </c>
      <c r="H1334" s="985">
        <v>1735.3</v>
      </c>
      <c r="I1334" s="985">
        <v>1516.6</v>
      </c>
      <c r="J1334" s="985">
        <f>1448.5-86.9</f>
        <v>1361.6</v>
      </c>
      <c r="K1334" s="986">
        <v>70</v>
      </c>
      <c r="L1334" s="985">
        <v>2939370.25</v>
      </c>
      <c r="M1334" s="985">
        <v>0</v>
      </c>
      <c r="N1334" s="985">
        <v>0</v>
      </c>
      <c r="O1334" s="985">
        <f t="shared" si="363"/>
        <v>2939370.25</v>
      </c>
      <c r="P1334" s="985">
        <v>0</v>
      </c>
      <c r="Q1334" s="985">
        <v>0</v>
      </c>
      <c r="R1334" s="985">
        <f t="shared" si="364"/>
        <v>1938.1315112752211</v>
      </c>
      <c r="S1334" s="988">
        <v>2017</v>
      </c>
      <c r="T1334" s="988">
        <v>2020</v>
      </c>
    </row>
    <row r="1335" spans="1:20" ht="42.6" customHeight="1">
      <c r="A1335" s="1249">
        <v>407</v>
      </c>
      <c r="B1335" s="1260" t="s">
        <v>1120</v>
      </c>
      <c r="C1335" s="1255">
        <v>1974</v>
      </c>
      <c r="D1335" s="1255"/>
      <c r="E1335" s="1249" t="s">
        <v>218</v>
      </c>
      <c r="F1335" s="1255">
        <v>5</v>
      </c>
      <c r="G1335" s="1255">
        <v>4</v>
      </c>
      <c r="H1335" s="1138">
        <v>3418.1</v>
      </c>
      <c r="I1335" s="1138">
        <f>2529+648</f>
        <v>3177</v>
      </c>
      <c r="J1335" s="1138">
        <f>3177-43.6</f>
        <v>3133.4</v>
      </c>
      <c r="K1335" s="995">
        <v>103</v>
      </c>
      <c r="L1335" s="985">
        <v>5540777.2800000003</v>
      </c>
      <c r="M1335" s="985">
        <v>0</v>
      </c>
      <c r="N1335" s="985">
        <v>0</v>
      </c>
      <c r="O1335" s="985">
        <f t="shared" si="363"/>
        <v>5540777.2800000003</v>
      </c>
      <c r="P1335" s="985">
        <v>0</v>
      </c>
      <c r="Q1335" s="985">
        <v>0</v>
      </c>
      <c r="R1335" s="985">
        <f t="shared" si="364"/>
        <v>1744.0281019830029</v>
      </c>
      <c r="S1335" s="988">
        <v>2018</v>
      </c>
      <c r="T1335" s="988">
        <v>2020</v>
      </c>
    </row>
    <row r="1336" spans="1:20" ht="36.6" customHeight="1">
      <c r="A1336" s="1249">
        <v>408</v>
      </c>
      <c r="B1336" s="1260" t="s">
        <v>977</v>
      </c>
      <c r="C1336" s="1255">
        <v>1951</v>
      </c>
      <c r="D1336" s="1255"/>
      <c r="E1336" s="1370" t="s">
        <v>823</v>
      </c>
      <c r="F1336" s="1255">
        <v>2</v>
      </c>
      <c r="G1336" s="1255">
        <v>1</v>
      </c>
      <c r="H1336" s="1138">
        <v>528.9</v>
      </c>
      <c r="I1336" s="1138">
        <v>492.3</v>
      </c>
      <c r="J1336" s="1138">
        <f>492.3-54.4</f>
        <v>437.90000000000003</v>
      </c>
      <c r="K1336" s="995">
        <v>19</v>
      </c>
      <c r="L1336" s="985">
        <v>1585945.51</v>
      </c>
      <c r="M1336" s="985">
        <v>0</v>
      </c>
      <c r="N1336" s="985">
        <v>0</v>
      </c>
      <c r="O1336" s="985">
        <f t="shared" si="363"/>
        <v>1585945.51</v>
      </c>
      <c r="P1336" s="985">
        <v>0</v>
      </c>
      <c r="Q1336" s="985">
        <v>0</v>
      </c>
      <c r="R1336" s="985">
        <f t="shared" si="364"/>
        <v>3221.5021531586431</v>
      </c>
      <c r="S1336" s="988">
        <v>2018</v>
      </c>
      <c r="T1336" s="988">
        <v>2020</v>
      </c>
    </row>
    <row r="1337" spans="1:20" ht="40.799999999999997" customHeight="1">
      <c r="A1337" s="1249">
        <v>409</v>
      </c>
      <c r="B1337" s="1260" t="s">
        <v>1592</v>
      </c>
      <c r="C1337" s="1255">
        <v>1960</v>
      </c>
      <c r="D1337" s="1255"/>
      <c r="E1337" s="1249" t="s">
        <v>218</v>
      </c>
      <c r="F1337" s="1255">
        <v>2</v>
      </c>
      <c r="G1337" s="1255">
        <v>6</v>
      </c>
      <c r="H1337" s="1138">
        <v>310.10000000000002</v>
      </c>
      <c r="I1337" s="1138">
        <v>310.10000000000002</v>
      </c>
      <c r="J1337" s="1138">
        <v>256.5</v>
      </c>
      <c r="K1337" s="995">
        <v>15</v>
      </c>
      <c r="L1337" s="985">
        <v>1191379.97</v>
      </c>
      <c r="M1337" s="985">
        <v>0</v>
      </c>
      <c r="N1337" s="985">
        <v>0</v>
      </c>
      <c r="O1337" s="985">
        <f t="shared" si="363"/>
        <v>1191379.97</v>
      </c>
      <c r="P1337" s="985">
        <v>0</v>
      </c>
      <c r="Q1337" s="985">
        <v>0</v>
      </c>
      <c r="R1337" s="985">
        <f t="shared" si="364"/>
        <v>3841.9218639148658</v>
      </c>
      <c r="S1337" s="988">
        <v>2018</v>
      </c>
      <c r="T1337" s="988">
        <v>2020</v>
      </c>
    </row>
    <row r="1338" spans="1:20" ht="44.4" customHeight="1">
      <c r="A1338" s="1249">
        <v>410</v>
      </c>
      <c r="B1338" s="1260" t="s">
        <v>1676</v>
      </c>
      <c r="C1338" s="1255">
        <v>1957</v>
      </c>
      <c r="D1338" s="1255"/>
      <c r="E1338" s="1249" t="s">
        <v>218</v>
      </c>
      <c r="F1338" s="1255">
        <v>2</v>
      </c>
      <c r="G1338" s="1255">
        <v>3</v>
      </c>
      <c r="H1338" s="1176">
        <v>1084.2</v>
      </c>
      <c r="I1338" s="1176">
        <v>1010.2</v>
      </c>
      <c r="J1338" s="1138">
        <v>1010.2</v>
      </c>
      <c r="K1338" s="995">
        <v>37</v>
      </c>
      <c r="L1338" s="985">
        <v>3105641.71</v>
      </c>
      <c r="M1338" s="985">
        <v>0</v>
      </c>
      <c r="N1338" s="985">
        <v>0</v>
      </c>
      <c r="O1338" s="985">
        <f t="shared" si="363"/>
        <v>3105641.71</v>
      </c>
      <c r="P1338" s="985">
        <v>0</v>
      </c>
      <c r="Q1338" s="985">
        <v>0</v>
      </c>
      <c r="R1338" s="985">
        <f t="shared" si="364"/>
        <v>3074.2840130667191</v>
      </c>
      <c r="S1338" s="988">
        <v>2018</v>
      </c>
      <c r="T1338" s="988">
        <v>2020</v>
      </c>
    </row>
    <row r="1339" spans="1:20" ht="40.799999999999997" customHeight="1">
      <c r="A1339" s="1249">
        <v>411</v>
      </c>
      <c r="B1339" s="1260" t="s">
        <v>1186</v>
      </c>
      <c r="C1339" s="1255">
        <v>1917</v>
      </c>
      <c r="D1339" s="1255"/>
      <c r="E1339" s="1249" t="s">
        <v>218</v>
      </c>
      <c r="F1339" s="1255">
        <v>2</v>
      </c>
      <c r="G1339" s="1255">
        <v>1</v>
      </c>
      <c r="H1339" s="1138">
        <v>267.3</v>
      </c>
      <c r="I1339" s="1138">
        <v>221.1</v>
      </c>
      <c r="J1339" s="1138">
        <f>221.1-31.9-37.7</f>
        <v>151.5</v>
      </c>
      <c r="K1339" s="995">
        <v>12</v>
      </c>
      <c r="L1339" s="985">
        <v>991688</v>
      </c>
      <c r="M1339" s="985">
        <v>0</v>
      </c>
      <c r="N1339" s="985">
        <v>0</v>
      </c>
      <c r="O1339" s="985">
        <f t="shared" si="363"/>
        <v>991688</v>
      </c>
      <c r="P1339" s="985">
        <v>0</v>
      </c>
      <c r="Q1339" s="985">
        <v>0</v>
      </c>
      <c r="R1339" s="985">
        <f t="shared" si="364"/>
        <v>4485.2464947987337</v>
      </c>
      <c r="S1339" s="988">
        <v>2019</v>
      </c>
      <c r="T1339" s="988">
        <v>2020</v>
      </c>
    </row>
    <row r="1340" spans="1:20" ht="40.799999999999997" customHeight="1">
      <c r="A1340" s="1249">
        <v>412</v>
      </c>
      <c r="B1340" s="1260" t="s">
        <v>1187</v>
      </c>
      <c r="C1340" s="1255">
        <v>1936</v>
      </c>
      <c r="D1340" s="1255"/>
      <c r="E1340" s="1249" t="s">
        <v>218</v>
      </c>
      <c r="F1340" s="1255">
        <v>2</v>
      </c>
      <c r="G1340" s="1255">
        <v>2</v>
      </c>
      <c r="H1340" s="1138">
        <v>588.9</v>
      </c>
      <c r="I1340" s="1138">
        <v>522.9</v>
      </c>
      <c r="J1340" s="1138">
        <v>522.9</v>
      </c>
      <c r="K1340" s="995">
        <v>13</v>
      </c>
      <c r="L1340" s="985">
        <v>2233837.4500000002</v>
      </c>
      <c r="M1340" s="985">
        <v>0</v>
      </c>
      <c r="N1340" s="985">
        <v>0</v>
      </c>
      <c r="O1340" s="985">
        <f t="shared" si="363"/>
        <v>2233837.4500000002</v>
      </c>
      <c r="P1340" s="985">
        <v>0</v>
      </c>
      <c r="Q1340" s="985">
        <v>0</v>
      </c>
      <c r="R1340" s="985">
        <f t="shared" si="364"/>
        <v>4272.0165423599165</v>
      </c>
      <c r="S1340" s="988">
        <v>2019</v>
      </c>
      <c r="T1340" s="988">
        <v>2020</v>
      </c>
    </row>
    <row r="1341" spans="1:20" ht="42" customHeight="1">
      <c r="A1341" s="1249">
        <v>413</v>
      </c>
      <c r="B1341" s="1260" t="s">
        <v>1185</v>
      </c>
      <c r="C1341" s="1255">
        <v>1972</v>
      </c>
      <c r="D1341" s="1255"/>
      <c r="E1341" s="1249" t="s">
        <v>218</v>
      </c>
      <c r="F1341" s="1255">
        <v>5</v>
      </c>
      <c r="G1341" s="1255">
        <v>4</v>
      </c>
      <c r="H1341" s="1138">
        <v>3738.8</v>
      </c>
      <c r="I1341" s="1138">
        <v>2674.5</v>
      </c>
      <c r="J1341" s="1138">
        <f>I1341-45-30.7</f>
        <v>2598.8000000000002</v>
      </c>
      <c r="K1341" s="995">
        <v>98</v>
      </c>
      <c r="L1341" s="985">
        <v>2426418.34</v>
      </c>
      <c r="M1341" s="985">
        <v>0</v>
      </c>
      <c r="N1341" s="985">
        <v>0</v>
      </c>
      <c r="O1341" s="985">
        <f t="shared" si="363"/>
        <v>2426418.34</v>
      </c>
      <c r="P1341" s="985">
        <v>0</v>
      </c>
      <c r="Q1341" s="985">
        <v>0</v>
      </c>
      <c r="R1341" s="985">
        <f t="shared" si="364"/>
        <v>907.24185455225268</v>
      </c>
      <c r="S1341" s="988">
        <v>2019</v>
      </c>
      <c r="T1341" s="988">
        <v>2020</v>
      </c>
    </row>
    <row r="1342" spans="1:20" ht="37.200000000000003" customHeight="1">
      <c r="A1342" s="1249">
        <v>414</v>
      </c>
      <c r="B1342" s="1373" t="s">
        <v>2219</v>
      </c>
      <c r="C1342" s="1255">
        <v>1993</v>
      </c>
      <c r="D1342" s="1255"/>
      <c r="E1342" s="1249" t="s">
        <v>219</v>
      </c>
      <c r="F1342" s="1255">
        <v>5</v>
      </c>
      <c r="G1342" s="1255">
        <v>8</v>
      </c>
      <c r="H1342" s="1138">
        <v>7034.9</v>
      </c>
      <c r="I1342" s="1138">
        <v>6408.6</v>
      </c>
      <c r="J1342" s="1138">
        <f>I1342-67.9</f>
        <v>6340.7000000000007</v>
      </c>
      <c r="K1342" s="995">
        <v>238</v>
      </c>
      <c r="L1342" s="985">
        <v>4106298.68</v>
      </c>
      <c r="M1342" s="985">
        <v>0</v>
      </c>
      <c r="N1342" s="985">
        <v>0</v>
      </c>
      <c r="O1342" s="985">
        <f t="shared" si="363"/>
        <v>4106298.68</v>
      </c>
      <c r="P1342" s="985">
        <v>0</v>
      </c>
      <c r="Q1342" s="985">
        <v>0</v>
      </c>
      <c r="R1342" s="985">
        <f t="shared" si="364"/>
        <v>640.74816340542395</v>
      </c>
      <c r="S1342" s="988">
        <v>2019</v>
      </c>
      <c r="T1342" s="988">
        <v>2020</v>
      </c>
    </row>
    <row r="1343" spans="1:20" ht="40.799999999999997" customHeight="1">
      <c r="A1343" s="1249">
        <v>415</v>
      </c>
      <c r="B1343" s="1373" t="s">
        <v>2220</v>
      </c>
      <c r="C1343" s="1255">
        <v>1965</v>
      </c>
      <c r="D1343" s="1255"/>
      <c r="E1343" s="1249" t="s">
        <v>218</v>
      </c>
      <c r="F1343" s="1255">
        <v>2</v>
      </c>
      <c r="G1343" s="1255">
        <v>1</v>
      </c>
      <c r="H1343" s="1138">
        <v>337.5</v>
      </c>
      <c r="I1343" s="1138">
        <v>310.39999999999998</v>
      </c>
      <c r="J1343" s="1138">
        <v>310.39999999999998</v>
      </c>
      <c r="K1343" s="995">
        <v>20</v>
      </c>
      <c r="L1343" s="985">
        <v>998457.65</v>
      </c>
      <c r="M1343" s="985">
        <v>0</v>
      </c>
      <c r="N1343" s="985">
        <v>0</v>
      </c>
      <c r="O1343" s="985">
        <f t="shared" si="363"/>
        <v>998457.65</v>
      </c>
      <c r="P1343" s="985">
        <v>0</v>
      </c>
      <c r="Q1343" s="985">
        <v>0</v>
      </c>
      <c r="R1343" s="985">
        <f t="shared" si="364"/>
        <v>3216.6805734536088</v>
      </c>
      <c r="S1343" s="988">
        <v>2019</v>
      </c>
      <c r="T1343" s="988">
        <v>2020</v>
      </c>
    </row>
    <row r="1344" spans="1:20" ht="43.8" customHeight="1">
      <c r="A1344" s="1249">
        <v>416</v>
      </c>
      <c r="B1344" s="1260" t="s">
        <v>1593</v>
      </c>
      <c r="C1344" s="1255">
        <v>1972</v>
      </c>
      <c r="D1344" s="1255"/>
      <c r="E1344" s="1249" t="s">
        <v>218</v>
      </c>
      <c r="F1344" s="1255">
        <v>2</v>
      </c>
      <c r="G1344" s="1255">
        <v>2</v>
      </c>
      <c r="H1344" s="1138">
        <v>684.4</v>
      </c>
      <c r="I1344" s="1138">
        <v>637.79999999999995</v>
      </c>
      <c r="J1344" s="1138">
        <v>593.1</v>
      </c>
      <c r="K1344" s="995">
        <v>23</v>
      </c>
      <c r="L1344" s="985">
        <v>2051068.93</v>
      </c>
      <c r="M1344" s="985">
        <v>0</v>
      </c>
      <c r="N1344" s="985">
        <v>0</v>
      </c>
      <c r="O1344" s="985">
        <f t="shared" si="363"/>
        <v>2051068.93</v>
      </c>
      <c r="P1344" s="985">
        <v>0</v>
      </c>
      <c r="Q1344" s="985">
        <v>0</v>
      </c>
      <c r="R1344" s="985">
        <f t="shared" ref="R1344:R1351" si="365">L1344/I1344</f>
        <v>3215.849686422076</v>
      </c>
      <c r="S1344" s="988">
        <v>2019</v>
      </c>
      <c r="T1344" s="988">
        <v>2020</v>
      </c>
    </row>
    <row r="1345" spans="1:20" ht="42.6" customHeight="1">
      <c r="A1345" s="1249">
        <v>417</v>
      </c>
      <c r="B1345" s="1260" t="s">
        <v>1594</v>
      </c>
      <c r="C1345" s="1255">
        <v>1961</v>
      </c>
      <c r="D1345" s="1255"/>
      <c r="E1345" s="1249" t="s">
        <v>218</v>
      </c>
      <c r="F1345" s="1255">
        <v>4</v>
      </c>
      <c r="G1345" s="1255">
        <v>4</v>
      </c>
      <c r="H1345" s="1138">
        <v>2717.6</v>
      </c>
      <c r="I1345" s="1138">
        <v>2525.6999999999998</v>
      </c>
      <c r="J1345" s="1138">
        <v>2412.1999999999998</v>
      </c>
      <c r="K1345" s="995">
        <v>104</v>
      </c>
      <c r="L1345" s="985">
        <v>3698293.39</v>
      </c>
      <c r="M1345" s="985">
        <v>0</v>
      </c>
      <c r="N1345" s="985">
        <v>0</v>
      </c>
      <c r="O1345" s="985">
        <f t="shared" si="363"/>
        <v>3698293.39</v>
      </c>
      <c r="P1345" s="985">
        <v>0</v>
      </c>
      <c r="Q1345" s="985">
        <v>0</v>
      </c>
      <c r="R1345" s="985">
        <f t="shared" si="365"/>
        <v>1464.2647147325495</v>
      </c>
      <c r="S1345" s="988">
        <v>2019</v>
      </c>
      <c r="T1345" s="988">
        <v>2020</v>
      </c>
    </row>
    <row r="1346" spans="1:20" ht="43.8" customHeight="1">
      <c r="A1346" s="1249">
        <v>418</v>
      </c>
      <c r="B1346" s="1260" t="s">
        <v>1595</v>
      </c>
      <c r="C1346" s="1255">
        <v>1933</v>
      </c>
      <c r="D1346" s="1255"/>
      <c r="E1346" s="1249" t="s">
        <v>218</v>
      </c>
      <c r="F1346" s="1255">
        <v>3</v>
      </c>
      <c r="G1346" s="1255">
        <v>2</v>
      </c>
      <c r="H1346" s="1138">
        <v>1006.1</v>
      </c>
      <c r="I1346" s="1138">
        <v>936.8</v>
      </c>
      <c r="J1346" s="1138">
        <v>810.9</v>
      </c>
      <c r="K1346" s="995">
        <v>57</v>
      </c>
      <c r="L1346" s="985">
        <v>1537624.78</v>
      </c>
      <c r="M1346" s="985">
        <v>0</v>
      </c>
      <c r="N1346" s="985">
        <v>0</v>
      </c>
      <c r="O1346" s="985">
        <f t="shared" si="363"/>
        <v>1537624.78</v>
      </c>
      <c r="P1346" s="985">
        <v>0</v>
      </c>
      <c r="Q1346" s="985">
        <v>0</v>
      </c>
      <c r="R1346" s="985">
        <f t="shared" si="365"/>
        <v>1641.3586464560206</v>
      </c>
      <c r="S1346" s="988">
        <v>2019</v>
      </c>
      <c r="T1346" s="988">
        <v>2020</v>
      </c>
    </row>
    <row r="1347" spans="1:20" ht="40.799999999999997" customHeight="1">
      <c r="A1347" s="1249">
        <v>419</v>
      </c>
      <c r="B1347" s="1260" t="s">
        <v>1596</v>
      </c>
      <c r="C1347" s="1255">
        <v>1966</v>
      </c>
      <c r="D1347" s="1255"/>
      <c r="E1347" s="1249" t="s">
        <v>218</v>
      </c>
      <c r="F1347" s="1255">
        <v>4</v>
      </c>
      <c r="G1347" s="1255">
        <v>2</v>
      </c>
      <c r="H1347" s="1138">
        <v>1278.5999999999999</v>
      </c>
      <c r="I1347" s="1138">
        <v>1255</v>
      </c>
      <c r="J1347" s="1138">
        <v>1255</v>
      </c>
      <c r="K1347" s="995">
        <v>42</v>
      </c>
      <c r="L1347" s="985">
        <v>2443526.83</v>
      </c>
      <c r="M1347" s="985">
        <v>0</v>
      </c>
      <c r="N1347" s="985">
        <v>0</v>
      </c>
      <c r="O1347" s="985">
        <f t="shared" si="363"/>
        <v>2443526.83</v>
      </c>
      <c r="P1347" s="985">
        <v>0</v>
      </c>
      <c r="Q1347" s="985">
        <v>0</v>
      </c>
      <c r="R1347" s="985">
        <f t="shared" si="365"/>
        <v>1947.0333306772909</v>
      </c>
      <c r="S1347" s="988">
        <v>2019</v>
      </c>
      <c r="T1347" s="988">
        <v>2020</v>
      </c>
    </row>
    <row r="1348" spans="1:20" ht="42" customHeight="1">
      <c r="A1348" s="1249">
        <v>420</v>
      </c>
      <c r="B1348" s="1260" t="s">
        <v>1597</v>
      </c>
      <c r="C1348" s="1255">
        <v>1966</v>
      </c>
      <c r="D1348" s="1255"/>
      <c r="E1348" s="1249" t="s">
        <v>218</v>
      </c>
      <c r="F1348" s="1255">
        <v>4</v>
      </c>
      <c r="G1348" s="1255">
        <v>3</v>
      </c>
      <c r="H1348" s="1138">
        <v>2142.8000000000002</v>
      </c>
      <c r="I1348" s="1138">
        <v>1997.8</v>
      </c>
      <c r="J1348" s="1138">
        <v>1168.9000000000001</v>
      </c>
      <c r="K1348" s="995">
        <v>58</v>
      </c>
      <c r="L1348" s="985">
        <v>3854035.4</v>
      </c>
      <c r="M1348" s="985">
        <v>0</v>
      </c>
      <c r="N1348" s="985">
        <v>0</v>
      </c>
      <c r="O1348" s="985">
        <f t="shared" si="363"/>
        <v>3854035.4</v>
      </c>
      <c r="P1348" s="985">
        <v>0</v>
      </c>
      <c r="Q1348" s="985">
        <v>0</v>
      </c>
      <c r="R1348" s="985">
        <f t="shared" si="365"/>
        <v>1929.139753729102</v>
      </c>
      <c r="S1348" s="988">
        <v>2019</v>
      </c>
      <c r="T1348" s="988">
        <v>2020</v>
      </c>
    </row>
    <row r="1349" spans="1:20" ht="42.6" customHeight="1">
      <c r="A1349" s="1249">
        <v>421</v>
      </c>
      <c r="B1349" s="1260" t="s">
        <v>1598</v>
      </c>
      <c r="C1349" s="1255">
        <v>1968</v>
      </c>
      <c r="D1349" s="1255"/>
      <c r="E1349" s="1249" t="s">
        <v>218</v>
      </c>
      <c r="F1349" s="1255">
        <v>3</v>
      </c>
      <c r="G1349" s="1255">
        <v>3</v>
      </c>
      <c r="H1349" s="1138">
        <v>1826.3</v>
      </c>
      <c r="I1349" s="1138">
        <v>1581.5</v>
      </c>
      <c r="J1349" s="1138">
        <v>1548.1</v>
      </c>
      <c r="K1349" s="995">
        <v>49</v>
      </c>
      <c r="L1349" s="985">
        <v>2833588.96</v>
      </c>
      <c r="M1349" s="985">
        <v>0</v>
      </c>
      <c r="N1349" s="985">
        <v>0</v>
      </c>
      <c r="O1349" s="985">
        <f t="shared" si="363"/>
        <v>2833588.96</v>
      </c>
      <c r="P1349" s="985">
        <v>0</v>
      </c>
      <c r="Q1349" s="985">
        <v>0</v>
      </c>
      <c r="R1349" s="985">
        <f t="shared" si="365"/>
        <v>1791.7097439140057</v>
      </c>
      <c r="S1349" s="988">
        <v>2019</v>
      </c>
      <c r="T1349" s="988">
        <v>2020</v>
      </c>
    </row>
    <row r="1350" spans="1:20" ht="37.200000000000003" customHeight="1">
      <c r="A1350" s="1249">
        <v>422</v>
      </c>
      <c r="B1350" s="1260" t="s">
        <v>1599</v>
      </c>
      <c r="C1350" s="1255">
        <v>1988</v>
      </c>
      <c r="D1350" s="1255"/>
      <c r="E1350" s="1249" t="s">
        <v>219</v>
      </c>
      <c r="F1350" s="1255">
        <v>5</v>
      </c>
      <c r="G1350" s="1255">
        <v>3</v>
      </c>
      <c r="H1350" s="1138">
        <v>3046.9</v>
      </c>
      <c r="I1350" s="1138">
        <v>2315.3000000000002</v>
      </c>
      <c r="J1350" s="1138">
        <v>2261.4</v>
      </c>
      <c r="K1350" s="995">
        <v>91</v>
      </c>
      <c r="L1350" s="985">
        <v>1491717.44</v>
      </c>
      <c r="M1350" s="985">
        <v>0</v>
      </c>
      <c r="N1350" s="985">
        <v>0</v>
      </c>
      <c r="O1350" s="985">
        <f t="shared" si="363"/>
        <v>1491717.44</v>
      </c>
      <c r="P1350" s="985">
        <v>0</v>
      </c>
      <c r="Q1350" s="985">
        <v>0</v>
      </c>
      <c r="R1350" s="985">
        <f t="shared" si="365"/>
        <v>644.28689154753158</v>
      </c>
      <c r="S1350" s="988">
        <v>2019</v>
      </c>
      <c r="T1350" s="988">
        <v>2020</v>
      </c>
    </row>
    <row r="1351" spans="1:20" ht="42.6" customHeight="1">
      <c r="A1351" s="1249">
        <v>423</v>
      </c>
      <c r="B1351" s="1260" t="s">
        <v>1600</v>
      </c>
      <c r="C1351" s="1255">
        <v>1958</v>
      </c>
      <c r="D1351" s="1255"/>
      <c r="E1351" s="1249" t="s">
        <v>218</v>
      </c>
      <c r="F1351" s="1255">
        <v>2</v>
      </c>
      <c r="G1351" s="1255">
        <v>2</v>
      </c>
      <c r="H1351" s="1138">
        <v>848.8</v>
      </c>
      <c r="I1351" s="1138">
        <v>801.6</v>
      </c>
      <c r="J1351" s="1138">
        <v>755.3</v>
      </c>
      <c r="K1351" s="995">
        <v>30</v>
      </c>
      <c r="L1351" s="985">
        <v>1891992.63</v>
      </c>
      <c r="M1351" s="985">
        <v>0</v>
      </c>
      <c r="N1351" s="985">
        <v>0</v>
      </c>
      <c r="O1351" s="985">
        <f t="shared" si="363"/>
        <v>1891992.63</v>
      </c>
      <c r="P1351" s="985">
        <v>0</v>
      </c>
      <c r="Q1351" s="985">
        <v>0</v>
      </c>
      <c r="R1351" s="985">
        <f t="shared" si="365"/>
        <v>2360.270247005988</v>
      </c>
      <c r="S1351" s="988">
        <v>2019</v>
      </c>
      <c r="T1351" s="988">
        <v>2020</v>
      </c>
    </row>
    <row r="1352" spans="1:20" ht="43.2" customHeight="1">
      <c r="A1352" s="1249"/>
      <c r="B1352" s="1261" t="s">
        <v>1163</v>
      </c>
      <c r="C1352" s="991"/>
      <c r="D1352" s="992"/>
      <c r="E1352" s="993"/>
      <c r="F1352" s="991"/>
      <c r="G1352" s="994"/>
      <c r="H1352" s="985">
        <f>SUM(H1353:H1361)</f>
        <v>52660.700000000004</v>
      </c>
      <c r="I1352" s="985">
        <f t="shared" ref="I1352:Q1352" si="366">SUM(I1353:I1361)</f>
        <v>34259.29</v>
      </c>
      <c r="J1352" s="985">
        <f t="shared" si="366"/>
        <v>22570.29</v>
      </c>
      <c r="K1352" s="995">
        <f t="shared" si="366"/>
        <v>1692</v>
      </c>
      <c r="L1352" s="985">
        <f t="shared" si="366"/>
        <v>27721033.609999999</v>
      </c>
      <c r="M1352" s="985">
        <f t="shared" si="366"/>
        <v>0</v>
      </c>
      <c r="N1352" s="985">
        <f t="shared" si="366"/>
        <v>0</v>
      </c>
      <c r="O1352" s="985">
        <f t="shared" si="366"/>
        <v>27721033.609999999</v>
      </c>
      <c r="P1352" s="985">
        <f t="shared" si="366"/>
        <v>0</v>
      </c>
      <c r="Q1352" s="985">
        <f t="shared" si="366"/>
        <v>0</v>
      </c>
      <c r="R1352" s="996" t="s">
        <v>40</v>
      </c>
      <c r="S1352" s="996" t="s">
        <v>40</v>
      </c>
      <c r="T1352" s="996" t="s">
        <v>40</v>
      </c>
    </row>
    <row r="1353" spans="1:20" ht="42" customHeight="1">
      <c r="A1353" s="1249">
        <v>424</v>
      </c>
      <c r="B1353" s="1164" t="s">
        <v>907</v>
      </c>
      <c r="C1353" s="1026">
        <v>1965</v>
      </c>
      <c r="D1353" s="1037"/>
      <c r="E1353" s="1249" t="s">
        <v>218</v>
      </c>
      <c r="F1353" s="1037">
        <v>5</v>
      </c>
      <c r="G1353" s="1037">
        <v>3</v>
      </c>
      <c r="H1353" s="1038">
        <v>3780.5</v>
      </c>
      <c r="I1353" s="1038">
        <v>2488</v>
      </c>
      <c r="J1353" s="1038">
        <v>1486.4</v>
      </c>
      <c r="K1353" s="1036">
        <v>136</v>
      </c>
      <c r="L1353" s="987">
        <v>1405474.49</v>
      </c>
      <c r="M1353" s="987">
        <v>0</v>
      </c>
      <c r="N1353" s="987">
        <v>0</v>
      </c>
      <c r="O1353" s="987">
        <v>1405474.49</v>
      </c>
      <c r="P1353" s="1057">
        <v>0</v>
      </c>
      <c r="Q1353" s="987">
        <v>0</v>
      </c>
      <c r="R1353" s="1138">
        <f t="shared" ref="R1353:R1361" si="367">L1353/I1353</f>
        <v>564.90132234726684</v>
      </c>
      <c r="S1353" s="988">
        <v>2016</v>
      </c>
      <c r="T1353" s="988">
        <v>2020</v>
      </c>
    </row>
    <row r="1354" spans="1:20" ht="35.4" customHeight="1">
      <c r="A1354" s="1249">
        <v>425</v>
      </c>
      <c r="B1354" s="1164" t="s">
        <v>1132</v>
      </c>
      <c r="C1354" s="1026">
        <v>1992</v>
      </c>
      <c r="D1354" s="1037"/>
      <c r="E1354" s="1249" t="s">
        <v>219</v>
      </c>
      <c r="F1354" s="1037">
        <v>5</v>
      </c>
      <c r="G1354" s="1037">
        <v>4</v>
      </c>
      <c r="H1354" s="1038">
        <v>5889.4</v>
      </c>
      <c r="I1354" s="1038">
        <v>3447.9</v>
      </c>
      <c r="J1354" s="1038">
        <v>2831.8</v>
      </c>
      <c r="K1354" s="1036">
        <v>135</v>
      </c>
      <c r="L1354" s="987">
        <v>2121484.12</v>
      </c>
      <c r="M1354" s="987">
        <v>0</v>
      </c>
      <c r="N1354" s="987">
        <v>0</v>
      </c>
      <c r="O1354" s="987">
        <v>2121484.12</v>
      </c>
      <c r="P1354" s="1057">
        <v>0</v>
      </c>
      <c r="Q1354" s="987">
        <v>0</v>
      </c>
      <c r="R1354" s="1038">
        <f t="shared" si="367"/>
        <v>615.29746222338235</v>
      </c>
      <c r="S1354" s="988">
        <v>2016</v>
      </c>
      <c r="T1354" s="988">
        <v>2020</v>
      </c>
    </row>
    <row r="1355" spans="1:20" ht="46.8" customHeight="1">
      <c r="A1355" s="1249">
        <v>426</v>
      </c>
      <c r="B1355" s="1164" t="s">
        <v>942</v>
      </c>
      <c r="C1355" s="1026">
        <v>1966</v>
      </c>
      <c r="D1355" s="1037"/>
      <c r="E1355" s="1249" t="s">
        <v>218</v>
      </c>
      <c r="F1355" s="1037">
        <v>5</v>
      </c>
      <c r="G1355" s="1037">
        <v>4</v>
      </c>
      <c r="H1355" s="1038">
        <v>5298</v>
      </c>
      <c r="I1355" s="1038">
        <v>3567.1</v>
      </c>
      <c r="J1355" s="1038">
        <v>1608.76</v>
      </c>
      <c r="K1355" s="1036">
        <v>96</v>
      </c>
      <c r="L1355" s="987">
        <v>1720076</v>
      </c>
      <c r="M1355" s="987">
        <v>0</v>
      </c>
      <c r="N1355" s="987">
        <v>0</v>
      </c>
      <c r="O1355" s="987">
        <f>L1355</f>
        <v>1720076</v>
      </c>
      <c r="P1355" s="1057">
        <v>0</v>
      </c>
      <c r="Q1355" s="987">
        <v>0</v>
      </c>
      <c r="R1355" s="1038">
        <f t="shared" si="367"/>
        <v>482.20571332454938</v>
      </c>
      <c r="S1355" s="988">
        <v>2017</v>
      </c>
      <c r="T1355" s="988">
        <v>2020</v>
      </c>
    </row>
    <row r="1356" spans="1:20" ht="40.200000000000003" customHeight="1">
      <c r="A1356" s="1249">
        <v>427</v>
      </c>
      <c r="B1356" s="1164" t="s">
        <v>357</v>
      </c>
      <c r="C1356" s="1026">
        <v>1964</v>
      </c>
      <c r="D1356" s="1037"/>
      <c r="E1356" s="1249" t="s">
        <v>218</v>
      </c>
      <c r="F1356" s="1037">
        <v>5</v>
      </c>
      <c r="G1356" s="1037">
        <v>4</v>
      </c>
      <c r="H1356" s="1038">
        <v>5248.9</v>
      </c>
      <c r="I1356" s="1038">
        <v>3367</v>
      </c>
      <c r="J1356" s="1038">
        <v>2316.5</v>
      </c>
      <c r="K1356" s="1036">
        <v>178</v>
      </c>
      <c r="L1356" s="987">
        <v>1958042</v>
      </c>
      <c r="M1356" s="987">
        <v>0</v>
      </c>
      <c r="N1356" s="987">
        <v>0</v>
      </c>
      <c r="O1356" s="987">
        <f t="shared" ref="O1356:O1361" si="368">L1356</f>
        <v>1958042</v>
      </c>
      <c r="P1356" s="1057">
        <v>0</v>
      </c>
      <c r="Q1356" s="987">
        <v>0</v>
      </c>
      <c r="R1356" s="1038">
        <f t="shared" si="367"/>
        <v>581.53905553905554</v>
      </c>
      <c r="S1356" s="988">
        <v>2017</v>
      </c>
      <c r="T1356" s="988">
        <v>2020</v>
      </c>
    </row>
    <row r="1357" spans="1:20" ht="38.4" customHeight="1">
      <c r="A1357" s="1249">
        <v>428</v>
      </c>
      <c r="B1357" s="1164" t="s">
        <v>737</v>
      </c>
      <c r="C1357" s="1026">
        <v>1968</v>
      </c>
      <c r="D1357" s="1037"/>
      <c r="E1357" s="1249" t="s">
        <v>219</v>
      </c>
      <c r="F1357" s="1037">
        <v>5</v>
      </c>
      <c r="G1357" s="1037">
        <v>6</v>
      </c>
      <c r="H1357" s="1038">
        <v>5788.6</v>
      </c>
      <c r="I1357" s="1038">
        <v>4355.8</v>
      </c>
      <c r="J1357" s="1038">
        <v>2217.1</v>
      </c>
      <c r="K1357" s="1036">
        <v>263</v>
      </c>
      <c r="L1357" s="987">
        <v>4878878</v>
      </c>
      <c r="M1357" s="987">
        <v>0</v>
      </c>
      <c r="N1357" s="987">
        <v>0</v>
      </c>
      <c r="O1357" s="987">
        <f t="shared" si="368"/>
        <v>4878878</v>
      </c>
      <c r="P1357" s="1057">
        <v>0</v>
      </c>
      <c r="Q1357" s="987">
        <v>0</v>
      </c>
      <c r="R1357" s="1038">
        <f t="shared" si="367"/>
        <v>1120.0876991597411</v>
      </c>
      <c r="S1357" s="988">
        <v>2018</v>
      </c>
      <c r="T1357" s="988">
        <v>2020</v>
      </c>
    </row>
    <row r="1358" spans="1:20" ht="42.6" customHeight="1">
      <c r="A1358" s="1249">
        <v>429</v>
      </c>
      <c r="B1358" s="1164" t="s">
        <v>739</v>
      </c>
      <c r="C1358" s="1026">
        <v>1967</v>
      </c>
      <c r="D1358" s="1037"/>
      <c r="E1358" s="1249" t="s">
        <v>219</v>
      </c>
      <c r="F1358" s="1037">
        <v>5</v>
      </c>
      <c r="G1358" s="1037">
        <v>6</v>
      </c>
      <c r="H1358" s="1038">
        <v>5774.2</v>
      </c>
      <c r="I1358" s="1038">
        <v>4340.7</v>
      </c>
      <c r="J1358" s="1038">
        <v>2339.63</v>
      </c>
      <c r="K1358" s="1036">
        <v>255</v>
      </c>
      <c r="L1358" s="987">
        <v>4878878</v>
      </c>
      <c r="M1358" s="987">
        <v>0</v>
      </c>
      <c r="N1358" s="987">
        <v>0</v>
      </c>
      <c r="O1358" s="987">
        <f t="shared" si="368"/>
        <v>4878878</v>
      </c>
      <c r="P1358" s="1057">
        <v>0</v>
      </c>
      <c r="Q1358" s="987">
        <v>0</v>
      </c>
      <c r="R1358" s="1038">
        <f t="shared" si="367"/>
        <v>1123.9841500218859</v>
      </c>
      <c r="S1358" s="988">
        <v>2018</v>
      </c>
      <c r="T1358" s="988">
        <v>2020</v>
      </c>
    </row>
    <row r="1359" spans="1:20" ht="46.2" customHeight="1">
      <c r="A1359" s="1249">
        <v>430</v>
      </c>
      <c r="B1359" s="1164" t="s">
        <v>943</v>
      </c>
      <c r="C1359" s="1026">
        <v>1964</v>
      </c>
      <c r="D1359" s="1037"/>
      <c r="E1359" s="1249" t="s">
        <v>218</v>
      </c>
      <c r="F1359" s="1037">
        <v>5</v>
      </c>
      <c r="G1359" s="1037">
        <v>5</v>
      </c>
      <c r="H1359" s="1038">
        <v>6196.8</v>
      </c>
      <c r="I1359" s="1038">
        <v>4027.51</v>
      </c>
      <c r="J1359" s="1038">
        <v>3262.28</v>
      </c>
      <c r="K1359" s="1036">
        <v>233</v>
      </c>
      <c r="L1359" s="987">
        <v>3518714</v>
      </c>
      <c r="M1359" s="987">
        <v>0</v>
      </c>
      <c r="N1359" s="987">
        <v>0</v>
      </c>
      <c r="O1359" s="987">
        <f t="shared" si="368"/>
        <v>3518714</v>
      </c>
      <c r="P1359" s="1057">
        <v>0</v>
      </c>
      <c r="Q1359" s="987">
        <v>0</v>
      </c>
      <c r="R1359" s="1038">
        <f t="shared" si="367"/>
        <v>873.66983570493926</v>
      </c>
      <c r="S1359" s="988">
        <v>2019</v>
      </c>
      <c r="T1359" s="988">
        <v>2020</v>
      </c>
    </row>
    <row r="1360" spans="1:20" ht="44.4" customHeight="1">
      <c r="A1360" s="1249">
        <v>431</v>
      </c>
      <c r="B1360" s="1164" t="s">
        <v>741</v>
      </c>
      <c r="C1360" s="1026">
        <v>1979</v>
      </c>
      <c r="D1360" s="1037"/>
      <c r="E1360" s="1249" t="s">
        <v>218</v>
      </c>
      <c r="F1360" s="1037">
        <v>5</v>
      </c>
      <c r="G1360" s="1037">
        <v>5</v>
      </c>
      <c r="H1360" s="1038">
        <v>6648.4</v>
      </c>
      <c r="I1360" s="1038">
        <v>3931</v>
      </c>
      <c r="J1360" s="1038">
        <v>2464.7399999999998</v>
      </c>
      <c r="K1360" s="1036">
        <v>182</v>
      </c>
      <c r="L1360" s="987">
        <v>3337208</v>
      </c>
      <c r="M1360" s="987">
        <v>0</v>
      </c>
      <c r="N1360" s="987">
        <v>0</v>
      </c>
      <c r="O1360" s="987">
        <f t="shared" si="368"/>
        <v>3337208</v>
      </c>
      <c r="P1360" s="1057">
        <v>0</v>
      </c>
      <c r="Q1360" s="987">
        <v>0</v>
      </c>
      <c r="R1360" s="1038">
        <f t="shared" si="367"/>
        <v>848.94632409056214</v>
      </c>
      <c r="S1360" s="988">
        <v>2019</v>
      </c>
      <c r="T1360" s="988">
        <v>2020</v>
      </c>
    </row>
    <row r="1361" spans="1:20" ht="44.4" customHeight="1">
      <c r="A1361" s="1249">
        <v>432</v>
      </c>
      <c r="B1361" s="1164" t="s">
        <v>742</v>
      </c>
      <c r="C1361" s="1026">
        <v>1975</v>
      </c>
      <c r="D1361" s="1037"/>
      <c r="E1361" s="1249" t="s">
        <v>218</v>
      </c>
      <c r="F1361" s="1037">
        <v>5</v>
      </c>
      <c r="G1361" s="1037">
        <v>6</v>
      </c>
      <c r="H1361" s="1038">
        <v>8035.9</v>
      </c>
      <c r="I1361" s="1038">
        <v>4734.28</v>
      </c>
      <c r="J1361" s="1038">
        <v>4043.08</v>
      </c>
      <c r="K1361" s="1036">
        <v>214</v>
      </c>
      <c r="L1361" s="987">
        <v>3902279</v>
      </c>
      <c r="M1361" s="987">
        <v>0</v>
      </c>
      <c r="N1361" s="987">
        <v>0</v>
      </c>
      <c r="O1361" s="987">
        <f t="shared" si="368"/>
        <v>3902279</v>
      </c>
      <c r="P1361" s="1057">
        <v>0</v>
      </c>
      <c r="Q1361" s="987">
        <v>0</v>
      </c>
      <c r="R1361" s="1038">
        <f t="shared" si="367"/>
        <v>824.26028878731302</v>
      </c>
      <c r="S1361" s="988">
        <v>2019</v>
      </c>
      <c r="T1361" s="988">
        <v>2020</v>
      </c>
    </row>
    <row r="1362" spans="1:20" ht="37.200000000000003" customHeight="1">
      <c r="A1362" s="1249"/>
      <c r="B1362" s="1261" t="s">
        <v>1162</v>
      </c>
      <c r="C1362" s="991"/>
      <c r="D1362" s="992"/>
      <c r="E1362" s="993"/>
      <c r="F1362" s="991"/>
      <c r="G1362" s="994"/>
      <c r="H1362" s="1038">
        <f>H1363+H1364</f>
        <v>4284.7</v>
      </c>
      <c r="I1362" s="1038">
        <f t="shared" ref="I1362:Q1362" si="369">I1363+I1364</f>
        <v>3030.4</v>
      </c>
      <c r="J1362" s="1038">
        <f t="shared" si="369"/>
        <v>2763.5</v>
      </c>
      <c r="K1362" s="1039">
        <f t="shared" si="369"/>
        <v>97</v>
      </c>
      <c r="L1362" s="1038">
        <f t="shared" si="369"/>
        <v>14594826.83</v>
      </c>
      <c r="M1362" s="1038">
        <f t="shared" si="369"/>
        <v>0</v>
      </c>
      <c r="N1362" s="1038">
        <f t="shared" si="369"/>
        <v>0</v>
      </c>
      <c r="O1362" s="1038">
        <f t="shared" si="369"/>
        <v>14594826.83</v>
      </c>
      <c r="P1362" s="1038">
        <f t="shared" si="369"/>
        <v>0</v>
      </c>
      <c r="Q1362" s="1038">
        <f t="shared" si="369"/>
        <v>0</v>
      </c>
      <c r="R1362" s="996" t="s">
        <v>40</v>
      </c>
      <c r="S1362" s="996" t="s">
        <v>40</v>
      </c>
      <c r="T1362" s="996" t="s">
        <v>40</v>
      </c>
    </row>
    <row r="1363" spans="1:20" ht="48.6" customHeight="1">
      <c r="A1363" s="1249">
        <v>433</v>
      </c>
      <c r="B1363" s="1245" t="s">
        <v>865</v>
      </c>
      <c r="C1363" s="1249">
        <v>1961</v>
      </c>
      <c r="D1363" s="1255">
        <v>2012</v>
      </c>
      <c r="E1363" s="1249" t="s">
        <v>218</v>
      </c>
      <c r="F1363" s="1255">
        <v>3</v>
      </c>
      <c r="G1363" s="1255">
        <v>3</v>
      </c>
      <c r="H1363" s="985">
        <v>2106.6999999999998</v>
      </c>
      <c r="I1363" s="985">
        <v>1512.5</v>
      </c>
      <c r="J1363" s="985">
        <v>1432</v>
      </c>
      <c r="K1363" s="986">
        <v>50</v>
      </c>
      <c r="L1363" s="987">
        <v>7887040.2599999998</v>
      </c>
      <c r="M1363" s="987">
        <v>0</v>
      </c>
      <c r="N1363" s="987">
        <v>0</v>
      </c>
      <c r="O1363" s="987">
        <f>L1363</f>
        <v>7887040.2599999998</v>
      </c>
      <c r="P1363" s="998">
        <v>0</v>
      </c>
      <c r="Q1363" s="987">
        <v>0</v>
      </c>
      <c r="R1363" s="985">
        <v>4730.227438016529</v>
      </c>
      <c r="S1363" s="988">
        <v>2018</v>
      </c>
      <c r="T1363" s="988">
        <v>2020</v>
      </c>
    </row>
    <row r="1364" spans="1:20" ht="44.4" customHeight="1">
      <c r="A1364" s="1249">
        <v>434</v>
      </c>
      <c r="B1364" s="1245" t="s">
        <v>866</v>
      </c>
      <c r="C1364" s="1249">
        <v>1963</v>
      </c>
      <c r="D1364" s="1255">
        <v>2012</v>
      </c>
      <c r="E1364" s="1249" t="s">
        <v>218</v>
      </c>
      <c r="F1364" s="1255">
        <v>3</v>
      </c>
      <c r="G1364" s="1255">
        <v>3</v>
      </c>
      <c r="H1364" s="985">
        <v>2178</v>
      </c>
      <c r="I1364" s="985">
        <v>1517.9</v>
      </c>
      <c r="J1364" s="985">
        <v>1331.5</v>
      </c>
      <c r="K1364" s="986">
        <v>47</v>
      </c>
      <c r="L1364" s="987">
        <v>6707786.5700000003</v>
      </c>
      <c r="M1364" s="987">
        <v>0</v>
      </c>
      <c r="N1364" s="987">
        <v>0</v>
      </c>
      <c r="O1364" s="987">
        <f>L1364</f>
        <v>6707786.5700000003</v>
      </c>
      <c r="P1364" s="998">
        <v>0</v>
      </c>
      <c r="Q1364" s="987">
        <v>0</v>
      </c>
      <c r="R1364" s="985">
        <v>3738.312800579748</v>
      </c>
      <c r="S1364" s="988">
        <v>2018</v>
      </c>
      <c r="T1364" s="988">
        <v>2020</v>
      </c>
    </row>
    <row r="1365" spans="1:20" ht="35.4" customHeight="1">
      <c r="A1365" s="1249"/>
      <c r="B1365" s="1261" t="s">
        <v>1681</v>
      </c>
      <c r="C1365" s="991"/>
      <c r="D1365" s="992"/>
      <c r="E1365" s="993"/>
      <c r="F1365" s="991"/>
      <c r="G1365" s="994"/>
      <c r="H1365" s="985">
        <f>SUM(H1366:H1375)</f>
        <v>7472</v>
      </c>
      <c r="I1365" s="985">
        <f t="shared" ref="I1365:Q1365" si="370">SUM(I1366:I1375)</f>
        <v>6182.7000000000007</v>
      </c>
      <c r="J1365" s="985">
        <f t="shared" si="370"/>
        <v>4823</v>
      </c>
      <c r="K1365" s="995">
        <f t="shared" si="370"/>
        <v>195</v>
      </c>
      <c r="L1365" s="985">
        <f t="shared" si="370"/>
        <v>22098683.720000003</v>
      </c>
      <c r="M1365" s="985">
        <f t="shared" si="370"/>
        <v>0</v>
      </c>
      <c r="N1365" s="985">
        <f t="shared" si="370"/>
        <v>0</v>
      </c>
      <c r="O1365" s="985">
        <f t="shared" si="370"/>
        <v>22098683.720000003</v>
      </c>
      <c r="P1365" s="985">
        <f t="shared" si="370"/>
        <v>0</v>
      </c>
      <c r="Q1365" s="985">
        <f t="shared" si="370"/>
        <v>0</v>
      </c>
      <c r="R1365" s="996" t="s">
        <v>40</v>
      </c>
      <c r="S1365" s="996" t="s">
        <v>40</v>
      </c>
      <c r="T1365" s="996" t="s">
        <v>40</v>
      </c>
    </row>
    <row r="1366" spans="1:20" ht="46.2" customHeight="1">
      <c r="A1366" s="1249">
        <v>435</v>
      </c>
      <c r="B1366" s="1070" t="s">
        <v>1134</v>
      </c>
      <c r="C1366" s="1048">
        <v>1979</v>
      </c>
      <c r="D1366" s="1048"/>
      <c r="E1366" s="1249" t="s">
        <v>218</v>
      </c>
      <c r="F1366" s="1048">
        <v>2</v>
      </c>
      <c r="G1366" s="1048">
        <v>2</v>
      </c>
      <c r="H1366" s="1067">
        <v>916.7</v>
      </c>
      <c r="I1366" s="1067">
        <v>832.1</v>
      </c>
      <c r="J1366" s="1067">
        <v>782.6</v>
      </c>
      <c r="K1366" s="1077">
        <v>23</v>
      </c>
      <c r="L1366" s="987">
        <v>2620866</v>
      </c>
      <c r="M1366" s="987">
        <v>0</v>
      </c>
      <c r="N1366" s="987">
        <v>0</v>
      </c>
      <c r="O1366" s="987">
        <f t="shared" ref="O1366:O1368" si="371">L1366</f>
        <v>2620866</v>
      </c>
      <c r="P1366" s="1057">
        <v>0</v>
      </c>
      <c r="Q1366" s="987">
        <v>0</v>
      </c>
      <c r="R1366" s="1067">
        <f t="shared" ref="R1366:R1368" si="372">L1366/I1366</f>
        <v>3149.7007571205381</v>
      </c>
      <c r="S1366" s="988">
        <v>2016</v>
      </c>
      <c r="T1366" s="988">
        <v>2020</v>
      </c>
    </row>
    <row r="1367" spans="1:20" ht="44.4" customHeight="1">
      <c r="A1367" s="1249">
        <v>436</v>
      </c>
      <c r="B1367" s="1070" t="s">
        <v>628</v>
      </c>
      <c r="C1367" s="1048">
        <v>1966</v>
      </c>
      <c r="D1367" s="1048"/>
      <c r="E1367" s="1249" t="s">
        <v>218</v>
      </c>
      <c r="F1367" s="1048">
        <v>2</v>
      </c>
      <c r="G1367" s="1048">
        <v>2</v>
      </c>
      <c r="H1367" s="1067">
        <v>434</v>
      </c>
      <c r="I1367" s="1067">
        <v>396.4</v>
      </c>
      <c r="J1367" s="1067">
        <v>396.4</v>
      </c>
      <c r="K1367" s="1077">
        <v>12</v>
      </c>
      <c r="L1367" s="987">
        <v>1255505</v>
      </c>
      <c r="M1367" s="987">
        <v>0</v>
      </c>
      <c r="N1367" s="987">
        <v>0</v>
      </c>
      <c r="O1367" s="987">
        <f t="shared" si="371"/>
        <v>1255505</v>
      </c>
      <c r="P1367" s="1057">
        <v>0</v>
      </c>
      <c r="Q1367" s="987">
        <v>0</v>
      </c>
      <c r="R1367" s="1067">
        <f t="shared" si="372"/>
        <v>3167.2679112008072</v>
      </c>
      <c r="S1367" s="988">
        <v>2016</v>
      </c>
      <c r="T1367" s="988">
        <v>2020</v>
      </c>
    </row>
    <row r="1368" spans="1:20" ht="42.6" customHeight="1">
      <c r="A1368" s="1249">
        <v>437</v>
      </c>
      <c r="B1368" s="1070" t="s">
        <v>392</v>
      </c>
      <c r="C1368" s="1048">
        <v>1962</v>
      </c>
      <c r="D1368" s="1048"/>
      <c r="E1368" s="1249" t="s">
        <v>218</v>
      </c>
      <c r="F1368" s="1048">
        <v>2</v>
      </c>
      <c r="G1368" s="1048">
        <v>1</v>
      </c>
      <c r="H1368" s="1067">
        <v>342.6</v>
      </c>
      <c r="I1368" s="1067">
        <v>307.39999999999998</v>
      </c>
      <c r="J1368" s="1067">
        <v>237.3</v>
      </c>
      <c r="K1368" s="1077">
        <v>15</v>
      </c>
      <c r="L1368" s="987">
        <v>1098567</v>
      </c>
      <c r="M1368" s="987">
        <v>0</v>
      </c>
      <c r="N1368" s="987">
        <v>0</v>
      </c>
      <c r="O1368" s="987">
        <f t="shared" si="371"/>
        <v>1098567</v>
      </c>
      <c r="P1368" s="1057">
        <v>0</v>
      </c>
      <c r="Q1368" s="987">
        <v>0</v>
      </c>
      <c r="R1368" s="1067">
        <f t="shared" si="372"/>
        <v>3573.7378009108656</v>
      </c>
      <c r="S1368" s="988">
        <v>2016</v>
      </c>
      <c r="T1368" s="988">
        <v>2020</v>
      </c>
    </row>
    <row r="1369" spans="1:20" ht="42" customHeight="1">
      <c r="A1369" s="1249">
        <v>438</v>
      </c>
      <c r="B1369" s="1260" t="s">
        <v>758</v>
      </c>
      <c r="C1369" s="1255">
        <v>1964</v>
      </c>
      <c r="D1369" s="1255"/>
      <c r="E1369" s="1249" t="s">
        <v>218</v>
      </c>
      <c r="F1369" s="1255">
        <v>2</v>
      </c>
      <c r="G1369" s="1255">
        <v>3</v>
      </c>
      <c r="H1369" s="1067">
        <v>567.29999999999995</v>
      </c>
      <c r="I1369" s="1067">
        <v>404.9</v>
      </c>
      <c r="J1369" s="1067">
        <v>93.4</v>
      </c>
      <c r="K1369" s="1077">
        <v>7</v>
      </c>
      <c r="L1369" s="987">
        <v>1726319</v>
      </c>
      <c r="M1369" s="987">
        <v>0</v>
      </c>
      <c r="N1369" s="987">
        <v>0</v>
      </c>
      <c r="O1369" s="987">
        <v>1726319</v>
      </c>
      <c r="P1369" s="1057">
        <v>0</v>
      </c>
      <c r="Q1369" s="987">
        <v>0</v>
      </c>
      <c r="R1369" s="1067">
        <f t="shared" ref="R1369" si="373">L1369/I1369</f>
        <v>4263.5687824154111</v>
      </c>
      <c r="S1369" s="988">
        <v>2016</v>
      </c>
      <c r="T1369" s="988">
        <v>2020</v>
      </c>
    </row>
    <row r="1370" spans="1:20" ht="38.4" customHeight="1">
      <c r="A1370" s="1249">
        <v>439</v>
      </c>
      <c r="B1370" s="1070" t="s">
        <v>1133</v>
      </c>
      <c r="C1370" s="1048">
        <v>1967</v>
      </c>
      <c r="D1370" s="1048"/>
      <c r="E1370" s="1249" t="s">
        <v>218</v>
      </c>
      <c r="F1370" s="1048">
        <v>2</v>
      </c>
      <c r="G1370" s="1048">
        <v>2</v>
      </c>
      <c r="H1370" s="1067">
        <v>563.20000000000005</v>
      </c>
      <c r="I1370" s="1067">
        <v>528.4</v>
      </c>
      <c r="J1370" s="1067">
        <v>475.3</v>
      </c>
      <c r="K1370" s="1077">
        <v>14</v>
      </c>
      <c r="L1370" s="987">
        <v>1412443</v>
      </c>
      <c r="M1370" s="987">
        <v>0</v>
      </c>
      <c r="N1370" s="987">
        <v>0</v>
      </c>
      <c r="O1370" s="987">
        <f>L1370</f>
        <v>1412443</v>
      </c>
      <c r="P1370" s="1057">
        <v>0</v>
      </c>
      <c r="Q1370" s="987">
        <v>0</v>
      </c>
      <c r="R1370" s="1067">
        <f t="shared" ref="R1370:R1375" si="374">L1370/I1370</f>
        <v>2673.0563966691902</v>
      </c>
      <c r="S1370" s="988">
        <v>2016</v>
      </c>
      <c r="T1370" s="988">
        <v>2020</v>
      </c>
    </row>
    <row r="1371" spans="1:20" ht="40.799999999999997" customHeight="1">
      <c r="A1371" s="1249">
        <v>440</v>
      </c>
      <c r="B1371" s="1260" t="s">
        <v>622</v>
      </c>
      <c r="C1371" s="1255">
        <v>1971</v>
      </c>
      <c r="D1371" s="1255"/>
      <c r="E1371" s="1249" t="s">
        <v>218</v>
      </c>
      <c r="F1371" s="1255">
        <v>2</v>
      </c>
      <c r="G1371" s="1255">
        <v>2</v>
      </c>
      <c r="H1371" s="985">
        <v>604.4</v>
      </c>
      <c r="I1371" s="985">
        <v>545.6</v>
      </c>
      <c r="J1371" s="985">
        <v>506.9</v>
      </c>
      <c r="K1371" s="995">
        <v>26</v>
      </c>
      <c r="L1371" s="987">
        <v>2986180.06</v>
      </c>
      <c r="M1371" s="987">
        <v>0</v>
      </c>
      <c r="N1371" s="987">
        <v>0</v>
      </c>
      <c r="O1371" s="987">
        <v>2986180.06</v>
      </c>
      <c r="P1371" s="998">
        <f>Q1371</f>
        <v>0</v>
      </c>
      <c r="Q1371" s="987">
        <v>0</v>
      </c>
      <c r="R1371" s="985">
        <f t="shared" si="374"/>
        <v>5473.20392228739</v>
      </c>
      <c r="S1371" s="988">
        <v>2017</v>
      </c>
      <c r="T1371" s="988">
        <v>2020</v>
      </c>
    </row>
    <row r="1372" spans="1:20" ht="43.8" customHeight="1">
      <c r="A1372" s="1249">
        <v>441</v>
      </c>
      <c r="B1372" s="1260" t="s">
        <v>392</v>
      </c>
      <c r="C1372" s="1255">
        <v>1962</v>
      </c>
      <c r="D1372" s="1255"/>
      <c r="E1372" s="1249" t="s">
        <v>218</v>
      </c>
      <c r="F1372" s="1255">
        <v>2</v>
      </c>
      <c r="G1372" s="1255">
        <v>1</v>
      </c>
      <c r="H1372" s="985">
        <v>342.6</v>
      </c>
      <c r="I1372" s="985">
        <v>307.39999999999998</v>
      </c>
      <c r="J1372" s="985">
        <v>237.3</v>
      </c>
      <c r="K1372" s="995">
        <v>15</v>
      </c>
      <c r="L1372" s="987">
        <v>943734.47</v>
      </c>
      <c r="M1372" s="987">
        <v>0</v>
      </c>
      <c r="N1372" s="987">
        <v>0</v>
      </c>
      <c r="O1372" s="987">
        <v>943734.47</v>
      </c>
      <c r="P1372" s="998">
        <f>Q1372</f>
        <v>0</v>
      </c>
      <c r="Q1372" s="987">
        <v>0</v>
      </c>
      <c r="R1372" s="985">
        <f t="shared" si="374"/>
        <v>3070.0535783994796</v>
      </c>
      <c r="S1372" s="988">
        <v>2017</v>
      </c>
      <c r="T1372" s="988">
        <v>2020</v>
      </c>
    </row>
    <row r="1373" spans="1:20" ht="45" customHeight="1">
      <c r="A1373" s="1249">
        <v>442</v>
      </c>
      <c r="B1373" s="1260" t="s">
        <v>628</v>
      </c>
      <c r="C1373" s="1255">
        <v>1966</v>
      </c>
      <c r="D1373" s="1255"/>
      <c r="E1373" s="1249" t="s">
        <v>218</v>
      </c>
      <c r="F1373" s="1255">
        <v>2</v>
      </c>
      <c r="G1373" s="1255">
        <v>2</v>
      </c>
      <c r="H1373" s="985">
        <v>434</v>
      </c>
      <c r="I1373" s="985">
        <v>396.4</v>
      </c>
      <c r="J1373" s="985">
        <v>396.4</v>
      </c>
      <c r="K1373" s="995">
        <v>12</v>
      </c>
      <c r="L1373" s="987">
        <v>1343796</v>
      </c>
      <c r="M1373" s="987">
        <v>0</v>
      </c>
      <c r="N1373" s="987">
        <v>0</v>
      </c>
      <c r="O1373" s="987">
        <v>1343796</v>
      </c>
      <c r="P1373" s="998">
        <f>Q1373</f>
        <v>0</v>
      </c>
      <c r="Q1373" s="987">
        <v>0</v>
      </c>
      <c r="R1373" s="985">
        <f t="shared" si="374"/>
        <v>3390</v>
      </c>
      <c r="S1373" s="988">
        <v>2017</v>
      </c>
      <c r="T1373" s="988">
        <v>2020</v>
      </c>
    </row>
    <row r="1374" spans="1:20" ht="40.799999999999997" customHeight="1">
      <c r="A1374" s="1249">
        <v>443</v>
      </c>
      <c r="B1374" s="1260" t="s">
        <v>624</v>
      </c>
      <c r="C1374" s="1255">
        <v>1970</v>
      </c>
      <c r="D1374" s="1255"/>
      <c r="E1374" s="1249" t="s">
        <v>218</v>
      </c>
      <c r="F1374" s="1255">
        <v>2</v>
      </c>
      <c r="G1374" s="1255">
        <v>2</v>
      </c>
      <c r="H1374" s="985">
        <v>421.4</v>
      </c>
      <c r="I1374" s="985">
        <v>373.4</v>
      </c>
      <c r="J1374" s="985">
        <v>323.7</v>
      </c>
      <c r="K1374" s="995">
        <v>22</v>
      </c>
      <c r="L1374" s="987">
        <v>2118953</v>
      </c>
      <c r="M1374" s="987">
        <v>0</v>
      </c>
      <c r="N1374" s="987">
        <v>0</v>
      </c>
      <c r="O1374" s="987">
        <f>L1374</f>
        <v>2118953</v>
      </c>
      <c r="P1374" s="998">
        <v>0</v>
      </c>
      <c r="Q1374" s="987">
        <v>0</v>
      </c>
      <c r="R1374" s="985">
        <f t="shared" si="374"/>
        <v>5674.7536154258169</v>
      </c>
      <c r="S1374" s="988">
        <v>2018</v>
      </c>
      <c r="T1374" s="988">
        <v>2020</v>
      </c>
    </row>
    <row r="1375" spans="1:20" ht="39.6" customHeight="1">
      <c r="A1375" s="1249">
        <v>444</v>
      </c>
      <c r="B1375" s="1260" t="s">
        <v>1666</v>
      </c>
      <c r="C1375" s="1255">
        <v>1984</v>
      </c>
      <c r="D1375" s="1255"/>
      <c r="E1375" s="1249" t="s">
        <v>1066</v>
      </c>
      <c r="F1375" s="1255">
        <v>5</v>
      </c>
      <c r="G1375" s="1255">
        <v>3</v>
      </c>
      <c r="H1375" s="985">
        <v>2845.8</v>
      </c>
      <c r="I1375" s="985">
        <v>2090.6999999999998</v>
      </c>
      <c r="J1375" s="985">
        <v>1373.7</v>
      </c>
      <c r="K1375" s="995">
        <v>49</v>
      </c>
      <c r="L1375" s="987">
        <v>6592320.1900000004</v>
      </c>
      <c r="M1375" s="987">
        <v>0</v>
      </c>
      <c r="N1375" s="987">
        <v>0</v>
      </c>
      <c r="O1375" s="987">
        <f>L1375</f>
        <v>6592320.1900000004</v>
      </c>
      <c r="P1375" s="998">
        <v>0</v>
      </c>
      <c r="Q1375" s="987">
        <v>0</v>
      </c>
      <c r="R1375" s="985">
        <f t="shared" si="374"/>
        <v>3153.1641029320326</v>
      </c>
      <c r="S1375" s="988">
        <v>2019</v>
      </c>
      <c r="T1375" s="988">
        <v>2020</v>
      </c>
    </row>
    <row r="1376" spans="1:20" ht="37.200000000000003" customHeight="1">
      <c r="A1376" s="1249"/>
      <c r="B1376" s="1246" t="s">
        <v>41</v>
      </c>
      <c r="C1376" s="991"/>
      <c r="D1376" s="992"/>
      <c r="E1376" s="993"/>
      <c r="F1376" s="991"/>
      <c r="G1376" s="994"/>
      <c r="H1376" s="985">
        <f>H1377</f>
        <v>9184.1999999999989</v>
      </c>
      <c r="I1376" s="985">
        <f t="shared" ref="I1376:Q1376" si="375">I1377</f>
        <v>7481.5</v>
      </c>
      <c r="J1376" s="985">
        <f t="shared" si="375"/>
        <v>6824.9</v>
      </c>
      <c r="K1376" s="995">
        <f t="shared" si="375"/>
        <v>360</v>
      </c>
      <c r="L1376" s="987">
        <f t="shared" ref="L1376" si="376">O1376</f>
        <v>15506314.620000001</v>
      </c>
      <c r="M1376" s="987">
        <f t="shared" si="375"/>
        <v>0</v>
      </c>
      <c r="N1376" s="987">
        <f t="shared" si="375"/>
        <v>0</v>
      </c>
      <c r="O1376" s="987">
        <f t="shared" si="375"/>
        <v>15506314.620000001</v>
      </c>
      <c r="P1376" s="998">
        <f t="shared" ref="P1376:P1421" si="377">Q1376</f>
        <v>0</v>
      </c>
      <c r="Q1376" s="987">
        <f t="shared" si="375"/>
        <v>0</v>
      </c>
      <c r="R1376" s="996" t="s">
        <v>40</v>
      </c>
      <c r="S1376" s="996" t="s">
        <v>40</v>
      </c>
      <c r="T1376" s="996" t="s">
        <v>40</v>
      </c>
    </row>
    <row r="1377" spans="1:20" ht="36">
      <c r="A1377" s="1249"/>
      <c r="B1377" s="1246" t="s">
        <v>1075</v>
      </c>
      <c r="C1377" s="991"/>
      <c r="D1377" s="992"/>
      <c r="E1377" s="993"/>
      <c r="F1377" s="991"/>
      <c r="G1377" s="994"/>
      <c r="H1377" s="1060">
        <f>SUM(H1378:H1386)</f>
        <v>9184.1999999999989</v>
      </c>
      <c r="I1377" s="1060">
        <f t="shared" ref="I1377:Q1377" si="378">SUM(I1378:I1386)</f>
        <v>7481.5</v>
      </c>
      <c r="J1377" s="1060">
        <f t="shared" si="378"/>
        <v>6824.9</v>
      </c>
      <c r="K1377" s="995">
        <f t="shared" si="378"/>
        <v>360</v>
      </c>
      <c r="L1377" s="1060">
        <f t="shared" si="378"/>
        <v>15506314.620000001</v>
      </c>
      <c r="M1377" s="1060">
        <f t="shared" si="378"/>
        <v>0</v>
      </c>
      <c r="N1377" s="1060">
        <f t="shared" si="378"/>
        <v>0</v>
      </c>
      <c r="O1377" s="1060">
        <f t="shared" si="378"/>
        <v>15506314.620000001</v>
      </c>
      <c r="P1377" s="1060">
        <f t="shared" si="378"/>
        <v>0</v>
      </c>
      <c r="Q1377" s="1060">
        <f t="shared" si="378"/>
        <v>0</v>
      </c>
      <c r="R1377" s="996" t="s">
        <v>40</v>
      </c>
      <c r="S1377" s="996" t="s">
        <v>40</v>
      </c>
      <c r="T1377" s="996" t="s">
        <v>40</v>
      </c>
    </row>
    <row r="1378" spans="1:20" ht="42.6" customHeight="1">
      <c r="A1378" s="1046">
        <v>445</v>
      </c>
      <c r="B1378" s="1025" t="s">
        <v>1381</v>
      </c>
      <c r="C1378" s="1037">
        <v>1966</v>
      </c>
      <c r="D1378" s="1037">
        <v>2013</v>
      </c>
      <c r="E1378" s="1249" t="s">
        <v>218</v>
      </c>
      <c r="F1378" s="1037">
        <v>5</v>
      </c>
      <c r="G1378" s="1037">
        <v>2</v>
      </c>
      <c r="H1378" s="1038">
        <v>2171.1999999999998</v>
      </c>
      <c r="I1378" s="1038">
        <v>1607.3</v>
      </c>
      <c r="J1378" s="1038">
        <f>I1378-30.6</f>
        <v>1576.7</v>
      </c>
      <c r="K1378" s="1039">
        <v>64</v>
      </c>
      <c r="L1378" s="1038">
        <v>2342562</v>
      </c>
      <c r="M1378" s="1038">
        <v>0</v>
      </c>
      <c r="N1378" s="1038">
        <v>0</v>
      </c>
      <c r="O1378" s="1038">
        <v>2342562</v>
      </c>
      <c r="P1378" s="1038">
        <v>0</v>
      </c>
      <c r="Q1378" s="1038">
        <v>0</v>
      </c>
      <c r="R1378" s="1038">
        <f>L1378/I1378</f>
        <v>1457.4516269520313</v>
      </c>
      <c r="S1378" s="988">
        <v>2017</v>
      </c>
      <c r="T1378" s="988">
        <v>2020</v>
      </c>
    </row>
    <row r="1379" spans="1:20" ht="43.8" customHeight="1">
      <c r="A1379" s="1046">
        <v>446</v>
      </c>
      <c r="B1379" s="1025" t="s">
        <v>1046</v>
      </c>
      <c r="C1379" s="1037">
        <v>1955</v>
      </c>
      <c r="D1379" s="1037">
        <v>2005</v>
      </c>
      <c r="E1379" s="1249" t="s">
        <v>218</v>
      </c>
      <c r="F1379" s="1037">
        <v>3</v>
      </c>
      <c r="G1379" s="1037">
        <v>2</v>
      </c>
      <c r="H1379" s="1038">
        <v>1065.8</v>
      </c>
      <c r="I1379" s="1038">
        <v>959.8</v>
      </c>
      <c r="J1379" s="1038">
        <f>I1379-123.4</f>
        <v>836.4</v>
      </c>
      <c r="K1379" s="1039">
        <v>38</v>
      </c>
      <c r="L1379" s="1038">
        <v>2575541</v>
      </c>
      <c r="M1379" s="1038">
        <v>0</v>
      </c>
      <c r="N1379" s="1038">
        <v>0</v>
      </c>
      <c r="O1379" s="1038">
        <v>2575541</v>
      </c>
      <c r="P1379" s="1038">
        <v>0</v>
      </c>
      <c r="Q1379" s="1038">
        <v>0</v>
      </c>
      <c r="R1379" s="1038">
        <f t="shared" ref="R1379:R1386" si="379">L1379/I1379</f>
        <v>2683.4142529693686</v>
      </c>
      <c r="S1379" s="988">
        <v>2017</v>
      </c>
      <c r="T1379" s="988">
        <v>2020</v>
      </c>
    </row>
    <row r="1380" spans="1:20" ht="36.6" customHeight="1">
      <c r="A1380" s="1046">
        <v>447</v>
      </c>
      <c r="B1380" s="1025" t="s">
        <v>1048</v>
      </c>
      <c r="C1380" s="1037">
        <v>1969</v>
      </c>
      <c r="D1380" s="1037">
        <v>1996</v>
      </c>
      <c r="E1380" s="1026" t="s">
        <v>823</v>
      </c>
      <c r="F1380" s="1037">
        <v>2</v>
      </c>
      <c r="G1380" s="1037">
        <v>2</v>
      </c>
      <c r="H1380" s="1038">
        <v>628.5</v>
      </c>
      <c r="I1380" s="1038">
        <v>627.20000000000005</v>
      </c>
      <c r="J1380" s="1038">
        <f>I1380</f>
        <v>627.20000000000005</v>
      </c>
      <c r="K1380" s="1039">
        <v>30</v>
      </c>
      <c r="L1380" s="1038">
        <v>2064903.9</v>
      </c>
      <c r="M1380" s="1038">
        <v>0</v>
      </c>
      <c r="N1380" s="1038">
        <v>0</v>
      </c>
      <c r="O1380" s="1038">
        <v>2064903.9</v>
      </c>
      <c r="P1380" s="1038">
        <v>0</v>
      </c>
      <c r="Q1380" s="1038">
        <v>0</v>
      </c>
      <c r="R1380" s="1038">
        <f t="shared" si="379"/>
        <v>3292.2574936224487</v>
      </c>
      <c r="S1380" s="988">
        <v>2017</v>
      </c>
      <c r="T1380" s="988">
        <v>2020</v>
      </c>
    </row>
    <row r="1381" spans="1:20" ht="40.200000000000003" customHeight="1">
      <c r="A1381" s="1046">
        <v>448</v>
      </c>
      <c r="B1381" s="1025" t="s">
        <v>1047</v>
      </c>
      <c r="C1381" s="1037">
        <v>1952</v>
      </c>
      <c r="D1381" s="1037">
        <v>2011</v>
      </c>
      <c r="E1381" s="1249" t="s">
        <v>218</v>
      </c>
      <c r="F1381" s="1037">
        <v>3</v>
      </c>
      <c r="G1381" s="1037">
        <v>2</v>
      </c>
      <c r="H1381" s="1038">
        <v>924.5</v>
      </c>
      <c r="I1381" s="1038">
        <v>878.6</v>
      </c>
      <c r="J1381" s="1038">
        <f>I1381-65.6</f>
        <v>813</v>
      </c>
      <c r="K1381" s="1039">
        <v>37</v>
      </c>
      <c r="L1381" s="1038">
        <v>2133082</v>
      </c>
      <c r="M1381" s="1038">
        <v>0</v>
      </c>
      <c r="N1381" s="1038">
        <v>0</v>
      </c>
      <c r="O1381" s="1038">
        <v>2133082</v>
      </c>
      <c r="P1381" s="1038">
        <v>0</v>
      </c>
      <c r="Q1381" s="1038">
        <v>0</v>
      </c>
      <c r="R1381" s="1038">
        <f t="shared" si="379"/>
        <v>2427.819257910312</v>
      </c>
      <c r="S1381" s="988">
        <v>2017</v>
      </c>
      <c r="T1381" s="988">
        <v>2020</v>
      </c>
    </row>
    <row r="1382" spans="1:20" ht="44.4" customHeight="1">
      <c r="A1382" s="1046">
        <v>449</v>
      </c>
      <c r="B1382" s="1025" t="s">
        <v>1049</v>
      </c>
      <c r="C1382" s="1037">
        <v>1969</v>
      </c>
      <c r="D1382" s="1037">
        <v>2011</v>
      </c>
      <c r="E1382" s="1249" t="s">
        <v>218</v>
      </c>
      <c r="F1382" s="1037">
        <v>4</v>
      </c>
      <c r="G1382" s="1037">
        <v>3</v>
      </c>
      <c r="H1382" s="1038">
        <v>1913.2</v>
      </c>
      <c r="I1382" s="1038">
        <v>1395.6</v>
      </c>
      <c r="J1382" s="1038">
        <f>I1382-118.1</f>
        <v>1277.5</v>
      </c>
      <c r="K1382" s="1039">
        <v>84</v>
      </c>
      <c r="L1382" s="1038">
        <v>1058186</v>
      </c>
      <c r="M1382" s="1038">
        <v>0</v>
      </c>
      <c r="N1382" s="1038">
        <v>0</v>
      </c>
      <c r="O1382" s="1038">
        <v>1058186</v>
      </c>
      <c r="P1382" s="1038">
        <v>0</v>
      </c>
      <c r="Q1382" s="1038">
        <v>0</v>
      </c>
      <c r="R1382" s="1038">
        <f t="shared" si="379"/>
        <v>758.23015190599028</v>
      </c>
      <c r="S1382" s="988">
        <v>2018</v>
      </c>
      <c r="T1382" s="988">
        <v>2020</v>
      </c>
    </row>
    <row r="1383" spans="1:20" ht="36.6" customHeight="1">
      <c r="A1383" s="1046">
        <v>450</v>
      </c>
      <c r="B1383" s="1025" t="s">
        <v>1050</v>
      </c>
      <c r="C1383" s="1037">
        <v>1957</v>
      </c>
      <c r="D1383" s="1037">
        <v>2011</v>
      </c>
      <c r="E1383" s="1026" t="s">
        <v>1601</v>
      </c>
      <c r="F1383" s="1037">
        <v>2</v>
      </c>
      <c r="G1383" s="1037">
        <v>2</v>
      </c>
      <c r="H1383" s="1038">
        <v>426.8</v>
      </c>
      <c r="I1383" s="1038">
        <v>395</v>
      </c>
      <c r="J1383" s="1038">
        <f>I1383-95.1</f>
        <v>299.89999999999998</v>
      </c>
      <c r="K1383" s="1039">
        <v>20</v>
      </c>
      <c r="L1383" s="1038">
        <v>1440155.24</v>
      </c>
      <c r="M1383" s="1038">
        <v>0</v>
      </c>
      <c r="N1383" s="1038">
        <v>0</v>
      </c>
      <c r="O1383" s="1038">
        <v>1440155.24</v>
      </c>
      <c r="P1383" s="1038">
        <v>0</v>
      </c>
      <c r="Q1383" s="1038">
        <v>0</v>
      </c>
      <c r="R1383" s="1038">
        <f t="shared" si="379"/>
        <v>3645.9626329113926</v>
      </c>
      <c r="S1383" s="988">
        <v>2018</v>
      </c>
      <c r="T1383" s="988">
        <v>2020</v>
      </c>
    </row>
    <row r="1384" spans="1:20" ht="40.200000000000003" customHeight="1">
      <c r="A1384" s="1046">
        <v>451</v>
      </c>
      <c r="B1384" s="1025" t="s">
        <v>1051</v>
      </c>
      <c r="C1384" s="1037">
        <v>1956</v>
      </c>
      <c r="D1384" s="1037">
        <v>1997</v>
      </c>
      <c r="E1384" s="1249" t="s">
        <v>218</v>
      </c>
      <c r="F1384" s="1037">
        <v>2</v>
      </c>
      <c r="G1384" s="1037">
        <v>1</v>
      </c>
      <c r="H1384" s="1038">
        <v>960</v>
      </c>
      <c r="I1384" s="1038">
        <v>572.1</v>
      </c>
      <c r="J1384" s="1038">
        <f>I1384-196.3</f>
        <v>375.8</v>
      </c>
      <c r="K1384" s="1039">
        <v>40</v>
      </c>
      <c r="L1384" s="1038">
        <v>437216.98</v>
      </c>
      <c r="M1384" s="1038">
        <v>0</v>
      </c>
      <c r="N1384" s="1038">
        <v>0</v>
      </c>
      <c r="O1384" s="1038">
        <v>437216.98</v>
      </c>
      <c r="P1384" s="1038">
        <v>0</v>
      </c>
      <c r="Q1384" s="1038">
        <v>0</v>
      </c>
      <c r="R1384" s="1038">
        <f t="shared" si="379"/>
        <v>764.23174270232471</v>
      </c>
      <c r="S1384" s="988">
        <v>2018</v>
      </c>
      <c r="T1384" s="988">
        <v>2020</v>
      </c>
    </row>
    <row r="1385" spans="1:20" ht="42.6" customHeight="1">
      <c r="A1385" s="1046">
        <v>452</v>
      </c>
      <c r="B1385" s="1025" t="s">
        <v>1052</v>
      </c>
      <c r="C1385" s="1037">
        <v>1952</v>
      </c>
      <c r="D1385" s="1037"/>
      <c r="E1385" s="1249" t="s">
        <v>218</v>
      </c>
      <c r="F1385" s="1037">
        <v>2</v>
      </c>
      <c r="G1385" s="1037">
        <v>2</v>
      </c>
      <c r="H1385" s="1038">
        <v>715.8</v>
      </c>
      <c r="I1385" s="1038">
        <v>712</v>
      </c>
      <c r="J1385" s="1038">
        <f>I1385-27.5</f>
        <v>684.5</v>
      </c>
      <c r="K1385" s="1039">
        <v>32</v>
      </c>
      <c r="L1385" s="1038">
        <v>2391211.5</v>
      </c>
      <c r="M1385" s="1038">
        <v>0</v>
      </c>
      <c r="N1385" s="1038">
        <v>0</v>
      </c>
      <c r="O1385" s="1038">
        <v>2391211.5</v>
      </c>
      <c r="P1385" s="1038">
        <v>0</v>
      </c>
      <c r="Q1385" s="1038">
        <v>0</v>
      </c>
      <c r="R1385" s="1038">
        <f t="shared" si="379"/>
        <v>3358.4431179775279</v>
      </c>
      <c r="S1385" s="988">
        <v>2018</v>
      </c>
      <c r="T1385" s="988">
        <v>2020</v>
      </c>
    </row>
    <row r="1386" spans="1:20" ht="40.799999999999997" customHeight="1">
      <c r="A1386" s="1046">
        <v>453</v>
      </c>
      <c r="B1386" s="1025" t="s">
        <v>1382</v>
      </c>
      <c r="C1386" s="1037">
        <v>1957</v>
      </c>
      <c r="D1386" s="1037"/>
      <c r="E1386" s="1249" t="s">
        <v>218</v>
      </c>
      <c r="F1386" s="1037">
        <v>2</v>
      </c>
      <c r="G1386" s="1037">
        <v>1</v>
      </c>
      <c r="H1386" s="1038">
        <v>378.4</v>
      </c>
      <c r="I1386" s="1038">
        <v>333.9</v>
      </c>
      <c r="J1386" s="1038">
        <v>333.9</v>
      </c>
      <c r="K1386" s="1039">
        <v>15</v>
      </c>
      <c r="L1386" s="1038">
        <v>1063456</v>
      </c>
      <c r="M1386" s="1038">
        <v>0</v>
      </c>
      <c r="N1386" s="1038">
        <v>0</v>
      </c>
      <c r="O1386" s="1038">
        <v>1063456</v>
      </c>
      <c r="P1386" s="1038">
        <v>0</v>
      </c>
      <c r="Q1386" s="1038">
        <v>0</v>
      </c>
      <c r="R1386" s="1038">
        <f t="shared" si="379"/>
        <v>3184.9535789158431</v>
      </c>
      <c r="S1386" s="988">
        <v>2018</v>
      </c>
      <c r="T1386" s="988">
        <v>2020</v>
      </c>
    </row>
    <row r="1387" spans="1:20" ht="38.4" customHeight="1">
      <c r="A1387" s="1249"/>
      <c r="B1387" s="1261" t="s">
        <v>68</v>
      </c>
      <c r="C1387" s="991"/>
      <c r="D1387" s="992"/>
      <c r="E1387" s="993"/>
      <c r="F1387" s="991"/>
      <c r="G1387" s="994"/>
      <c r="H1387" s="985">
        <f>H1388</f>
        <v>2111.8000000000002</v>
      </c>
      <c r="I1387" s="985">
        <f t="shared" ref="I1387:Q1387" si="380">I1388</f>
        <v>1838.6000000000001</v>
      </c>
      <c r="J1387" s="985">
        <f t="shared" si="380"/>
        <v>1497.4</v>
      </c>
      <c r="K1387" s="995">
        <f t="shared" si="380"/>
        <v>71</v>
      </c>
      <c r="L1387" s="985">
        <f t="shared" si="380"/>
        <v>3559224</v>
      </c>
      <c r="M1387" s="985">
        <f t="shared" si="380"/>
        <v>0</v>
      </c>
      <c r="N1387" s="985">
        <f t="shared" si="380"/>
        <v>0</v>
      </c>
      <c r="O1387" s="985">
        <f t="shared" si="380"/>
        <v>3559224</v>
      </c>
      <c r="P1387" s="998">
        <f t="shared" si="377"/>
        <v>0</v>
      </c>
      <c r="Q1387" s="985">
        <f t="shared" si="380"/>
        <v>0</v>
      </c>
      <c r="R1387" s="996" t="s">
        <v>40</v>
      </c>
      <c r="S1387" s="996" t="s">
        <v>40</v>
      </c>
      <c r="T1387" s="996" t="s">
        <v>40</v>
      </c>
    </row>
    <row r="1388" spans="1:20" ht="36">
      <c r="A1388" s="1249"/>
      <c r="B1388" s="1246" t="s">
        <v>1076</v>
      </c>
      <c r="C1388" s="991"/>
      <c r="D1388" s="992"/>
      <c r="E1388" s="993"/>
      <c r="F1388" s="991"/>
      <c r="G1388" s="994"/>
      <c r="H1388" s="985">
        <f>H1389+H1390+H1391+H1392</f>
        <v>2111.8000000000002</v>
      </c>
      <c r="I1388" s="985">
        <f t="shared" ref="I1388:Q1388" si="381">I1389+I1390+I1391+I1392</f>
        <v>1838.6000000000001</v>
      </c>
      <c r="J1388" s="985">
        <f t="shared" si="381"/>
        <v>1497.4</v>
      </c>
      <c r="K1388" s="995">
        <f t="shared" si="381"/>
        <v>71</v>
      </c>
      <c r="L1388" s="985">
        <f t="shared" si="381"/>
        <v>3559224</v>
      </c>
      <c r="M1388" s="985">
        <f t="shared" si="381"/>
        <v>0</v>
      </c>
      <c r="N1388" s="985">
        <f t="shared" si="381"/>
        <v>0</v>
      </c>
      <c r="O1388" s="985">
        <f t="shared" si="381"/>
        <v>3559224</v>
      </c>
      <c r="P1388" s="985">
        <f t="shared" si="381"/>
        <v>0</v>
      </c>
      <c r="Q1388" s="985">
        <f t="shared" si="381"/>
        <v>0</v>
      </c>
      <c r="R1388" s="996" t="s">
        <v>40</v>
      </c>
      <c r="S1388" s="996" t="s">
        <v>40</v>
      </c>
      <c r="T1388" s="996" t="s">
        <v>40</v>
      </c>
    </row>
    <row r="1389" spans="1:20" ht="42.6" customHeight="1">
      <c r="A1389" s="1249">
        <v>454</v>
      </c>
      <c r="B1389" s="1245" t="s">
        <v>505</v>
      </c>
      <c r="C1389" s="1255">
        <v>1946</v>
      </c>
      <c r="D1389" s="1255"/>
      <c r="E1389" s="1249" t="s">
        <v>218</v>
      </c>
      <c r="F1389" s="1255">
        <v>2</v>
      </c>
      <c r="G1389" s="1255">
        <v>1</v>
      </c>
      <c r="H1389" s="985">
        <v>362.9</v>
      </c>
      <c r="I1389" s="985">
        <v>247.4</v>
      </c>
      <c r="J1389" s="985">
        <v>159.80000000000001</v>
      </c>
      <c r="K1389" s="995">
        <v>15</v>
      </c>
      <c r="L1389" s="987">
        <v>193465</v>
      </c>
      <c r="M1389" s="987">
        <v>0</v>
      </c>
      <c r="N1389" s="987">
        <v>0</v>
      </c>
      <c r="O1389" s="987">
        <v>193465</v>
      </c>
      <c r="P1389" s="998">
        <f t="shared" si="377"/>
        <v>0</v>
      </c>
      <c r="Q1389" s="987">
        <v>0</v>
      </c>
      <c r="R1389" s="985">
        <f>L1389/I1389</f>
        <v>781.99272433306385</v>
      </c>
      <c r="S1389" s="988">
        <v>2017</v>
      </c>
      <c r="T1389" s="988">
        <v>2020</v>
      </c>
    </row>
    <row r="1390" spans="1:20" ht="40.200000000000003" customHeight="1">
      <c r="A1390" s="1249">
        <v>455</v>
      </c>
      <c r="B1390" s="1245" t="s">
        <v>769</v>
      </c>
      <c r="C1390" s="1255">
        <v>1930</v>
      </c>
      <c r="D1390" s="1255"/>
      <c r="E1390" s="1249" t="s">
        <v>218</v>
      </c>
      <c r="F1390" s="1255">
        <v>2</v>
      </c>
      <c r="G1390" s="1255">
        <v>1</v>
      </c>
      <c r="H1390" s="985">
        <v>285.2</v>
      </c>
      <c r="I1390" s="985">
        <v>266</v>
      </c>
      <c r="J1390" s="985">
        <v>153.9</v>
      </c>
      <c r="K1390" s="995">
        <v>13</v>
      </c>
      <c r="L1390" s="987">
        <v>758912</v>
      </c>
      <c r="M1390" s="987">
        <v>0</v>
      </c>
      <c r="N1390" s="987">
        <v>0</v>
      </c>
      <c r="O1390" s="987">
        <v>758912</v>
      </c>
      <c r="P1390" s="998">
        <v>0</v>
      </c>
      <c r="Q1390" s="987">
        <v>0</v>
      </c>
      <c r="R1390" s="985">
        <f>L1390/I1390</f>
        <v>2853.0526315789475</v>
      </c>
      <c r="S1390" s="988">
        <v>2018</v>
      </c>
      <c r="T1390" s="988">
        <v>2020</v>
      </c>
    </row>
    <row r="1391" spans="1:20" ht="42" customHeight="1">
      <c r="A1391" s="1249">
        <v>456</v>
      </c>
      <c r="B1391" s="1245" t="s">
        <v>1200</v>
      </c>
      <c r="C1391" s="1255">
        <v>1981</v>
      </c>
      <c r="D1391" s="1255"/>
      <c r="E1391" s="1249" t="s">
        <v>218</v>
      </c>
      <c r="F1391" s="1255">
        <v>2</v>
      </c>
      <c r="G1391" s="1255">
        <v>2</v>
      </c>
      <c r="H1391" s="985">
        <v>601</v>
      </c>
      <c r="I1391" s="985">
        <v>601</v>
      </c>
      <c r="J1391" s="985">
        <v>515.20000000000005</v>
      </c>
      <c r="K1391" s="995">
        <v>19</v>
      </c>
      <c r="L1391" s="987">
        <v>2034146</v>
      </c>
      <c r="M1391" s="987">
        <v>0</v>
      </c>
      <c r="N1391" s="987">
        <v>0</v>
      </c>
      <c r="O1391" s="987">
        <v>2034146</v>
      </c>
      <c r="P1391" s="998">
        <v>0</v>
      </c>
      <c r="Q1391" s="987">
        <v>0</v>
      </c>
      <c r="R1391" s="985">
        <f>L1391/I1391</f>
        <v>3384.602329450915</v>
      </c>
      <c r="S1391" s="988">
        <v>2019</v>
      </c>
      <c r="T1391" s="988">
        <v>2020</v>
      </c>
    </row>
    <row r="1392" spans="1:20" ht="45" customHeight="1">
      <c r="A1392" s="1249">
        <v>457</v>
      </c>
      <c r="B1392" s="1245" t="s">
        <v>1211</v>
      </c>
      <c r="C1392" s="1255">
        <v>1941</v>
      </c>
      <c r="D1392" s="1255"/>
      <c r="E1392" s="1249" t="s">
        <v>218</v>
      </c>
      <c r="F1392" s="1255">
        <v>2</v>
      </c>
      <c r="G1392" s="1255">
        <v>2</v>
      </c>
      <c r="H1392" s="985">
        <v>862.7</v>
      </c>
      <c r="I1392" s="985">
        <v>724.2</v>
      </c>
      <c r="J1392" s="985">
        <v>668.5</v>
      </c>
      <c r="K1392" s="995">
        <v>24</v>
      </c>
      <c r="L1392" s="987">
        <v>572701</v>
      </c>
      <c r="M1392" s="987">
        <v>0</v>
      </c>
      <c r="N1392" s="987">
        <v>0</v>
      </c>
      <c r="O1392" s="987">
        <v>572701</v>
      </c>
      <c r="P1392" s="998">
        <v>0</v>
      </c>
      <c r="Q1392" s="987">
        <v>0</v>
      </c>
      <c r="R1392" s="985">
        <f>L1392/I1392</f>
        <v>790.80502623584641</v>
      </c>
      <c r="S1392" s="988">
        <v>2019</v>
      </c>
      <c r="T1392" s="988">
        <v>2020</v>
      </c>
    </row>
    <row r="1393" spans="1:20" ht="37.799999999999997" customHeight="1">
      <c r="A1393" s="1249"/>
      <c r="B1393" s="1261" t="s">
        <v>43</v>
      </c>
      <c r="C1393" s="991"/>
      <c r="D1393" s="992"/>
      <c r="E1393" s="993"/>
      <c r="F1393" s="991"/>
      <c r="G1393" s="994"/>
      <c r="H1393" s="985">
        <f>H1394+H1413</f>
        <v>48403.80000000001</v>
      </c>
      <c r="I1393" s="985">
        <f t="shared" ref="I1393:Q1393" si="382">I1394+I1413</f>
        <v>37500.350000000006</v>
      </c>
      <c r="J1393" s="985">
        <f t="shared" si="382"/>
        <v>33230.959999999999</v>
      </c>
      <c r="K1393" s="995">
        <f t="shared" si="382"/>
        <v>1656</v>
      </c>
      <c r="L1393" s="985">
        <f t="shared" si="382"/>
        <v>42565260.159999996</v>
      </c>
      <c r="M1393" s="985">
        <f t="shared" si="382"/>
        <v>0</v>
      </c>
      <c r="N1393" s="985">
        <f t="shared" si="382"/>
        <v>0</v>
      </c>
      <c r="O1393" s="985">
        <f t="shared" si="382"/>
        <v>42565260.159999996</v>
      </c>
      <c r="P1393" s="985">
        <f t="shared" si="382"/>
        <v>0</v>
      </c>
      <c r="Q1393" s="985">
        <f t="shared" si="382"/>
        <v>0</v>
      </c>
      <c r="R1393" s="996" t="s">
        <v>40</v>
      </c>
      <c r="S1393" s="996" t="s">
        <v>40</v>
      </c>
      <c r="T1393" s="996" t="s">
        <v>40</v>
      </c>
    </row>
    <row r="1394" spans="1:20" ht="36">
      <c r="A1394" s="1249"/>
      <c r="B1394" s="1246" t="s">
        <v>1115</v>
      </c>
      <c r="C1394" s="991"/>
      <c r="D1394" s="992"/>
      <c r="E1394" s="993"/>
      <c r="F1394" s="991"/>
      <c r="G1394" s="994"/>
      <c r="H1394" s="985">
        <f>SUM(H1395:H1412)</f>
        <v>44784.400000000009</v>
      </c>
      <c r="I1394" s="985">
        <f t="shared" ref="I1394:Q1394" si="383">SUM(I1395:I1412)</f>
        <v>33880.950000000004</v>
      </c>
      <c r="J1394" s="985">
        <f t="shared" si="383"/>
        <v>30092.36</v>
      </c>
      <c r="K1394" s="995">
        <f t="shared" si="383"/>
        <v>1533</v>
      </c>
      <c r="L1394" s="985">
        <f t="shared" si="383"/>
        <v>42381926.159999996</v>
      </c>
      <c r="M1394" s="985">
        <f t="shared" si="383"/>
        <v>0</v>
      </c>
      <c r="N1394" s="985">
        <f t="shared" si="383"/>
        <v>0</v>
      </c>
      <c r="O1394" s="985">
        <f t="shared" si="383"/>
        <v>42381926.159999996</v>
      </c>
      <c r="P1394" s="985">
        <f t="shared" si="383"/>
        <v>0</v>
      </c>
      <c r="Q1394" s="985">
        <f t="shared" si="383"/>
        <v>0</v>
      </c>
      <c r="R1394" s="996" t="s">
        <v>40</v>
      </c>
      <c r="S1394" s="996" t="s">
        <v>40</v>
      </c>
      <c r="T1394" s="996" t="s">
        <v>40</v>
      </c>
    </row>
    <row r="1395" spans="1:20" ht="40.799999999999997" customHeight="1">
      <c r="A1395" s="1249">
        <v>458</v>
      </c>
      <c r="B1395" s="1070" t="s">
        <v>397</v>
      </c>
      <c r="C1395" s="1048">
        <v>1953</v>
      </c>
      <c r="D1395" s="1046"/>
      <c r="E1395" s="1249" t="s">
        <v>218</v>
      </c>
      <c r="F1395" s="1048">
        <v>2</v>
      </c>
      <c r="G1395" s="1046">
        <v>2</v>
      </c>
      <c r="H1395" s="1107">
        <v>470.96</v>
      </c>
      <c r="I1395" s="1107">
        <v>417.36</v>
      </c>
      <c r="J1395" s="1107">
        <v>356.76</v>
      </c>
      <c r="K1395" s="1108">
        <v>10</v>
      </c>
      <c r="L1395" s="987">
        <v>1405964</v>
      </c>
      <c r="M1395" s="987">
        <v>0</v>
      </c>
      <c r="N1395" s="987">
        <v>0</v>
      </c>
      <c r="O1395" s="987">
        <f t="shared" ref="O1395:O1410" si="384">L1395</f>
        <v>1405964</v>
      </c>
      <c r="P1395" s="1057">
        <v>0</v>
      </c>
      <c r="Q1395" s="987">
        <v>0</v>
      </c>
      <c r="R1395" s="1177">
        <f>L1395/I1395</f>
        <v>3368.7080697718993</v>
      </c>
      <c r="S1395" s="988">
        <v>2016</v>
      </c>
      <c r="T1395" s="988">
        <v>2020</v>
      </c>
    </row>
    <row r="1396" spans="1:20" ht="42.6" customHeight="1">
      <c r="A1396" s="1249">
        <v>459</v>
      </c>
      <c r="B1396" s="1069" t="s">
        <v>403</v>
      </c>
      <c r="C1396" s="1048">
        <v>1956</v>
      </c>
      <c r="D1396" s="1046"/>
      <c r="E1396" s="1249" t="s">
        <v>218</v>
      </c>
      <c r="F1396" s="1048">
        <v>2</v>
      </c>
      <c r="G1396" s="1046">
        <v>2</v>
      </c>
      <c r="H1396" s="1067">
        <v>833.9</v>
      </c>
      <c r="I1396" s="1067">
        <v>785.9</v>
      </c>
      <c r="J1396" s="1067">
        <v>675</v>
      </c>
      <c r="K1396" s="1108">
        <v>32</v>
      </c>
      <c r="L1396" s="987">
        <v>1720042</v>
      </c>
      <c r="M1396" s="987">
        <v>0</v>
      </c>
      <c r="N1396" s="987">
        <v>0</v>
      </c>
      <c r="O1396" s="987">
        <f t="shared" si="384"/>
        <v>1720042</v>
      </c>
      <c r="P1396" s="1057">
        <v>0</v>
      </c>
      <c r="Q1396" s="987">
        <v>0</v>
      </c>
      <c r="R1396" s="1177">
        <f t="shared" ref="R1396" si="385">L1396/I1396</f>
        <v>2188.6270517877592</v>
      </c>
      <c r="S1396" s="988">
        <v>2016</v>
      </c>
      <c r="T1396" s="988">
        <v>2020</v>
      </c>
    </row>
    <row r="1397" spans="1:20" ht="37.200000000000003" customHeight="1">
      <c r="A1397" s="1249">
        <v>460</v>
      </c>
      <c r="B1397" s="1260" t="s">
        <v>1021</v>
      </c>
      <c r="C1397" s="1255">
        <v>1978</v>
      </c>
      <c r="D1397" s="1255"/>
      <c r="E1397" s="1249" t="s">
        <v>219</v>
      </c>
      <c r="F1397" s="1255">
        <v>5</v>
      </c>
      <c r="G1397" s="1255">
        <v>6</v>
      </c>
      <c r="H1397" s="987">
        <v>4541</v>
      </c>
      <c r="I1397" s="987">
        <v>4237.8</v>
      </c>
      <c r="J1397" s="987">
        <v>4116.8</v>
      </c>
      <c r="K1397" s="995">
        <v>174</v>
      </c>
      <c r="L1397" s="987">
        <v>3638269</v>
      </c>
      <c r="M1397" s="987">
        <v>0</v>
      </c>
      <c r="N1397" s="987">
        <v>0</v>
      </c>
      <c r="O1397" s="987">
        <f t="shared" si="384"/>
        <v>3638269</v>
      </c>
      <c r="P1397" s="1057">
        <v>0</v>
      </c>
      <c r="Q1397" s="987">
        <v>0</v>
      </c>
      <c r="R1397" s="985">
        <f t="shared" ref="R1397:R1414" si="386">L1397/I1397</f>
        <v>858.52777384491947</v>
      </c>
      <c r="S1397" s="988">
        <v>2017</v>
      </c>
      <c r="T1397" s="988">
        <v>2020</v>
      </c>
    </row>
    <row r="1398" spans="1:20" ht="44.4" customHeight="1">
      <c r="A1398" s="1249">
        <v>461</v>
      </c>
      <c r="B1398" s="1260" t="s">
        <v>1022</v>
      </c>
      <c r="C1398" s="1255">
        <v>1960</v>
      </c>
      <c r="D1398" s="1255"/>
      <c r="E1398" s="1249" t="s">
        <v>218</v>
      </c>
      <c r="F1398" s="1255">
        <v>4</v>
      </c>
      <c r="G1398" s="1255">
        <v>6</v>
      </c>
      <c r="H1398" s="987">
        <v>6684.68</v>
      </c>
      <c r="I1398" s="987">
        <v>4253.5</v>
      </c>
      <c r="J1398" s="987">
        <v>3347</v>
      </c>
      <c r="K1398" s="995">
        <v>353</v>
      </c>
      <c r="L1398" s="987">
        <v>5683197</v>
      </c>
      <c r="M1398" s="987">
        <v>0</v>
      </c>
      <c r="N1398" s="987">
        <v>0</v>
      </c>
      <c r="O1398" s="987">
        <f t="shared" si="384"/>
        <v>5683197</v>
      </c>
      <c r="P1398" s="1057">
        <v>0</v>
      </c>
      <c r="Q1398" s="987">
        <v>0</v>
      </c>
      <c r="R1398" s="985">
        <f t="shared" si="386"/>
        <v>1336.1224873633478</v>
      </c>
      <c r="S1398" s="988">
        <v>2017</v>
      </c>
      <c r="T1398" s="988">
        <v>2020</v>
      </c>
    </row>
    <row r="1399" spans="1:20" ht="36" customHeight="1">
      <c r="A1399" s="1249">
        <v>462</v>
      </c>
      <c r="B1399" s="1260" t="s">
        <v>1027</v>
      </c>
      <c r="C1399" s="1249">
        <v>1881</v>
      </c>
      <c r="D1399" s="1260"/>
      <c r="E1399" s="1249" t="s">
        <v>221</v>
      </c>
      <c r="F1399" s="1255">
        <v>1</v>
      </c>
      <c r="G1399" s="1255">
        <v>1</v>
      </c>
      <c r="H1399" s="987">
        <v>170.7</v>
      </c>
      <c r="I1399" s="987">
        <v>150.9</v>
      </c>
      <c r="J1399" s="987">
        <v>150.9</v>
      </c>
      <c r="K1399" s="995">
        <v>8</v>
      </c>
      <c r="L1399" s="987">
        <v>494943</v>
      </c>
      <c r="M1399" s="987">
        <v>0</v>
      </c>
      <c r="N1399" s="987">
        <v>0</v>
      </c>
      <c r="O1399" s="987">
        <f t="shared" si="384"/>
        <v>494943</v>
      </c>
      <c r="P1399" s="1057">
        <v>0</v>
      </c>
      <c r="Q1399" s="987">
        <v>0</v>
      </c>
      <c r="R1399" s="985">
        <f>L1399/I1399</f>
        <v>3279.9403578528827</v>
      </c>
      <c r="S1399" s="988">
        <v>2017</v>
      </c>
      <c r="T1399" s="988">
        <v>2020</v>
      </c>
    </row>
    <row r="1400" spans="1:20" ht="37.200000000000003" customHeight="1">
      <c r="A1400" s="1249">
        <v>463</v>
      </c>
      <c r="B1400" s="1260" t="s">
        <v>1024</v>
      </c>
      <c r="C1400" s="1249">
        <v>1992</v>
      </c>
      <c r="D1400" s="1260"/>
      <c r="E1400" s="1249" t="s">
        <v>219</v>
      </c>
      <c r="F1400" s="1255">
        <v>3</v>
      </c>
      <c r="G1400" s="1255">
        <v>3</v>
      </c>
      <c r="H1400" s="987">
        <v>1573.9</v>
      </c>
      <c r="I1400" s="987">
        <v>1440.7</v>
      </c>
      <c r="J1400" s="987">
        <v>1387.7</v>
      </c>
      <c r="K1400" s="995">
        <v>69</v>
      </c>
      <c r="L1400" s="987">
        <v>911449</v>
      </c>
      <c r="M1400" s="987">
        <v>0</v>
      </c>
      <c r="N1400" s="987">
        <v>0</v>
      </c>
      <c r="O1400" s="987">
        <f t="shared" si="384"/>
        <v>911449</v>
      </c>
      <c r="P1400" s="1057">
        <v>0</v>
      </c>
      <c r="Q1400" s="987">
        <v>0</v>
      </c>
      <c r="R1400" s="985">
        <f>L1400/I1400</f>
        <v>632.64315957520648</v>
      </c>
      <c r="S1400" s="988">
        <v>2017</v>
      </c>
      <c r="T1400" s="988">
        <v>2020</v>
      </c>
    </row>
    <row r="1401" spans="1:20" ht="39.6" customHeight="1">
      <c r="A1401" s="1249">
        <v>464</v>
      </c>
      <c r="B1401" s="1260" t="s">
        <v>1023</v>
      </c>
      <c r="C1401" s="1249">
        <v>1980</v>
      </c>
      <c r="D1401" s="1260"/>
      <c r="E1401" s="1249" t="s">
        <v>221</v>
      </c>
      <c r="F1401" s="1255">
        <v>2</v>
      </c>
      <c r="G1401" s="1255">
        <v>2</v>
      </c>
      <c r="H1401" s="987">
        <v>509.8</v>
      </c>
      <c r="I1401" s="987">
        <v>383</v>
      </c>
      <c r="J1401" s="987">
        <v>383</v>
      </c>
      <c r="K1401" s="995">
        <v>12</v>
      </c>
      <c r="L1401" s="987">
        <v>921349.55</v>
      </c>
      <c r="M1401" s="987">
        <v>0</v>
      </c>
      <c r="N1401" s="987">
        <v>0</v>
      </c>
      <c r="O1401" s="987">
        <f t="shared" si="384"/>
        <v>921349.55</v>
      </c>
      <c r="P1401" s="1057">
        <v>0</v>
      </c>
      <c r="Q1401" s="987">
        <v>0</v>
      </c>
      <c r="R1401" s="985">
        <f t="shared" si="386"/>
        <v>2405.6124020887728</v>
      </c>
      <c r="S1401" s="988">
        <v>2017</v>
      </c>
      <c r="T1401" s="988">
        <v>2020</v>
      </c>
    </row>
    <row r="1402" spans="1:20" ht="45" customHeight="1">
      <c r="A1402" s="1249">
        <v>465</v>
      </c>
      <c r="B1402" s="1260" t="s">
        <v>1025</v>
      </c>
      <c r="C1402" s="1249">
        <v>1973</v>
      </c>
      <c r="D1402" s="1249"/>
      <c r="E1402" s="1249" t="s">
        <v>218</v>
      </c>
      <c r="F1402" s="1255">
        <v>5</v>
      </c>
      <c r="G1402" s="1255">
        <v>4</v>
      </c>
      <c r="H1402" s="987">
        <v>4312.3999999999996</v>
      </c>
      <c r="I1402" s="987">
        <v>2531.8000000000002</v>
      </c>
      <c r="J1402" s="987">
        <v>1890.8</v>
      </c>
      <c r="K1402" s="995">
        <v>109</v>
      </c>
      <c r="L1402" s="987">
        <v>2603033</v>
      </c>
      <c r="M1402" s="987">
        <v>0</v>
      </c>
      <c r="N1402" s="987">
        <v>0</v>
      </c>
      <c r="O1402" s="987">
        <f t="shared" si="384"/>
        <v>2603033</v>
      </c>
      <c r="P1402" s="1057">
        <v>0</v>
      </c>
      <c r="Q1402" s="987">
        <v>0</v>
      </c>
      <c r="R1402" s="985">
        <f t="shared" si="386"/>
        <v>1028.1353187455566</v>
      </c>
      <c r="S1402" s="988">
        <v>2018</v>
      </c>
      <c r="T1402" s="988">
        <v>2020</v>
      </c>
    </row>
    <row r="1403" spans="1:20" ht="40.799999999999997" customHeight="1">
      <c r="A1403" s="1249">
        <v>466</v>
      </c>
      <c r="B1403" s="1260" t="s">
        <v>1020</v>
      </c>
      <c r="C1403" s="1249">
        <v>1975</v>
      </c>
      <c r="D1403" s="1249"/>
      <c r="E1403" s="1249" t="s">
        <v>218</v>
      </c>
      <c r="F1403" s="1255">
        <v>5</v>
      </c>
      <c r="G1403" s="1255">
        <v>6</v>
      </c>
      <c r="H1403" s="987">
        <v>5848.7</v>
      </c>
      <c r="I1403" s="987">
        <v>4132.8</v>
      </c>
      <c r="J1403" s="987">
        <v>3596.1</v>
      </c>
      <c r="K1403" s="995">
        <v>162</v>
      </c>
      <c r="L1403" s="987">
        <v>3757824</v>
      </c>
      <c r="M1403" s="987">
        <v>0</v>
      </c>
      <c r="N1403" s="987">
        <v>0</v>
      </c>
      <c r="O1403" s="987">
        <f t="shared" si="384"/>
        <v>3757824</v>
      </c>
      <c r="P1403" s="1057">
        <v>0</v>
      </c>
      <c r="Q1403" s="987">
        <v>0</v>
      </c>
      <c r="R1403" s="985">
        <f t="shared" si="386"/>
        <v>909.26829268292681</v>
      </c>
      <c r="S1403" s="988">
        <v>2018</v>
      </c>
      <c r="T1403" s="988">
        <v>2020</v>
      </c>
    </row>
    <row r="1404" spans="1:20" ht="44.4" customHeight="1">
      <c r="A1404" s="1249">
        <v>467</v>
      </c>
      <c r="B1404" s="1260" t="s">
        <v>1029</v>
      </c>
      <c r="C1404" s="1249">
        <v>1967</v>
      </c>
      <c r="D1404" s="1249"/>
      <c r="E1404" s="1249" t="s">
        <v>218</v>
      </c>
      <c r="F1404" s="1255">
        <v>5</v>
      </c>
      <c r="G1404" s="1255">
        <v>4</v>
      </c>
      <c r="H1404" s="987">
        <v>4858.2</v>
      </c>
      <c r="I1404" s="987">
        <v>3164.9</v>
      </c>
      <c r="J1404" s="987">
        <v>2838.4</v>
      </c>
      <c r="K1404" s="995">
        <v>103</v>
      </c>
      <c r="L1404" s="987">
        <v>2230018.9900000002</v>
      </c>
      <c r="M1404" s="987">
        <v>0</v>
      </c>
      <c r="N1404" s="987">
        <v>0</v>
      </c>
      <c r="O1404" s="987">
        <f t="shared" si="384"/>
        <v>2230018.9900000002</v>
      </c>
      <c r="P1404" s="1057">
        <v>0</v>
      </c>
      <c r="Q1404" s="987">
        <v>0</v>
      </c>
      <c r="R1404" s="985">
        <f t="shared" si="386"/>
        <v>704.60962115706661</v>
      </c>
      <c r="S1404" s="988">
        <v>2018</v>
      </c>
      <c r="T1404" s="988">
        <v>2020</v>
      </c>
    </row>
    <row r="1405" spans="1:20" ht="36.6" customHeight="1">
      <c r="A1405" s="1249">
        <v>468</v>
      </c>
      <c r="B1405" s="1260" t="s">
        <v>1030</v>
      </c>
      <c r="C1405" s="1249">
        <v>1951</v>
      </c>
      <c r="D1405" s="1249"/>
      <c r="E1405" s="1249" t="s">
        <v>221</v>
      </c>
      <c r="F1405" s="1255">
        <v>2</v>
      </c>
      <c r="G1405" s="1255">
        <v>2</v>
      </c>
      <c r="H1405" s="987">
        <v>464</v>
      </c>
      <c r="I1405" s="987">
        <v>416.2</v>
      </c>
      <c r="J1405" s="987">
        <v>416.2</v>
      </c>
      <c r="K1405" s="995">
        <v>17</v>
      </c>
      <c r="L1405" s="987">
        <v>1023687.62</v>
      </c>
      <c r="M1405" s="987">
        <v>0</v>
      </c>
      <c r="N1405" s="987">
        <v>0</v>
      </c>
      <c r="O1405" s="987">
        <f t="shared" si="384"/>
        <v>1023687.62</v>
      </c>
      <c r="P1405" s="1057">
        <v>0</v>
      </c>
      <c r="Q1405" s="987">
        <v>0</v>
      </c>
      <c r="R1405" s="985">
        <f t="shared" si="386"/>
        <v>2459.6050456511293</v>
      </c>
      <c r="S1405" s="988">
        <v>2018</v>
      </c>
      <c r="T1405" s="988">
        <v>2020</v>
      </c>
    </row>
    <row r="1406" spans="1:20" ht="35.4" customHeight="1">
      <c r="A1406" s="1249">
        <v>469</v>
      </c>
      <c r="B1406" s="1260" t="s">
        <v>1031</v>
      </c>
      <c r="C1406" s="1249">
        <v>1979</v>
      </c>
      <c r="D1406" s="1249"/>
      <c r="E1406" s="1249" t="s">
        <v>219</v>
      </c>
      <c r="F1406" s="1255">
        <v>5</v>
      </c>
      <c r="G1406" s="1255">
        <v>6</v>
      </c>
      <c r="H1406" s="987">
        <v>4414.3</v>
      </c>
      <c r="I1406" s="987">
        <v>3976.3</v>
      </c>
      <c r="J1406" s="987">
        <v>3828.8</v>
      </c>
      <c r="K1406" s="995">
        <v>174</v>
      </c>
      <c r="L1406" s="987">
        <v>3170918</v>
      </c>
      <c r="M1406" s="987">
        <v>0</v>
      </c>
      <c r="N1406" s="987">
        <v>0</v>
      </c>
      <c r="O1406" s="987">
        <f t="shared" si="384"/>
        <v>3170918</v>
      </c>
      <c r="P1406" s="1057">
        <v>0</v>
      </c>
      <c r="Q1406" s="987">
        <v>0</v>
      </c>
      <c r="R1406" s="985">
        <f t="shared" si="386"/>
        <v>797.4544174232326</v>
      </c>
      <c r="S1406" s="988">
        <v>2019</v>
      </c>
      <c r="T1406" s="988">
        <v>2020</v>
      </c>
    </row>
    <row r="1407" spans="1:20" ht="35.4" customHeight="1">
      <c r="A1407" s="1249">
        <v>470</v>
      </c>
      <c r="B1407" s="1260" t="s">
        <v>1024</v>
      </c>
      <c r="C1407" s="1249">
        <v>1998</v>
      </c>
      <c r="D1407" s="1249"/>
      <c r="E1407" s="1249" t="s">
        <v>219</v>
      </c>
      <c r="F1407" s="1255">
        <v>3</v>
      </c>
      <c r="G1407" s="1255">
        <v>3</v>
      </c>
      <c r="H1407" s="987">
        <v>1573.9</v>
      </c>
      <c r="I1407" s="987">
        <v>1440.7</v>
      </c>
      <c r="J1407" s="987">
        <v>1387.7</v>
      </c>
      <c r="K1407" s="995">
        <v>69</v>
      </c>
      <c r="L1407" s="987">
        <v>751421</v>
      </c>
      <c r="M1407" s="987">
        <v>0</v>
      </c>
      <c r="N1407" s="987">
        <v>0</v>
      </c>
      <c r="O1407" s="987">
        <f t="shared" si="384"/>
        <v>751421</v>
      </c>
      <c r="P1407" s="1057">
        <v>0</v>
      </c>
      <c r="Q1407" s="987">
        <v>0</v>
      </c>
      <c r="R1407" s="985">
        <f t="shared" si="386"/>
        <v>521.56659956965359</v>
      </c>
      <c r="S1407" s="988">
        <v>2019</v>
      </c>
      <c r="T1407" s="988">
        <v>2020</v>
      </c>
    </row>
    <row r="1408" spans="1:20" ht="36.6" customHeight="1">
      <c r="A1408" s="1249">
        <v>471</v>
      </c>
      <c r="B1408" s="1260" t="s">
        <v>1026</v>
      </c>
      <c r="C1408" s="1249">
        <v>1955</v>
      </c>
      <c r="D1408" s="1249"/>
      <c r="E1408" s="1249" t="s">
        <v>220</v>
      </c>
      <c r="F1408" s="1255">
        <v>2</v>
      </c>
      <c r="G1408" s="1255">
        <v>2</v>
      </c>
      <c r="H1408" s="987">
        <v>780.4</v>
      </c>
      <c r="I1408" s="987">
        <v>691.9</v>
      </c>
      <c r="J1408" s="987">
        <v>547.79999999999995</v>
      </c>
      <c r="K1408" s="995">
        <v>47</v>
      </c>
      <c r="L1408" s="987">
        <v>2032991</v>
      </c>
      <c r="M1408" s="987">
        <v>0</v>
      </c>
      <c r="N1408" s="987">
        <v>0</v>
      </c>
      <c r="O1408" s="987">
        <f t="shared" si="384"/>
        <v>2032991</v>
      </c>
      <c r="P1408" s="1057">
        <v>0</v>
      </c>
      <c r="Q1408" s="987">
        <v>0</v>
      </c>
      <c r="R1408" s="985">
        <f t="shared" si="386"/>
        <v>2938.2728718022836</v>
      </c>
      <c r="S1408" s="988">
        <v>2019</v>
      </c>
      <c r="T1408" s="988">
        <v>2020</v>
      </c>
    </row>
    <row r="1409" spans="1:20" ht="46.8" customHeight="1">
      <c r="A1409" s="1249">
        <v>472</v>
      </c>
      <c r="B1409" s="1260" t="s">
        <v>1068</v>
      </c>
      <c r="C1409" s="1249">
        <v>1960</v>
      </c>
      <c r="D1409" s="1249"/>
      <c r="E1409" s="1249" t="s">
        <v>218</v>
      </c>
      <c r="F1409" s="1255">
        <v>2</v>
      </c>
      <c r="G1409" s="1255">
        <v>3</v>
      </c>
      <c r="H1409" s="987">
        <v>680.6</v>
      </c>
      <c r="I1409" s="987">
        <v>614.70000000000005</v>
      </c>
      <c r="J1409" s="987">
        <v>550.79999999999995</v>
      </c>
      <c r="K1409" s="995">
        <v>26</v>
      </c>
      <c r="L1409" s="987">
        <v>435795</v>
      </c>
      <c r="M1409" s="987">
        <v>0</v>
      </c>
      <c r="N1409" s="987">
        <v>0</v>
      </c>
      <c r="O1409" s="987">
        <f t="shared" si="384"/>
        <v>435795</v>
      </c>
      <c r="P1409" s="1057">
        <v>0</v>
      </c>
      <c r="Q1409" s="987">
        <v>0</v>
      </c>
      <c r="R1409" s="985">
        <f t="shared" si="386"/>
        <v>708.95558809175202</v>
      </c>
      <c r="S1409" s="988">
        <v>2019</v>
      </c>
      <c r="T1409" s="988">
        <v>2020</v>
      </c>
    </row>
    <row r="1410" spans="1:20" ht="40.799999999999997" customHeight="1">
      <c r="A1410" s="1249">
        <v>473</v>
      </c>
      <c r="B1410" s="1260" t="s">
        <v>1033</v>
      </c>
      <c r="C1410" s="1249">
        <v>1956</v>
      </c>
      <c r="D1410" s="1249"/>
      <c r="E1410" s="1249" t="s">
        <v>218</v>
      </c>
      <c r="F1410" s="1255">
        <v>2</v>
      </c>
      <c r="G1410" s="1255">
        <v>3</v>
      </c>
      <c r="H1410" s="987">
        <v>939.8</v>
      </c>
      <c r="I1410" s="987">
        <v>870.8</v>
      </c>
      <c r="J1410" s="987">
        <v>870.8</v>
      </c>
      <c r="K1410" s="995">
        <v>28</v>
      </c>
      <c r="L1410" s="987">
        <v>3552669</v>
      </c>
      <c r="M1410" s="987">
        <v>0</v>
      </c>
      <c r="N1410" s="987">
        <v>0</v>
      </c>
      <c r="O1410" s="987">
        <f t="shared" si="384"/>
        <v>3552669</v>
      </c>
      <c r="P1410" s="1057">
        <v>0</v>
      </c>
      <c r="Q1410" s="987">
        <v>0</v>
      </c>
      <c r="R1410" s="985">
        <f t="shared" si="386"/>
        <v>4079.7760679834637</v>
      </c>
      <c r="S1410" s="988">
        <v>2019</v>
      </c>
      <c r="T1410" s="988">
        <v>2020</v>
      </c>
    </row>
    <row r="1411" spans="1:20" ht="37.799999999999997" customHeight="1">
      <c r="A1411" s="1249">
        <v>474</v>
      </c>
      <c r="B1411" s="1260" t="s">
        <v>1034</v>
      </c>
      <c r="C1411" s="1249">
        <v>1974</v>
      </c>
      <c r="D1411" s="1249"/>
      <c r="E1411" s="1249" t="s">
        <v>219</v>
      </c>
      <c r="F1411" s="1255">
        <v>5</v>
      </c>
      <c r="G1411" s="1255">
        <v>4</v>
      </c>
      <c r="H1411" s="987">
        <v>3714.79</v>
      </c>
      <c r="I1411" s="987">
        <v>2691.59</v>
      </c>
      <c r="J1411" s="987">
        <v>2510</v>
      </c>
      <c r="K1411" s="995">
        <v>103</v>
      </c>
      <c r="L1411" s="987">
        <v>1856142</v>
      </c>
      <c r="M1411" s="987">
        <v>0</v>
      </c>
      <c r="N1411" s="987">
        <v>0</v>
      </c>
      <c r="O1411" s="987">
        <f t="shared" ref="O1411" si="387">L1411</f>
        <v>1856142</v>
      </c>
      <c r="P1411" s="1057">
        <v>0</v>
      </c>
      <c r="Q1411" s="987">
        <v>0</v>
      </c>
      <c r="R1411" s="985">
        <f t="shared" ref="R1411" si="388">L1411/I1411</f>
        <v>689.60800121861053</v>
      </c>
      <c r="S1411" s="988">
        <v>2019</v>
      </c>
      <c r="T1411" s="988">
        <v>2020</v>
      </c>
    </row>
    <row r="1412" spans="1:20" ht="40.200000000000003" customHeight="1">
      <c r="A1412" s="1249">
        <v>475</v>
      </c>
      <c r="B1412" s="1260" t="s">
        <v>1028</v>
      </c>
      <c r="C1412" s="1249">
        <v>1950</v>
      </c>
      <c r="D1412" s="1249"/>
      <c r="E1412" s="1249" t="s">
        <v>218</v>
      </c>
      <c r="F1412" s="1255">
        <v>4</v>
      </c>
      <c r="G1412" s="1255">
        <v>3</v>
      </c>
      <c r="H1412" s="987">
        <v>2412.37</v>
      </c>
      <c r="I1412" s="987">
        <v>1680.1</v>
      </c>
      <c r="J1412" s="987">
        <v>1237.8</v>
      </c>
      <c r="K1412" s="995">
        <v>37</v>
      </c>
      <c r="L1412" s="987">
        <v>6192213</v>
      </c>
      <c r="M1412" s="987">
        <v>0</v>
      </c>
      <c r="N1412" s="987">
        <v>0</v>
      </c>
      <c r="O1412" s="987">
        <v>6192213</v>
      </c>
      <c r="P1412" s="1057">
        <v>0</v>
      </c>
      <c r="Q1412" s="987">
        <v>0</v>
      </c>
      <c r="R1412" s="985">
        <f t="shared" si="386"/>
        <v>3685.6216891851677</v>
      </c>
      <c r="S1412" s="988">
        <v>2019</v>
      </c>
      <c r="T1412" s="988">
        <v>2020</v>
      </c>
    </row>
    <row r="1413" spans="1:20" ht="36.6" customHeight="1">
      <c r="A1413" s="1249"/>
      <c r="B1413" s="1245" t="s">
        <v>1180</v>
      </c>
      <c r="C1413" s="1011"/>
      <c r="D1413" s="1012"/>
      <c r="E1413" s="1010"/>
      <c r="F1413" s="1011"/>
      <c r="G1413" s="1011"/>
      <c r="H1413" s="987">
        <f>H1414</f>
        <v>3619.4</v>
      </c>
      <c r="I1413" s="987">
        <f t="shared" ref="I1413:Q1413" si="389">I1414</f>
        <v>3619.4</v>
      </c>
      <c r="J1413" s="987">
        <f t="shared" si="389"/>
        <v>3138.6</v>
      </c>
      <c r="K1413" s="1178">
        <f t="shared" si="389"/>
        <v>123</v>
      </c>
      <c r="L1413" s="987">
        <f t="shared" si="389"/>
        <v>183334</v>
      </c>
      <c r="M1413" s="987">
        <f t="shared" si="389"/>
        <v>0</v>
      </c>
      <c r="N1413" s="987">
        <f t="shared" si="389"/>
        <v>0</v>
      </c>
      <c r="O1413" s="987">
        <f t="shared" si="389"/>
        <v>183334</v>
      </c>
      <c r="P1413" s="987">
        <f t="shared" si="389"/>
        <v>0</v>
      </c>
      <c r="Q1413" s="987">
        <f t="shared" si="389"/>
        <v>0</v>
      </c>
      <c r="R1413" s="996" t="s">
        <v>40</v>
      </c>
      <c r="S1413" s="996" t="s">
        <v>40</v>
      </c>
      <c r="T1413" s="996" t="s">
        <v>40</v>
      </c>
    </row>
    <row r="1414" spans="1:20" ht="36">
      <c r="A1414" s="1249">
        <v>476</v>
      </c>
      <c r="B1414" s="1260" t="s">
        <v>1616</v>
      </c>
      <c r="C1414" s="1249">
        <v>1989</v>
      </c>
      <c r="D1414" s="1249"/>
      <c r="E1414" s="1249" t="s">
        <v>218</v>
      </c>
      <c r="F1414" s="1255">
        <v>5</v>
      </c>
      <c r="G1414" s="1255">
        <v>5</v>
      </c>
      <c r="H1414" s="987">
        <v>3619.4</v>
      </c>
      <c r="I1414" s="987">
        <v>3619.4</v>
      </c>
      <c r="J1414" s="987">
        <v>3138.6</v>
      </c>
      <c r="K1414" s="995">
        <v>123</v>
      </c>
      <c r="L1414" s="987">
        <v>183334</v>
      </c>
      <c r="M1414" s="987">
        <v>0</v>
      </c>
      <c r="N1414" s="987">
        <v>0</v>
      </c>
      <c r="O1414" s="987">
        <v>183334</v>
      </c>
      <c r="P1414" s="998">
        <v>0</v>
      </c>
      <c r="Q1414" s="987">
        <v>0</v>
      </c>
      <c r="R1414" s="985">
        <f t="shared" si="386"/>
        <v>50.653146930430459</v>
      </c>
      <c r="S1414" s="988">
        <v>2018</v>
      </c>
      <c r="T1414" s="988">
        <v>2020</v>
      </c>
    </row>
    <row r="1415" spans="1:20" ht="33.6" customHeight="1">
      <c r="A1415" s="1249"/>
      <c r="B1415" s="1261" t="s">
        <v>1588</v>
      </c>
      <c r="C1415" s="991"/>
      <c r="D1415" s="992"/>
      <c r="E1415" s="993"/>
      <c r="F1415" s="991"/>
      <c r="G1415" s="994"/>
      <c r="H1415" s="1060">
        <f>SUM(H1416:H1421)</f>
        <v>7463.9</v>
      </c>
      <c r="I1415" s="1060">
        <f t="shared" ref="I1415:Q1415" si="390">SUM(I1416:I1421)</f>
        <v>7463.9</v>
      </c>
      <c r="J1415" s="1060">
        <f t="shared" si="390"/>
        <v>4824</v>
      </c>
      <c r="K1415" s="995">
        <f t="shared" si="390"/>
        <v>133</v>
      </c>
      <c r="L1415" s="1060">
        <f t="shared" si="390"/>
        <v>14971020.529999999</v>
      </c>
      <c r="M1415" s="1060">
        <f t="shared" si="390"/>
        <v>0</v>
      </c>
      <c r="N1415" s="1060">
        <f t="shared" si="390"/>
        <v>0</v>
      </c>
      <c r="O1415" s="1060">
        <f t="shared" si="390"/>
        <v>14971020.529999999</v>
      </c>
      <c r="P1415" s="1060">
        <f t="shared" si="390"/>
        <v>0</v>
      </c>
      <c r="Q1415" s="1060">
        <f t="shared" si="390"/>
        <v>0</v>
      </c>
      <c r="R1415" s="996" t="s">
        <v>40</v>
      </c>
      <c r="S1415" s="996" t="s">
        <v>40</v>
      </c>
      <c r="T1415" s="996" t="s">
        <v>40</v>
      </c>
    </row>
    <row r="1416" spans="1:20" ht="39.6" customHeight="1">
      <c r="A1416" s="1249">
        <v>477</v>
      </c>
      <c r="B1416" s="1260" t="s">
        <v>1589</v>
      </c>
      <c r="C1416" s="1255">
        <v>1985</v>
      </c>
      <c r="D1416" s="1255"/>
      <c r="E1416" s="1249" t="s">
        <v>220</v>
      </c>
      <c r="F1416" s="1255">
        <v>3</v>
      </c>
      <c r="G1416" s="1255">
        <v>3</v>
      </c>
      <c r="H1416" s="985">
        <v>1425</v>
      </c>
      <c r="I1416" s="985">
        <v>1425</v>
      </c>
      <c r="J1416" s="985">
        <v>1307</v>
      </c>
      <c r="K1416" s="995">
        <v>14</v>
      </c>
      <c r="L1416" s="985">
        <v>1591980</v>
      </c>
      <c r="M1416" s="985">
        <v>0</v>
      </c>
      <c r="N1416" s="985">
        <v>0</v>
      </c>
      <c r="O1416" s="985">
        <v>1591980</v>
      </c>
      <c r="P1416" s="985">
        <v>0</v>
      </c>
      <c r="Q1416" s="985">
        <v>0</v>
      </c>
      <c r="R1416" s="985">
        <f t="shared" ref="R1416:R1421" si="391">L1416/I1416</f>
        <v>1117.1789473684209</v>
      </c>
      <c r="S1416" s="988">
        <v>2019</v>
      </c>
      <c r="T1416" s="988">
        <v>2020</v>
      </c>
    </row>
    <row r="1417" spans="1:20" ht="42.6" customHeight="1">
      <c r="A1417" s="1249">
        <v>478</v>
      </c>
      <c r="B1417" s="1260" t="s">
        <v>1590</v>
      </c>
      <c r="C1417" s="1255">
        <v>1983</v>
      </c>
      <c r="D1417" s="1255"/>
      <c r="E1417" s="1249" t="s">
        <v>218</v>
      </c>
      <c r="F1417" s="1255">
        <v>5</v>
      </c>
      <c r="G1417" s="1255">
        <v>4</v>
      </c>
      <c r="H1417" s="985">
        <v>3016</v>
      </c>
      <c r="I1417" s="985">
        <v>3016</v>
      </c>
      <c r="J1417" s="985">
        <v>755.9</v>
      </c>
      <c r="K1417" s="995">
        <v>54</v>
      </c>
      <c r="L1417" s="985">
        <v>4221937</v>
      </c>
      <c r="M1417" s="985">
        <v>0</v>
      </c>
      <c r="N1417" s="985">
        <v>0</v>
      </c>
      <c r="O1417" s="985">
        <v>4221937</v>
      </c>
      <c r="P1417" s="985">
        <v>0</v>
      </c>
      <c r="Q1417" s="985">
        <v>0</v>
      </c>
      <c r="R1417" s="985">
        <f t="shared" si="391"/>
        <v>1399.8464854111405</v>
      </c>
      <c r="S1417" s="988">
        <v>2019</v>
      </c>
      <c r="T1417" s="988">
        <v>2020</v>
      </c>
    </row>
    <row r="1418" spans="1:20" ht="40.200000000000003" customHeight="1">
      <c r="A1418" s="1249">
        <v>479</v>
      </c>
      <c r="B1418" s="1260" t="s">
        <v>1591</v>
      </c>
      <c r="C1418" s="1255">
        <v>1967</v>
      </c>
      <c r="D1418" s="1255"/>
      <c r="E1418" s="1249" t="s">
        <v>218</v>
      </c>
      <c r="F1418" s="1255">
        <v>2</v>
      </c>
      <c r="G1418" s="1255">
        <v>2</v>
      </c>
      <c r="H1418" s="985">
        <v>568</v>
      </c>
      <c r="I1418" s="985">
        <v>568</v>
      </c>
      <c r="J1418" s="985">
        <v>519</v>
      </c>
      <c r="K1418" s="995">
        <v>14</v>
      </c>
      <c r="L1418" s="985">
        <v>1648301.27</v>
      </c>
      <c r="M1418" s="985">
        <v>0</v>
      </c>
      <c r="N1418" s="985">
        <v>0</v>
      </c>
      <c r="O1418" s="985">
        <v>1648301.27</v>
      </c>
      <c r="P1418" s="985">
        <v>0</v>
      </c>
      <c r="Q1418" s="985">
        <v>0</v>
      </c>
      <c r="R1418" s="985">
        <f t="shared" si="391"/>
        <v>2901.9388556338026</v>
      </c>
      <c r="S1418" s="988">
        <v>2019</v>
      </c>
      <c r="T1418" s="988">
        <v>2020</v>
      </c>
    </row>
    <row r="1419" spans="1:20" ht="42.6" customHeight="1">
      <c r="A1419" s="1249">
        <v>480</v>
      </c>
      <c r="B1419" s="1260" t="s">
        <v>767</v>
      </c>
      <c r="C1419" s="1249">
        <v>1972</v>
      </c>
      <c r="D1419" s="1255"/>
      <c r="E1419" s="1249" t="s">
        <v>218</v>
      </c>
      <c r="F1419" s="1255">
        <v>2</v>
      </c>
      <c r="G1419" s="1255">
        <v>2</v>
      </c>
      <c r="H1419" s="985">
        <v>571</v>
      </c>
      <c r="I1419" s="985">
        <v>571</v>
      </c>
      <c r="J1419" s="985">
        <v>521</v>
      </c>
      <c r="K1419" s="995">
        <v>12</v>
      </c>
      <c r="L1419" s="987">
        <v>2445729.9300000002</v>
      </c>
      <c r="M1419" s="987">
        <v>0</v>
      </c>
      <c r="N1419" s="987">
        <v>0</v>
      </c>
      <c r="O1419" s="987">
        <v>2445729.9300000002</v>
      </c>
      <c r="P1419" s="998">
        <v>0</v>
      </c>
      <c r="Q1419" s="987">
        <v>0</v>
      </c>
      <c r="R1419" s="1139">
        <f t="shared" si="391"/>
        <v>4283.2398073555169</v>
      </c>
      <c r="S1419" s="988">
        <v>2018</v>
      </c>
      <c r="T1419" s="988">
        <v>2020</v>
      </c>
    </row>
    <row r="1420" spans="1:20" ht="37.799999999999997" customHeight="1">
      <c r="A1420" s="1249">
        <v>481</v>
      </c>
      <c r="B1420" s="1260" t="s">
        <v>503</v>
      </c>
      <c r="C1420" s="1249">
        <v>1981</v>
      </c>
      <c r="D1420" s="1255"/>
      <c r="E1420" s="1249" t="s">
        <v>220</v>
      </c>
      <c r="F1420" s="1255">
        <v>3</v>
      </c>
      <c r="G1420" s="1255">
        <v>3</v>
      </c>
      <c r="H1420" s="985">
        <v>1423</v>
      </c>
      <c r="I1420" s="985">
        <v>1423</v>
      </c>
      <c r="J1420" s="985">
        <v>1289</v>
      </c>
      <c r="K1420" s="995">
        <v>27</v>
      </c>
      <c r="L1420" s="987">
        <v>2552584.11</v>
      </c>
      <c r="M1420" s="987">
        <v>0</v>
      </c>
      <c r="N1420" s="987">
        <v>0</v>
      </c>
      <c r="O1420" s="987">
        <v>2552584.11</v>
      </c>
      <c r="P1420" s="998">
        <f t="shared" si="377"/>
        <v>0</v>
      </c>
      <c r="Q1420" s="987">
        <v>0</v>
      </c>
      <c r="R1420" s="985">
        <f t="shared" si="391"/>
        <v>1793.8047153900211</v>
      </c>
      <c r="S1420" s="988">
        <v>2017</v>
      </c>
      <c r="T1420" s="988">
        <v>2020</v>
      </c>
    </row>
    <row r="1421" spans="1:20" ht="40.799999999999997" customHeight="1">
      <c r="A1421" s="1249">
        <v>482</v>
      </c>
      <c r="B1421" s="1260" t="s">
        <v>504</v>
      </c>
      <c r="C1421" s="1255">
        <v>1966</v>
      </c>
      <c r="D1421" s="1255"/>
      <c r="E1421" s="1249" t="s">
        <v>218</v>
      </c>
      <c r="F1421" s="1255">
        <v>2</v>
      </c>
      <c r="G1421" s="1255">
        <v>2</v>
      </c>
      <c r="H1421" s="985">
        <v>460.9</v>
      </c>
      <c r="I1421" s="985">
        <v>460.9</v>
      </c>
      <c r="J1421" s="985">
        <v>432.1</v>
      </c>
      <c r="K1421" s="995">
        <v>12</v>
      </c>
      <c r="L1421" s="987">
        <v>2510488.2200000002</v>
      </c>
      <c r="M1421" s="987">
        <v>0</v>
      </c>
      <c r="N1421" s="987">
        <v>0</v>
      </c>
      <c r="O1421" s="987">
        <v>2510488.2200000002</v>
      </c>
      <c r="P1421" s="998">
        <f t="shared" si="377"/>
        <v>0</v>
      </c>
      <c r="Q1421" s="987">
        <v>0</v>
      </c>
      <c r="R1421" s="985">
        <f t="shared" si="391"/>
        <v>5446.9260577131708</v>
      </c>
      <c r="S1421" s="988">
        <v>2017</v>
      </c>
      <c r="T1421" s="988">
        <v>2020</v>
      </c>
    </row>
    <row r="1422" spans="1:20" ht="34.799999999999997" customHeight="1">
      <c r="A1422" s="1249"/>
      <c r="B1422" s="1261" t="s">
        <v>46</v>
      </c>
      <c r="C1422" s="991"/>
      <c r="D1422" s="992"/>
      <c r="E1422" s="991"/>
      <c r="F1422" s="991"/>
      <c r="G1422" s="994"/>
      <c r="H1422" s="998">
        <f>H1423</f>
        <v>1450.7</v>
      </c>
      <c r="I1422" s="998">
        <f t="shared" ref="I1422:Q1422" si="392">I1423</f>
        <v>1296.7</v>
      </c>
      <c r="J1422" s="998">
        <f t="shared" si="392"/>
        <v>1109</v>
      </c>
      <c r="K1422" s="986">
        <f t="shared" si="392"/>
        <v>51</v>
      </c>
      <c r="L1422" s="998">
        <f t="shared" si="392"/>
        <v>6313286.6600000001</v>
      </c>
      <c r="M1422" s="998">
        <f t="shared" si="392"/>
        <v>0</v>
      </c>
      <c r="N1422" s="998">
        <f t="shared" si="392"/>
        <v>0</v>
      </c>
      <c r="O1422" s="998">
        <f t="shared" si="392"/>
        <v>6313286.6600000001</v>
      </c>
      <c r="P1422" s="998">
        <f t="shared" si="392"/>
        <v>0</v>
      </c>
      <c r="Q1422" s="998">
        <f t="shared" si="392"/>
        <v>0</v>
      </c>
      <c r="R1422" s="996" t="s">
        <v>40</v>
      </c>
      <c r="S1422" s="996" t="s">
        <v>40</v>
      </c>
      <c r="T1422" s="996" t="s">
        <v>40</v>
      </c>
    </row>
    <row r="1423" spans="1:20" ht="33" customHeight="1">
      <c r="A1423" s="1249"/>
      <c r="B1423" s="1261" t="s">
        <v>1106</v>
      </c>
      <c r="C1423" s="991"/>
      <c r="D1423" s="992"/>
      <c r="E1423" s="991"/>
      <c r="F1423" s="991"/>
      <c r="G1423" s="994"/>
      <c r="H1423" s="998">
        <f>H1424+H1425+H1426</f>
        <v>1450.7</v>
      </c>
      <c r="I1423" s="998">
        <f t="shared" ref="I1423:Q1423" si="393">I1424+I1425+I1426</f>
        <v>1296.7</v>
      </c>
      <c r="J1423" s="998">
        <f t="shared" si="393"/>
        <v>1109</v>
      </c>
      <c r="K1423" s="986">
        <f t="shared" si="393"/>
        <v>51</v>
      </c>
      <c r="L1423" s="998">
        <f t="shared" si="393"/>
        <v>6313286.6600000001</v>
      </c>
      <c r="M1423" s="998">
        <f t="shared" si="393"/>
        <v>0</v>
      </c>
      <c r="N1423" s="998">
        <f t="shared" si="393"/>
        <v>0</v>
      </c>
      <c r="O1423" s="998">
        <f t="shared" si="393"/>
        <v>6313286.6600000001</v>
      </c>
      <c r="P1423" s="998">
        <f t="shared" si="393"/>
        <v>0</v>
      </c>
      <c r="Q1423" s="998">
        <f t="shared" si="393"/>
        <v>0</v>
      </c>
      <c r="R1423" s="996" t="s">
        <v>40</v>
      </c>
      <c r="S1423" s="996" t="s">
        <v>40</v>
      </c>
      <c r="T1423" s="996" t="s">
        <v>40</v>
      </c>
    </row>
    <row r="1424" spans="1:20" ht="40.799999999999997" customHeight="1">
      <c r="A1424" s="1249">
        <v>483</v>
      </c>
      <c r="B1424" s="1260" t="s">
        <v>1602</v>
      </c>
      <c r="C1424" s="1249">
        <v>1966</v>
      </c>
      <c r="D1424" s="1249"/>
      <c r="E1424" s="1249" t="s">
        <v>218</v>
      </c>
      <c r="F1424" s="1249">
        <v>2</v>
      </c>
      <c r="G1424" s="1249">
        <v>2</v>
      </c>
      <c r="H1424" s="998">
        <v>525.4</v>
      </c>
      <c r="I1424" s="998">
        <v>469</v>
      </c>
      <c r="J1424" s="998">
        <v>384.8</v>
      </c>
      <c r="K1424" s="986">
        <v>16</v>
      </c>
      <c r="L1424" s="987">
        <v>1415265</v>
      </c>
      <c r="M1424" s="987">
        <v>0</v>
      </c>
      <c r="N1424" s="987">
        <v>0</v>
      </c>
      <c r="O1424" s="987">
        <v>1415265</v>
      </c>
      <c r="P1424" s="998">
        <v>0</v>
      </c>
      <c r="Q1424" s="987">
        <v>0</v>
      </c>
      <c r="R1424" s="998">
        <f>L1424/I1424</f>
        <v>3017.6226012793177</v>
      </c>
      <c r="S1424" s="988">
        <v>2018</v>
      </c>
      <c r="T1424" s="988">
        <v>2020</v>
      </c>
    </row>
    <row r="1425" spans="1:20" ht="33.6" customHeight="1">
      <c r="A1425" s="1249">
        <v>484</v>
      </c>
      <c r="B1425" s="1260" t="s">
        <v>1603</v>
      </c>
      <c r="C1425" s="1249">
        <v>1958</v>
      </c>
      <c r="D1425" s="1249"/>
      <c r="E1425" s="1249" t="s">
        <v>222</v>
      </c>
      <c r="F1425" s="1249">
        <v>2</v>
      </c>
      <c r="G1425" s="1249">
        <v>2</v>
      </c>
      <c r="H1425" s="998">
        <v>459.1</v>
      </c>
      <c r="I1425" s="998">
        <v>410.7</v>
      </c>
      <c r="J1425" s="998">
        <v>353.4</v>
      </c>
      <c r="K1425" s="986">
        <v>17</v>
      </c>
      <c r="L1425" s="987">
        <v>2435054.66</v>
      </c>
      <c r="M1425" s="987">
        <v>0</v>
      </c>
      <c r="N1425" s="987">
        <v>0</v>
      </c>
      <c r="O1425" s="987">
        <v>2435054.66</v>
      </c>
      <c r="P1425" s="998">
        <v>0</v>
      </c>
      <c r="Q1425" s="987">
        <v>0</v>
      </c>
      <c r="R1425" s="998">
        <f t="shared" ref="R1425:R1426" si="394">L1425/I1425</f>
        <v>5929.0349646944251</v>
      </c>
      <c r="S1425" s="988">
        <v>2019</v>
      </c>
      <c r="T1425" s="988">
        <v>2020</v>
      </c>
    </row>
    <row r="1426" spans="1:20" ht="33" customHeight="1">
      <c r="A1426" s="1249">
        <v>485</v>
      </c>
      <c r="B1426" s="1260" t="s">
        <v>592</v>
      </c>
      <c r="C1426" s="1249">
        <v>1959</v>
      </c>
      <c r="D1426" s="1249"/>
      <c r="E1426" s="1249" t="s">
        <v>222</v>
      </c>
      <c r="F1426" s="1249">
        <v>2</v>
      </c>
      <c r="G1426" s="1249">
        <v>2</v>
      </c>
      <c r="H1426" s="998">
        <v>466.2</v>
      </c>
      <c r="I1426" s="998">
        <v>417</v>
      </c>
      <c r="J1426" s="998">
        <v>370.8</v>
      </c>
      <c r="K1426" s="986">
        <v>18</v>
      </c>
      <c r="L1426" s="987">
        <v>2462967</v>
      </c>
      <c r="M1426" s="987">
        <v>0</v>
      </c>
      <c r="N1426" s="987">
        <v>0</v>
      </c>
      <c r="O1426" s="987">
        <v>2462967</v>
      </c>
      <c r="P1426" s="998">
        <v>0</v>
      </c>
      <c r="Q1426" s="987">
        <v>0</v>
      </c>
      <c r="R1426" s="998">
        <f t="shared" si="394"/>
        <v>5906.3956834532373</v>
      </c>
      <c r="S1426" s="988">
        <v>2019</v>
      </c>
      <c r="T1426" s="988">
        <v>2020</v>
      </c>
    </row>
    <row r="1427" spans="1:20" ht="39" customHeight="1">
      <c r="A1427" s="1249"/>
      <c r="B1427" s="1261" t="s">
        <v>2012</v>
      </c>
      <c r="C1427" s="991"/>
      <c r="D1427" s="992"/>
      <c r="E1427" s="991"/>
      <c r="F1427" s="991"/>
      <c r="G1427" s="994"/>
      <c r="H1427" s="1060">
        <f>SUM(H1428:H1436)</f>
        <v>6157.1</v>
      </c>
      <c r="I1427" s="1060">
        <f t="shared" ref="I1427:Q1427" si="395">SUM(I1428:I1436)</f>
        <v>5532</v>
      </c>
      <c r="J1427" s="1060">
        <f t="shared" si="395"/>
        <v>5532</v>
      </c>
      <c r="K1427" s="995">
        <f t="shared" si="395"/>
        <v>218</v>
      </c>
      <c r="L1427" s="1060">
        <f t="shared" si="395"/>
        <v>15338279.420000002</v>
      </c>
      <c r="M1427" s="1060">
        <f t="shared" si="395"/>
        <v>0</v>
      </c>
      <c r="N1427" s="1060">
        <f t="shared" si="395"/>
        <v>689834.26</v>
      </c>
      <c r="O1427" s="1060">
        <f t="shared" si="395"/>
        <v>14648445.16</v>
      </c>
      <c r="P1427" s="1060">
        <f t="shared" si="395"/>
        <v>0</v>
      </c>
      <c r="Q1427" s="1060">
        <f t="shared" si="395"/>
        <v>0</v>
      </c>
      <c r="R1427" s="996" t="s">
        <v>40</v>
      </c>
      <c r="S1427" s="996" t="s">
        <v>40</v>
      </c>
      <c r="T1427" s="996" t="s">
        <v>40</v>
      </c>
    </row>
    <row r="1428" spans="1:20" ht="40.200000000000003" customHeight="1">
      <c r="A1428" s="1046">
        <v>486</v>
      </c>
      <c r="B1428" s="1076" t="s">
        <v>1035</v>
      </c>
      <c r="C1428" s="1048">
        <v>1965</v>
      </c>
      <c r="D1428" s="1048"/>
      <c r="E1428" s="1249" t="s">
        <v>218</v>
      </c>
      <c r="F1428" s="1048">
        <v>2</v>
      </c>
      <c r="G1428" s="1048">
        <v>2</v>
      </c>
      <c r="H1428" s="1067">
        <v>425.2</v>
      </c>
      <c r="I1428" s="1067">
        <v>374.5</v>
      </c>
      <c r="J1428" s="1067">
        <v>374.5</v>
      </c>
      <c r="K1428" s="1077">
        <v>21</v>
      </c>
      <c r="L1428" s="1067">
        <v>1194765</v>
      </c>
      <c r="M1428" s="1067">
        <v>0</v>
      </c>
      <c r="N1428" s="1067">
        <v>262659.20000000001</v>
      </c>
      <c r="O1428" s="1067">
        <v>932105.8</v>
      </c>
      <c r="P1428" s="1067">
        <v>0</v>
      </c>
      <c r="Q1428" s="1067">
        <v>0</v>
      </c>
      <c r="R1428" s="1067">
        <f t="shared" ref="R1428:R1436" si="396">L1428/I1428</f>
        <v>3190.293724966622</v>
      </c>
      <c r="S1428" s="988">
        <v>2016</v>
      </c>
      <c r="T1428" s="988">
        <v>2020</v>
      </c>
    </row>
    <row r="1429" spans="1:20" ht="36.6" customHeight="1">
      <c r="A1429" s="1046">
        <v>487</v>
      </c>
      <c r="B1429" s="1076" t="s">
        <v>1135</v>
      </c>
      <c r="C1429" s="1048">
        <v>1984</v>
      </c>
      <c r="D1429" s="1048"/>
      <c r="E1429" s="1249" t="s">
        <v>219</v>
      </c>
      <c r="F1429" s="1048">
        <v>3</v>
      </c>
      <c r="G1429" s="1048">
        <v>2</v>
      </c>
      <c r="H1429" s="1067">
        <v>933.9</v>
      </c>
      <c r="I1429" s="1067">
        <v>843.5</v>
      </c>
      <c r="J1429" s="1067">
        <v>843.5</v>
      </c>
      <c r="K1429" s="1077">
        <v>36</v>
      </c>
      <c r="L1429" s="1067">
        <v>1627575</v>
      </c>
      <c r="M1429" s="1067">
        <v>0</v>
      </c>
      <c r="N1429" s="1067">
        <v>0</v>
      </c>
      <c r="O1429" s="1067">
        <v>1627575</v>
      </c>
      <c r="P1429" s="1067">
        <v>0</v>
      </c>
      <c r="Q1429" s="1067">
        <v>0</v>
      </c>
      <c r="R1429" s="1067">
        <f t="shared" si="396"/>
        <v>1929.5494961470065</v>
      </c>
      <c r="S1429" s="988">
        <v>2016</v>
      </c>
      <c r="T1429" s="988">
        <v>2020</v>
      </c>
    </row>
    <row r="1430" spans="1:20" ht="40.200000000000003" customHeight="1">
      <c r="A1430" s="1046">
        <v>488</v>
      </c>
      <c r="B1430" s="1076" t="s">
        <v>1136</v>
      </c>
      <c r="C1430" s="1048">
        <v>1967</v>
      </c>
      <c r="D1430" s="1048"/>
      <c r="E1430" s="1249" t="s">
        <v>218</v>
      </c>
      <c r="F1430" s="1048">
        <v>2</v>
      </c>
      <c r="G1430" s="1048">
        <v>2</v>
      </c>
      <c r="H1430" s="1179">
        <v>520.5</v>
      </c>
      <c r="I1430" s="1067">
        <v>439.5</v>
      </c>
      <c r="J1430" s="1067">
        <v>439.5</v>
      </c>
      <c r="K1430" s="1077">
        <v>16</v>
      </c>
      <c r="L1430" s="1067">
        <v>1570456</v>
      </c>
      <c r="M1430" s="1067">
        <v>0</v>
      </c>
      <c r="N1430" s="1067">
        <v>273934.2</v>
      </c>
      <c r="O1430" s="1067">
        <v>1296521.8</v>
      </c>
      <c r="P1430" s="1067">
        <v>0</v>
      </c>
      <c r="Q1430" s="1067">
        <v>0</v>
      </c>
      <c r="R1430" s="1067">
        <f t="shared" si="396"/>
        <v>3573.2787258248009</v>
      </c>
      <c r="S1430" s="988">
        <v>2016</v>
      </c>
      <c r="T1430" s="988">
        <v>2020</v>
      </c>
    </row>
    <row r="1431" spans="1:20" ht="34.799999999999997" customHeight="1">
      <c r="A1431" s="1046">
        <v>489</v>
      </c>
      <c r="B1431" s="1076" t="s">
        <v>1137</v>
      </c>
      <c r="C1431" s="1048">
        <v>1983</v>
      </c>
      <c r="D1431" s="1048"/>
      <c r="E1431" s="1249" t="s">
        <v>219</v>
      </c>
      <c r="F1431" s="1048">
        <v>3</v>
      </c>
      <c r="G1431" s="1048">
        <v>3</v>
      </c>
      <c r="H1431" s="1067">
        <v>1446.2</v>
      </c>
      <c r="I1431" s="1067">
        <v>1291</v>
      </c>
      <c r="J1431" s="1067">
        <v>1291</v>
      </c>
      <c r="K1431" s="1077">
        <v>38</v>
      </c>
      <c r="L1431" s="1067">
        <v>2416059.7000000002</v>
      </c>
      <c r="M1431" s="1047">
        <v>0</v>
      </c>
      <c r="N1431" s="1067">
        <v>153240.85999999999</v>
      </c>
      <c r="O1431" s="1067">
        <v>2262818.84</v>
      </c>
      <c r="P1431" s="1067">
        <v>0</v>
      </c>
      <c r="Q1431" s="1067">
        <v>0</v>
      </c>
      <c r="R1431" s="1067">
        <f t="shared" si="396"/>
        <v>1871.4637490317584</v>
      </c>
      <c r="S1431" s="988">
        <v>2016</v>
      </c>
      <c r="T1431" s="988">
        <v>2020</v>
      </c>
    </row>
    <row r="1432" spans="1:20" ht="36">
      <c r="A1432" s="1046">
        <v>490</v>
      </c>
      <c r="B1432" s="1023" t="s">
        <v>870</v>
      </c>
      <c r="C1432" s="1037">
        <v>1963</v>
      </c>
      <c r="D1432" s="1037"/>
      <c r="E1432" s="1249" t="s">
        <v>218</v>
      </c>
      <c r="F1432" s="1037">
        <v>2</v>
      </c>
      <c r="G1432" s="1037">
        <v>2</v>
      </c>
      <c r="H1432" s="1038">
        <v>503</v>
      </c>
      <c r="I1432" s="1038">
        <v>444.9</v>
      </c>
      <c r="J1432" s="1038">
        <v>444.9</v>
      </c>
      <c r="K1432" s="1039">
        <v>19</v>
      </c>
      <c r="L1432" s="1047">
        <v>1579931.79</v>
      </c>
      <c r="M1432" s="1038">
        <v>0</v>
      </c>
      <c r="N1432" s="1038">
        <v>0</v>
      </c>
      <c r="O1432" s="1038">
        <f>L1432</f>
        <v>1579931.79</v>
      </c>
      <c r="P1432" s="1038">
        <v>0</v>
      </c>
      <c r="Q1432" s="1038">
        <v>0</v>
      </c>
      <c r="R1432" s="1067">
        <f t="shared" si="396"/>
        <v>3551.2065407956848</v>
      </c>
      <c r="S1432" s="988">
        <v>2017</v>
      </c>
      <c r="T1432" s="988">
        <v>2020</v>
      </c>
    </row>
    <row r="1433" spans="1:20" ht="36.6" customHeight="1">
      <c r="A1433" s="1046">
        <v>491</v>
      </c>
      <c r="B1433" s="1023" t="s">
        <v>871</v>
      </c>
      <c r="C1433" s="1037">
        <v>1977</v>
      </c>
      <c r="D1433" s="1037"/>
      <c r="E1433" s="1249" t="s">
        <v>220</v>
      </c>
      <c r="F1433" s="1037">
        <v>2</v>
      </c>
      <c r="G1433" s="1037">
        <v>2</v>
      </c>
      <c r="H1433" s="1038">
        <v>593.5</v>
      </c>
      <c r="I1433" s="1038">
        <v>543.20000000000005</v>
      </c>
      <c r="J1433" s="1038">
        <v>543.20000000000005</v>
      </c>
      <c r="K1433" s="1039">
        <v>18</v>
      </c>
      <c r="L1433" s="1047">
        <v>1562951</v>
      </c>
      <c r="M1433" s="1038">
        <v>0</v>
      </c>
      <c r="N1433" s="1038">
        <v>0</v>
      </c>
      <c r="O1433" s="1047">
        <v>1562951</v>
      </c>
      <c r="P1433" s="1038">
        <v>0</v>
      </c>
      <c r="Q1433" s="1038">
        <v>0</v>
      </c>
      <c r="R1433" s="1067">
        <f t="shared" si="396"/>
        <v>2877.3030191458024</v>
      </c>
      <c r="S1433" s="988">
        <v>2017</v>
      </c>
      <c r="T1433" s="988">
        <v>2020</v>
      </c>
    </row>
    <row r="1434" spans="1:20" ht="42.6" customHeight="1">
      <c r="A1434" s="1046">
        <v>492</v>
      </c>
      <c r="B1434" s="1023" t="s">
        <v>1057</v>
      </c>
      <c r="C1434" s="1037">
        <v>1962</v>
      </c>
      <c r="D1434" s="1037"/>
      <c r="E1434" s="1249" t="s">
        <v>218</v>
      </c>
      <c r="F1434" s="1037">
        <v>2</v>
      </c>
      <c r="G1434" s="1037">
        <v>2</v>
      </c>
      <c r="H1434" s="1038">
        <v>331.7</v>
      </c>
      <c r="I1434" s="1038">
        <v>298.89999999999998</v>
      </c>
      <c r="J1434" s="1038">
        <v>298.89999999999998</v>
      </c>
      <c r="K1434" s="1180">
        <v>13</v>
      </c>
      <c r="L1434" s="1047">
        <v>974952</v>
      </c>
      <c r="M1434" s="1038">
        <v>0</v>
      </c>
      <c r="N1434" s="1038">
        <v>0</v>
      </c>
      <c r="O1434" s="1047">
        <v>974952</v>
      </c>
      <c r="P1434" s="1038">
        <v>0</v>
      </c>
      <c r="Q1434" s="1038">
        <v>0</v>
      </c>
      <c r="R1434" s="1067">
        <f t="shared" si="396"/>
        <v>3261.7999330879898</v>
      </c>
      <c r="S1434" s="988">
        <v>2017</v>
      </c>
      <c r="T1434" s="988">
        <v>2020</v>
      </c>
    </row>
    <row r="1435" spans="1:20" ht="40.799999999999997" customHeight="1">
      <c r="A1435" s="1046">
        <v>493</v>
      </c>
      <c r="B1435" s="1023" t="s">
        <v>1058</v>
      </c>
      <c r="C1435" s="1181">
        <v>1962</v>
      </c>
      <c r="D1435" s="1181"/>
      <c r="E1435" s="1249" t="s">
        <v>218</v>
      </c>
      <c r="F1435" s="1181">
        <v>2</v>
      </c>
      <c r="G1435" s="1181">
        <v>2</v>
      </c>
      <c r="H1435" s="1065">
        <v>473.1</v>
      </c>
      <c r="I1435" s="1065">
        <v>467</v>
      </c>
      <c r="J1435" s="1065">
        <v>467</v>
      </c>
      <c r="K1435" s="1066">
        <v>12</v>
      </c>
      <c r="L1435" s="1021">
        <v>1423323.48</v>
      </c>
      <c r="M1435" s="1067">
        <v>0</v>
      </c>
      <c r="N1435" s="1067">
        <v>0</v>
      </c>
      <c r="O1435" s="1021">
        <v>1423323.48</v>
      </c>
      <c r="P1435" s="1067">
        <v>0</v>
      </c>
      <c r="Q1435" s="1067">
        <v>0</v>
      </c>
      <c r="R1435" s="1067">
        <f t="shared" si="396"/>
        <v>3047.8018843683085</v>
      </c>
      <c r="S1435" s="988">
        <v>2017</v>
      </c>
      <c r="T1435" s="988">
        <v>2020</v>
      </c>
    </row>
    <row r="1436" spans="1:20" ht="40.799999999999997" customHeight="1">
      <c r="A1436" s="1046">
        <v>494</v>
      </c>
      <c r="B1436" s="1023" t="s">
        <v>880</v>
      </c>
      <c r="C1436" s="1181">
        <v>1989</v>
      </c>
      <c r="D1436" s="1181"/>
      <c r="E1436" s="1249" t="s">
        <v>218</v>
      </c>
      <c r="F1436" s="1181">
        <v>2</v>
      </c>
      <c r="G1436" s="1181">
        <v>3</v>
      </c>
      <c r="H1436" s="1065">
        <v>930</v>
      </c>
      <c r="I1436" s="1065">
        <v>829.5</v>
      </c>
      <c r="J1436" s="1065">
        <v>829.5</v>
      </c>
      <c r="K1436" s="1066">
        <v>45</v>
      </c>
      <c r="L1436" s="1021">
        <v>2988265.45</v>
      </c>
      <c r="M1436" s="1021">
        <v>0</v>
      </c>
      <c r="N1436" s="1021">
        <v>0</v>
      </c>
      <c r="O1436" s="1021">
        <v>2988265.45</v>
      </c>
      <c r="P1436" s="1021">
        <v>0</v>
      </c>
      <c r="Q1436" s="1021">
        <v>0</v>
      </c>
      <c r="R1436" s="1021">
        <f t="shared" si="396"/>
        <v>3602.4899939722727</v>
      </c>
      <c r="S1436" s="988">
        <v>2019</v>
      </c>
      <c r="T1436" s="988">
        <v>2020</v>
      </c>
    </row>
    <row r="1437" spans="1:20" ht="35.4" customHeight="1">
      <c r="A1437" s="1249"/>
      <c r="B1437" s="1182" t="s">
        <v>48</v>
      </c>
      <c r="C1437" s="991"/>
      <c r="D1437" s="992"/>
      <c r="E1437" s="991"/>
      <c r="F1437" s="991"/>
      <c r="G1437" s="994"/>
      <c r="H1437" s="985">
        <f t="shared" ref="H1437:Q1437" si="397">H1444+H1438</f>
        <v>4326.8</v>
      </c>
      <c r="I1437" s="985">
        <f t="shared" si="397"/>
        <v>3516.4</v>
      </c>
      <c r="J1437" s="985">
        <f t="shared" si="397"/>
        <v>3228.8</v>
      </c>
      <c r="K1437" s="995">
        <f t="shared" si="397"/>
        <v>163</v>
      </c>
      <c r="L1437" s="985">
        <f t="shared" si="397"/>
        <v>9411662.4100000001</v>
      </c>
      <c r="M1437" s="985">
        <f t="shared" si="397"/>
        <v>0</v>
      </c>
      <c r="N1437" s="985">
        <f t="shared" si="397"/>
        <v>0</v>
      </c>
      <c r="O1437" s="985">
        <f t="shared" si="397"/>
        <v>9411662.4100000001</v>
      </c>
      <c r="P1437" s="985">
        <f t="shared" si="397"/>
        <v>0</v>
      </c>
      <c r="Q1437" s="985">
        <f t="shared" si="397"/>
        <v>0</v>
      </c>
      <c r="R1437" s="996" t="s">
        <v>40</v>
      </c>
      <c r="S1437" s="996" t="s">
        <v>40</v>
      </c>
      <c r="T1437" s="996" t="s">
        <v>40</v>
      </c>
    </row>
    <row r="1438" spans="1:20" ht="36" customHeight="1">
      <c r="A1438" s="1249"/>
      <c r="B1438" s="1261" t="s">
        <v>1078</v>
      </c>
      <c r="C1438" s="991"/>
      <c r="D1438" s="992"/>
      <c r="E1438" s="991"/>
      <c r="F1438" s="991"/>
      <c r="G1438" s="994"/>
      <c r="H1438" s="985">
        <f>SUM(H1439:H1443)</f>
        <v>4022.4</v>
      </c>
      <c r="I1438" s="985">
        <f t="shared" ref="I1438:Q1438" si="398">SUM(I1439:I1443)</f>
        <v>3212</v>
      </c>
      <c r="J1438" s="985">
        <f t="shared" si="398"/>
        <v>2931</v>
      </c>
      <c r="K1438" s="995">
        <f t="shared" si="398"/>
        <v>146</v>
      </c>
      <c r="L1438" s="985">
        <f t="shared" si="398"/>
        <v>8040898.5199999996</v>
      </c>
      <c r="M1438" s="985">
        <f t="shared" si="398"/>
        <v>0</v>
      </c>
      <c r="N1438" s="985">
        <f t="shared" si="398"/>
        <v>0</v>
      </c>
      <c r="O1438" s="985">
        <f t="shared" si="398"/>
        <v>8040898.5199999996</v>
      </c>
      <c r="P1438" s="985">
        <f t="shared" si="398"/>
        <v>0</v>
      </c>
      <c r="Q1438" s="985">
        <f t="shared" si="398"/>
        <v>0</v>
      </c>
      <c r="R1438" s="996" t="s">
        <v>40</v>
      </c>
      <c r="S1438" s="996" t="s">
        <v>40</v>
      </c>
      <c r="T1438" s="996" t="s">
        <v>40</v>
      </c>
    </row>
    <row r="1439" spans="1:20" ht="44.4" customHeight="1">
      <c r="A1439" s="1249">
        <v>495</v>
      </c>
      <c r="B1439" s="1260" t="s">
        <v>774</v>
      </c>
      <c r="C1439" s="1255">
        <v>1986</v>
      </c>
      <c r="D1439" s="1255"/>
      <c r="E1439" s="1249" t="s">
        <v>218</v>
      </c>
      <c r="F1439" s="1255">
        <v>3</v>
      </c>
      <c r="G1439" s="1255">
        <v>2</v>
      </c>
      <c r="H1439" s="985">
        <v>1876</v>
      </c>
      <c r="I1439" s="985">
        <v>1297.7</v>
      </c>
      <c r="J1439" s="985">
        <v>1297.7</v>
      </c>
      <c r="K1439" s="995">
        <v>41</v>
      </c>
      <c r="L1439" s="987">
        <v>3678196</v>
      </c>
      <c r="M1439" s="987">
        <v>0</v>
      </c>
      <c r="N1439" s="987">
        <v>0</v>
      </c>
      <c r="O1439" s="987">
        <v>3678196</v>
      </c>
      <c r="P1439" s="998">
        <v>0</v>
      </c>
      <c r="Q1439" s="987">
        <v>0</v>
      </c>
      <c r="R1439" s="985">
        <v>2834.3962395006547</v>
      </c>
      <c r="S1439" s="988">
        <v>2019</v>
      </c>
      <c r="T1439" s="988">
        <v>2020</v>
      </c>
    </row>
    <row r="1440" spans="1:20" ht="42.6" customHeight="1">
      <c r="A1440" s="1249">
        <v>496</v>
      </c>
      <c r="B1440" s="1260" t="s">
        <v>770</v>
      </c>
      <c r="C1440" s="1255">
        <v>1963</v>
      </c>
      <c r="D1440" s="1255"/>
      <c r="E1440" s="1249" t="s">
        <v>218</v>
      </c>
      <c r="F1440" s="1255">
        <v>2</v>
      </c>
      <c r="G1440" s="1255">
        <v>2</v>
      </c>
      <c r="H1440" s="985">
        <v>560.6</v>
      </c>
      <c r="I1440" s="985">
        <v>474.4</v>
      </c>
      <c r="J1440" s="985">
        <v>398.1</v>
      </c>
      <c r="K1440" s="995">
        <v>25</v>
      </c>
      <c r="L1440" s="987">
        <v>1456995</v>
      </c>
      <c r="M1440" s="987">
        <v>0</v>
      </c>
      <c r="N1440" s="987">
        <v>0</v>
      </c>
      <c r="O1440" s="987">
        <v>1456995</v>
      </c>
      <c r="P1440" s="998">
        <v>0</v>
      </c>
      <c r="Q1440" s="987">
        <v>0</v>
      </c>
      <c r="R1440" s="985">
        <v>3352.1732715008434</v>
      </c>
      <c r="S1440" s="988">
        <v>2017</v>
      </c>
      <c r="T1440" s="988">
        <v>2020</v>
      </c>
    </row>
    <row r="1441" spans="1:20" ht="42.6" customHeight="1">
      <c r="A1441" s="1249">
        <v>497</v>
      </c>
      <c r="B1441" s="1260" t="s">
        <v>772</v>
      </c>
      <c r="C1441" s="1255">
        <v>1968</v>
      </c>
      <c r="D1441" s="1255"/>
      <c r="E1441" s="1249" t="s">
        <v>218</v>
      </c>
      <c r="F1441" s="1255">
        <v>5</v>
      </c>
      <c r="G1441" s="1255">
        <v>4</v>
      </c>
      <c r="H1441" s="985">
        <v>541.20000000000005</v>
      </c>
      <c r="I1441" s="985">
        <v>476.4</v>
      </c>
      <c r="J1441" s="985">
        <v>387.3</v>
      </c>
      <c r="K1441" s="995">
        <v>39</v>
      </c>
      <c r="L1441" s="987">
        <v>1572372</v>
      </c>
      <c r="M1441" s="987">
        <v>0</v>
      </c>
      <c r="N1441" s="987">
        <v>0</v>
      </c>
      <c r="O1441" s="987">
        <v>1572372</v>
      </c>
      <c r="P1441" s="998">
        <v>0</v>
      </c>
      <c r="Q1441" s="987">
        <v>0</v>
      </c>
      <c r="R1441" s="985">
        <v>3300.5289672544081</v>
      </c>
      <c r="S1441" s="988">
        <v>2018</v>
      </c>
      <c r="T1441" s="988">
        <v>2020</v>
      </c>
    </row>
    <row r="1442" spans="1:20" ht="40.200000000000003" customHeight="1">
      <c r="A1442" s="1249">
        <v>498</v>
      </c>
      <c r="B1442" s="1260" t="s">
        <v>773</v>
      </c>
      <c r="C1442" s="1255">
        <v>1980</v>
      </c>
      <c r="D1442" s="1255"/>
      <c r="E1442" s="1249" t="s">
        <v>218</v>
      </c>
      <c r="F1442" s="1255">
        <v>2</v>
      </c>
      <c r="G1442" s="1255">
        <v>2</v>
      </c>
      <c r="H1442" s="985">
        <v>789.1</v>
      </c>
      <c r="I1442" s="985">
        <v>729.7</v>
      </c>
      <c r="J1442" s="985">
        <v>729.7</v>
      </c>
      <c r="K1442" s="995">
        <v>33</v>
      </c>
      <c r="L1442" s="987">
        <v>1080738</v>
      </c>
      <c r="M1442" s="987">
        <v>0</v>
      </c>
      <c r="N1442" s="987">
        <v>0</v>
      </c>
      <c r="O1442" s="987">
        <v>1080738</v>
      </c>
      <c r="P1442" s="998">
        <v>0</v>
      </c>
      <c r="Q1442" s="987">
        <v>0</v>
      </c>
      <c r="R1442" s="985">
        <v>1481.0716732903932</v>
      </c>
      <c r="S1442" s="988">
        <v>2018</v>
      </c>
      <c r="T1442" s="988">
        <v>2020</v>
      </c>
    </row>
    <row r="1443" spans="1:20" ht="40.799999999999997" customHeight="1">
      <c r="A1443" s="1249">
        <v>499</v>
      </c>
      <c r="B1443" s="1183" t="s">
        <v>1138</v>
      </c>
      <c r="C1443" s="1037">
        <v>1962</v>
      </c>
      <c r="D1443" s="1037"/>
      <c r="E1443" s="1249" t="s">
        <v>218</v>
      </c>
      <c r="F1443" s="1037">
        <v>2</v>
      </c>
      <c r="G1443" s="1037">
        <v>1</v>
      </c>
      <c r="H1443" s="1038">
        <v>255.5</v>
      </c>
      <c r="I1443" s="1038">
        <v>233.8</v>
      </c>
      <c r="J1443" s="1038">
        <v>118.2</v>
      </c>
      <c r="K1443" s="1039">
        <v>8</v>
      </c>
      <c r="L1443" s="987">
        <v>252597.52</v>
      </c>
      <c r="M1443" s="987">
        <v>0</v>
      </c>
      <c r="N1443" s="987">
        <v>0</v>
      </c>
      <c r="O1443" s="987">
        <v>252597.52</v>
      </c>
      <c r="P1443" s="1057">
        <v>0</v>
      </c>
      <c r="Q1443" s="987">
        <v>0</v>
      </c>
      <c r="R1443" s="1038">
        <v>1080.3999999999999</v>
      </c>
      <c r="S1443" s="988">
        <v>2016</v>
      </c>
      <c r="T1443" s="988">
        <v>2020</v>
      </c>
    </row>
    <row r="1444" spans="1:20" ht="34.200000000000003" customHeight="1">
      <c r="A1444" s="1249"/>
      <c r="B1444" s="1245" t="s">
        <v>1199</v>
      </c>
      <c r="C1444" s="1011"/>
      <c r="D1444" s="1012"/>
      <c r="E1444" s="1010"/>
      <c r="F1444" s="1011"/>
      <c r="G1444" s="1011"/>
      <c r="H1444" s="1038">
        <f>H1445</f>
        <v>304.39999999999998</v>
      </c>
      <c r="I1444" s="1038">
        <f t="shared" ref="I1444:Q1444" si="399">I1445</f>
        <v>304.39999999999998</v>
      </c>
      <c r="J1444" s="1038">
        <f t="shared" si="399"/>
        <v>297.8</v>
      </c>
      <c r="K1444" s="1039">
        <f t="shared" si="399"/>
        <v>17</v>
      </c>
      <c r="L1444" s="1038">
        <f t="shared" si="399"/>
        <v>1370763.89</v>
      </c>
      <c r="M1444" s="1038">
        <f t="shared" si="399"/>
        <v>0</v>
      </c>
      <c r="N1444" s="1038">
        <f t="shared" si="399"/>
        <v>0</v>
      </c>
      <c r="O1444" s="1038">
        <f t="shared" si="399"/>
        <v>1370763.89</v>
      </c>
      <c r="P1444" s="1038">
        <f t="shared" si="399"/>
        <v>0</v>
      </c>
      <c r="Q1444" s="1038">
        <f t="shared" si="399"/>
        <v>0</v>
      </c>
      <c r="R1444" s="996" t="s">
        <v>40</v>
      </c>
      <c r="S1444" s="996" t="s">
        <v>40</v>
      </c>
      <c r="T1444" s="996" t="s">
        <v>40</v>
      </c>
    </row>
    <row r="1445" spans="1:20" ht="46.2" customHeight="1">
      <c r="A1445" s="1249">
        <v>500</v>
      </c>
      <c r="B1445" s="1183" t="s">
        <v>2374</v>
      </c>
      <c r="C1445" s="1037">
        <v>1964</v>
      </c>
      <c r="D1445" s="1037"/>
      <c r="E1445" s="1249" t="s">
        <v>218</v>
      </c>
      <c r="F1445" s="1037">
        <v>2</v>
      </c>
      <c r="G1445" s="1037">
        <v>1</v>
      </c>
      <c r="H1445" s="1038">
        <v>304.39999999999998</v>
      </c>
      <c r="I1445" s="1038">
        <v>304.39999999999998</v>
      </c>
      <c r="J1445" s="1038">
        <v>297.8</v>
      </c>
      <c r="K1445" s="1039">
        <v>17</v>
      </c>
      <c r="L1445" s="987">
        <v>1370763.89</v>
      </c>
      <c r="M1445" s="987">
        <v>0</v>
      </c>
      <c r="N1445" s="987">
        <v>0</v>
      </c>
      <c r="O1445" s="987">
        <v>1370763.89</v>
      </c>
      <c r="P1445" s="1057">
        <v>0</v>
      </c>
      <c r="Q1445" s="987">
        <v>0</v>
      </c>
      <c r="R1445" s="985">
        <f>L1445/I1445</f>
        <v>4503.1665243101179</v>
      </c>
      <c r="S1445" s="988">
        <v>2019</v>
      </c>
      <c r="T1445" s="988">
        <v>2020</v>
      </c>
    </row>
    <row r="1446" spans="1:20" ht="33" customHeight="1">
      <c r="A1446" s="1249"/>
      <c r="B1446" s="1261" t="s">
        <v>49</v>
      </c>
      <c r="C1446" s="991"/>
      <c r="D1446" s="992"/>
      <c r="E1446" s="991"/>
      <c r="F1446" s="991"/>
      <c r="G1446" s="994"/>
      <c r="H1446" s="985">
        <f>H1447+H1451+H1458+H1454+H1449+H1456</f>
        <v>6927.8</v>
      </c>
      <c r="I1446" s="985">
        <f t="shared" ref="I1446:Q1446" si="400">I1447+I1451+I1458+I1454+I1449+I1456</f>
        <v>6334.9000000000005</v>
      </c>
      <c r="J1446" s="985">
        <f t="shared" si="400"/>
        <v>5365.1</v>
      </c>
      <c r="K1446" s="995">
        <f t="shared" si="400"/>
        <v>278</v>
      </c>
      <c r="L1446" s="985">
        <f t="shared" si="400"/>
        <v>11644242.68</v>
      </c>
      <c r="M1446" s="985">
        <f t="shared" si="400"/>
        <v>0</v>
      </c>
      <c r="N1446" s="985">
        <f t="shared" si="400"/>
        <v>150000</v>
      </c>
      <c r="O1446" s="985">
        <f t="shared" si="400"/>
        <v>11494242.68</v>
      </c>
      <c r="P1446" s="985">
        <f t="shared" si="400"/>
        <v>0</v>
      </c>
      <c r="Q1446" s="985">
        <f t="shared" si="400"/>
        <v>0</v>
      </c>
      <c r="R1446" s="996" t="s">
        <v>40</v>
      </c>
      <c r="S1446" s="996" t="s">
        <v>40</v>
      </c>
      <c r="T1446" s="996" t="s">
        <v>40</v>
      </c>
    </row>
    <row r="1447" spans="1:20" ht="34.799999999999997" customHeight="1">
      <c r="A1447" s="1383"/>
      <c r="B1447" s="1385" t="s">
        <v>1165</v>
      </c>
      <c r="C1447" s="991"/>
      <c r="D1447" s="992"/>
      <c r="E1447" s="993"/>
      <c r="F1447" s="991"/>
      <c r="G1447" s="994"/>
      <c r="H1447" s="985">
        <f>H1448</f>
        <v>3496.4</v>
      </c>
      <c r="I1447" s="985">
        <f t="shared" ref="I1447:Q1447" si="401">I1448</f>
        <v>3230.1</v>
      </c>
      <c r="J1447" s="985">
        <f t="shared" si="401"/>
        <v>2516.1</v>
      </c>
      <c r="K1447" s="995">
        <f t="shared" si="401"/>
        <v>121</v>
      </c>
      <c r="L1447" s="985">
        <f t="shared" si="401"/>
        <v>2567710.34</v>
      </c>
      <c r="M1447" s="985">
        <f t="shared" si="401"/>
        <v>0</v>
      </c>
      <c r="N1447" s="985">
        <f t="shared" si="401"/>
        <v>0</v>
      </c>
      <c r="O1447" s="985">
        <f t="shared" si="401"/>
        <v>2567710.34</v>
      </c>
      <c r="P1447" s="985">
        <f t="shared" si="401"/>
        <v>0</v>
      </c>
      <c r="Q1447" s="985">
        <f t="shared" si="401"/>
        <v>0</v>
      </c>
      <c r="R1447" s="996" t="s">
        <v>40</v>
      </c>
      <c r="S1447" s="996" t="s">
        <v>40</v>
      </c>
      <c r="T1447" s="996" t="s">
        <v>40</v>
      </c>
    </row>
    <row r="1448" spans="1:20" ht="33" customHeight="1">
      <c r="A1448" s="1249">
        <v>501</v>
      </c>
      <c r="B1448" s="1245" t="s">
        <v>1166</v>
      </c>
      <c r="C1448" s="1255">
        <v>1972</v>
      </c>
      <c r="D1448" s="1255"/>
      <c r="E1448" s="1249" t="s">
        <v>219</v>
      </c>
      <c r="F1448" s="1255">
        <v>5</v>
      </c>
      <c r="G1448" s="1255">
        <v>4</v>
      </c>
      <c r="H1448" s="985">
        <v>3496.4</v>
      </c>
      <c r="I1448" s="985">
        <v>3230.1</v>
      </c>
      <c r="J1448" s="985">
        <v>2516.1</v>
      </c>
      <c r="K1448" s="995">
        <v>121</v>
      </c>
      <c r="L1448" s="987">
        <v>2567710.34</v>
      </c>
      <c r="M1448" s="987">
        <v>0</v>
      </c>
      <c r="N1448" s="987">
        <v>0</v>
      </c>
      <c r="O1448" s="987">
        <f>L1448</f>
        <v>2567710.34</v>
      </c>
      <c r="P1448" s="998">
        <v>0</v>
      </c>
      <c r="Q1448" s="987">
        <v>0</v>
      </c>
      <c r="R1448" s="985">
        <f>L1448/I1448</f>
        <v>794.93215070740837</v>
      </c>
      <c r="S1448" s="988">
        <v>2019</v>
      </c>
      <c r="T1448" s="988">
        <v>2020</v>
      </c>
    </row>
    <row r="1449" spans="1:20" ht="35.4" customHeight="1">
      <c r="A1449" s="1249"/>
      <c r="B1449" s="1510" t="s">
        <v>1190</v>
      </c>
      <c r="C1449" s="1511"/>
      <c r="D1449" s="1511"/>
      <c r="E1449" s="1511"/>
      <c r="F1449" s="1511"/>
      <c r="G1449" s="1512"/>
      <c r="H1449" s="985">
        <v>389.6</v>
      </c>
      <c r="I1449" s="985">
        <v>389.6</v>
      </c>
      <c r="J1449" s="985">
        <v>353</v>
      </c>
      <c r="K1449" s="995">
        <v>23</v>
      </c>
      <c r="L1449" s="985">
        <v>1167688</v>
      </c>
      <c r="M1449" s="985">
        <v>0</v>
      </c>
      <c r="N1449" s="985">
        <v>150000</v>
      </c>
      <c r="O1449" s="985">
        <v>1017688</v>
      </c>
      <c r="P1449" s="985">
        <v>0</v>
      </c>
      <c r="Q1449" s="985">
        <v>0</v>
      </c>
      <c r="R1449" s="996" t="s">
        <v>40</v>
      </c>
      <c r="S1449" s="996" t="s">
        <v>40</v>
      </c>
      <c r="T1449" s="996" t="s">
        <v>40</v>
      </c>
    </row>
    <row r="1450" spans="1:20" ht="42" customHeight="1">
      <c r="A1450" s="1249">
        <v>502</v>
      </c>
      <c r="B1450" s="1260" t="s">
        <v>2375</v>
      </c>
      <c r="C1450" s="1255">
        <v>1963</v>
      </c>
      <c r="D1450" s="1255"/>
      <c r="E1450" s="1249" t="s">
        <v>218</v>
      </c>
      <c r="F1450" s="1255">
        <v>2</v>
      </c>
      <c r="G1450" s="1255">
        <v>2</v>
      </c>
      <c r="H1450" s="985">
        <v>389.6</v>
      </c>
      <c r="I1450" s="985">
        <v>389.6</v>
      </c>
      <c r="J1450" s="985">
        <v>353</v>
      </c>
      <c r="K1450" s="995">
        <v>23</v>
      </c>
      <c r="L1450" s="987">
        <v>1167688</v>
      </c>
      <c r="M1450" s="987">
        <v>0</v>
      </c>
      <c r="N1450" s="987">
        <v>150000</v>
      </c>
      <c r="O1450" s="987">
        <v>1017688</v>
      </c>
      <c r="P1450" s="998">
        <v>0</v>
      </c>
      <c r="Q1450" s="987">
        <v>0</v>
      </c>
      <c r="R1450" s="985">
        <v>2997.1457905544148</v>
      </c>
      <c r="S1450" s="988">
        <v>2019</v>
      </c>
      <c r="T1450" s="988">
        <v>2020</v>
      </c>
    </row>
    <row r="1451" spans="1:20" ht="37.200000000000003" customHeight="1">
      <c r="A1451" s="1249"/>
      <c r="B1451" s="1245" t="s">
        <v>1181</v>
      </c>
      <c r="C1451" s="1011"/>
      <c r="D1451" s="1012"/>
      <c r="E1451" s="1010"/>
      <c r="F1451" s="1011"/>
      <c r="G1451" s="1011"/>
      <c r="H1451" s="985">
        <f>H1452+H1453</f>
        <v>1114</v>
      </c>
      <c r="I1451" s="985">
        <f t="shared" ref="I1451:Q1451" si="402">I1452+I1453</f>
        <v>1114</v>
      </c>
      <c r="J1451" s="985">
        <f t="shared" si="402"/>
        <v>1046</v>
      </c>
      <c r="K1451" s="995">
        <f t="shared" si="402"/>
        <v>57</v>
      </c>
      <c r="L1451" s="985">
        <f t="shared" si="402"/>
        <v>1811368</v>
      </c>
      <c r="M1451" s="985">
        <f t="shared" si="402"/>
        <v>0</v>
      </c>
      <c r="N1451" s="985">
        <f t="shared" si="402"/>
        <v>0</v>
      </c>
      <c r="O1451" s="985">
        <f t="shared" si="402"/>
        <v>1811368</v>
      </c>
      <c r="P1451" s="985">
        <f t="shared" si="402"/>
        <v>0</v>
      </c>
      <c r="Q1451" s="985">
        <f t="shared" si="402"/>
        <v>0</v>
      </c>
      <c r="R1451" s="996" t="s">
        <v>40</v>
      </c>
      <c r="S1451" s="996" t="s">
        <v>40</v>
      </c>
      <c r="T1451" s="996" t="s">
        <v>40</v>
      </c>
    </row>
    <row r="1452" spans="1:20" ht="42" customHeight="1">
      <c r="A1452" s="1249">
        <v>503</v>
      </c>
      <c r="B1452" s="1025" t="s">
        <v>2376</v>
      </c>
      <c r="C1452" s="1255">
        <v>1966</v>
      </c>
      <c r="D1452" s="1245"/>
      <c r="E1452" s="1249" t="s">
        <v>218</v>
      </c>
      <c r="F1452" s="1255">
        <v>2</v>
      </c>
      <c r="G1452" s="1255">
        <v>2</v>
      </c>
      <c r="H1452" s="985">
        <v>357.7</v>
      </c>
      <c r="I1452" s="985">
        <v>357.7</v>
      </c>
      <c r="J1452" s="985">
        <v>356.7</v>
      </c>
      <c r="K1452" s="995">
        <v>19</v>
      </c>
      <c r="L1452" s="987">
        <v>1213282</v>
      </c>
      <c r="M1452" s="987">
        <v>0</v>
      </c>
      <c r="N1452" s="987">
        <v>0</v>
      </c>
      <c r="O1452" s="987">
        <v>1213282</v>
      </c>
      <c r="P1452" s="998">
        <v>0</v>
      </c>
      <c r="Q1452" s="987">
        <v>0</v>
      </c>
      <c r="R1452" s="985">
        <f t="shared" ref="R1452:R1453" si="403">L1452/I1452</f>
        <v>3391.8982387475539</v>
      </c>
      <c r="S1452" s="988">
        <v>2018</v>
      </c>
      <c r="T1452" s="988">
        <v>2020</v>
      </c>
    </row>
    <row r="1453" spans="1:20" ht="42.6" customHeight="1">
      <c r="A1453" s="1249">
        <v>504</v>
      </c>
      <c r="B1453" s="1025" t="s">
        <v>2377</v>
      </c>
      <c r="C1453" s="1255">
        <v>1964</v>
      </c>
      <c r="D1453" s="1245"/>
      <c r="E1453" s="1249" t="s">
        <v>219</v>
      </c>
      <c r="F1453" s="1255">
        <v>2</v>
      </c>
      <c r="G1453" s="1255">
        <v>2</v>
      </c>
      <c r="H1453" s="985">
        <v>756.3</v>
      </c>
      <c r="I1453" s="985">
        <v>756.3</v>
      </c>
      <c r="J1453" s="985">
        <v>689.3</v>
      </c>
      <c r="K1453" s="995">
        <v>38</v>
      </c>
      <c r="L1453" s="987">
        <v>598086</v>
      </c>
      <c r="M1453" s="987">
        <v>0</v>
      </c>
      <c r="N1453" s="987">
        <v>0</v>
      </c>
      <c r="O1453" s="987">
        <v>598086</v>
      </c>
      <c r="P1453" s="998">
        <v>0</v>
      </c>
      <c r="Q1453" s="987">
        <v>0</v>
      </c>
      <c r="R1453" s="985">
        <f t="shared" si="403"/>
        <v>790.80523601745347</v>
      </c>
      <c r="S1453" s="988">
        <v>2019</v>
      </c>
      <c r="T1453" s="988">
        <v>2020</v>
      </c>
    </row>
    <row r="1454" spans="1:20" ht="37.799999999999997" customHeight="1">
      <c r="A1454" s="1249"/>
      <c r="B1454" s="1245" t="s">
        <v>1563</v>
      </c>
      <c r="C1454" s="1011"/>
      <c r="D1454" s="1012"/>
      <c r="E1454" s="1010"/>
      <c r="F1454" s="1011"/>
      <c r="G1454" s="1011"/>
      <c r="H1454" s="985">
        <f>H1455</f>
        <v>420.7</v>
      </c>
      <c r="I1454" s="985">
        <f t="shared" ref="I1454:Q1454" si="404">I1455</f>
        <v>420.7</v>
      </c>
      <c r="J1454" s="985">
        <f t="shared" si="404"/>
        <v>320.3</v>
      </c>
      <c r="K1454" s="995">
        <f t="shared" si="404"/>
        <v>24</v>
      </c>
      <c r="L1454" s="985">
        <f t="shared" si="404"/>
        <v>1401226</v>
      </c>
      <c r="M1454" s="985">
        <f t="shared" si="404"/>
        <v>0</v>
      </c>
      <c r="N1454" s="985">
        <f t="shared" si="404"/>
        <v>0</v>
      </c>
      <c r="O1454" s="985">
        <f t="shared" si="404"/>
        <v>1401226</v>
      </c>
      <c r="P1454" s="985">
        <f t="shared" si="404"/>
        <v>0</v>
      </c>
      <c r="Q1454" s="985">
        <f t="shared" si="404"/>
        <v>0</v>
      </c>
      <c r="R1454" s="996" t="s">
        <v>40</v>
      </c>
      <c r="S1454" s="996" t="s">
        <v>40</v>
      </c>
      <c r="T1454" s="996" t="s">
        <v>40</v>
      </c>
    </row>
    <row r="1455" spans="1:20" ht="40.799999999999997" customHeight="1">
      <c r="A1455" s="1249">
        <v>505</v>
      </c>
      <c r="B1455" s="1025" t="s">
        <v>1566</v>
      </c>
      <c r="C1455" s="1255">
        <v>1957</v>
      </c>
      <c r="D1455" s="1245"/>
      <c r="E1455" s="1249" t="s">
        <v>218</v>
      </c>
      <c r="F1455" s="1255">
        <v>2</v>
      </c>
      <c r="G1455" s="1255">
        <v>3</v>
      </c>
      <c r="H1455" s="985">
        <v>420.7</v>
      </c>
      <c r="I1455" s="985">
        <v>420.7</v>
      </c>
      <c r="J1455" s="985">
        <v>320.3</v>
      </c>
      <c r="K1455" s="995">
        <v>24</v>
      </c>
      <c r="L1455" s="987">
        <v>1401226</v>
      </c>
      <c r="M1455" s="987">
        <v>0</v>
      </c>
      <c r="N1455" s="987">
        <v>0</v>
      </c>
      <c r="O1455" s="987">
        <v>1401226</v>
      </c>
      <c r="P1455" s="998">
        <v>0</v>
      </c>
      <c r="Q1455" s="987">
        <v>0</v>
      </c>
      <c r="R1455" s="985">
        <f t="shared" ref="R1455" si="405">L1455/I1455</f>
        <v>3330.7012122652723</v>
      </c>
      <c r="S1455" s="988">
        <v>2019</v>
      </c>
      <c r="T1455" s="988">
        <v>2020</v>
      </c>
    </row>
    <row r="1456" spans="1:20" ht="43.2" customHeight="1">
      <c r="A1456" s="1249"/>
      <c r="B1456" s="1261" t="s">
        <v>1079</v>
      </c>
      <c r="C1456" s="991"/>
      <c r="D1456" s="992"/>
      <c r="E1456" s="991"/>
      <c r="F1456" s="991"/>
      <c r="G1456" s="994"/>
      <c r="H1456" s="985">
        <f>H1457</f>
        <v>637.1</v>
      </c>
      <c r="I1456" s="985">
        <f t="shared" ref="I1456:Q1456" si="406">I1457</f>
        <v>415.1</v>
      </c>
      <c r="J1456" s="985">
        <f t="shared" si="406"/>
        <v>412.1</v>
      </c>
      <c r="K1456" s="995">
        <f t="shared" si="406"/>
        <v>24</v>
      </c>
      <c r="L1456" s="985">
        <f t="shared" si="406"/>
        <v>2064607.34</v>
      </c>
      <c r="M1456" s="985">
        <f t="shared" si="406"/>
        <v>0</v>
      </c>
      <c r="N1456" s="985">
        <f t="shared" si="406"/>
        <v>0</v>
      </c>
      <c r="O1456" s="985">
        <f t="shared" si="406"/>
        <v>2064607.34</v>
      </c>
      <c r="P1456" s="985">
        <f t="shared" si="406"/>
        <v>0</v>
      </c>
      <c r="Q1456" s="985">
        <f t="shared" si="406"/>
        <v>0</v>
      </c>
      <c r="R1456" s="996" t="s">
        <v>40</v>
      </c>
      <c r="S1456" s="996" t="s">
        <v>40</v>
      </c>
      <c r="T1456" s="996" t="s">
        <v>40</v>
      </c>
    </row>
    <row r="1457" spans="1:20" ht="42" customHeight="1">
      <c r="A1457" s="1249">
        <v>506</v>
      </c>
      <c r="B1457" s="1025" t="s">
        <v>1667</v>
      </c>
      <c r="C1457" s="1255">
        <v>1965</v>
      </c>
      <c r="D1457" s="1245"/>
      <c r="E1457" s="1249" t="s">
        <v>218</v>
      </c>
      <c r="F1457" s="1255">
        <v>2</v>
      </c>
      <c r="G1457" s="1255">
        <v>2</v>
      </c>
      <c r="H1457" s="985">
        <v>637.1</v>
      </c>
      <c r="I1457" s="985">
        <v>415.1</v>
      </c>
      <c r="J1457" s="985">
        <v>412.1</v>
      </c>
      <c r="K1457" s="995">
        <v>24</v>
      </c>
      <c r="L1457" s="987">
        <v>2064607.34</v>
      </c>
      <c r="M1457" s="987">
        <v>0</v>
      </c>
      <c r="N1457" s="987">
        <v>0</v>
      </c>
      <c r="O1457" s="987">
        <v>2064607.34</v>
      </c>
      <c r="P1457" s="998">
        <v>0</v>
      </c>
      <c r="Q1457" s="987">
        <v>0</v>
      </c>
      <c r="R1457" s="985">
        <f t="shared" ref="R1457" si="407">L1457/I1457</f>
        <v>4973.7589496506862</v>
      </c>
      <c r="S1457" s="988">
        <v>2019</v>
      </c>
      <c r="T1457" s="988">
        <v>2020</v>
      </c>
    </row>
    <row r="1458" spans="1:20" ht="39" customHeight="1">
      <c r="A1458" s="1249"/>
      <c r="B1458" s="1245" t="s">
        <v>1168</v>
      </c>
      <c r="C1458" s="1011"/>
      <c r="D1458" s="1012"/>
      <c r="E1458" s="1010"/>
      <c r="F1458" s="1011"/>
      <c r="G1458" s="1011"/>
      <c r="H1458" s="985">
        <f>H1459+H1460</f>
        <v>870</v>
      </c>
      <c r="I1458" s="985">
        <f t="shared" ref="I1458:J1458" si="408">I1459+I1460</f>
        <v>765.40000000000009</v>
      </c>
      <c r="J1458" s="985">
        <f t="shared" si="408"/>
        <v>717.6</v>
      </c>
      <c r="K1458" s="995">
        <f>K1459+K1460</f>
        <v>29</v>
      </c>
      <c r="L1458" s="987">
        <f>L1459+L1460</f>
        <v>2631643</v>
      </c>
      <c r="M1458" s="987">
        <f t="shared" ref="M1458:Q1458" si="409">M1459+M1460</f>
        <v>0</v>
      </c>
      <c r="N1458" s="987">
        <f t="shared" si="409"/>
        <v>0</v>
      </c>
      <c r="O1458" s="987">
        <f t="shared" si="409"/>
        <v>2631643</v>
      </c>
      <c r="P1458" s="987">
        <f t="shared" si="409"/>
        <v>0</v>
      </c>
      <c r="Q1458" s="987">
        <f t="shared" si="409"/>
        <v>0</v>
      </c>
      <c r="R1458" s="996" t="s">
        <v>40</v>
      </c>
      <c r="S1458" s="996" t="s">
        <v>40</v>
      </c>
      <c r="T1458" s="996" t="s">
        <v>40</v>
      </c>
    </row>
    <row r="1459" spans="1:20" ht="40.799999999999997" customHeight="1">
      <c r="A1459" s="1249">
        <v>507</v>
      </c>
      <c r="B1459" s="1260" t="s">
        <v>1197</v>
      </c>
      <c r="C1459" s="1255">
        <v>1957</v>
      </c>
      <c r="D1459" s="1255"/>
      <c r="E1459" s="1249" t="s">
        <v>218</v>
      </c>
      <c r="F1459" s="1255">
        <v>2</v>
      </c>
      <c r="G1459" s="1255">
        <v>1</v>
      </c>
      <c r="H1459" s="985">
        <v>363.1</v>
      </c>
      <c r="I1459" s="985">
        <v>363.1</v>
      </c>
      <c r="J1459" s="985">
        <v>363.1</v>
      </c>
      <c r="K1459" s="995">
        <v>15</v>
      </c>
      <c r="L1459" s="987">
        <v>1326764</v>
      </c>
      <c r="M1459" s="987">
        <v>0</v>
      </c>
      <c r="N1459" s="987">
        <v>0</v>
      </c>
      <c r="O1459" s="987">
        <v>1326764</v>
      </c>
      <c r="P1459" s="998">
        <v>0</v>
      </c>
      <c r="Q1459" s="987">
        <v>0</v>
      </c>
      <c r="R1459" s="985">
        <f>L1459/I1459</f>
        <v>3653.9906361883777</v>
      </c>
      <c r="S1459" s="988">
        <v>2019</v>
      </c>
      <c r="T1459" s="988">
        <v>2020</v>
      </c>
    </row>
    <row r="1460" spans="1:20" ht="40.799999999999997" customHeight="1">
      <c r="A1460" s="1249">
        <v>508</v>
      </c>
      <c r="B1460" s="1245" t="s">
        <v>1169</v>
      </c>
      <c r="C1460" s="1255">
        <v>1958</v>
      </c>
      <c r="D1460" s="1255"/>
      <c r="E1460" s="1249" t="s">
        <v>218</v>
      </c>
      <c r="F1460" s="1255">
        <v>2</v>
      </c>
      <c r="G1460" s="1255">
        <v>1</v>
      </c>
      <c r="H1460" s="985">
        <v>506.9</v>
      </c>
      <c r="I1460" s="985">
        <v>402.3</v>
      </c>
      <c r="J1460" s="985">
        <v>354.5</v>
      </c>
      <c r="K1460" s="995">
        <v>14</v>
      </c>
      <c r="L1460" s="987">
        <v>1304879</v>
      </c>
      <c r="M1460" s="987">
        <v>0</v>
      </c>
      <c r="N1460" s="987">
        <v>0</v>
      </c>
      <c r="O1460" s="987">
        <v>1304879</v>
      </c>
      <c r="P1460" s="998">
        <v>0</v>
      </c>
      <c r="Q1460" s="987">
        <v>0</v>
      </c>
      <c r="R1460" s="985">
        <f>L1460/I1460</f>
        <v>3243.547104151131</v>
      </c>
      <c r="S1460" s="988">
        <v>2018</v>
      </c>
      <c r="T1460" s="988">
        <v>2020</v>
      </c>
    </row>
    <row r="1461" spans="1:20" ht="38.4" customHeight="1">
      <c r="A1461" s="1249"/>
      <c r="B1461" s="1261" t="s">
        <v>50</v>
      </c>
      <c r="C1461" s="991"/>
      <c r="D1461" s="992"/>
      <c r="E1461" s="993"/>
      <c r="F1461" s="991"/>
      <c r="G1461" s="994"/>
      <c r="H1461" s="985">
        <f>H1462</f>
        <v>1765.3999999999999</v>
      </c>
      <c r="I1461" s="985">
        <f t="shared" ref="I1461:Q1461" si="410">I1462</f>
        <v>1571.9</v>
      </c>
      <c r="J1461" s="985">
        <f t="shared" si="410"/>
        <v>1316.7</v>
      </c>
      <c r="K1461" s="995">
        <f t="shared" si="410"/>
        <v>69</v>
      </c>
      <c r="L1461" s="985">
        <f t="shared" si="410"/>
        <v>6107767.9199999999</v>
      </c>
      <c r="M1461" s="985">
        <f t="shared" si="410"/>
        <v>0</v>
      </c>
      <c r="N1461" s="985">
        <f t="shared" si="410"/>
        <v>0</v>
      </c>
      <c r="O1461" s="985">
        <f t="shared" si="410"/>
        <v>6107767.9199999999</v>
      </c>
      <c r="P1461" s="985">
        <f t="shared" si="410"/>
        <v>0</v>
      </c>
      <c r="Q1461" s="985">
        <f t="shared" si="410"/>
        <v>0</v>
      </c>
      <c r="R1461" s="996" t="s">
        <v>40</v>
      </c>
      <c r="S1461" s="996" t="s">
        <v>40</v>
      </c>
      <c r="T1461" s="996" t="s">
        <v>40</v>
      </c>
    </row>
    <row r="1462" spans="1:20" ht="39.6" customHeight="1">
      <c r="A1462" s="1249"/>
      <c r="B1462" s="1261" t="s">
        <v>1081</v>
      </c>
      <c r="C1462" s="991"/>
      <c r="D1462" s="992"/>
      <c r="E1462" s="993"/>
      <c r="F1462" s="991"/>
      <c r="G1462" s="994"/>
      <c r="H1462" s="985">
        <f>SUM(H1463:H1466)</f>
        <v>1765.3999999999999</v>
      </c>
      <c r="I1462" s="985">
        <f t="shared" ref="I1462:Q1462" si="411">SUM(I1463:I1466)</f>
        <v>1571.9</v>
      </c>
      <c r="J1462" s="985">
        <f t="shared" si="411"/>
        <v>1316.7</v>
      </c>
      <c r="K1462" s="995">
        <f t="shared" si="411"/>
        <v>69</v>
      </c>
      <c r="L1462" s="985">
        <f t="shared" si="411"/>
        <v>6107767.9199999999</v>
      </c>
      <c r="M1462" s="985">
        <f t="shared" si="411"/>
        <v>0</v>
      </c>
      <c r="N1462" s="985">
        <f t="shared" si="411"/>
        <v>0</v>
      </c>
      <c r="O1462" s="985">
        <f t="shared" si="411"/>
        <v>6107767.9199999999</v>
      </c>
      <c r="P1462" s="985">
        <f t="shared" si="411"/>
        <v>0</v>
      </c>
      <c r="Q1462" s="985">
        <f t="shared" si="411"/>
        <v>0</v>
      </c>
      <c r="R1462" s="996" t="s">
        <v>40</v>
      </c>
      <c r="S1462" s="996" t="s">
        <v>40</v>
      </c>
      <c r="T1462" s="996" t="s">
        <v>40</v>
      </c>
    </row>
    <row r="1463" spans="1:20" ht="39.6" customHeight="1">
      <c r="A1463" s="1046">
        <v>509</v>
      </c>
      <c r="B1463" s="1265" t="s">
        <v>1383</v>
      </c>
      <c r="C1463" s="1085">
        <v>1962</v>
      </c>
      <c r="D1463" s="1086"/>
      <c r="E1463" s="1249" t="s">
        <v>218</v>
      </c>
      <c r="F1463" s="1085">
        <v>2</v>
      </c>
      <c r="G1463" s="1085">
        <v>2</v>
      </c>
      <c r="H1463" s="1088">
        <v>296.2</v>
      </c>
      <c r="I1463" s="1148">
        <v>274.8</v>
      </c>
      <c r="J1463" s="1148">
        <v>184.1</v>
      </c>
      <c r="K1463" s="1149">
        <v>22</v>
      </c>
      <c r="L1463" s="1184">
        <v>1292918</v>
      </c>
      <c r="M1463" s="1151">
        <v>0</v>
      </c>
      <c r="N1463" s="1151">
        <v>0</v>
      </c>
      <c r="O1463" s="1184">
        <v>1292918</v>
      </c>
      <c r="P1463" s="1151">
        <v>0</v>
      </c>
      <c r="Q1463" s="1151">
        <v>0</v>
      </c>
      <c r="R1463" s="1145">
        <f>L1463/I1463</f>
        <v>4704.9417758369718</v>
      </c>
      <c r="S1463" s="1046">
        <v>2019</v>
      </c>
      <c r="T1463" s="1046">
        <v>2020</v>
      </c>
    </row>
    <row r="1464" spans="1:20" ht="40.200000000000003" customHeight="1">
      <c r="A1464" s="1046">
        <v>510</v>
      </c>
      <c r="B1464" s="1185" t="s">
        <v>413</v>
      </c>
      <c r="C1464" s="1186">
        <v>1967</v>
      </c>
      <c r="D1464" s="1083"/>
      <c r="E1464" s="1249" t="s">
        <v>218</v>
      </c>
      <c r="F1464" s="1187">
        <v>2</v>
      </c>
      <c r="G1464" s="1187">
        <v>3</v>
      </c>
      <c r="H1464" s="1188">
        <v>483.9</v>
      </c>
      <c r="I1464" s="1189">
        <v>483.2</v>
      </c>
      <c r="J1464" s="1190">
        <v>413.9</v>
      </c>
      <c r="K1464" s="1191">
        <v>22</v>
      </c>
      <c r="L1464" s="1192">
        <v>1714462.62</v>
      </c>
      <c r="M1464" s="1151">
        <v>0</v>
      </c>
      <c r="N1464" s="1151">
        <v>0</v>
      </c>
      <c r="O1464" s="1192">
        <v>1714462.62</v>
      </c>
      <c r="P1464" s="1151">
        <v>0</v>
      </c>
      <c r="Q1464" s="1151">
        <v>0</v>
      </c>
      <c r="R1464" s="1145">
        <f>L1464/I1464</f>
        <v>3548.142839403974</v>
      </c>
      <c r="S1464" s="1046">
        <v>2019</v>
      </c>
      <c r="T1464" s="1046">
        <v>2020</v>
      </c>
    </row>
    <row r="1465" spans="1:20" ht="38.4" customHeight="1">
      <c r="A1465" s="1046">
        <v>511</v>
      </c>
      <c r="B1465" s="1185" t="s">
        <v>845</v>
      </c>
      <c r="C1465" s="1193">
        <v>1967</v>
      </c>
      <c r="D1465" s="1194"/>
      <c r="E1465" s="1249" t="s">
        <v>218</v>
      </c>
      <c r="F1465" s="1195">
        <v>2</v>
      </c>
      <c r="G1465" s="1195">
        <v>1</v>
      </c>
      <c r="H1465" s="1196">
        <v>405.6</v>
      </c>
      <c r="I1465" s="1197">
        <v>234.2</v>
      </c>
      <c r="J1465" s="1197">
        <v>234.2</v>
      </c>
      <c r="K1465" s="1198">
        <v>6</v>
      </c>
      <c r="L1465" s="1199">
        <v>1513827</v>
      </c>
      <c r="M1465" s="1114">
        <v>0</v>
      </c>
      <c r="N1465" s="1114">
        <v>0</v>
      </c>
      <c r="O1465" s="1199">
        <v>1513827</v>
      </c>
      <c r="P1465" s="1114">
        <v>0</v>
      </c>
      <c r="Q1465" s="1114">
        <v>0</v>
      </c>
      <c r="R1465" s="1016">
        <f>L1465/I1465</f>
        <v>6463.821520068318</v>
      </c>
      <c r="S1465" s="1046">
        <v>2019</v>
      </c>
      <c r="T1465" s="1046">
        <v>2020</v>
      </c>
    </row>
    <row r="1466" spans="1:20" ht="40.799999999999997" customHeight="1">
      <c r="A1466" s="1046">
        <v>512</v>
      </c>
      <c r="B1466" s="1185" t="s">
        <v>1143</v>
      </c>
      <c r="C1466" s="1186">
        <v>1967</v>
      </c>
      <c r="D1466" s="1083"/>
      <c r="E1466" s="1249" t="s">
        <v>218</v>
      </c>
      <c r="F1466" s="1187">
        <v>2</v>
      </c>
      <c r="G1466" s="1187">
        <v>2</v>
      </c>
      <c r="H1466" s="1188">
        <v>579.70000000000005</v>
      </c>
      <c r="I1466" s="1190">
        <v>579.70000000000005</v>
      </c>
      <c r="J1466" s="1190">
        <v>484.5</v>
      </c>
      <c r="K1466" s="1191">
        <v>19</v>
      </c>
      <c r="L1466" s="1192">
        <v>1586560.3</v>
      </c>
      <c r="M1466" s="1151">
        <v>0</v>
      </c>
      <c r="N1466" s="1151">
        <v>0</v>
      </c>
      <c r="O1466" s="1192">
        <v>1586560.3</v>
      </c>
      <c r="P1466" s="1151">
        <v>0</v>
      </c>
      <c r="Q1466" s="1151">
        <v>0</v>
      </c>
      <c r="R1466" s="1145">
        <f>L1466/I1466</f>
        <v>2736.8644126272206</v>
      </c>
      <c r="S1466" s="1046">
        <v>2019</v>
      </c>
      <c r="T1466" s="1046">
        <v>2020</v>
      </c>
    </row>
    <row r="1467" spans="1:20" ht="33" customHeight="1">
      <c r="A1467" s="1249"/>
      <c r="B1467" s="1261" t="s">
        <v>1221</v>
      </c>
      <c r="C1467" s="991"/>
      <c r="D1467" s="992"/>
      <c r="E1467" s="993"/>
      <c r="F1467" s="991"/>
      <c r="G1467" s="994"/>
      <c r="H1467" s="985">
        <f>SUM(H1468:H1482)</f>
        <v>6744.3</v>
      </c>
      <c r="I1467" s="985">
        <f t="shared" ref="I1467:Q1467" si="412">SUM(I1468:I1482)</f>
        <v>6744.3</v>
      </c>
      <c r="J1467" s="985">
        <f t="shared" si="412"/>
        <v>4459.3</v>
      </c>
      <c r="K1467" s="995">
        <f t="shared" si="412"/>
        <v>310</v>
      </c>
      <c r="L1467" s="985">
        <f t="shared" si="412"/>
        <v>15732939.850000001</v>
      </c>
      <c r="M1467" s="985">
        <f t="shared" si="412"/>
        <v>0</v>
      </c>
      <c r="N1467" s="985">
        <f t="shared" si="412"/>
        <v>0</v>
      </c>
      <c r="O1467" s="985">
        <f t="shared" si="412"/>
        <v>15732939.850000001</v>
      </c>
      <c r="P1467" s="985">
        <f t="shared" si="412"/>
        <v>0</v>
      </c>
      <c r="Q1467" s="985">
        <f t="shared" si="412"/>
        <v>0</v>
      </c>
      <c r="R1467" s="996" t="s">
        <v>40</v>
      </c>
      <c r="S1467" s="996" t="s">
        <v>40</v>
      </c>
      <c r="T1467" s="996" t="s">
        <v>40</v>
      </c>
    </row>
    <row r="1468" spans="1:20" ht="42.6" customHeight="1">
      <c r="A1468" s="1249">
        <v>513</v>
      </c>
      <c r="B1468" s="1200" t="s">
        <v>1961</v>
      </c>
      <c r="C1468" s="1048">
        <v>1917</v>
      </c>
      <c r="D1468" s="1048"/>
      <c r="E1468" s="1249" t="s">
        <v>218</v>
      </c>
      <c r="F1468" s="1048">
        <v>2</v>
      </c>
      <c r="G1468" s="1048">
        <v>1</v>
      </c>
      <c r="H1468" s="1067">
        <v>329</v>
      </c>
      <c r="I1468" s="1067">
        <v>329</v>
      </c>
      <c r="J1468" s="1067">
        <v>172.1</v>
      </c>
      <c r="K1468" s="1077">
        <v>12</v>
      </c>
      <c r="L1468" s="1067">
        <v>222833.4</v>
      </c>
      <c r="M1468" s="1067">
        <v>0</v>
      </c>
      <c r="N1468" s="1067">
        <v>0</v>
      </c>
      <c r="O1468" s="1067">
        <v>222833.4</v>
      </c>
      <c r="P1468" s="1067">
        <v>0</v>
      </c>
      <c r="Q1468" s="1067">
        <v>0</v>
      </c>
      <c r="R1468" s="1163">
        <f t="shared" ref="R1468:R1480" si="413">L1468/I1468</f>
        <v>677.30516717325224</v>
      </c>
      <c r="S1468" s="1048">
        <v>2016</v>
      </c>
      <c r="T1468" s="1048">
        <v>2020</v>
      </c>
    </row>
    <row r="1469" spans="1:20" ht="33.6" customHeight="1">
      <c r="A1469" s="1249">
        <v>514</v>
      </c>
      <c r="B1469" s="1076" t="s">
        <v>2378</v>
      </c>
      <c r="C1469" s="1048">
        <v>1917</v>
      </c>
      <c r="D1469" s="1048"/>
      <c r="E1469" s="1048" t="s">
        <v>221</v>
      </c>
      <c r="F1469" s="1048">
        <v>2</v>
      </c>
      <c r="G1469" s="1048">
        <v>2</v>
      </c>
      <c r="H1469" s="1067">
        <v>213.1</v>
      </c>
      <c r="I1469" s="1067">
        <v>213.1</v>
      </c>
      <c r="J1469" s="1067">
        <v>201.3</v>
      </c>
      <c r="K1469" s="1077">
        <v>10</v>
      </c>
      <c r="L1469" s="1067">
        <v>879336.74</v>
      </c>
      <c r="M1469" s="1067">
        <v>0</v>
      </c>
      <c r="N1469" s="1067">
        <v>0</v>
      </c>
      <c r="O1469" s="1067">
        <v>879336.74</v>
      </c>
      <c r="P1469" s="1067">
        <v>0</v>
      </c>
      <c r="Q1469" s="1067">
        <v>0</v>
      </c>
      <c r="R1469" s="1163">
        <f t="shared" si="413"/>
        <v>4126.4042233693099</v>
      </c>
      <c r="S1469" s="1048">
        <v>2016</v>
      </c>
      <c r="T1469" s="1048">
        <v>2020</v>
      </c>
    </row>
    <row r="1470" spans="1:20" ht="40.200000000000003" customHeight="1">
      <c r="A1470" s="1249">
        <v>515</v>
      </c>
      <c r="B1470" s="1076" t="s">
        <v>1963</v>
      </c>
      <c r="C1470" s="1048">
        <v>1955</v>
      </c>
      <c r="D1470" s="1048"/>
      <c r="E1470" s="1249" t="s">
        <v>218</v>
      </c>
      <c r="F1470" s="1048">
        <v>2</v>
      </c>
      <c r="G1470" s="1048">
        <v>2</v>
      </c>
      <c r="H1470" s="1067">
        <v>431.2</v>
      </c>
      <c r="I1470" s="1067">
        <v>431.2</v>
      </c>
      <c r="J1470" s="1067">
        <v>389.4</v>
      </c>
      <c r="K1470" s="1077">
        <v>20</v>
      </c>
      <c r="L1470" s="1075">
        <v>1222583.81</v>
      </c>
      <c r="M1470" s="1067">
        <v>0</v>
      </c>
      <c r="N1470" s="1067">
        <v>0</v>
      </c>
      <c r="O1470" s="1075">
        <v>1222583.81</v>
      </c>
      <c r="P1470" s="1067">
        <v>0</v>
      </c>
      <c r="Q1470" s="1067">
        <v>0</v>
      </c>
      <c r="R1470" s="1163">
        <f t="shared" si="413"/>
        <v>2835.3056818181822</v>
      </c>
      <c r="S1470" s="1048">
        <v>2016</v>
      </c>
      <c r="T1470" s="1048">
        <v>2020</v>
      </c>
    </row>
    <row r="1471" spans="1:20" ht="40.799999999999997" customHeight="1">
      <c r="A1471" s="1383">
        <v>516</v>
      </c>
      <c r="B1471" s="1076" t="s">
        <v>1964</v>
      </c>
      <c r="C1471" s="1048">
        <v>1976</v>
      </c>
      <c r="D1471" s="1048"/>
      <c r="E1471" s="1383" t="s">
        <v>218</v>
      </c>
      <c r="F1471" s="1048">
        <v>2</v>
      </c>
      <c r="G1471" s="1048">
        <v>2</v>
      </c>
      <c r="H1471" s="1067">
        <v>560.79999999999995</v>
      </c>
      <c r="I1471" s="1067">
        <v>560.79999999999995</v>
      </c>
      <c r="J1471" s="1067">
        <v>303.2</v>
      </c>
      <c r="K1471" s="1077">
        <v>19</v>
      </c>
      <c r="L1471" s="985">
        <v>1659606.4</v>
      </c>
      <c r="M1471" s="1067">
        <v>0</v>
      </c>
      <c r="N1471" s="1067">
        <v>0</v>
      </c>
      <c r="O1471" s="985">
        <v>1659606.4</v>
      </c>
      <c r="P1471" s="1067">
        <v>0</v>
      </c>
      <c r="Q1471" s="1067">
        <v>0</v>
      </c>
      <c r="R1471" s="1163">
        <f t="shared" ref="R1471:R1472" si="414">L1471/I1471</f>
        <v>2959.3552068473609</v>
      </c>
      <c r="S1471" s="1048">
        <v>2016</v>
      </c>
      <c r="T1471" s="1048">
        <v>2020</v>
      </c>
    </row>
    <row r="1472" spans="1:20" ht="39.6" customHeight="1">
      <c r="A1472" s="1249">
        <v>517</v>
      </c>
      <c r="B1472" s="1076" t="s">
        <v>1965</v>
      </c>
      <c r="C1472" s="1048">
        <v>1975</v>
      </c>
      <c r="D1472" s="1048"/>
      <c r="E1472" s="1249" t="s">
        <v>218</v>
      </c>
      <c r="F1472" s="1048">
        <v>2</v>
      </c>
      <c r="G1472" s="1048">
        <v>2</v>
      </c>
      <c r="H1472" s="1067">
        <v>333.5</v>
      </c>
      <c r="I1472" s="1067">
        <v>333.5</v>
      </c>
      <c r="J1472" s="1067">
        <v>302.5</v>
      </c>
      <c r="K1472" s="1077">
        <v>19</v>
      </c>
      <c r="L1472" s="1075">
        <v>958964.13</v>
      </c>
      <c r="M1472" s="1067">
        <v>0</v>
      </c>
      <c r="N1472" s="1067">
        <v>0</v>
      </c>
      <c r="O1472" s="1075">
        <v>958964.13</v>
      </c>
      <c r="P1472" s="1067">
        <v>0</v>
      </c>
      <c r="Q1472" s="1067">
        <v>0</v>
      </c>
      <c r="R1472" s="1163">
        <f t="shared" si="414"/>
        <v>2875.4546626686656</v>
      </c>
      <c r="S1472" s="1048">
        <v>2016</v>
      </c>
      <c r="T1472" s="1048">
        <v>2020</v>
      </c>
    </row>
    <row r="1473" spans="1:20" ht="40.799999999999997" customHeight="1">
      <c r="A1473" s="1249">
        <v>518</v>
      </c>
      <c r="B1473" s="1070" t="s">
        <v>998</v>
      </c>
      <c r="C1473" s="1046" t="s">
        <v>190</v>
      </c>
      <c r="D1473" s="1048"/>
      <c r="E1473" s="1249" t="s">
        <v>218</v>
      </c>
      <c r="F1473" s="1048">
        <v>1</v>
      </c>
      <c r="G1473" s="1048">
        <v>2</v>
      </c>
      <c r="H1473" s="1067">
        <v>333.1</v>
      </c>
      <c r="I1473" s="1067">
        <v>333.1</v>
      </c>
      <c r="J1473" s="1067">
        <v>231.8</v>
      </c>
      <c r="K1473" s="1077">
        <v>11</v>
      </c>
      <c r="L1473" s="1067">
        <v>957124</v>
      </c>
      <c r="M1473" s="1067">
        <v>0</v>
      </c>
      <c r="N1473" s="1067">
        <v>0</v>
      </c>
      <c r="O1473" s="1067">
        <v>957124</v>
      </c>
      <c r="P1473" s="1067">
        <v>0</v>
      </c>
      <c r="Q1473" s="1067">
        <v>0</v>
      </c>
      <c r="R1473" s="1163">
        <f t="shared" si="413"/>
        <v>2873.3833683578505</v>
      </c>
      <c r="S1473" s="1048">
        <v>2017</v>
      </c>
      <c r="T1473" s="1048">
        <v>2020</v>
      </c>
    </row>
    <row r="1474" spans="1:20" ht="39.6" customHeight="1">
      <c r="A1474" s="1249">
        <v>519</v>
      </c>
      <c r="B1474" s="1070" t="s">
        <v>1000</v>
      </c>
      <c r="C1474" s="1048">
        <v>1988</v>
      </c>
      <c r="D1474" s="1048"/>
      <c r="E1474" s="1249" t="s">
        <v>218</v>
      </c>
      <c r="F1474" s="1048">
        <v>4</v>
      </c>
      <c r="G1474" s="1048">
        <v>1</v>
      </c>
      <c r="H1474" s="1067">
        <v>1590</v>
      </c>
      <c r="I1474" s="1067">
        <v>1590</v>
      </c>
      <c r="J1474" s="1067">
        <v>988.8</v>
      </c>
      <c r="K1474" s="1077">
        <v>99</v>
      </c>
      <c r="L1474" s="1067">
        <v>2008170</v>
      </c>
      <c r="M1474" s="1067">
        <v>0</v>
      </c>
      <c r="N1474" s="1067">
        <v>0</v>
      </c>
      <c r="O1474" s="1067">
        <v>2008170</v>
      </c>
      <c r="P1474" s="1067">
        <v>0</v>
      </c>
      <c r="Q1474" s="1067">
        <v>0</v>
      </c>
      <c r="R1474" s="1163">
        <f t="shared" si="413"/>
        <v>1263</v>
      </c>
      <c r="S1474" s="1048">
        <v>2017</v>
      </c>
      <c r="T1474" s="1048">
        <v>2020</v>
      </c>
    </row>
    <row r="1475" spans="1:20" ht="40.799999999999997" customHeight="1">
      <c r="A1475" s="1249">
        <v>520</v>
      </c>
      <c r="B1475" s="1025" t="s">
        <v>1007</v>
      </c>
      <c r="C1475" s="1026" t="s">
        <v>190</v>
      </c>
      <c r="D1475" s="1026"/>
      <c r="E1475" s="1249" t="s">
        <v>218</v>
      </c>
      <c r="F1475" s="1026">
        <v>2</v>
      </c>
      <c r="G1475" s="1026">
        <v>2</v>
      </c>
      <c r="H1475" s="1057">
        <v>172.5</v>
      </c>
      <c r="I1475" s="1057">
        <v>172.5</v>
      </c>
      <c r="J1475" s="1057">
        <v>128.19999999999999</v>
      </c>
      <c r="K1475" s="1036">
        <v>7</v>
      </c>
      <c r="L1475" s="1057">
        <v>539997</v>
      </c>
      <c r="M1475" s="1057">
        <v>0</v>
      </c>
      <c r="N1475" s="1057">
        <v>0</v>
      </c>
      <c r="O1475" s="1057">
        <v>539997</v>
      </c>
      <c r="P1475" s="1057">
        <v>0</v>
      </c>
      <c r="Q1475" s="1057">
        <v>0</v>
      </c>
      <c r="R1475" s="1163">
        <f t="shared" si="413"/>
        <v>3130.4173913043478</v>
      </c>
      <c r="S1475" s="1048">
        <v>2018</v>
      </c>
      <c r="T1475" s="1048">
        <v>2020</v>
      </c>
    </row>
    <row r="1476" spans="1:20" ht="40.799999999999997" customHeight="1">
      <c r="A1476" s="1249">
        <v>521</v>
      </c>
      <c r="B1476" s="1025" t="s">
        <v>1011</v>
      </c>
      <c r="C1476" s="1026" t="s">
        <v>190</v>
      </c>
      <c r="D1476" s="1026"/>
      <c r="E1476" s="1249" t="s">
        <v>218</v>
      </c>
      <c r="F1476" s="1026">
        <v>2</v>
      </c>
      <c r="G1476" s="1026">
        <v>2</v>
      </c>
      <c r="H1476" s="1057">
        <v>245</v>
      </c>
      <c r="I1476" s="1057">
        <v>245</v>
      </c>
      <c r="J1476" s="1057">
        <v>126</v>
      </c>
      <c r="K1476" s="1036">
        <v>7</v>
      </c>
      <c r="L1476" s="1057">
        <v>798979</v>
      </c>
      <c r="M1476" s="1057">
        <v>0</v>
      </c>
      <c r="N1476" s="1057">
        <v>0</v>
      </c>
      <c r="O1476" s="1057">
        <v>798979</v>
      </c>
      <c r="P1476" s="1057">
        <v>0</v>
      </c>
      <c r="Q1476" s="1057">
        <v>0</v>
      </c>
      <c r="R1476" s="1163">
        <f t="shared" si="413"/>
        <v>3261.1387755102041</v>
      </c>
      <c r="S1476" s="1048">
        <v>2018</v>
      </c>
      <c r="T1476" s="1048">
        <v>2020</v>
      </c>
    </row>
    <row r="1477" spans="1:20" ht="42.6" customHeight="1">
      <c r="A1477" s="1249">
        <v>522</v>
      </c>
      <c r="B1477" s="1201" t="s">
        <v>1966</v>
      </c>
      <c r="C1477" s="1255">
        <v>1917</v>
      </c>
      <c r="D1477" s="1255"/>
      <c r="E1477" s="1249" t="s">
        <v>218</v>
      </c>
      <c r="F1477" s="1255">
        <v>3</v>
      </c>
      <c r="G1477" s="1255">
        <v>1</v>
      </c>
      <c r="H1477" s="985">
        <v>534.29999999999995</v>
      </c>
      <c r="I1477" s="985">
        <v>534.29999999999995</v>
      </c>
      <c r="J1477" s="985">
        <v>266.3</v>
      </c>
      <c r="K1477" s="995">
        <v>14</v>
      </c>
      <c r="L1477" s="985">
        <v>1282061</v>
      </c>
      <c r="M1477" s="985">
        <v>0</v>
      </c>
      <c r="N1477" s="985">
        <v>0</v>
      </c>
      <c r="O1477" s="985">
        <v>1282061</v>
      </c>
      <c r="P1477" s="985">
        <v>0</v>
      </c>
      <c r="Q1477" s="985">
        <v>0</v>
      </c>
      <c r="R1477" s="1163">
        <f t="shared" si="413"/>
        <v>2399.515253602845</v>
      </c>
      <c r="S1477" s="1048">
        <v>2019</v>
      </c>
      <c r="T1477" s="1048">
        <v>2020</v>
      </c>
    </row>
    <row r="1478" spans="1:20" ht="43.8" customHeight="1">
      <c r="A1478" s="1249">
        <v>523</v>
      </c>
      <c r="B1478" s="1201" t="s">
        <v>1967</v>
      </c>
      <c r="C1478" s="1255">
        <v>1917</v>
      </c>
      <c r="D1478" s="1255"/>
      <c r="E1478" s="1249" t="s">
        <v>218</v>
      </c>
      <c r="F1478" s="1255">
        <v>3</v>
      </c>
      <c r="G1478" s="1255">
        <v>1</v>
      </c>
      <c r="H1478" s="985">
        <v>456.8</v>
      </c>
      <c r="I1478" s="985">
        <v>456.8</v>
      </c>
      <c r="J1478" s="985">
        <v>296.7</v>
      </c>
      <c r="K1478" s="995">
        <v>18</v>
      </c>
      <c r="L1478" s="985">
        <v>1183605</v>
      </c>
      <c r="M1478" s="985">
        <v>0</v>
      </c>
      <c r="N1478" s="985">
        <v>0</v>
      </c>
      <c r="O1478" s="985">
        <v>1183605</v>
      </c>
      <c r="P1478" s="985">
        <v>0</v>
      </c>
      <c r="Q1478" s="985">
        <v>0</v>
      </c>
      <c r="R1478" s="1163">
        <f t="shared" si="413"/>
        <v>2591.0792469352014</v>
      </c>
      <c r="S1478" s="1048">
        <v>2019</v>
      </c>
      <c r="T1478" s="1048">
        <v>2020</v>
      </c>
    </row>
    <row r="1479" spans="1:20" ht="42" customHeight="1">
      <c r="A1479" s="1249">
        <v>524</v>
      </c>
      <c r="B1479" s="1248" t="s">
        <v>1968</v>
      </c>
      <c r="C1479" s="1255">
        <v>1959</v>
      </c>
      <c r="D1479" s="1255"/>
      <c r="E1479" s="1249" t="s">
        <v>218</v>
      </c>
      <c r="F1479" s="1255">
        <v>2</v>
      </c>
      <c r="G1479" s="1255">
        <v>2</v>
      </c>
      <c r="H1479" s="985">
        <v>412.8</v>
      </c>
      <c r="I1479" s="985">
        <v>412.8</v>
      </c>
      <c r="J1479" s="985">
        <v>281.60000000000002</v>
      </c>
      <c r="K1479" s="995">
        <v>26</v>
      </c>
      <c r="L1479" s="985">
        <v>1387686.9</v>
      </c>
      <c r="M1479" s="985">
        <v>0</v>
      </c>
      <c r="N1479" s="985">
        <v>0</v>
      </c>
      <c r="O1479" s="985">
        <v>1387686.9</v>
      </c>
      <c r="P1479" s="985">
        <v>0</v>
      </c>
      <c r="Q1479" s="985">
        <v>0</v>
      </c>
      <c r="R1479" s="1163">
        <f t="shared" si="413"/>
        <v>3361.6446220930229</v>
      </c>
      <c r="S1479" s="1048">
        <v>2019</v>
      </c>
      <c r="T1479" s="1048">
        <v>2020</v>
      </c>
    </row>
    <row r="1480" spans="1:20" ht="40.799999999999997" customHeight="1">
      <c r="A1480" s="1249">
        <v>525</v>
      </c>
      <c r="B1480" s="1200" t="s">
        <v>610</v>
      </c>
      <c r="C1480" s="1255">
        <v>1917</v>
      </c>
      <c r="D1480" s="1255"/>
      <c r="E1480" s="1249" t="s">
        <v>218</v>
      </c>
      <c r="F1480" s="1255">
        <v>2</v>
      </c>
      <c r="G1480" s="1255">
        <v>1</v>
      </c>
      <c r="H1480" s="985">
        <v>127</v>
      </c>
      <c r="I1480" s="985">
        <v>127</v>
      </c>
      <c r="J1480" s="985">
        <v>101.8</v>
      </c>
      <c r="K1480" s="995">
        <v>11</v>
      </c>
      <c r="L1480" s="985">
        <v>727689.47</v>
      </c>
      <c r="M1480" s="985">
        <v>0</v>
      </c>
      <c r="N1480" s="985">
        <v>0</v>
      </c>
      <c r="O1480" s="985">
        <v>727689.47</v>
      </c>
      <c r="P1480" s="985">
        <v>0</v>
      </c>
      <c r="Q1480" s="985">
        <v>0</v>
      </c>
      <c r="R1480" s="1163">
        <f t="shared" si="413"/>
        <v>5729.8383464566923</v>
      </c>
      <c r="S1480" s="1048">
        <v>2019</v>
      </c>
      <c r="T1480" s="1048">
        <v>2020</v>
      </c>
    </row>
    <row r="1481" spans="1:20" ht="42.6" customHeight="1">
      <c r="A1481" s="1249">
        <v>526</v>
      </c>
      <c r="B1481" s="1202" t="s">
        <v>885</v>
      </c>
      <c r="C1481" s="1203">
        <v>1938</v>
      </c>
      <c r="D1481" s="1204"/>
      <c r="E1481" s="1249" t="s">
        <v>221</v>
      </c>
      <c r="F1481" s="1203">
        <v>2</v>
      </c>
      <c r="G1481" s="1203">
        <v>1</v>
      </c>
      <c r="H1481" s="1095">
        <v>488.7</v>
      </c>
      <c r="I1481" s="1095">
        <v>488.7</v>
      </c>
      <c r="J1481" s="1095">
        <v>353.6</v>
      </c>
      <c r="K1481" s="1096">
        <v>15</v>
      </c>
      <c r="L1481" s="987">
        <v>247569</v>
      </c>
      <c r="M1481" s="987">
        <v>0</v>
      </c>
      <c r="N1481" s="987">
        <v>0</v>
      </c>
      <c r="O1481" s="987">
        <v>247569</v>
      </c>
      <c r="P1481" s="998">
        <v>0</v>
      </c>
      <c r="Q1481" s="987">
        <v>0</v>
      </c>
      <c r="R1481" s="1095">
        <v>2018</v>
      </c>
      <c r="S1481" s="988">
        <v>2018</v>
      </c>
      <c r="T1481" s="988">
        <v>2020</v>
      </c>
    </row>
    <row r="1482" spans="1:20" ht="39.6" customHeight="1">
      <c r="A1482" s="1249">
        <v>527</v>
      </c>
      <c r="B1482" s="1202" t="s">
        <v>884</v>
      </c>
      <c r="C1482" s="1203">
        <v>1948</v>
      </c>
      <c r="D1482" s="1204"/>
      <c r="E1482" s="1249" t="s">
        <v>221</v>
      </c>
      <c r="F1482" s="1203">
        <v>2</v>
      </c>
      <c r="G1482" s="1203">
        <v>2</v>
      </c>
      <c r="H1482" s="1095">
        <v>516.5</v>
      </c>
      <c r="I1482" s="1095">
        <v>516.5</v>
      </c>
      <c r="J1482" s="1095">
        <v>316</v>
      </c>
      <c r="K1482" s="1096">
        <v>22</v>
      </c>
      <c r="L1482" s="987">
        <v>1656734</v>
      </c>
      <c r="M1482" s="987">
        <v>0</v>
      </c>
      <c r="N1482" s="987">
        <v>0</v>
      </c>
      <c r="O1482" s="987">
        <v>1656734</v>
      </c>
      <c r="P1482" s="998">
        <v>0</v>
      </c>
      <c r="Q1482" s="987">
        <v>0</v>
      </c>
      <c r="R1482" s="1095">
        <v>579.24491771539203</v>
      </c>
      <c r="S1482" s="988">
        <v>2018</v>
      </c>
      <c r="T1482" s="988">
        <v>2020</v>
      </c>
    </row>
    <row r="1483" spans="1:20" ht="39.6" customHeight="1">
      <c r="A1483" s="1249"/>
      <c r="B1483" s="1513" t="s">
        <v>52</v>
      </c>
      <c r="C1483" s="1513"/>
      <c r="D1483" s="1513"/>
      <c r="E1483" s="1513"/>
      <c r="F1483" s="1513"/>
      <c r="G1483" s="1513"/>
      <c r="H1483" s="985">
        <f>H1484+H1487+H1489+H1491</f>
        <v>3493.2000000000003</v>
      </c>
      <c r="I1483" s="985">
        <f t="shared" ref="I1483:Q1483" si="415">I1484+I1487+I1489+I1491</f>
        <v>3390.7</v>
      </c>
      <c r="J1483" s="985">
        <f t="shared" si="415"/>
        <v>2190.2999999999997</v>
      </c>
      <c r="K1483" s="995">
        <f t="shared" si="415"/>
        <v>131</v>
      </c>
      <c r="L1483" s="985">
        <f t="shared" si="415"/>
        <v>6003881.5600000005</v>
      </c>
      <c r="M1483" s="985">
        <f t="shared" si="415"/>
        <v>0</v>
      </c>
      <c r="N1483" s="985">
        <f t="shared" si="415"/>
        <v>0</v>
      </c>
      <c r="O1483" s="985">
        <f t="shared" si="415"/>
        <v>6003881.5600000005</v>
      </c>
      <c r="P1483" s="985">
        <f t="shared" si="415"/>
        <v>0</v>
      </c>
      <c r="Q1483" s="985">
        <f t="shared" si="415"/>
        <v>0</v>
      </c>
      <c r="R1483" s="996" t="s">
        <v>40</v>
      </c>
      <c r="S1483" s="996" t="s">
        <v>40</v>
      </c>
      <c r="T1483" s="996" t="s">
        <v>40</v>
      </c>
    </row>
    <row r="1484" spans="1:20" ht="41.4" customHeight="1">
      <c r="A1484" s="1249"/>
      <c r="B1484" s="1513" t="s">
        <v>1082</v>
      </c>
      <c r="C1484" s="1513"/>
      <c r="D1484" s="1513"/>
      <c r="E1484" s="1513"/>
      <c r="F1484" s="1513"/>
      <c r="G1484" s="1513"/>
      <c r="H1484" s="985">
        <f>H1485+H1486</f>
        <v>1364.9</v>
      </c>
      <c r="I1484" s="985">
        <f t="shared" ref="I1484:Q1484" si="416">I1485+I1486</f>
        <v>1364.9</v>
      </c>
      <c r="J1484" s="985">
        <f t="shared" si="416"/>
        <v>1064.5</v>
      </c>
      <c r="K1484" s="995">
        <f t="shared" si="416"/>
        <v>63</v>
      </c>
      <c r="L1484" s="985">
        <f t="shared" si="416"/>
        <v>3460075</v>
      </c>
      <c r="M1484" s="985">
        <f t="shared" si="416"/>
        <v>0</v>
      </c>
      <c r="N1484" s="985">
        <f t="shared" si="416"/>
        <v>0</v>
      </c>
      <c r="O1484" s="985">
        <f t="shared" si="416"/>
        <v>3460075</v>
      </c>
      <c r="P1484" s="985">
        <f t="shared" si="416"/>
        <v>0</v>
      </c>
      <c r="Q1484" s="985">
        <f t="shared" si="416"/>
        <v>0</v>
      </c>
      <c r="R1484" s="996" t="s">
        <v>40</v>
      </c>
      <c r="S1484" s="996" t="s">
        <v>40</v>
      </c>
      <c r="T1484" s="996" t="s">
        <v>40</v>
      </c>
    </row>
    <row r="1485" spans="1:20" ht="43.8" customHeight="1">
      <c r="A1485" s="1249">
        <v>528</v>
      </c>
      <c r="B1485" s="1260" t="s">
        <v>1609</v>
      </c>
      <c r="C1485" s="1249">
        <v>1955</v>
      </c>
      <c r="D1485" s="1249"/>
      <c r="E1485" s="1249" t="s">
        <v>218</v>
      </c>
      <c r="F1485" s="1249">
        <v>2</v>
      </c>
      <c r="G1485" s="1249">
        <v>2</v>
      </c>
      <c r="H1485" s="998">
        <v>545.4</v>
      </c>
      <c r="I1485" s="998">
        <v>545.4</v>
      </c>
      <c r="J1485" s="998">
        <v>460</v>
      </c>
      <c r="K1485" s="986">
        <v>35</v>
      </c>
      <c r="L1485" s="987">
        <v>1652470</v>
      </c>
      <c r="M1485" s="987">
        <v>0</v>
      </c>
      <c r="N1485" s="987">
        <v>0</v>
      </c>
      <c r="O1485" s="987">
        <v>1652470</v>
      </c>
      <c r="P1485" s="998">
        <v>0</v>
      </c>
      <c r="Q1485" s="987">
        <v>0</v>
      </c>
      <c r="R1485" s="985">
        <v>3029.8313164649799</v>
      </c>
      <c r="S1485" s="988">
        <v>2019</v>
      </c>
      <c r="T1485" s="988">
        <v>2020</v>
      </c>
    </row>
    <row r="1486" spans="1:20" ht="43.8" customHeight="1">
      <c r="A1486" s="1249">
        <v>529</v>
      </c>
      <c r="B1486" s="1260" t="s">
        <v>1610</v>
      </c>
      <c r="C1486" s="1249">
        <v>1958</v>
      </c>
      <c r="D1486" s="1249"/>
      <c r="E1486" s="1249" t="s">
        <v>218</v>
      </c>
      <c r="F1486" s="1249">
        <v>2</v>
      </c>
      <c r="G1486" s="1249">
        <v>2</v>
      </c>
      <c r="H1486" s="998">
        <v>819.5</v>
      </c>
      <c r="I1486" s="998">
        <v>819.5</v>
      </c>
      <c r="J1486" s="998">
        <v>604.5</v>
      </c>
      <c r="K1486" s="986">
        <v>28</v>
      </c>
      <c r="L1486" s="987">
        <v>1807605</v>
      </c>
      <c r="M1486" s="987">
        <v>0</v>
      </c>
      <c r="N1486" s="987">
        <v>0</v>
      </c>
      <c r="O1486" s="987">
        <v>1807605</v>
      </c>
      <c r="P1486" s="998">
        <v>0</v>
      </c>
      <c r="Q1486" s="987">
        <v>0</v>
      </c>
      <c r="R1486" s="985">
        <v>2205.7413056741916</v>
      </c>
      <c r="S1486" s="988">
        <v>2019</v>
      </c>
      <c r="T1486" s="988">
        <v>2020</v>
      </c>
    </row>
    <row r="1487" spans="1:20" ht="37.799999999999997" customHeight="1">
      <c r="A1487" s="1249"/>
      <c r="B1487" s="1513" t="s">
        <v>1611</v>
      </c>
      <c r="C1487" s="1513"/>
      <c r="D1487" s="1513"/>
      <c r="E1487" s="1513"/>
      <c r="F1487" s="1513"/>
      <c r="G1487" s="1513"/>
      <c r="H1487" s="998">
        <v>845.9</v>
      </c>
      <c r="I1487" s="998">
        <v>797.1</v>
      </c>
      <c r="J1487" s="998">
        <v>429.1</v>
      </c>
      <c r="K1487" s="986">
        <v>29</v>
      </c>
      <c r="L1487" s="998">
        <v>275823</v>
      </c>
      <c r="M1487" s="998">
        <v>0</v>
      </c>
      <c r="N1487" s="998">
        <v>0</v>
      </c>
      <c r="O1487" s="998">
        <v>275823</v>
      </c>
      <c r="P1487" s="998">
        <v>0</v>
      </c>
      <c r="Q1487" s="998">
        <v>0</v>
      </c>
      <c r="R1487" s="996" t="s">
        <v>40</v>
      </c>
      <c r="S1487" s="996" t="s">
        <v>40</v>
      </c>
      <c r="T1487" s="996" t="s">
        <v>40</v>
      </c>
    </row>
    <row r="1488" spans="1:20" ht="37.799999999999997" customHeight="1">
      <c r="A1488" s="1249">
        <v>530</v>
      </c>
      <c r="B1488" s="1260" t="s">
        <v>1612</v>
      </c>
      <c r="C1488" s="1249">
        <v>1986</v>
      </c>
      <c r="D1488" s="1249"/>
      <c r="E1488" s="1249" t="s">
        <v>220</v>
      </c>
      <c r="F1488" s="1249">
        <v>3</v>
      </c>
      <c r="G1488" s="1249">
        <v>2</v>
      </c>
      <c r="H1488" s="998">
        <v>845.9</v>
      </c>
      <c r="I1488" s="998">
        <v>797.1</v>
      </c>
      <c r="J1488" s="998">
        <v>429.1</v>
      </c>
      <c r="K1488" s="986">
        <v>29</v>
      </c>
      <c r="L1488" s="987">
        <v>275823</v>
      </c>
      <c r="M1488" s="987">
        <v>0</v>
      </c>
      <c r="N1488" s="987">
        <v>0</v>
      </c>
      <c r="O1488" s="987">
        <v>275823</v>
      </c>
      <c r="P1488" s="998">
        <v>0</v>
      </c>
      <c r="Q1488" s="987">
        <v>0</v>
      </c>
      <c r="R1488" s="985">
        <v>346.03312006021827</v>
      </c>
      <c r="S1488" s="988">
        <v>2019</v>
      </c>
      <c r="T1488" s="988">
        <v>2020</v>
      </c>
    </row>
    <row r="1489" spans="1:20" ht="37.200000000000003" customHeight="1">
      <c r="A1489" s="1249"/>
      <c r="B1489" s="1513" t="s">
        <v>1611</v>
      </c>
      <c r="C1489" s="1513"/>
      <c r="D1489" s="1513"/>
      <c r="E1489" s="1513"/>
      <c r="F1489" s="1513"/>
      <c r="G1489" s="1513"/>
      <c r="H1489" s="998">
        <v>532.29999999999995</v>
      </c>
      <c r="I1489" s="998">
        <v>478.6</v>
      </c>
      <c r="J1489" s="998">
        <v>47.3</v>
      </c>
      <c r="K1489" s="986">
        <v>16</v>
      </c>
      <c r="L1489" s="998">
        <v>20216</v>
      </c>
      <c r="M1489" s="998">
        <v>0</v>
      </c>
      <c r="N1489" s="998">
        <v>0</v>
      </c>
      <c r="O1489" s="998">
        <v>20216</v>
      </c>
      <c r="P1489" s="998">
        <v>0</v>
      </c>
      <c r="Q1489" s="998">
        <v>0</v>
      </c>
      <c r="R1489" s="996" t="s">
        <v>40</v>
      </c>
      <c r="S1489" s="996" t="s">
        <v>40</v>
      </c>
      <c r="T1489" s="996" t="s">
        <v>40</v>
      </c>
    </row>
    <row r="1490" spans="1:20" ht="41.4" customHeight="1">
      <c r="A1490" s="1249">
        <v>531</v>
      </c>
      <c r="B1490" s="1260" t="s">
        <v>1613</v>
      </c>
      <c r="C1490" s="1249">
        <v>1971</v>
      </c>
      <c r="D1490" s="1249"/>
      <c r="E1490" s="1249" t="s">
        <v>220</v>
      </c>
      <c r="F1490" s="1249">
        <v>2</v>
      </c>
      <c r="G1490" s="1249">
        <v>2</v>
      </c>
      <c r="H1490" s="998">
        <v>532.29999999999995</v>
      </c>
      <c r="I1490" s="998">
        <v>478.6</v>
      </c>
      <c r="J1490" s="998">
        <v>47.3</v>
      </c>
      <c r="K1490" s="986">
        <v>16</v>
      </c>
      <c r="L1490" s="987">
        <v>20216</v>
      </c>
      <c r="M1490" s="987">
        <v>0</v>
      </c>
      <c r="N1490" s="987">
        <v>0</v>
      </c>
      <c r="O1490" s="987">
        <v>20216</v>
      </c>
      <c r="P1490" s="998">
        <v>0</v>
      </c>
      <c r="Q1490" s="987">
        <v>0</v>
      </c>
      <c r="R1490" s="985">
        <v>42.2398662766402</v>
      </c>
      <c r="S1490" s="988">
        <v>2019</v>
      </c>
      <c r="T1490" s="988">
        <v>2020</v>
      </c>
    </row>
    <row r="1491" spans="1:20" ht="37.799999999999997" customHeight="1">
      <c r="A1491" s="1249"/>
      <c r="B1491" s="1513" t="s">
        <v>1104</v>
      </c>
      <c r="C1491" s="1513"/>
      <c r="D1491" s="1513"/>
      <c r="E1491" s="1513"/>
      <c r="F1491" s="1513"/>
      <c r="G1491" s="1513"/>
      <c r="H1491" s="998">
        <f>H1492</f>
        <v>750.1</v>
      </c>
      <c r="I1491" s="998">
        <f t="shared" ref="I1491:Q1491" si="417">I1492</f>
        <v>750.1</v>
      </c>
      <c r="J1491" s="998">
        <f t="shared" si="417"/>
        <v>649.4</v>
      </c>
      <c r="K1491" s="986">
        <f t="shared" si="417"/>
        <v>23</v>
      </c>
      <c r="L1491" s="998">
        <f t="shared" si="417"/>
        <v>2247767.56</v>
      </c>
      <c r="M1491" s="998">
        <f t="shared" si="417"/>
        <v>0</v>
      </c>
      <c r="N1491" s="998">
        <f t="shared" si="417"/>
        <v>0</v>
      </c>
      <c r="O1491" s="998">
        <f t="shared" si="417"/>
        <v>2247767.56</v>
      </c>
      <c r="P1491" s="998">
        <f t="shared" si="417"/>
        <v>0</v>
      </c>
      <c r="Q1491" s="998">
        <f t="shared" si="417"/>
        <v>0</v>
      </c>
      <c r="R1491" s="996" t="s">
        <v>40</v>
      </c>
      <c r="S1491" s="996" t="s">
        <v>40</v>
      </c>
      <c r="T1491" s="996" t="s">
        <v>40</v>
      </c>
    </row>
    <row r="1492" spans="1:20" ht="40.950000000000003" customHeight="1">
      <c r="A1492" s="1249">
        <v>532</v>
      </c>
      <c r="B1492" s="1260" t="s">
        <v>1617</v>
      </c>
      <c r="C1492" s="1249">
        <v>1983</v>
      </c>
      <c r="D1492" s="1249"/>
      <c r="E1492" s="1249" t="s">
        <v>218</v>
      </c>
      <c r="F1492" s="1249">
        <v>2</v>
      </c>
      <c r="G1492" s="1249">
        <v>2</v>
      </c>
      <c r="H1492" s="998">
        <v>750.1</v>
      </c>
      <c r="I1492" s="998">
        <v>750.1</v>
      </c>
      <c r="J1492" s="998">
        <v>649.4</v>
      </c>
      <c r="K1492" s="986">
        <v>23</v>
      </c>
      <c r="L1492" s="987">
        <v>2247767.56</v>
      </c>
      <c r="M1492" s="987">
        <v>0</v>
      </c>
      <c r="N1492" s="987">
        <v>0</v>
      </c>
      <c r="O1492" s="987">
        <v>2247767.56</v>
      </c>
      <c r="P1492" s="998">
        <v>0</v>
      </c>
      <c r="Q1492" s="987">
        <v>0</v>
      </c>
      <c r="R1492" s="985">
        <f t="shared" ref="R1492" si="418">L1492/I1492</f>
        <v>2996.6238634848687</v>
      </c>
      <c r="S1492" s="988">
        <v>2018</v>
      </c>
      <c r="T1492" s="988">
        <v>2020</v>
      </c>
    </row>
    <row r="1493" spans="1:20" ht="36.6" customHeight="1">
      <c r="A1493" s="1249"/>
      <c r="B1493" s="1261" t="s">
        <v>53</v>
      </c>
      <c r="C1493" s="991"/>
      <c r="D1493" s="992"/>
      <c r="E1493" s="993"/>
      <c r="F1493" s="991"/>
      <c r="G1493" s="994"/>
      <c r="H1493" s="985">
        <f>H1494+H1511+H1519+H1515+H1532+H1507+H1528</f>
        <v>86785.7</v>
      </c>
      <c r="I1493" s="985">
        <f t="shared" ref="I1493:Q1493" si="419">I1494+I1511+I1519+I1515+I1532+I1507+I1528</f>
        <v>69213.100000000006</v>
      </c>
      <c r="J1493" s="985">
        <f t="shared" si="419"/>
        <v>63587.210000000006</v>
      </c>
      <c r="K1493" s="995">
        <f t="shared" si="419"/>
        <v>3219</v>
      </c>
      <c r="L1493" s="985">
        <f t="shared" si="419"/>
        <v>102105960.73</v>
      </c>
      <c r="M1493" s="985">
        <f t="shared" si="419"/>
        <v>0</v>
      </c>
      <c r="N1493" s="985">
        <f t="shared" si="419"/>
        <v>738519.3</v>
      </c>
      <c r="O1493" s="985">
        <f t="shared" si="419"/>
        <v>101799488.12</v>
      </c>
      <c r="P1493" s="985">
        <f t="shared" si="419"/>
        <v>0</v>
      </c>
      <c r="Q1493" s="985">
        <f t="shared" si="419"/>
        <v>0</v>
      </c>
      <c r="R1493" s="996" t="s">
        <v>40</v>
      </c>
      <c r="S1493" s="996" t="s">
        <v>40</v>
      </c>
      <c r="T1493" s="996" t="s">
        <v>40</v>
      </c>
    </row>
    <row r="1494" spans="1:20" ht="34.200000000000003" customHeight="1">
      <c r="A1494" s="1249"/>
      <c r="B1494" s="1261" t="s">
        <v>1083</v>
      </c>
      <c r="C1494" s="991"/>
      <c r="D1494" s="992"/>
      <c r="E1494" s="993"/>
      <c r="F1494" s="991"/>
      <c r="G1494" s="994"/>
      <c r="H1494" s="985">
        <f>SUM(H1495:H1506)</f>
        <v>57487.3</v>
      </c>
      <c r="I1494" s="985">
        <f t="shared" ref="I1494:Q1494" si="420">SUM(I1495:I1506)</f>
        <v>42472.299999999996</v>
      </c>
      <c r="J1494" s="985">
        <f t="shared" si="420"/>
        <v>38862.800000000003</v>
      </c>
      <c r="K1494" s="995">
        <f t="shared" si="420"/>
        <v>2029</v>
      </c>
      <c r="L1494" s="985">
        <f t="shared" si="420"/>
        <v>60851108.969999999</v>
      </c>
      <c r="M1494" s="985">
        <f t="shared" si="420"/>
        <v>0</v>
      </c>
      <c r="N1494" s="985">
        <f t="shared" si="420"/>
        <v>0</v>
      </c>
      <c r="O1494" s="985">
        <f t="shared" si="420"/>
        <v>60851108.969999999</v>
      </c>
      <c r="P1494" s="985">
        <f t="shared" si="420"/>
        <v>0</v>
      </c>
      <c r="Q1494" s="985">
        <f t="shared" si="420"/>
        <v>0</v>
      </c>
      <c r="R1494" s="996" t="s">
        <v>40</v>
      </c>
      <c r="S1494" s="996" t="s">
        <v>40</v>
      </c>
      <c r="T1494" s="996" t="s">
        <v>40</v>
      </c>
    </row>
    <row r="1495" spans="1:20" ht="33" customHeight="1">
      <c r="A1495" s="1383">
        <v>533</v>
      </c>
      <c r="B1495" s="1146" t="s">
        <v>1172</v>
      </c>
      <c r="C1495" s="1255">
        <v>1963</v>
      </c>
      <c r="D1495" s="1249"/>
      <c r="E1495" s="1249" t="s">
        <v>219</v>
      </c>
      <c r="F1495" s="1255">
        <v>5</v>
      </c>
      <c r="G1495" s="1255">
        <v>4</v>
      </c>
      <c r="H1495" s="1205">
        <v>3722</v>
      </c>
      <c r="I1495" s="1205">
        <v>3428</v>
      </c>
      <c r="J1495" s="1205">
        <v>3428</v>
      </c>
      <c r="K1495" s="995">
        <v>118</v>
      </c>
      <c r="L1495" s="985">
        <v>6341528</v>
      </c>
      <c r="M1495" s="985">
        <v>0</v>
      </c>
      <c r="N1495" s="985">
        <v>0</v>
      </c>
      <c r="O1495" s="985">
        <f>L1495</f>
        <v>6341528</v>
      </c>
      <c r="P1495" s="998">
        <v>0</v>
      </c>
      <c r="Q1495" s="987">
        <v>0</v>
      </c>
      <c r="R1495" s="985">
        <f t="shared" ref="R1495:R1506" si="421">L1495/I1495</f>
        <v>1849.9206534422403</v>
      </c>
      <c r="S1495" s="1255">
        <v>2019</v>
      </c>
      <c r="T1495" s="1255">
        <v>2020</v>
      </c>
    </row>
    <row r="1496" spans="1:20" ht="39" customHeight="1">
      <c r="A1496" s="1380">
        <v>534</v>
      </c>
      <c r="B1496" s="1146" t="s">
        <v>1452</v>
      </c>
      <c r="C1496" s="1380">
        <v>1969</v>
      </c>
      <c r="D1496" s="1380"/>
      <c r="E1496" s="1249" t="s">
        <v>220</v>
      </c>
      <c r="F1496" s="1380">
        <v>5</v>
      </c>
      <c r="G1496" s="1380">
        <v>4</v>
      </c>
      <c r="H1496" s="1205">
        <v>3581.3</v>
      </c>
      <c r="I1496" s="1205">
        <v>3477</v>
      </c>
      <c r="J1496" s="1205">
        <v>3432.2</v>
      </c>
      <c r="K1496" s="995">
        <v>126</v>
      </c>
      <c r="L1496" s="985">
        <v>2822982.89</v>
      </c>
      <c r="M1496" s="985">
        <v>0</v>
      </c>
      <c r="N1496" s="985">
        <v>0</v>
      </c>
      <c r="O1496" s="985">
        <f t="shared" ref="O1496:O1506" si="422">L1496</f>
        <v>2822982.89</v>
      </c>
      <c r="P1496" s="985">
        <v>0</v>
      </c>
      <c r="Q1496" s="985">
        <v>0</v>
      </c>
      <c r="R1496" s="985">
        <f t="shared" si="421"/>
        <v>811.90189531205067</v>
      </c>
      <c r="S1496" s="1255">
        <v>2019</v>
      </c>
      <c r="T1496" s="1255">
        <v>2020</v>
      </c>
    </row>
    <row r="1497" spans="1:20" ht="40.200000000000003" customHeight="1">
      <c r="A1497" s="1393">
        <v>535</v>
      </c>
      <c r="B1497" s="1206" t="s">
        <v>1453</v>
      </c>
      <c r="C1497" s="1207">
        <v>1970</v>
      </c>
      <c r="D1497" s="1207"/>
      <c r="E1497" s="1249" t="s">
        <v>218</v>
      </c>
      <c r="F1497" s="1253">
        <v>5</v>
      </c>
      <c r="G1497" s="1253">
        <v>3</v>
      </c>
      <c r="H1497" s="1208">
        <v>4419.3999999999996</v>
      </c>
      <c r="I1497" s="1208">
        <v>2368.3000000000002</v>
      </c>
      <c r="J1497" s="1208">
        <f>I1497-116.5</f>
        <v>2251.8000000000002</v>
      </c>
      <c r="K1497" s="1209">
        <v>287</v>
      </c>
      <c r="L1497" s="985">
        <v>3387204</v>
      </c>
      <c r="M1497" s="987">
        <v>0</v>
      </c>
      <c r="N1497" s="987">
        <v>0</v>
      </c>
      <c r="O1497" s="985">
        <f t="shared" si="422"/>
        <v>3387204</v>
      </c>
      <c r="P1497" s="998">
        <v>0</v>
      </c>
      <c r="Q1497" s="987">
        <v>0</v>
      </c>
      <c r="R1497" s="985">
        <f t="shared" si="421"/>
        <v>1430.225900434911</v>
      </c>
      <c r="S1497" s="1255">
        <v>2019</v>
      </c>
      <c r="T1497" s="1255">
        <v>2020</v>
      </c>
    </row>
    <row r="1498" spans="1:20" ht="43.8" customHeight="1">
      <c r="A1498" s="1393">
        <v>536</v>
      </c>
      <c r="B1498" s="1210" t="s">
        <v>1454</v>
      </c>
      <c r="C1498" s="988">
        <v>1975</v>
      </c>
      <c r="D1498" s="988"/>
      <c r="E1498" s="1249" t="s">
        <v>218</v>
      </c>
      <c r="F1498" s="1249">
        <v>12</v>
      </c>
      <c r="G1498" s="1249">
        <v>1</v>
      </c>
      <c r="H1498" s="1211">
        <v>5393.6</v>
      </c>
      <c r="I1498" s="1212">
        <v>3815.1</v>
      </c>
      <c r="J1498" s="1212">
        <f>I1498-73.9</f>
        <v>3741.2</v>
      </c>
      <c r="K1498" s="986">
        <v>116</v>
      </c>
      <c r="L1498" s="985">
        <v>1630292</v>
      </c>
      <c r="M1498" s="987">
        <v>0</v>
      </c>
      <c r="N1498" s="987">
        <v>0</v>
      </c>
      <c r="O1498" s="985">
        <f t="shared" si="422"/>
        <v>1630292</v>
      </c>
      <c r="P1498" s="998">
        <v>0</v>
      </c>
      <c r="Q1498" s="987">
        <v>0</v>
      </c>
      <c r="R1498" s="985">
        <f t="shared" si="421"/>
        <v>427.32615134596733</v>
      </c>
      <c r="S1498" s="1255">
        <v>2019</v>
      </c>
      <c r="T1498" s="1255">
        <v>2020</v>
      </c>
    </row>
    <row r="1499" spans="1:20" ht="31.8" customHeight="1">
      <c r="A1499" s="1393">
        <v>537</v>
      </c>
      <c r="B1499" s="1210" t="s">
        <v>1455</v>
      </c>
      <c r="C1499" s="988">
        <v>1965</v>
      </c>
      <c r="D1499" s="988"/>
      <c r="E1499" s="1249" t="s">
        <v>219</v>
      </c>
      <c r="F1499" s="1249">
        <v>5</v>
      </c>
      <c r="G1499" s="1249">
        <v>4</v>
      </c>
      <c r="H1499" s="1212">
        <v>5561.7</v>
      </c>
      <c r="I1499" s="1212">
        <v>3463.1</v>
      </c>
      <c r="J1499" s="1212">
        <f>I1499</f>
        <v>3463.1</v>
      </c>
      <c r="K1499" s="986">
        <v>144</v>
      </c>
      <c r="L1499" s="985">
        <v>2880183</v>
      </c>
      <c r="M1499" s="987">
        <v>0</v>
      </c>
      <c r="N1499" s="987">
        <v>0</v>
      </c>
      <c r="O1499" s="985">
        <f t="shared" si="422"/>
        <v>2880183</v>
      </c>
      <c r="P1499" s="998">
        <v>0</v>
      </c>
      <c r="Q1499" s="987">
        <v>0</v>
      </c>
      <c r="R1499" s="985">
        <f t="shared" si="421"/>
        <v>831.67768762091771</v>
      </c>
      <c r="S1499" s="1255">
        <v>2019</v>
      </c>
      <c r="T1499" s="1255">
        <v>2020</v>
      </c>
    </row>
    <row r="1500" spans="1:20" ht="31.2" customHeight="1">
      <c r="A1500" s="1393">
        <v>538</v>
      </c>
      <c r="B1500" s="1210" t="s">
        <v>2379</v>
      </c>
      <c r="C1500" s="988">
        <v>1966</v>
      </c>
      <c r="D1500" s="988"/>
      <c r="E1500" s="1249" t="s">
        <v>219</v>
      </c>
      <c r="F1500" s="1249">
        <v>5</v>
      </c>
      <c r="G1500" s="1249">
        <v>4</v>
      </c>
      <c r="H1500" s="1212">
        <v>5406.2</v>
      </c>
      <c r="I1500" s="1212">
        <v>3385.8</v>
      </c>
      <c r="J1500" s="1212">
        <f>I1500-41.3</f>
        <v>3344.5</v>
      </c>
      <c r="K1500" s="986">
        <v>123</v>
      </c>
      <c r="L1500" s="985">
        <v>2880183</v>
      </c>
      <c r="M1500" s="987">
        <v>0</v>
      </c>
      <c r="N1500" s="987">
        <v>0</v>
      </c>
      <c r="O1500" s="985">
        <f t="shared" si="422"/>
        <v>2880183</v>
      </c>
      <c r="P1500" s="998">
        <v>0</v>
      </c>
      <c r="Q1500" s="987">
        <v>0</v>
      </c>
      <c r="R1500" s="985">
        <f t="shared" si="421"/>
        <v>850.66542619174197</v>
      </c>
      <c r="S1500" s="1255">
        <v>2019</v>
      </c>
      <c r="T1500" s="1255">
        <v>2020</v>
      </c>
    </row>
    <row r="1501" spans="1:20" ht="31.2" customHeight="1">
      <c r="A1501" s="1393">
        <v>539</v>
      </c>
      <c r="B1501" s="1210" t="s">
        <v>1456</v>
      </c>
      <c r="C1501" s="988">
        <v>1974</v>
      </c>
      <c r="D1501" s="988"/>
      <c r="E1501" s="1249" t="s">
        <v>219</v>
      </c>
      <c r="F1501" s="1249">
        <v>5</v>
      </c>
      <c r="G1501" s="1249">
        <v>8</v>
      </c>
      <c r="H1501" s="1212">
        <v>4260.8999999999996</v>
      </c>
      <c r="I1501" s="1212">
        <v>3791.7</v>
      </c>
      <c r="J1501" s="1212">
        <f>I1501</f>
        <v>3791.7</v>
      </c>
      <c r="K1501" s="986">
        <v>165</v>
      </c>
      <c r="L1501" s="985">
        <v>3208416</v>
      </c>
      <c r="M1501" s="987">
        <v>0</v>
      </c>
      <c r="N1501" s="987">
        <v>0</v>
      </c>
      <c r="O1501" s="985">
        <f t="shared" si="422"/>
        <v>3208416</v>
      </c>
      <c r="P1501" s="998">
        <v>0</v>
      </c>
      <c r="Q1501" s="987">
        <v>0</v>
      </c>
      <c r="R1501" s="985">
        <f t="shared" si="421"/>
        <v>846.16820951024613</v>
      </c>
      <c r="S1501" s="1255">
        <v>2019</v>
      </c>
      <c r="T1501" s="1255">
        <v>2020</v>
      </c>
    </row>
    <row r="1502" spans="1:20" ht="35.4" customHeight="1">
      <c r="A1502" s="1393">
        <v>540</v>
      </c>
      <c r="B1502" s="1210" t="s">
        <v>1457</v>
      </c>
      <c r="C1502" s="988">
        <v>1974</v>
      </c>
      <c r="D1502" s="988"/>
      <c r="E1502" s="1249" t="s">
        <v>219</v>
      </c>
      <c r="F1502" s="1249">
        <v>5</v>
      </c>
      <c r="G1502" s="1249">
        <v>8</v>
      </c>
      <c r="H1502" s="1212">
        <v>4253.7</v>
      </c>
      <c r="I1502" s="1212">
        <v>3784.3</v>
      </c>
      <c r="J1502" s="1212">
        <f>I1502</f>
        <v>3784.3</v>
      </c>
      <c r="K1502" s="986">
        <v>165</v>
      </c>
      <c r="L1502" s="985">
        <v>3102990</v>
      </c>
      <c r="M1502" s="987">
        <v>0</v>
      </c>
      <c r="N1502" s="987">
        <v>0</v>
      </c>
      <c r="O1502" s="985">
        <f t="shared" si="422"/>
        <v>3102990</v>
      </c>
      <c r="P1502" s="998">
        <v>0</v>
      </c>
      <c r="Q1502" s="987">
        <v>0</v>
      </c>
      <c r="R1502" s="985">
        <f t="shared" si="421"/>
        <v>819.96406204582081</v>
      </c>
      <c r="S1502" s="1255">
        <v>2019</v>
      </c>
      <c r="T1502" s="1255">
        <v>2020</v>
      </c>
    </row>
    <row r="1503" spans="1:20" ht="32.4" customHeight="1">
      <c r="A1503" s="1393">
        <v>541</v>
      </c>
      <c r="B1503" s="1210" t="s">
        <v>763</v>
      </c>
      <c r="C1503" s="988">
        <v>1970</v>
      </c>
      <c r="D1503" s="988"/>
      <c r="E1503" s="1249" t="s">
        <v>219</v>
      </c>
      <c r="F1503" s="1249">
        <v>5</v>
      </c>
      <c r="G1503" s="1249">
        <v>4</v>
      </c>
      <c r="H1503" s="1211">
        <v>5402.7</v>
      </c>
      <c r="I1503" s="1212">
        <v>3457.6</v>
      </c>
      <c r="J1503" s="1212">
        <f>I1503-77.1</f>
        <v>3380.5</v>
      </c>
      <c r="K1503" s="986">
        <v>159</v>
      </c>
      <c r="L1503" s="985">
        <v>2880183</v>
      </c>
      <c r="M1503" s="987">
        <v>0</v>
      </c>
      <c r="N1503" s="987">
        <v>0</v>
      </c>
      <c r="O1503" s="985">
        <f t="shared" si="422"/>
        <v>2880183</v>
      </c>
      <c r="P1503" s="998">
        <v>0</v>
      </c>
      <c r="Q1503" s="987">
        <v>0</v>
      </c>
      <c r="R1503" s="985">
        <f t="shared" si="421"/>
        <v>833.00063627950021</v>
      </c>
      <c r="S1503" s="1255">
        <v>2019</v>
      </c>
      <c r="T1503" s="1255">
        <v>2020</v>
      </c>
    </row>
    <row r="1504" spans="1:20" ht="36.6" customHeight="1">
      <c r="A1504" s="1393">
        <v>542</v>
      </c>
      <c r="B1504" s="1210" t="s">
        <v>1458</v>
      </c>
      <c r="C1504" s="988">
        <v>1966</v>
      </c>
      <c r="D1504" s="988"/>
      <c r="E1504" s="1249" t="s">
        <v>220</v>
      </c>
      <c r="F1504" s="1249">
        <v>5</v>
      </c>
      <c r="G1504" s="1249">
        <v>4</v>
      </c>
      <c r="H1504" s="1211">
        <v>5532.6</v>
      </c>
      <c r="I1504" s="1212">
        <v>3527</v>
      </c>
      <c r="J1504" s="1212">
        <f>I1504-43</f>
        <v>3484</v>
      </c>
      <c r="K1504" s="986">
        <v>144</v>
      </c>
      <c r="L1504" s="985">
        <v>2880183</v>
      </c>
      <c r="M1504" s="987">
        <v>0</v>
      </c>
      <c r="N1504" s="987">
        <v>0</v>
      </c>
      <c r="O1504" s="985">
        <f t="shared" si="422"/>
        <v>2880183</v>
      </c>
      <c r="P1504" s="998">
        <v>0</v>
      </c>
      <c r="Q1504" s="987">
        <v>0</v>
      </c>
      <c r="R1504" s="985">
        <f t="shared" si="421"/>
        <v>816.60986674227388</v>
      </c>
      <c r="S1504" s="1255">
        <v>2019</v>
      </c>
      <c r="T1504" s="1255">
        <v>2020</v>
      </c>
    </row>
    <row r="1505" spans="1:20" ht="43.8" customHeight="1">
      <c r="A1505" s="1393">
        <v>543</v>
      </c>
      <c r="B1505" s="1210" t="s">
        <v>1198</v>
      </c>
      <c r="C1505" s="988">
        <v>1975</v>
      </c>
      <c r="D1505" s="988"/>
      <c r="E1505" s="1249" t="s">
        <v>218</v>
      </c>
      <c r="F1505" s="1249">
        <v>5</v>
      </c>
      <c r="G1505" s="1249">
        <v>4</v>
      </c>
      <c r="H1505" s="1211">
        <v>4452.8</v>
      </c>
      <c r="I1505" s="1212">
        <v>2659.4</v>
      </c>
      <c r="J1505" s="1212">
        <f>I1505</f>
        <v>2659.4</v>
      </c>
      <c r="K1505" s="986">
        <v>168</v>
      </c>
      <c r="L1505" s="985">
        <v>13670859</v>
      </c>
      <c r="M1505" s="987">
        <v>0</v>
      </c>
      <c r="N1505" s="987">
        <v>0</v>
      </c>
      <c r="O1505" s="985">
        <f t="shared" si="422"/>
        <v>13670859</v>
      </c>
      <c r="P1505" s="998">
        <v>0</v>
      </c>
      <c r="Q1505" s="987">
        <v>0</v>
      </c>
      <c r="R1505" s="985">
        <f t="shared" si="421"/>
        <v>5140.5802060615179</v>
      </c>
      <c r="S1505" s="1255">
        <v>2019</v>
      </c>
      <c r="T1505" s="1255">
        <v>2020</v>
      </c>
    </row>
    <row r="1506" spans="1:20" ht="43.2" customHeight="1">
      <c r="A1506" s="1393">
        <v>544</v>
      </c>
      <c r="B1506" s="1210" t="s">
        <v>1017</v>
      </c>
      <c r="C1506" s="988">
        <v>1977</v>
      </c>
      <c r="D1506" s="988"/>
      <c r="E1506" s="1249" t="s">
        <v>218</v>
      </c>
      <c r="F1506" s="1378">
        <v>5</v>
      </c>
      <c r="G1506" s="1378">
        <v>2</v>
      </c>
      <c r="H1506" s="1211">
        <v>5500.4</v>
      </c>
      <c r="I1506" s="1211">
        <v>5315</v>
      </c>
      <c r="J1506" s="1211">
        <v>2102.1</v>
      </c>
      <c r="K1506" s="986">
        <v>314</v>
      </c>
      <c r="L1506" s="985">
        <v>15166105.08</v>
      </c>
      <c r="M1506" s="985">
        <v>0</v>
      </c>
      <c r="N1506" s="985">
        <v>0</v>
      </c>
      <c r="O1506" s="985">
        <f t="shared" si="422"/>
        <v>15166105.08</v>
      </c>
      <c r="P1506" s="985">
        <v>0</v>
      </c>
      <c r="Q1506" s="985">
        <v>0</v>
      </c>
      <c r="R1506" s="985">
        <f t="shared" si="421"/>
        <v>2853.4534487300093</v>
      </c>
      <c r="S1506" s="1255">
        <v>2019</v>
      </c>
      <c r="T1506" s="1255">
        <v>2020</v>
      </c>
    </row>
    <row r="1507" spans="1:20" ht="36" customHeight="1">
      <c r="A1507" s="1249"/>
      <c r="B1507" s="1245" t="s">
        <v>1089</v>
      </c>
      <c r="C1507" s="1011"/>
      <c r="D1507" s="1012"/>
      <c r="E1507" s="1010"/>
      <c r="F1507" s="1011"/>
      <c r="G1507" s="1011"/>
      <c r="H1507" s="985">
        <f>H1508+H1509+H1510</f>
        <v>1558.3000000000002</v>
      </c>
      <c r="I1507" s="985">
        <f t="shared" ref="I1507:Q1507" si="423">I1508+I1509+I1510</f>
        <v>1558.3000000000002</v>
      </c>
      <c r="J1507" s="985">
        <f t="shared" si="423"/>
        <v>1188.3</v>
      </c>
      <c r="K1507" s="995">
        <f t="shared" si="423"/>
        <v>87</v>
      </c>
      <c r="L1507" s="985">
        <f t="shared" si="423"/>
        <v>2880188.6399999997</v>
      </c>
      <c r="M1507" s="985">
        <f t="shared" si="423"/>
        <v>0</v>
      </c>
      <c r="N1507" s="985">
        <f t="shared" si="423"/>
        <v>0</v>
      </c>
      <c r="O1507" s="985">
        <f t="shared" si="423"/>
        <v>2880188.6399999997</v>
      </c>
      <c r="P1507" s="985">
        <f t="shared" si="423"/>
        <v>0</v>
      </c>
      <c r="Q1507" s="985">
        <f t="shared" si="423"/>
        <v>0</v>
      </c>
      <c r="R1507" s="996" t="s">
        <v>40</v>
      </c>
      <c r="S1507" s="996" t="s">
        <v>40</v>
      </c>
      <c r="T1507" s="996" t="s">
        <v>40</v>
      </c>
    </row>
    <row r="1508" spans="1:20" ht="42.6" customHeight="1">
      <c r="A1508" s="1249">
        <v>545</v>
      </c>
      <c r="B1508" s="1260" t="s">
        <v>1069</v>
      </c>
      <c r="C1508" s="1255">
        <v>1963</v>
      </c>
      <c r="D1508" s="1245"/>
      <c r="E1508" s="1249" t="s">
        <v>218</v>
      </c>
      <c r="F1508" s="1255">
        <v>2</v>
      </c>
      <c r="G1508" s="1255">
        <v>2</v>
      </c>
      <c r="H1508" s="985">
        <v>625.9</v>
      </c>
      <c r="I1508" s="985">
        <v>625.9</v>
      </c>
      <c r="J1508" s="985">
        <v>526.9</v>
      </c>
      <c r="K1508" s="995">
        <v>32</v>
      </c>
      <c r="L1508" s="987">
        <v>1892964.64</v>
      </c>
      <c r="M1508" s="987">
        <v>0</v>
      </c>
      <c r="N1508" s="987">
        <v>0</v>
      </c>
      <c r="O1508" s="987">
        <v>1892964.64</v>
      </c>
      <c r="P1508" s="998">
        <v>0</v>
      </c>
      <c r="Q1508" s="987">
        <v>0</v>
      </c>
      <c r="R1508" s="985">
        <v>2698.5796453107528</v>
      </c>
      <c r="S1508" s="988">
        <v>2017</v>
      </c>
      <c r="T1508" s="988">
        <v>2020</v>
      </c>
    </row>
    <row r="1509" spans="1:20" ht="42" customHeight="1">
      <c r="A1509" s="1249">
        <v>546</v>
      </c>
      <c r="B1509" s="1245" t="s">
        <v>996</v>
      </c>
      <c r="C1509" s="1255">
        <v>1965</v>
      </c>
      <c r="D1509" s="1245"/>
      <c r="E1509" s="1249" t="s">
        <v>218</v>
      </c>
      <c r="F1509" s="1255">
        <v>2</v>
      </c>
      <c r="G1509" s="1255">
        <v>3</v>
      </c>
      <c r="H1509" s="985">
        <v>445.8</v>
      </c>
      <c r="I1509" s="985">
        <v>445.8</v>
      </c>
      <c r="J1509" s="985">
        <v>316.60000000000002</v>
      </c>
      <c r="K1509" s="995">
        <v>13</v>
      </c>
      <c r="L1509" s="987">
        <v>493612</v>
      </c>
      <c r="M1509" s="987">
        <v>0</v>
      </c>
      <c r="N1509" s="987">
        <v>0</v>
      </c>
      <c r="O1509" s="987">
        <v>493612</v>
      </c>
      <c r="P1509" s="998">
        <v>0</v>
      </c>
      <c r="Q1509" s="987">
        <v>0</v>
      </c>
      <c r="R1509" s="985">
        <v>1107.2498878420815</v>
      </c>
      <c r="S1509" s="988">
        <v>2018</v>
      </c>
      <c r="T1509" s="988">
        <v>2020</v>
      </c>
    </row>
    <row r="1510" spans="1:20" ht="43.8" customHeight="1">
      <c r="A1510" s="1249">
        <v>547</v>
      </c>
      <c r="B1510" s="1245" t="s">
        <v>997</v>
      </c>
      <c r="C1510" s="1255">
        <v>1965</v>
      </c>
      <c r="D1510" s="1245"/>
      <c r="E1510" s="1249" t="s">
        <v>218</v>
      </c>
      <c r="F1510" s="1255">
        <v>2</v>
      </c>
      <c r="G1510" s="1255">
        <v>3</v>
      </c>
      <c r="H1510" s="985">
        <v>486.6</v>
      </c>
      <c r="I1510" s="985">
        <v>486.6</v>
      </c>
      <c r="J1510" s="985">
        <v>344.8</v>
      </c>
      <c r="K1510" s="995">
        <v>42</v>
      </c>
      <c r="L1510" s="987">
        <v>493612</v>
      </c>
      <c r="M1510" s="987">
        <v>0</v>
      </c>
      <c r="N1510" s="987">
        <v>0</v>
      </c>
      <c r="O1510" s="987">
        <v>493612</v>
      </c>
      <c r="P1510" s="998">
        <v>0</v>
      </c>
      <c r="Q1510" s="987">
        <v>0</v>
      </c>
      <c r="R1510" s="985">
        <v>1014.4101931771476</v>
      </c>
      <c r="S1510" s="988">
        <v>2018</v>
      </c>
      <c r="T1510" s="988">
        <v>2020</v>
      </c>
    </row>
    <row r="1511" spans="1:20" ht="36" customHeight="1">
      <c r="A1511" s="1249"/>
      <c r="B1511" s="1245" t="s">
        <v>1084</v>
      </c>
      <c r="C1511" s="1011"/>
      <c r="D1511" s="1012"/>
      <c r="E1511" s="1010"/>
      <c r="F1511" s="1011"/>
      <c r="G1511" s="1011"/>
      <c r="H1511" s="985">
        <f>SUM(H1512:H1514)</f>
        <v>2618</v>
      </c>
      <c r="I1511" s="985">
        <f t="shared" ref="I1511:Q1511" si="424">SUM(I1512:I1514)</f>
        <v>2417.5</v>
      </c>
      <c r="J1511" s="985">
        <f t="shared" si="424"/>
        <v>2173.6999999999998</v>
      </c>
      <c r="K1511" s="995">
        <f t="shared" si="424"/>
        <v>94</v>
      </c>
      <c r="L1511" s="985">
        <f t="shared" si="424"/>
        <v>4176411</v>
      </c>
      <c r="M1511" s="985">
        <f t="shared" si="424"/>
        <v>0</v>
      </c>
      <c r="N1511" s="985">
        <f t="shared" si="424"/>
        <v>0</v>
      </c>
      <c r="O1511" s="985">
        <f t="shared" si="424"/>
        <v>4176411</v>
      </c>
      <c r="P1511" s="985">
        <f t="shared" si="424"/>
        <v>0</v>
      </c>
      <c r="Q1511" s="985">
        <f t="shared" si="424"/>
        <v>0</v>
      </c>
      <c r="R1511" s="996" t="s">
        <v>40</v>
      </c>
      <c r="S1511" s="996" t="s">
        <v>40</v>
      </c>
      <c r="T1511" s="996" t="s">
        <v>40</v>
      </c>
    </row>
    <row r="1512" spans="1:20" ht="40.799999999999997" customHeight="1">
      <c r="A1512" s="1249">
        <v>548</v>
      </c>
      <c r="B1512" s="1260" t="s">
        <v>2380</v>
      </c>
      <c r="C1512" s="1255">
        <v>1984</v>
      </c>
      <c r="D1512" s="1255"/>
      <c r="E1512" s="1249" t="s">
        <v>218</v>
      </c>
      <c r="F1512" s="1255">
        <v>3</v>
      </c>
      <c r="G1512" s="1255">
        <v>2</v>
      </c>
      <c r="H1512" s="985">
        <v>1130.0999999999999</v>
      </c>
      <c r="I1512" s="985">
        <v>1039.4000000000001</v>
      </c>
      <c r="J1512" s="985">
        <v>923.5</v>
      </c>
      <c r="K1512" s="995">
        <v>48</v>
      </c>
      <c r="L1512" s="987">
        <v>1256949</v>
      </c>
      <c r="M1512" s="987">
        <v>0</v>
      </c>
      <c r="N1512" s="987">
        <v>0</v>
      </c>
      <c r="O1512" s="987">
        <v>1256949</v>
      </c>
      <c r="P1512" s="998">
        <f t="shared" ref="P1512" si="425">Q1512</f>
        <v>0</v>
      </c>
      <c r="Q1512" s="987">
        <v>0</v>
      </c>
      <c r="R1512" s="985">
        <f t="shared" ref="R1512" si="426">L1512/I1512</f>
        <v>1209.3024822012699</v>
      </c>
      <c r="S1512" s="988">
        <v>2017</v>
      </c>
      <c r="T1512" s="988">
        <v>2020</v>
      </c>
    </row>
    <row r="1513" spans="1:20" ht="42" customHeight="1">
      <c r="A1513" s="1249">
        <v>549</v>
      </c>
      <c r="B1513" s="1260" t="s">
        <v>1969</v>
      </c>
      <c r="C1513" s="1255">
        <v>1972</v>
      </c>
      <c r="D1513" s="1255"/>
      <c r="E1513" s="1249" t="s">
        <v>218</v>
      </c>
      <c r="F1513" s="1255">
        <v>2</v>
      </c>
      <c r="G1513" s="1255">
        <v>2</v>
      </c>
      <c r="H1513" s="985">
        <v>781</v>
      </c>
      <c r="I1513" s="985">
        <v>720.8</v>
      </c>
      <c r="J1513" s="985">
        <v>637.4</v>
      </c>
      <c r="K1513" s="995">
        <v>22</v>
      </c>
      <c r="L1513" s="987">
        <v>1150330</v>
      </c>
      <c r="M1513" s="987">
        <v>0</v>
      </c>
      <c r="N1513" s="987">
        <v>0</v>
      </c>
      <c r="O1513" s="987">
        <f>L1513</f>
        <v>1150330</v>
      </c>
      <c r="P1513" s="998">
        <v>0</v>
      </c>
      <c r="Q1513" s="987">
        <v>0</v>
      </c>
      <c r="R1513" s="985">
        <f>L1513/I1513</f>
        <v>1595.9073251942286</v>
      </c>
      <c r="S1513" s="988">
        <v>2018</v>
      </c>
      <c r="T1513" s="988">
        <v>2020</v>
      </c>
    </row>
    <row r="1514" spans="1:20" ht="33.6" customHeight="1">
      <c r="A1514" s="1249">
        <v>550</v>
      </c>
      <c r="B1514" s="1260" t="s">
        <v>1970</v>
      </c>
      <c r="C1514" s="1255">
        <v>1970</v>
      </c>
      <c r="D1514" s="1255"/>
      <c r="E1514" s="1249" t="s">
        <v>221</v>
      </c>
      <c r="F1514" s="1255">
        <v>2</v>
      </c>
      <c r="G1514" s="1255">
        <v>2</v>
      </c>
      <c r="H1514" s="985">
        <v>706.9</v>
      </c>
      <c r="I1514" s="985">
        <v>657.3</v>
      </c>
      <c r="J1514" s="985">
        <v>612.79999999999995</v>
      </c>
      <c r="K1514" s="995">
        <v>24</v>
      </c>
      <c r="L1514" s="987">
        <v>1769132</v>
      </c>
      <c r="M1514" s="987">
        <v>0</v>
      </c>
      <c r="N1514" s="987">
        <v>0</v>
      </c>
      <c r="O1514" s="987">
        <v>1769132</v>
      </c>
      <c r="P1514" s="998">
        <v>0</v>
      </c>
      <c r="Q1514" s="987">
        <v>0</v>
      </c>
      <c r="R1514" s="985">
        <f>L1514/I1514</f>
        <v>2691.5137684466758</v>
      </c>
      <c r="S1514" s="988">
        <v>2018</v>
      </c>
      <c r="T1514" s="988">
        <v>2020</v>
      </c>
    </row>
    <row r="1515" spans="1:20" ht="43.8" customHeight="1">
      <c r="A1515" s="1249"/>
      <c r="B1515" s="1246" t="s">
        <v>1086</v>
      </c>
      <c r="C1515" s="991"/>
      <c r="D1515" s="992"/>
      <c r="E1515" s="993"/>
      <c r="F1515" s="991"/>
      <c r="G1515" s="994"/>
      <c r="H1515" s="985">
        <f>SUM(H1516:H1518)</f>
        <v>3256.2</v>
      </c>
      <c r="I1515" s="985">
        <f t="shared" ref="I1515:Q1515" si="427">SUM(I1516:I1518)</f>
        <v>2705.3</v>
      </c>
      <c r="J1515" s="985">
        <f t="shared" si="427"/>
        <v>2479.3000000000002</v>
      </c>
      <c r="K1515" s="995">
        <f t="shared" si="427"/>
        <v>118</v>
      </c>
      <c r="L1515" s="985">
        <f t="shared" si="427"/>
        <v>7085490.0800000001</v>
      </c>
      <c r="M1515" s="985">
        <f t="shared" si="427"/>
        <v>0</v>
      </c>
      <c r="N1515" s="985">
        <f t="shared" si="427"/>
        <v>0</v>
      </c>
      <c r="O1515" s="985">
        <f t="shared" si="427"/>
        <v>7517536.7699999996</v>
      </c>
      <c r="P1515" s="985">
        <f t="shared" si="427"/>
        <v>0</v>
      </c>
      <c r="Q1515" s="985">
        <f t="shared" si="427"/>
        <v>0</v>
      </c>
      <c r="R1515" s="996" t="s">
        <v>40</v>
      </c>
      <c r="S1515" s="996" t="s">
        <v>40</v>
      </c>
      <c r="T1515" s="996" t="s">
        <v>40</v>
      </c>
    </row>
    <row r="1516" spans="1:20" ht="45" customHeight="1">
      <c r="A1516" s="1046">
        <v>551</v>
      </c>
      <c r="B1516" s="1105" t="s">
        <v>1154</v>
      </c>
      <c r="C1516" s="1048">
        <v>1980</v>
      </c>
      <c r="D1516" s="1048"/>
      <c r="E1516" s="1249" t="s">
        <v>218</v>
      </c>
      <c r="F1516" s="1093">
        <v>3</v>
      </c>
      <c r="G1516" s="1093">
        <v>2</v>
      </c>
      <c r="H1516" s="1038">
        <v>1030.2</v>
      </c>
      <c r="I1516" s="1038">
        <v>932.4</v>
      </c>
      <c r="J1516" s="1038">
        <v>932.4</v>
      </c>
      <c r="K1516" s="1039">
        <v>35</v>
      </c>
      <c r="L1516" s="987">
        <v>1984061.29</v>
      </c>
      <c r="M1516" s="987">
        <v>0</v>
      </c>
      <c r="N1516" s="987">
        <v>0</v>
      </c>
      <c r="O1516" s="987">
        <v>2416107.98</v>
      </c>
      <c r="P1516" s="1057">
        <v>0</v>
      </c>
      <c r="Q1516" s="987">
        <v>0</v>
      </c>
      <c r="R1516" s="1067">
        <f t="shared" ref="R1516:R1517" si="428">L1516/I1516</f>
        <v>2127.9078614328614</v>
      </c>
      <c r="S1516" s="988">
        <v>2019</v>
      </c>
      <c r="T1516" s="988">
        <v>2020</v>
      </c>
    </row>
    <row r="1517" spans="1:20" ht="42.6" customHeight="1">
      <c r="A1517" s="1046">
        <v>552</v>
      </c>
      <c r="B1517" s="1164" t="s">
        <v>1224</v>
      </c>
      <c r="C1517" s="1048">
        <v>1967</v>
      </c>
      <c r="D1517" s="1048"/>
      <c r="E1517" s="1249" t="s">
        <v>218</v>
      </c>
      <c r="F1517" s="1093">
        <v>2</v>
      </c>
      <c r="G1517" s="1093">
        <v>2</v>
      </c>
      <c r="H1517" s="1038">
        <v>831.8</v>
      </c>
      <c r="I1517" s="1038">
        <v>782.7</v>
      </c>
      <c r="J1517" s="1038">
        <v>782.7</v>
      </c>
      <c r="K1517" s="1039">
        <v>23</v>
      </c>
      <c r="L1517" s="987">
        <f>O1517+Q1517</f>
        <v>2217747.7200000002</v>
      </c>
      <c r="M1517" s="987">
        <v>0</v>
      </c>
      <c r="N1517" s="987">
        <v>0</v>
      </c>
      <c r="O1517" s="987">
        <v>2217747.7200000002</v>
      </c>
      <c r="P1517" s="1057">
        <v>0</v>
      </c>
      <c r="Q1517" s="987">
        <v>0</v>
      </c>
      <c r="R1517" s="1067">
        <f t="shared" si="428"/>
        <v>2833.4581832119588</v>
      </c>
      <c r="S1517" s="988">
        <v>2019</v>
      </c>
      <c r="T1517" s="988">
        <v>2020</v>
      </c>
    </row>
    <row r="1518" spans="1:20" ht="40.799999999999997" customHeight="1">
      <c r="A1518" s="1046">
        <v>553</v>
      </c>
      <c r="B1518" s="1164" t="s">
        <v>477</v>
      </c>
      <c r="C1518" s="1048">
        <v>1965</v>
      </c>
      <c r="D1518" s="1048"/>
      <c r="E1518" s="1249" t="s">
        <v>218</v>
      </c>
      <c r="F1518" s="1093">
        <v>3</v>
      </c>
      <c r="G1518" s="1093">
        <v>3</v>
      </c>
      <c r="H1518" s="1038">
        <v>1394.2</v>
      </c>
      <c r="I1518" s="1038">
        <v>990.2</v>
      </c>
      <c r="J1518" s="1038">
        <v>764.2</v>
      </c>
      <c r="K1518" s="1039">
        <v>60</v>
      </c>
      <c r="L1518" s="987">
        <v>2883681.07</v>
      </c>
      <c r="M1518" s="987">
        <v>0</v>
      </c>
      <c r="N1518" s="987">
        <v>0</v>
      </c>
      <c r="O1518" s="987">
        <v>2883681.07</v>
      </c>
      <c r="P1518" s="1057">
        <v>0</v>
      </c>
      <c r="Q1518" s="987">
        <v>0</v>
      </c>
      <c r="R1518" s="1067">
        <f t="shared" ref="R1518" si="429">L1518/I1518</f>
        <v>2912.2208341749138</v>
      </c>
      <c r="S1518" s="988">
        <v>2019</v>
      </c>
      <c r="T1518" s="988">
        <v>2020</v>
      </c>
    </row>
    <row r="1519" spans="1:20" ht="37.799999999999997" customHeight="1">
      <c r="A1519" s="1383"/>
      <c r="B1519" s="1385" t="s">
        <v>1145</v>
      </c>
      <c r="C1519" s="991"/>
      <c r="D1519" s="992"/>
      <c r="E1519" s="993"/>
      <c r="F1519" s="991"/>
      <c r="G1519" s="994"/>
      <c r="H1519" s="985">
        <f>SUM(H1520:H1527)</f>
        <v>6911.2</v>
      </c>
      <c r="I1519" s="985">
        <f t="shared" ref="I1519:Q1519" si="430">SUM(I1520:I1527)</f>
        <v>6404.4</v>
      </c>
      <c r="J1519" s="985">
        <f t="shared" si="430"/>
        <v>6404.4</v>
      </c>
      <c r="K1519" s="995">
        <f t="shared" si="430"/>
        <v>318</v>
      </c>
      <c r="L1519" s="985">
        <f t="shared" si="430"/>
        <v>12123443.590000002</v>
      </c>
      <c r="M1519" s="985">
        <f t="shared" si="430"/>
        <v>0</v>
      </c>
      <c r="N1519" s="985">
        <f t="shared" si="430"/>
        <v>0</v>
      </c>
      <c r="O1519" s="985">
        <f t="shared" si="430"/>
        <v>12123443.590000002</v>
      </c>
      <c r="P1519" s="985">
        <f t="shared" si="430"/>
        <v>0</v>
      </c>
      <c r="Q1519" s="985">
        <f t="shared" si="430"/>
        <v>0</v>
      </c>
      <c r="R1519" s="996" t="s">
        <v>40</v>
      </c>
      <c r="S1519" s="996" t="s">
        <v>40</v>
      </c>
      <c r="T1519" s="996" t="s">
        <v>40</v>
      </c>
    </row>
    <row r="1520" spans="1:20" ht="39.6" customHeight="1">
      <c r="A1520" s="1249">
        <v>554</v>
      </c>
      <c r="B1520" s="1070" t="s">
        <v>1228</v>
      </c>
      <c r="C1520" s="1048">
        <v>1968</v>
      </c>
      <c r="D1520" s="1048"/>
      <c r="E1520" s="1249" t="s">
        <v>218</v>
      </c>
      <c r="F1520" s="1048">
        <v>3</v>
      </c>
      <c r="G1520" s="1048">
        <v>2</v>
      </c>
      <c r="H1520" s="1107">
        <v>1040.5999999999999</v>
      </c>
      <c r="I1520" s="1067">
        <v>967.8</v>
      </c>
      <c r="J1520" s="1067">
        <v>967.8</v>
      </c>
      <c r="K1520" s="1077">
        <v>42</v>
      </c>
      <c r="L1520" s="987">
        <v>1840183.32</v>
      </c>
      <c r="M1520" s="987">
        <v>0</v>
      </c>
      <c r="N1520" s="987">
        <v>0</v>
      </c>
      <c r="O1520" s="987">
        <f>L1520</f>
        <v>1840183.32</v>
      </c>
      <c r="P1520" s="1057">
        <v>0</v>
      </c>
      <c r="Q1520" s="987">
        <v>0</v>
      </c>
      <c r="R1520" s="1067">
        <f>L1520/I1520</f>
        <v>1901.4086794792313</v>
      </c>
      <c r="S1520" s="988">
        <v>2016</v>
      </c>
      <c r="T1520" s="988">
        <v>2020</v>
      </c>
    </row>
    <row r="1521" spans="1:20" ht="40.799999999999997" customHeight="1">
      <c r="A1521" s="1249">
        <v>555</v>
      </c>
      <c r="B1521" s="1070" t="s">
        <v>1229</v>
      </c>
      <c r="C1521" s="1048">
        <v>1962</v>
      </c>
      <c r="D1521" s="1048"/>
      <c r="E1521" s="1249" t="s">
        <v>218</v>
      </c>
      <c r="F1521" s="1048">
        <v>3</v>
      </c>
      <c r="G1521" s="1048">
        <v>2</v>
      </c>
      <c r="H1521" s="1067">
        <v>1037.5</v>
      </c>
      <c r="I1521" s="1067">
        <v>965.7</v>
      </c>
      <c r="J1521" s="1067">
        <v>965.7</v>
      </c>
      <c r="K1521" s="1077">
        <v>41</v>
      </c>
      <c r="L1521" s="987">
        <v>1840183.32</v>
      </c>
      <c r="M1521" s="987">
        <v>0</v>
      </c>
      <c r="N1521" s="987">
        <v>0</v>
      </c>
      <c r="O1521" s="987">
        <f>L1521</f>
        <v>1840183.32</v>
      </c>
      <c r="P1521" s="1057">
        <v>0</v>
      </c>
      <c r="Q1521" s="987">
        <v>0</v>
      </c>
      <c r="R1521" s="1067">
        <f t="shared" ref="R1521:R1522" si="431">L1521/I1521</f>
        <v>1905.5434607020813</v>
      </c>
      <c r="S1521" s="988">
        <v>2016</v>
      </c>
      <c r="T1521" s="988">
        <v>2020</v>
      </c>
    </row>
    <row r="1522" spans="1:20" ht="38.4" customHeight="1">
      <c r="A1522" s="1249">
        <v>556</v>
      </c>
      <c r="B1522" s="1070" t="s">
        <v>1230</v>
      </c>
      <c r="C1522" s="1048">
        <v>1968</v>
      </c>
      <c r="D1522" s="1048"/>
      <c r="E1522" s="1249" t="s">
        <v>218</v>
      </c>
      <c r="F1522" s="1048">
        <v>3</v>
      </c>
      <c r="G1522" s="1048">
        <v>2</v>
      </c>
      <c r="H1522" s="1067">
        <v>1044.5</v>
      </c>
      <c r="I1522" s="1067">
        <v>971.9</v>
      </c>
      <c r="J1522" s="1067">
        <v>971.9</v>
      </c>
      <c r="K1522" s="1077">
        <v>53</v>
      </c>
      <c r="L1522" s="987">
        <v>1866925.32</v>
      </c>
      <c r="M1522" s="987">
        <v>0</v>
      </c>
      <c r="N1522" s="987">
        <v>0</v>
      </c>
      <c r="O1522" s="987">
        <f t="shared" ref="O1522:O1527" si="432">L1522</f>
        <v>1866925.32</v>
      </c>
      <c r="P1522" s="1057">
        <v>0</v>
      </c>
      <c r="Q1522" s="987">
        <v>0</v>
      </c>
      <c r="R1522" s="1067">
        <f t="shared" si="431"/>
        <v>1920.9026854614674</v>
      </c>
      <c r="S1522" s="988">
        <v>2016</v>
      </c>
      <c r="T1522" s="988">
        <v>2020</v>
      </c>
    </row>
    <row r="1523" spans="1:20" ht="42.6" customHeight="1">
      <c r="A1523" s="1249">
        <v>557</v>
      </c>
      <c r="B1523" s="1260" t="s">
        <v>680</v>
      </c>
      <c r="C1523" s="1255">
        <v>1964</v>
      </c>
      <c r="D1523" s="1255"/>
      <c r="E1523" s="1249" t="s">
        <v>218</v>
      </c>
      <c r="F1523" s="1255">
        <v>2</v>
      </c>
      <c r="G1523" s="1255">
        <v>2</v>
      </c>
      <c r="H1523" s="998">
        <v>571.29999999999995</v>
      </c>
      <c r="I1523" s="985">
        <v>522.9</v>
      </c>
      <c r="J1523" s="985">
        <v>522.9</v>
      </c>
      <c r="K1523" s="995">
        <v>29</v>
      </c>
      <c r="L1523" s="987">
        <v>734707</v>
      </c>
      <c r="M1523" s="987">
        <v>0</v>
      </c>
      <c r="N1523" s="987">
        <v>0</v>
      </c>
      <c r="O1523" s="987">
        <f t="shared" si="432"/>
        <v>734707</v>
      </c>
      <c r="P1523" s="998">
        <f t="shared" ref="P1523:P1524" si="433">Q1523</f>
        <v>0</v>
      </c>
      <c r="Q1523" s="987">
        <v>0</v>
      </c>
      <c r="R1523" s="985">
        <f>L1523/I1523</f>
        <v>1405.0621533754065</v>
      </c>
      <c r="S1523" s="988">
        <v>2017</v>
      </c>
      <c r="T1523" s="988">
        <v>2020</v>
      </c>
    </row>
    <row r="1524" spans="1:20" ht="40.200000000000003" customHeight="1">
      <c r="A1524" s="1249">
        <v>558</v>
      </c>
      <c r="B1524" s="1260" t="s">
        <v>681</v>
      </c>
      <c r="C1524" s="1255">
        <v>1964</v>
      </c>
      <c r="D1524" s="1255"/>
      <c r="E1524" s="1249" t="s">
        <v>218</v>
      </c>
      <c r="F1524" s="1255">
        <v>2</v>
      </c>
      <c r="G1524" s="1255">
        <v>2</v>
      </c>
      <c r="H1524" s="985">
        <v>578.79999999999995</v>
      </c>
      <c r="I1524" s="985">
        <v>530.6</v>
      </c>
      <c r="J1524" s="985">
        <v>530.6</v>
      </c>
      <c r="K1524" s="995">
        <v>29</v>
      </c>
      <c r="L1524" s="987">
        <v>738725.94</v>
      </c>
      <c r="M1524" s="987">
        <v>0</v>
      </c>
      <c r="N1524" s="987">
        <v>0</v>
      </c>
      <c r="O1524" s="987">
        <f t="shared" si="432"/>
        <v>738725.94</v>
      </c>
      <c r="P1524" s="998">
        <f t="shared" si="433"/>
        <v>0</v>
      </c>
      <c r="Q1524" s="987">
        <v>0</v>
      </c>
      <c r="R1524" s="985">
        <f t="shared" ref="R1524" si="434">L1524/I1524</f>
        <v>1392.2464003015452</v>
      </c>
      <c r="S1524" s="988">
        <v>2017</v>
      </c>
      <c r="T1524" s="988">
        <v>2020</v>
      </c>
    </row>
    <row r="1525" spans="1:20" ht="41.4" customHeight="1">
      <c r="A1525" s="1249">
        <v>559</v>
      </c>
      <c r="B1525" s="1260" t="s">
        <v>682</v>
      </c>
      <c r="C1525" s="1255">
        <v>1972</v>
      </c>
      <c r="D1525" s="1255"/>
      <c r="E1525" s="1249" t="s">
        <v>218</v>
      </c>
      <c r="F1525" s="1255">
        <v>3</v>
      </c>
      <c r="G1525" s="1255">
        <v>2</v>
      </c>
      <c r="H1525" s="998">
        <v>1028</v>
      </c>
      <c r="I1525" s="985">
        <v>955</v>
      </c>
      <c r="J1525" s="985">
        <v>955</v>
      </c>
      <c r="K1525" s="995">
        <v>47</v>
      </c>
      <c r="L1525" s="987">
        <v>1857131.23</v>
      </c>
      <c r="M1525" s="987">
        <v>0</v>
      </c>
      <c r="N1525" s="987">
        <v>0</v>
      </c>
      <c r="O1525" s="987">
        <f t="shared" si="432"/>
        <v>1857131.23</v>
      </c>
      <c r="P1525" s="998">
        <v>0</v>
      </c>
      <c r="Q1525" s="987">
        <v>0</v>
      </c>
      <c r="R1525" s="985">
        <f>L1525/I1525</f>
        <v>1944.6400314136126</v>
      </c>
      <c r="S1525" s="988">
        <v>2018</v>
      </c>
      <c r="T1525" s="988">
        <v>2020</v>
      </c>
    </row>
    <row r="1526" spans="1:20" ht="42" customHeight="1">
      <c r="A1526" s="1249">
        <v>560</v>
      </c>
      <c r="B1526" s="1105" t="s">
        <v>1528</v>
      </c>
      <c r="C1526" s="1266">
        <v>1962</v>
      </c>
      <c r="D1526" s="1266"/>
      <c r="E1526" s="1249" t="s">
        <v>218</v>
      </c>
      <c r="F1526" s="1266">
        <v>3</v>
      </c>
      <c r="G1526" s="1266">
        <v>2</v>
      </c>
      <c r="H1526" s="998">
        <v>1039.2</v>
      </c>
      <c r="I1526" s="985">
        <v>967.8</v>
      </c>
      <c r="J1526" s="985">
        <v>967.8</v>
      </c>
      <c r="K1526" s="995">
        <v>48</v>
      </c>
      <c r="L1526" s="987">
        <v>1936330.91</v>
      </c>
      <c r="M1526" s="987">
        <v>0</v>
      </c>
      <c r="N1526" s="987">
        <v>0</v>
      </c>
      <c r="O1526" s="987">
        <f t="shared" si="432"/>
        <v>1936330.91</v>
      </c>
      <c r="P1526" s="998">
        <v>0</v>
      </c>
      <c r="Q1526" s="987">
        <v>0</v>
      </c>
      <c r="R1526" s="985">
        <f>L1526/I1526</f>
        <v>2000.7552283529656</v>
      </c>
      <c r="S1526" s="988">
        <v>2019</v>
      </c>
      <c r="T1526" s="988">
        <v>2020</v>
      </c>
    </row>
    <row r="1527" spans="1:20" ht="40.200000000000003" customHeight="1">
      <c r="A1527" s="1249">
        <v>561</v>
      </c>
      <c r="B1527" s="1105" t="s">
        <v>1146</v>
      </c>
      <c r="C1527" s="1266">
        <v>1969</v>
      </c>
      <c r="D1527" s="1266"/>
      <c r="E1527" s="1249" t="s">
        <v>218</v>
      </c>
      <c r="F1527" s="1266">
        <v>2</v>
      </c>
      <c r="G1527" s="1266">
        <v>2</v>
      </c>
      <c r="H1527" s="998">
        <v>571.29999999999995</v>
      </c>
      <c r="I1527" s="985">
        <v>522.70000000000005</v>
      </c>
      <c r="J1527" s="985">
        <v>522.70000000000005</v>
      </c>
      <c r="K1527" s="995">
        <v>29</v>
      </c>
      <c r="L1527" s="987">
        <v>1309256.55</v>
      </c>
      <c r="M1527" s="987">
        <v>0</v>
      </c>
      <c r="N1527" s="987">
        <v>0</v>
      </c>
      <c r="O1527" s="987">
        <f t="shared" si="432"/>
        <v>1309256.55</v>
      </c>
      <c r="P1527" s="998">
        <v>0</v>
      </c>
      <c r="Q1527" s="987">
        <v>0</v>
      </c>
      <c r="R1527" s="985">
        <f>L1527/I1527</f>
        <v>2504.7953893246604</v>
      </c>
      <c r="S1527" s="988">
        <v>2019</v>
      </c>
      <c r="T1527" s="988">
        <v>2020</v>
      </c>
    </row>
    <row r="1528" spans="1:20" ht="41.4" customHeight="1">
      <c r="A1528" s="1249"/>
      <c r="B1528" s="1546" t="s">
        <v>1085</v>
      </c>
      <c r="C1528" s="1547"/>
      <c r="D1528" s="1547"/>
      <c r="E1528" s="1547"/>
      <c r="F1528" s="1547"/>
      <c r="G1528" s="1548"/>
      <c r="H1528" s="998">
        <f>H1529+H1530+H1531</f>
        <v>2566.8999999999996</v>
      </c>
      <c r="I1528" s="998">
        <f t="shared" ref="I1528:Q1528" si="435">I1529+I1530+I1531</f>
        <v>2336.1</v>
      </c>
      <c r="J1528" s="998">
        <f t="shared" si="435"/>
        <v>1724.21</v>
      </c>
      <c r="K1528" s="986">
        <f t="shared" si="435"/>
        <v>116</v>
      </c>
      <c r="L1528" s="998">
        <f t="shared" si="435"/>
        <v>5883319.4500000002</v>
      </c>
      <c r="M1528" s="998">
        <f t="shared" si="435"/>
        <v>0</v>
      </c>
      <c r="N1528" s="998">
        <f t="shared" si="435"/>
        <v>738519.3</v>
      </c>
      <c r="O1528" s="998">
        <f t="shared" si="435"/>
        <v>5144800.1500000004</v>
      </c>
      <c r="P1528" s="998">
        <f t="shared" si="435"/>
        <v>0</v>
      </c>
      <c r="Q1528" s="998">
        <f t="shared" si="435"/>
        <v>0</v>
      </c>
      <c r="R1528" s="996" t="s">
        <v>40</v>
      </c>
      <c r="S1528" s="996" t="s">
        <v>40</v>
      </c>
      <c r="T1528" s="996" t="s">
        <v>40</v>
      </c>
    </row>
    <row r="1529" spans="1:20" ht="40.799999999999997" customHeight="1">
      <c r="A1529" s="1249">
        <v>562</v>
      </c>
      <c r="B1529" s="1260" t="s">
        <v>594</v>
      </c>
      <c r="C1529" s="1255">
        <v>1969</v>
      </c>
      <c r="D1529" s="1255"/>
      <c r="E1529" s="1249" t="s">
        <v>218</v>
      </c>
      <c r="F1529" s="1255">
        <v>3</v>
      </c>
      <c r="G1529" s="1255">
        <v>3</v>
      </c>
      <c r="H1529" s="985">
        <v>1575.1</v>
      </c>
      <c r="I1529" s="985">
        <v>1438.1</v>
      </c>
      <c r="J1529" s="985">
        <v>1438.1</v>
      </c>
      <c r="K1529" s="995">
        <v>54</v>
      </c>
      <c r="L1529" s="987">
        <v>2641818.4500000002</v>
      </c>
      <c r="M1529" s="987">
        <v>0</v>
      </c>
      <c r="N1529" s="987">
        <v>738519.3</v>
      </c>
      <c r="O1529" s="987">
        <v>1903299.15</v>
      </c>
      <c r="P1529" s="998">
        <v>0</v>
      </c>
      <c r="Q1529" s="987">
        <v>0</v>
      </c>
      <c r="R1529" s="985">
        <v>1837.0199916556571</v>
      </c>
      <c r="S1529" s="988">
        <v>2017</v>
      </c>
      <c r="T1529" s="988">
        <v>2020</v>
      </c>
    </row>
    <row r="1530" spans="1:20" ht="42" customHeight="1">
      <c r="A1530" s="1249">
        <v>563</v>
      </c>
      <c r="B1530" s="1260" t="s">
        <v>1042</v>
      </c>
      <c r="C1530" s="1249">
        <v>1963</v>
      </c>
      <c r="D1530" s="1213"/>
      <c r="E1530" s="1249" t="s">
        <v>218</v>
      </c>
      <c r="F1530" s="1249">
        <v>2</v>
      </c>
      <c r="G1530" s="1249">
        <v>2</v>
      </c>
      <c r="H1530" s="985">
        <v>438</v>
      </c>
      <c r="I1530" s="985">
        <v>393.4</v>
      </c>
      <c r="J1530" s="985">
        <v>233.2</v>
      </c>
      <c r="K1530" s="995">
        <v>22</v>
      </c>
      <c r="L1530" s="987">
        <v>1527133</v>
      </c>
      <c r="M1530" s="987">
        <v>0</v>
      </c>
      <c r="N1530" s="987">
        <v>0</v>
      </c>
      <c r="O1530" s="987">
        <v>1527133</v>
      </c>
      <c r="P1530" s="998">
        <v>0</v>
      </c>
      <c r="Q1530" s="987">
        <v>0</v>
      </c>
      <c r="R1530" s="985">
        <v>3881.8835790543976</v>
      </c>
      <c r="S1530" s="988">
        <v>2019</v>
      </c>
      <c r="T1530" s="988">
        <v>2020</v>
      </c>
    </row>
    <row r="1531" spans="1:20" ht="36.6" customHeight="1">
      <c r="A1531" s="1249">
        <v>564</v>
      </c>
      <c r="B1531" s="1260" t="s">
        <v>1043</v>
      </c>
      <c r="C1531" s="1255">
        <v>1930</v>
      </c>
      <c r="D1531" s="1255"/>
      <c r="E1531" s="1249" t="s">
        <v>221</v>
      </c>
      <c r="F1531" s="1255">
        <v>2</v>
      </c>
      <c r="G1531" s="1255">
        <v>2</v>
      </c>
      <c r="H1531" s="985">
        <v>553.79999999999995</v>
      </c>
      <c r="I1531" s="985">
        <v>504.6</v>
      </c>
      <c r="J1531" s="985">
        <v>52.91</v>
      </c>
      <c r="K1531" s="995">
        <v>40</v>
      </c>
      <c r="L1531" s="987">
        <v>1714368</v>
      </c>
      <c r="M1531" s="987">
        <v>0</v>
      </c>
      <c r="N1531" s="987">
        <v>0</v>
      </c>
      <c r="O1531" s="987">
        <v>1714368</v>
      </c>
      <c r="P1531" s="998">
        <v>0</v>
      </c>
      <c r="Q1531" s="987">
        <v>0</v>
      </c>
      <c r="R1531" s="985">
        <v>3397.4791914387633</v>
      </c>
      <c r="S1531" s="988">
        <v>2019</v>
      </c>
      <c r="T1531" s="988">
        <v>2020</v>
      </c>
    </row>
    <row r="1532" spans="1:20" ht="42.6" customHeight="1">
      <c r="A1532" s="1249"/>
      <c r="B1532" s="1246" t="s">
        <v>1087</v>
      </c>
      <c r="C1532" s="991"/>
      <c r="D1532" s="992"/>
      <c r="E1532" s="993"/>
      <c r="F1532" s="991"/>
      <c r="G1532" s="994"/>
      <c r="H1532" s="998">
        <f>H1533+H1534+H1535</f>
        <v>12387.8</v>
      </c>
      <c r="I1532" s="998">
        <f t="shared" ref="I1532:Q1532" si="436">I1533+I1534+I1535</f>
        <v>11319.2</v>
      </c>
      <c r="J1532" s="998">
        <f t="shared" si="436"/>
        <v>10754.5</v>
      </c>
      <c r="K1532" s="986">
        <f t="shared" si="436"/>
        <v>457</v>
      </c>
      <c r="L1532" s="998">
        <f t="shared" si="436"/>
        <v>9105999</v>
      </c>
      <c r="M1532" s="998">
        <f t="shared" si="436"/>
        <v>0</v>
      </c>
      <c r="N1532" s="998">
        <f t="shared" si="436"/>
        <v>0</v>
      </c>
      <c r="O1532" s="998">
        <f t="shared" si="436"/>
        <v>9105999</v>
      </c>
      <c r="P1532" s="998">
        <f t="shared" si="436"/>
        <v>0</v>
      </c>
      <c r="Q1532" s="998">
        <f t="shared" si="436"/>
        <v>0</v>
      </c>
      <c r="R1532" s="996" t="s">
        <v>40</v>
      </c>
      <c r="S1532" s="996" t="s">
        <v>40</v>
      </c>
      <c r="T1532" s="996" t="s">
        <v>40</v>
      </c>
    </row>
    <row r="1533" spans="1:20" ht="39" customHeight="1">
      <c r="A1533" s="1249">
        <v>565</v>
      </c>
      <c r="B1533" s="1105" t="s">
        <v>721</v>
      </c>
      <c r="C1533" s="1266">
        <v>1977</v>
      </c>
      <c r="D1533" s="1266"/>
      <c r="E1533" s="1249" t="s">
        <v>219</v>
      </c>
      <c r="F1533" s="1266">
        <v>5</v>
      </c>
      <c r="G1533" s="1266">
        <v>4</v>
      </c>
      <c r="H1533" s="998">
        <v>3299.5</v>
      </c>
      <c r="I1533" s="985">
        <v>3053.5</v>
      </c>
      <c r="J1533" s="985">
        <v>2987.3</v>
      </c>
      <c r="K1533" s="995">
        <v>133</v>
      </c>
      <c r="L1533" s="987">
        <v>2203612</v>
      </c>
      <c r="M1533" s="987">
        <v>0</v>
      </c>
      <c r="N1533" s="987">
        <v>0</v>
      </c>
      <c r="O1533" s="987">
        <f>L1533</f>
        <v>2203612</v>
      </c>
      <c r="P1533" s="998">
        <v>0</v>
      </c>
      <c r="Q1533" s="987">
        <v>0</v>
      </c>
      <c r="R1533" s="1067">
        <f>L1533/I1533</f>
        <v>721.66759456361547</v>
      </c>
      <c r="S1533" s="988">
        <v>2019</v>
      </c>
      <c r="T1533" s="988">
        <v>2020</v>
      </c>
    </row>
    <row r="1534" spans="1:20" ht="37.200000000000003" customHeight="1">
      <c r="A1534" s="1249">
        <v>566</v>
      </c>
      <c r="B1534" s="1105" t="s">
        <v>723</v>
      </c>
      <c r="C1534" s="1266">
        <v>1989</v>
      </c>
      <c r="D1534" s="1266"/>
      <c r="E1534" s="1249" t="s">
        <v>219</v>
      </c>
      <c r="F1534" s="1266">
        <v>5</v>
      </c>
      <c r="G1534" s="1266">
        <v>7</v>
      </c>
      <c r="H1534" s="998">
        <v>5924.3</v>
      </c>
      <c r="I1534" s="985">
        <v>5373.7</v>
      </c>
      <c r="J1534" s="985">
        <v>4875.2</v>
      </c>
      <c r="K1534" s="995">
        <v>217</v>
      </c>
      <c r="L1534" s="987">
        <v>4707741</v>
      </c>
      <c r="M1534" s="987">
        <v>0</v>
      </c>
      <c r="N1534" s="987">
        <v>0</v>
      </c>
      <c r="O1534" s="987">
        <f t="shared" ref="O1534:O1535" si="437">L1534</f>
        <v>4707741</v>
      </c>
      <c r="P1534" s="998">
        <v>0</v>
      </c>
      <c r="Q1534" s="987">
        <v>0</v>
      </c>
      <c r="R1534" s="1067">
        <f t="shared" ref="R1534:R1535" si="438">L1534/I1534</f>
        <v>876.07067755922367</v>
      </c>
      <c r="S1534" s="988">
        <v>2019</v>
      </c>
      <c r="T1534" s="988">
        <v>2020</v>
      </c>
    </row>
    <row r="1535" spans="1:20" ht="42" customHeight="1">
      <c r="A1535" s="1249">
        <v>567</v>
      </c>
      <c r="B1535" s="1105" t="s">
        <v>1586</v>
      </c>
      <c r="C1535" s="1266">
        <v>1970</v>
      </c>
      <c r="D1535" s="1266"/>
      <c r="E1535" s="1249" t="s">
        <v>218</v>
      </c>
      <c r="F1535" s="1266">
        <v>5</v>
      </c>
      <c r="G1535" s="1266">
        <v>4</v>
      </c>
      <c r="H1535" s="998">
        <v>3164</v>
      </c>
      <c r="I1535" s="985">
        <v>2892</v>
      </c>
      <c r="J1535" s="985">
        <v>2892</v>
      </c>
      <c r="K1535" s="995">
        <v>107</v>
      </c>
      <c r="L1535" s="987">
        <v>2194646</v>
      </c>
      <c r="M1535" s="987">
        <v>0</v>
      </c>
      <c r="N1535" s="987">
        <v>0</v>
      </c>
      <c r="O1535" s="987">
        <f t="shared" si="437"/>
        <v>2194646</v>
      </c>
      <c r="P1535" s="998">
        <v>0</v>
      </c>
      <c r="Q1535" s="987">
        <v>0</v>
      </c>
      <c r="R1535" s="1067">
        <f t="shared" si="438"/>
        <v>758.86791147994472</v>
      </c>
      <c r="S1535" s="988">
        <v>2019</v>
      </c>
      <c r="T1535" s="988">
        <v>2020</v>
      </c>
    </row>
    <row r="1536" spans="1:20" ht="37.200000000000003" customHeight="1">
      <c r="A1536" s="1249"/>
      <c r="B1536" s="1261" t="s">
        <v>2015</v>
      </c>
      <c r="C1536" s="991"/>
      <c r="D1536" s="992"/>
      <c r="E1536" s="993"/>
      <c r="F1536" s="991"/>
      <c r="G1536" s="994"/>
      <c r="H1536" s="985">
        <f>H1537+H1538</f>
        <v>1781.4</v>
      </c>
      <c r="I1536" s="985">
        <f t="shared" ref="I1536:Q1536" si="439">I1537+I1538</f>
        <v>1605.1</v>
      </c>
      <c r="J1536" s="985">
        <f t="shared" si="439"/>
        <v>1605.1</v>
      </c>
      <c r="K1536" s="995">
        <f t="shared" si="439"/>
        <v>52</v>
      </c>
      <c r="L1536" s="985">
        <f t="shared" si="439"/>
        <v>4485601.8100000005</v>
      </c>
      <c r="M1536" s="985">
        <f t="shared" si="439"/>
        <v>0</v>
      </c>
      <c r="N1536" s="985">
        <f t="shared" si="439"/>
        <v>0</v>
      </c>
      <c r="O1536" s="985">
        <f t="shared" si="439"/>
        <v>4485601.8100000005</v>
      </c>
      <c r="P1536" s="985">
        <f t="shared" si="439"/>
        <v>0</v>
      </c>
      <c r="Q1536" s="985">
        <f t="shared" si="439"/>
        <v>0</v>
      </c>
      <c r="R1536" s="996" t="s">
        <v>40</v>
      </c>
      <c r="S1536" s="996" t="s">
        <v>40</v>
      </c>
      <c r="T1536" s="996" t="s">
        <v>40</v>
      </c>
    </row>
    <row r="1537" spans="1:20" ht="42" customHeight="1">
      <c r="A1537" s="1249">
        <v>568</v>
      </c>
      <c r="B1537" s="1260" t="s">
        <v>1971</v>
      </c>
      <c r="C1537" s="1034" t="s">
        <v>1231</v>
      </c>
      <c r="D1537" s="1255"/>
      <c r="E1537" s="1249" t="s">
        <v>218</v>
      </c>
      <c r="F1537" s="1255">
        <v>3</v>
      </c>
      <c r="G1537" s="1255">
        <v>2</v>
      </c>
      <c r="H1537" s="985">
        <v>842.6</v>
      </c>
      <c r="I1537" s="985">
        <v>755.5</v>
      </c>
      <c r="J1537" s="985">
        <v>755.5</v>
      </c>
      <c r="K1537" s="995">
        <v>26</v>
      </c>
      <c r="L1537" s="987">
        <v>1555703.83</v>
      </c>
      <c r="M1537" s="987">
        <v>0</v>
      </c>
      <c r="N1537" s="987">
        <v>0</v>
      </c>
      <c r="O1537" s="987">
        <v>1555703.83</v>
      </c>
      <c r="P1537" s="998">
        <f t="shared" ref="P1537:P1597" si="440">Q1537</f>
        <v>0</v>
      </c>
      <c r="Q1537" s="987">
        <v>0</v>
      </c>
      <c r="R1537" s="985">
        <f>L1537/I1537</f>
        <v>2059.1711846459298</v>
      </c>
      <c r="S1537" s="988">
        <v>2017</v>
      </c>
      <c r="T1537" s="988">
        <v>2020</v>
      </c>
    </row>
    <row r="1538" spans="1:20" ht="40.799999999999997" customHeight="1">
      <c r="A1538" s="1249">
        <v>569</v>
      </c>
      <c r="B1538" s="1260" t="s">
        <v>1972</v>
      </c>
      <c r="C1538" s="1034" t="s">
        <v>1232</v>
      </c>
      <c r="D1538" s="1255"/>
      <c r="E1538" s="1249" t="s">
        <v>218</v>
      </c>
      <c r="F1538" s="1255">
        <v>2</v>
      </c>
      <c r="G1538" s="1255">
        <v>3</v>
      </c>
      <c r="H1538" s="985">
        <v>938.8</v>
      </c>
      <c r="I1538" s="985">
        <v>849.6</v>
      </c>
      <c r="J1538" s="985">
        <v>849.6</v>
      </c>
      <c r="K1538" s="995">
        <v>26</v>
      </c>
      <c r="L1538" s="987">
        <v>2929897.98</v>
      </c>
      <c r="M1538" s="987">
        <v>0</v>
      </c>
      <c r="N1538" s="987">
        <v>0</v>
      </c>
      <c r="O1538" s="987">
        <v>2929897.98</v>
      </c>
      <c r="P1538" s="998">
        <f t="shared" si="440"/>
        <v>0</v>
      </c>
      <c r="Q1538" s="987">
        <v>0</v>
      </c>
      <c r="R1538" s="985">
        <f>L1538/I1538</f>
        <v>3448.5616525423729</v>
      </c>
      <c r="S1538" s="988">
        <v>2017</v>
      </c>
      <c r="T1538" s="988">
        <v>2020</v>
      </c>
    </row>
    <row r="1539" spans="1:20" ht="36.6" customHeight="1">
      <c r="A1539" s="1249"/>
      <c r="B1539" s="1261" t="s">
        <v>55</v>
      </c>
      <c r="C1539" s="991"/>
      <c r="D1539" s="992"/>
      <c r="E1539" s="993"/>
      <c r="F1539" s="991"/>
      <c r="G1539" s="994"/>
      <c r="H1539" s="985">
        <f>H1540</f>
        <v>2456.1</v>
      </c>
      <c r="I1539" s="985">
        <f t="shared" ref="I1539:R1539" si="441">I1540</f>
        <v>2179.3000000000002</v>
      </c>
      <c r="J1539" s="985">
        <f t="shared" si="441"/>
        <v>1943.2</v>
      </c>
      <c r="K1539" s="995">
        <f t="shared" si="441"/>
        <v>102</v>
      </c>
      <c r="L1539" s="987">
        <f t="shared" si="441"/>
        <v>6598081</v>
      </c>
      <c r="M1539" s="987">
        <f t="shared" si="441"/>
        <v>0</v>
      </c>
      <c r="N1539" s="987">
        <f t="shared" si="441"/>
        <v>0</v>
      </c>
      <c r="O1539" s="987">
        <f t="shared" si="441"/>
        <v>6598081</v>
      </c>
      <c r="P1539" s="998">
        <f t="shared" si="440"/>
        <v>0</v>
      </c>
      <c r="Q1539" s="987">
        <f t="shared" si="441"/>
        <v>0</v>
      </c>
      <c r="R1539" s="996" t="str">
        <f t="shared" si="441"/>
        <v>Х</v>
      </c>
      <c r="S1539" s="996" t="s">
        <v>40</v>
      </c>
      <c r="T1539" s="996" t="s">
        <v>40</v>
      </c>
    </row>
    <row r="1540" spans="1:20" ht="34.799999999999997" customHeight="1">
      <c r="A1540" s="1249"/>
      <c r="B1540" s="1261" t="s">
        <v>1090</v>
      </c>
      <c r="C1540" s="991"/>
      <c r="D1540" s="992"/>
      <c r="E1540" s="993"/>
      <c r="F1540" s="991"/>
      <c r="G1540" s="994"/>
      <c r="H1540" s="985">
        <f>SUM(H1541:H1545)</f>
        <v>2456.1</v>
      </c>
      <c r="I1540" s="985">
        <f t="shared" ref="I1540:Q1540" si="442">SUM(I1541:I1545)</f>
        <v>2179.3000000000002</v>
      </c>
      <c r="J1540" s="985">
        <f t="shared" si="442"/>
        <v>1943.2</v>
      </c>
      <c r="K1540" s="995">
        <f t="shared" si="442"/>
        <v>102</v>
      </c>
      <c r="L1540" s="985">
        <f t="shared" si="442"/>
        <v>6598081</v>
      </c>
      <c r="M1540" s="985">
        <f t="shared" si="442"/>
        <v>0</v>
      </c>
      <c r="N1540" s="985">
        <f t="shared" si="442"/>
        <v>0</v>
      </c>
      <c r="O1540" s="985">
        <f t="shared" si="442"/>
        <v>6598081</v>
      </c>
      <c r="P1540" s="985">
        <f t="shared" si="442"/>
        <v>0</v>
      </c>
      <c r="Q1540" s="985">
        <f t="shared" si="442"/>
        <v>0</v>
      </c>
      <c r="R1540" s="996" t="s">
        <v>40</v>
      </c>
      <c r="S1540" s="996" t="s">
        <v>40</v>
      </c>
      <c r="T1540" s="996" t="s">
        <v>40</v>
      </c>
    </row>
    <row r="1541" spans="1:20" ht="36.6" customHeight="1">
      <c r="A1541" s="1249">
        <v>570</v>
      </c>
      <c r="B1541" s="1070" t="s">
        <v>1147</v>
      </c>
      <c r="C1541" s="1098" t="s">
        <v>1233</v>
      </c>
      <c r="D1541" s="1048">
        <v>1985</v>
      </c>
      <c r="E1541" s="1249" t="s">
        <v>221</v>
      </c>
      <c r="F1541" s="1048">
        <v>2</v>
      </c>
      <c r="G1541" s="1048">
        <v>2</v>
      </c>
      <c r="H1541" s="1067">
        <v>560</v>
      </c>
      <c r="I1541" s="1067">
        <v>485.2</v>
      </c>
      <c r="J1541" s="1067">
        <v>427.8</v>
      </c>
      <c r="K1541" s="1077">
        <v>16</v>
      </c>
      <c r="L1541" s="987">
        <v>1620385.19</v>
      </c>
      <c r="M1541" s="987">
        <v>0</v>
      </c>
      <c r="N1541" s="987">
        <v>0</v>
      </c>
      <c r="O1541" s="987">
        <v>1620385.19</v>
      </c>
      <c r="P1541" s="1057">
        <v>0</v>
      </c>
      <c r="Q1541" s="987">
        <v>0</v>
      </c>
      <c r="R1541" s="1067">
        <f t="shared" ref="R1541" si="443">L1541/I1541</f>
        <v>3339.6232275350371</v>
      </c>
      <c r="S1541" s="988">
        <v>2016</v>
      </c>
      <c r="T1541" s="988">
        <v>2020</v>
      </c>
    </row>
    <row r="1542" spans="1:20" ht="37.200000000000003" customHeight="1">
      <c r="A1542" s="1249">
        <v>571</v>
      </c>
      <c r="B1542" s="1070" t="s">
        <v>1149</v>
      </c>
      <c r="C1542" s="1098" t="s">
        <v>1233</v>
      </c>
      <c r="D1542" s="1048">
        <v>1995</v>
      </c>
      <c r="E1542" s="1249" t="s">
        <v>221</v>
      </c>
      <c r="F1542" s="1048">
        <v>2</v>
      </c>
      <c r="G1542" s="1048">
        <v>1</v>
      </c>
      <c r="H1542" s="1067">
        <v>422.6</v>
      </c>
      <c r="I1542" s="1067">
        <v>385.4</v>
      </c>
      <c r="J1542" s="1067">
        <v>385.4</v>
      </c>
      <c r="K1542" s="1077">
        <v>28</v>
      </c>
      <c r="L1542" s="987">
        <v>1892894.81</v>
      </c>
      <c r="M1542" s="987">
        <v>0</v>
      </c>
      <c r="N1542" s="987">
        <v>0</v>
      </c>
      <c r="O1542" s="987">
        <v>1892894.81</v>
      </c>
      <c r="P1542" s="1057">
        <v>0</v>
      </c>
      <c r="Q1542" s="987">
        <v>0</v>
      </c>
      <c r="R1542" s="1067">
        <f>L1542/I1542</f>
        <v>4911.5070316554238</v>
      </c>
      <c r="S1542" s="988">
        <v>2016</v>
      </c>
      <c r="T1542" s="988">
        <v>2020</v>
      </c>
    </row>
    <row r="1543" spans="1:20" ht="40.799999999999997" customHeight="1">
      <c r="A1543" s="1249">
        <v>572</v>
      </c>
      <c r="B1543" s="1260" t="s">
        <v>598</v>
      </c>
      <c r="C1543" s="1034" t="s">
        <v>600</v>
      </c>
      <c r="D1543" s="1255"/>
      <c r="E1543" s="1249" t="s">
        <v>218</v>
      </c>
      <c r="F1543" s="1255">
        <v>2</v>
      </c>
      <c r="G1543" s="1255">
        <v>2</v>
      </c>
      <c r="H1543" s="985">
        <v>542.5</v>
      </c>
      <c r="I1543" s="985">
        <v>490.5</v>
      </c>
      <c r="J1543" s="985">
        <v>460.2</v>
      </c>
      <c r="K1543" s="995">
        <v>16</v>
      </c>
      <c r="L1543" s="987">
        <v>1550741</v>
      </c>
      <c r="M1543" s="987">
        <v>0</v>
      </c>
      <c r="N1543" s="987">
        <v>0</v>
      </c>
      <c r="O1543" s="987">
        <v>1550741</v>
      </c>
      <c r="P1543" s="998">
        <f t="shared" si="440"/>
        <v>0</v>
      </c>
      <c r="Q1543" s="987">
        <v>0</v>
      </c>
      <c r="R1543" s="985">
        <f>L1543/I1543</f>
        <v>3161.5514780835883</v>
      </c>
      <c r="S1543" s="988">
        <v>2017</v>
      </c>
      <c r="T1543" s="988">
        <v>2020</v>
      </c>
    </row>
    <row r="1544" spans="1:20" ht="42.6" customHeight="1">
      <c r="A1544" s="1249">
        <v>573</v>
      </c>
      <c r="B1544" s="1260" t="s">
        <v>599</v>
      </c>
      <c r="C1544" s="1034" t="s">
        <v>601</v>
      </c>
      <c r="D1544" s="1255"/>
      <c r="E1544" s="1249" t="s">
        <v>218</v>
      </c>
      <c r="F1544" s="1255">
        <v>2</v>
      </c>
      <c r="G1544" s="1255">
        <v>1</v>
      </c>
      <c r="H1544" s="985">
        <v>369.6</v>
      </c>
      <c r="I1544" s="985">
        <v>304.39999999999998</v>
      </c>
      <c r="J1544" s="985">
        <v>219</v>
      </c>
      <c r="K1544" s="995">
        <v>23</v>
      </c>
      <c r="L1544" s="987">
        <v>1258689</v>
      </c>
      <c r="M1544" s="987">
        <v>0</v>
      </c>
      <c r="N1544" s="987">
        <v>0</v>
      </c>
      <c r="O1544" s="987">
        <f>L1544</f>
        <v>1258689</v>
      </c>
      <c r="P1544" s="998">
        <f t="shared" si="440"/>
        <v>0</v>
      </c>
      <c r="Q1544" s="987">
        <v>0</v>
      </c>
      <c r="R1544" s="985">
        <f>L1544/I1544</f>
        <v>4134.9835742444156</v>
      </c>
      <c r="S1544" s="988">
        <v>2017</v>
      </c>
      <c r="T1544" s="988">
        <v>2020</v>
      </c>
    </row>
    <row r="1545" spans="1:20" ht="36.6" customHeight="1">
      <c r="A1545" s="1249">
        <v>574</v>
      </c>
      <c r="B1545" s="1260" t="s">
        <v>602</v>
      </c>
      <c r="C1545" s="1034" t="s">
        <v>603</v>
      </c>
      <c r="D1545" s="1255"/>
      <c r="E1545" s="1249" t="s">
        <v>220</v>
      </c>
      <c r="F1545" s="1255">
        <v>2</v>
      </c>
      <c r="G1545" s="1255">
        <v>2</v>
      </c>
      <c r="H1545" s="985">
        <v>561.4</v>
      </c>
      <c r="I1545" s="985">
        <v>513.79999999999995</v>
      </c>
      <c r="J1545" s="985">
        <v>450.8</v>
      </c>
      <c r="K1545" s="995">
        <v>19</v>
      </c>
      <c r="L1545" s="987">
        <v>275371</v>
      </c>
      <c r="M1545" s="987">
        <v>0</v>
      </c>
      <c r="N1545" s="987">
        <v>0</v>
      </c>
      <c r="O1545" s="987">
        <v>275371</v>
      </c>
      <c r="P1545" s="998">
        <v>0</v>
      </c>
      <c r="Q1545" s="987">
        <v>0</v>
      </c>
      <c r="R1545" s="985">
        <f>L1545/I1545</f>
        <v>535.94978590891401</v>
      </c>
      <c r="S1545" s="988">
        <v>2018</v>
      </c>
      <c r="T1545" s="988">
        <v>2020</v>
      </c>
    </row>
    <row r="1546" spans="1:20" ht="36.6" customHeight="1">
      <c r="A1546" s="1249"/>
      <c r="B1546" s="1261" t="s">
        <v>56</v>
      </c>
      <c r="C1546" s="991"/>
      <c r="D1546" s="992"/>
      <c r="E1546" s="993"/>
      <c r="F1546" s="991"/>
      <c r="G1546" s="994"/>
      <c r="H1546" s="985">
        <f t="shared" ref="H1546:Q1546" si="444">H1547+H1559+H1565</f>
        <v>21204</v>
      </c>
      <c r="I1546" s="985">
        <f t="shared" si="444"/>
        <v>16476.100000000002</v>
      </c>
      <c r="J1546" s="985">
        <f t="shared" si="444"/>
        <v>12163.1</v>
      </c>
      <c r="K1546" s="995">
        <f t="shared" si="444"/>
        <v>876</v>
      </c>
      <c r="L1546" s="985">
        <f t="shared" si="444"/>
        <v>22743396.890000001</v>
      </c>
      <c r="M1546" s="985">
        <f t="shared" si="444"/>
        <v>0</v>
      </c>
      <c r="N1546" s="985">
        <f t="shared" si="444"/>
        <v>0</v>
      </c>
      <c r="O1546" s="985">
        <f t="shared" si="444"/>
        <v>22743396.890000001</v>
      </c>
      <c r="P1546" s="985">
        <f t="shared" si="444"/>
        <v>0</v>
      </c>
      <c r="Q1546" s="985">
        <f t="shared" si="444"/>
        <v>0</v>
      </c>
      <c r="R1546" s="996" t="str">
        <f t="shared" ref="R1546" si="445">R1547</f>
        <v>Х</v>
      </c>
      <c r="S1546" s="996" t="s">
        <v>40</v>
      </c>
      <c r="T1546" s="996" t="s">
        <v>40</v>
      </c>
    </row>
    <row r="1547" spans="1:20" ht="43.8" customHeight="1">
      <c r="A1547" s="1249"/>
      <c r="B1547" s="1246" t="s">
        <v>1091</v>
      </c>
      <c r="C1547" s="991"/>
      <c r="D1547" s="992"/>
      <c r="E1547" s="993"/>
      <c r="F1547" s="991"/>
      <c r="G1547" s="994"/>
      <c r="H1547" s="985">
        <f>SUM(H1548:H1558)</f>
        <v>10612.5</v>
      </c>
      <c r="I1547" s="985">
        <f t="shared" ref="I1547:Q1547" si="446">SUM(I1548:I1558)</f>
        <v>8181.6</v>
      </c>
      <c r="J1547" s="985">
        <f t="shared" si="446"/>
        <v>5485.6</v>
      </c>
      <c r="K1547" s="995">
        <f t="shared" si="446"/>
        <v>469</v>
      </c>
      <c r="L1547" s="985">
        <f t="shared" si="446"/>
        <v>14567303.83</v>
      </c>
      <c r="M1547" s="985">
        <f t="shared" si="446"/>
        <v>0</v>
      </c>
      <c r="N1547" s="985">
        <f t="shared" si="446"/>
        <v>0</v>
      </c>
      <c r="O1547" s="985">
        <f t="shared" si="446"/>
        <v>14567303.83</v>
      </c>
      <c r="P1547" s="985">
        <f t="shared" si="446"/>
        <v>0</v>
      </c>
      <c r="Q1547" s="985">
        <f t="shared" si="446"/>
        <v>0</v>
      </c>
      <c r="R1547" s="996" t="s">
        <v>40</v>
      </c>
      <c r="S1547" s="996" t="s">
        <v>40</v>
      </c>
      <c r="T1547" s="996" t="s">
        <v>40</v>
      </c>
    </row>
    <row r="1548" spans="1:20" ht="39.6" customHeight="1">
      <c r="A1548" s="1249">
        <v>575</v>
      </c>
      <c r="B1548" s="1260" t="s">
        <v>1164</v>
      </c>
      <c r="C1548" s="1249">
        <v>1955</v>
      </c>
      <c r="D1548" s="1249"/>
      <c r="E1548" s="1249" t="s">
        <v>218</v>
      </c>
      <c r="F1548" s="1249">
        <v>2</v>
      </c>
      <c r="G1548" s="1249">
        <v>2</v>
      </c>
      <c r="H1548" s="985">
        <v>436.8</v>
      </c>
      <c r="I1548" s="985">
        <v>391.3</v>
      </c>
      <c r="J1548" s="985">
        <v>391.3</v>
      </c>
      <c r="K1548" s="995">
        <v>18</v>
      </c>
      <c r="L1548" s="985">
        <v>1345298.9</v>
      </c>
      <c r="M1548" s="985">
        <v>0</v>
      </c>
      <c r="N1548" s="985">
        <v>0</v>
      </c>
      <c r="O1548" s="985">
        <v>1345298.9</v>
      </c>
      <c r="P1548" s="985">
        <v>0</v>
      </c>
      <c r="Q1548" s="985">
        <v>0</v>
      </c>
      <c r="R1548" s="998">
        <f>L1548/I1548</f>
        <v>3438.0242780475337</v>
      </c>
      <c r="S1548" s="1116">
        <v>2016</v>
      </c>
      <c r="T1548" s="1116">
        <v>2020</v>
      </c>
    </row>
    <row r="1549" spans="1:20" ht="38.4" customHeight="1">
      <c r="A1549" s="1249">
        <v>576</v>
      </c>
      <c r="B1549" s="1260" t="s">
        <v>704</v>
      </c>
      <c r="C1549" s="1249">
        <v>1963</v>
      </c>
      <c r="D1549" s="1249"/>
      <c r="E1549" s="1249" t="s">
        <v>218</v>
      </c>
      <c r="F1549" s="1249">
        <v>3</v>
      </c>
      <c r="G1549" s="1249">
        <v>3</v>
      </c>
      <c r="H1549" s="998">
        <v>2235.5</v>
      </c>
      <c r="I1549" s="998">
        <v>1556</v>
      </c>
      <c r="J1549" s="998">
        <v>1556</v>
      </c>
      <c r="K1549" s="986">
        <v>50</v>
      </c>
      <c r="L1549" s="998">
        <v>2335879.88</v>
      </c>
      <c r="M1549" s="998">
        <v>0</v>
      </c>
      <c r="N1549" s="998">
        <v>0</v>
      </c>
      <c r="O1549" s="998">
        <v>2335879.88</v>
      </c>
      <c r="P1549" s="998">
        <f t="shared" si="440"/>
        <v>0</v>
      </c>
      <c r="Q1549" s="998">
        <v>0</v>
      </c>
      <c r="R1549" s="998">
        <f>L1549/I1549</f>
        <v>1501.2081491002571</v>
      </c>
      <c r="S1549" s="988">
        <v>2017</v>
      </c>
      <c r="T1549" s="988">
        <v>2020</v>
      </c>
    </row>
    <row r="1550" spans="1:20" ht="38.4" customHeight="1">
      <c r="A1550" s="1249">
        <v>577</v>
      </c>
      <c r="B1550" s="1260" t="s">
        <v>1045</v>
      </c>
      <c r="C1550" s="1249">
        <v>1962</v>
      </c>
      <c r="D1550" s="1249"/>
      <c r="E1550" s="1249" t="s">
        <v>218</v>
      </c>
      <c r="F1550" s="1249">
        <v>2</v>
      </c>
      <c r="G1550" s="1249">
        <v>2</v>
      </c>
      <c r="H1550" s="998">
        <v>522.5</v>
      </c>
      <c r="I1550" s="998">
        <v>458.9</v>
      </c>
      <c r="J1550" s="998">
        <v>381</v>
      </c>
      <c r="K1550" s="986">
        <v>21</v>
      </c>
      <c r="L1550" s="998">
        <v>266344.95</v>
      </c>
      <c r="M1550" s="998">
        <v>0</v>
      </c>
      <c r="N1550" s="998">
        <v>0</v>
      </c>
      <c r="O1550" s="998">
        <v>266344.95</v>
      </c>
      <c r="P1550" s="998">
        <f t="shared" si="440"/>
        <v>0</v>
      </c>
      <c r="Q1550" s="998">
        <v>0</v>
      </c>
      <c r="R1550" s="998">
        <f>L1550/I1550</f>
        <v>580.39867073436483</v>
      </c>
      <c r="S1550" s="988">
        <v>2017</v>
      </c>
      <c r="T1550" s="988">
        <v>2020</v>
      </c>
    </row>
    <row r="1551" spans="1:20" ht="38.4" customHeight="1">
      <c r="A1551" s="1249">
        <v>578</v>
      </c>
      <c r="B1551" s="1245" t="s">
        <v>707</v>
      </c>
      <c r="C1551" s="1249">
        <v>1956</v>
      </c>
      <c r="D1551" s="1249"/>
      <c r="E1551" s="1249" t="s">
        <v>218</v>
      </c>
      <c r="F1551" s="1249">
        <v>2</v>
      </c>
      <c r="G1551" s="1249">
        <v>1</v>
      </c>
      <c r="H1551" s="998">
        <v>424.4</v>
      </c>
      <c r="I1551" s="998">
        <v>390.4</v>
      </c>
      <c r="J1551" s="998">
        <v>270</v>
      </c>
      <c r="K1551" s="986">
        <v>25</v>
      </c>
      <c r="L1551" s="998">
        <f t="shared" ref="L1551" si="447">O1551</f>
        <v>1887048</v>
      </c>
      <c r="M1551" s="998">
        <v>0</v>
      </c>
      <c r="N1551" s="998">
        <v>0</v>
      </c>
      <c r="O1551" s="998">
        <v>1887048</v>
      </c>
      <c r="P1551" s="998">
        <f t="shared" si="440"/>
        <v>0</v>
      </c>
      <c r="Q1551" s="998">
        <v>0</v>
      </c>
      <c r="R1551" s="998">
        <f>L1551/I1551</f>
        <v>4833.627049180328</v>
      </c>
      <c r="S1551" s="988">
        <v>2017</v>
      </c>
      <c r="T1551" s="988">
        <v>2020</v>
      </c>
    </row>
    <row r="1552" spans="1:20" ht="40.200000000000003" customHeight="1">
      <c r="A1552" s="1249">
        <v>579</v>
      </c>
      <c r="B1552" s="1260" t="s">
        <v>708</v>
      </c>
      <c r="C1552" s="1249" t="s">
        <v>714</v>
      </c>
      <c r="D1552" s="1249"/>
      <c r="E1552" s="1249" t="s">
        <v>218</v>
      </c>
      <c r="F1552" s="1249">
        <v>2</v>
      </c>
      <c r="G1552" s="1249">
        <v>1</v>
      </c>
      <c r="H1552" s="998">
        <v>496.4</v>
      </c>
      <c r="I1552" s="998">
        <v>286.2</v>
      </c>
      <c r="J1552" s="998">
        <v>286.2</v>
      </c>
      <c r="K1552" s="986">
        <v>10</v>
      </c>
      <c r="L1552" s="998">
        <v>500762.18</v>
      </c>
      <c r="M1552" s="998">
        <v>0</v>
      </c>
      <c r="N1552" s="998">
        <v>0</v>
      </c>
      <c r="O1552" s="998">
        <v>500762.18</v>
      </c>
      <c r="P1552" s="998">
        <v>0</v>
      </c>
      <c r="Q1552" s="998">
        <v>0</v>
      </c>
      <c r="R1552" s="998">
        <f t="shared" ref="R1552:R1558" si="448">L1552/I1552</f>
        <v>1749.6931516422082</v>
      </c>
      <c r="S1552" s="988">
        <v>2018</v>
      </c>
      <c r="T1552" s="988">
        <v>2020</v>
      </c>
    </row>
    <row r="1553" spans="1:20" ht="40.799999999999997" customHeight="1">
      <c r="A1553" s="1249">
        <v>580</v>
      </c>
      <c r="B1553" s="1260" t="s">
        <v>1973</v>
      </c>
      <c r="C1553" s="1249">
        <v>1963</v>
      </c>
      <c r="D1553" s="1249"/>
      <c r="E1553" s="1249" t="s">
        <v>218</v>
      </c>
      <c r="F1553" s="1249">
        <v>2</v>
      </c>
      <c r="G1553" s="1249">
        <v>2</v>
      </c>
      <c r="H1553" s="998">
        <v>403.2</v>
      </c>
      <c r="I1553" s="998">
        <v>356.4</v>
      </c>
      <c r="J1553" s="998">
        <v>356.4</v>
      </c>
      <c r="K1553" s="986">
        <v>26</v>
      </c>
      <c r="L1553" s="998">
        <v>742068.39</v>
      </c>
      <c r="M1553" s="998">
        <v>0</v>
      </c>
      <c r="N1553" s="998">
        <v>0</v>
      </c>
      <c r="O1553" s="998">
        <v>742068.39</v>
      </c>
      <c r="P1553" s="998">
        <v>0</v>
      </c>
      <c r="Q1553" s="998">
        <v>0</v>
      </c>
      <c r="R1553" s="998">
        <f t="shared" si="448"/>
        <v>2082.1223063973066</v>
      </c>
      <c r="S1553" s="988">
        <v>2018</v>
      </c>
      <c r="T1553" s="988">
        <v>2020</v>
      </c>
    </row>
    <row r="1554" spans="1:20" ht="39.6" customHeight="1">
      <c r="A1554" s="1249">
        <v>581</v>
      </c>
      <c r="B1554" s="1245" t="s">
        <v>713</v>
      </c>
      <c r="C1554" s="1249">
        <v>1970</v>
      </c>
      <c r="D1554" s="1249"/>
      <c r="E1554" s="1249" t="s">
        <v>218</v>
      </c>
      <c r="F1554" s="1249">
        <v>4</v>
      </c>
      <c r="G1554" s="1249">
        <v>1</v>
      </c>
      <c r="H1554" s="998">
        <v>2534.4</v>
      </c>
      <c r="I1554" s="998">
        <v>2393.6999999999998</v>
      </c>
      <c r="J1554" s="998">
        <v>221.4</v>
      </c>
      <c r="K1554" s="986">
        <v>131</v>
      </c>
      <c r="L1554" s="998">
        <v>2201411.69</v>
      </c>
      <c r="M1554" s="998">
        <v>0</v>
      </c>
      <c r="N1554" s="998">
        <v>0</v>
      </c>
      <c r="O1554" s="998">
        <v>2201411.69</v>
      </c>
      <c r="P1554" s="998">
        <v>0</v>
      </c>
      <c r="Q1554" s="998">
        <v>0</v>
      </c>
      <c r="R1554" s="998">
        <f t="shared" si="448"/>
        <v>919.66900196348752</v>
      </c>
      <c r="S1554" s="988">
        <v>2018</v>
      </c>
      <c r="T1554" s="988">
        <v>2020</v>
      </c>
    </row>
    <row r="1555" spans="1:20" ht="39.6" customHeight="1">
      <c r="A1555" s="1249">
        <v>582</v>
      </c>
      <c r="B1555" s="1245" t="s">
        <v>2010</v>
      </c>
      <c r="C1555" s="1249">
        <v>1968</v>
      </c>
      <c r="D1555" s="1249"/>
      <c r="E1555" s="1249" t="s">
        <v>218</v>
      </c>
      <c r="F1555" s="1249">
        <v>2</v>
      </c>
      <c r="G1555" s="1249">
        <v>1</v>
      </c>
      <c r="H1555" s="998">
        <v>329.5</v>
      </c>
      <c r="I1555" s="998">
        <v>299.10000000000002</v>
      </c>
      <c r="J1555" s="998">
        <v>299.10000000000002</v>
      </c>
      <c r="K1555" s="986">
        <v>22</v>
      </c>
      <c r="L1555" s="998">
        <v>191617.17</v>
      </c>
      <c r="M1555" s="998">
        <v>0</v>
      </c>
      <c r="N1555" s="998">
        <v>0</v>
      </c>
      <c r="O1555" s="998">
        <v>191617.17</v>
      </c>
      <c r="P1555" s="998">
        <v>0</v>
      </c>
      <c r="Q1555" s="998">
        <v>0</v>
      </c>
      <c r="R1555" s="998">
        <f t="shared" si="448"/>
        <v>640.64583751253758</v>
      </c>
      <c r="S1555" s="988">
        <v>2018</v>
      </c>
      <c r="T1555" s="988">
        <v>2020</v>
      </c>
    </row>
    <row r="1556" spans="1:20" ht="39.6" customHeight="1">
      <c r="A1556" s="1249">
        <v>583</v>
      </c>
      <c r="B1556" s="1245" t="s">
        <v>2011</v>
      </c>
      <c r="C1556" s="1249">
        <v>1976</v>
      </c>
      <c r="D1556" s="1249"/>
      <c r="E1556" s="1249" t="s">
        <v>218</v>
      </c>
      <c r="F1556" s="1249">
        <v>2</v>
      </c>
      <c r="G1556" s="1249">
        <v>2</v>
      </c>
      <c r="H1556" s="998">
        <v>1011.9</v>
      </c>
      <c r="I1556" s="998">
        <v>686.6</v>
      </c>
      <c r="J1556" s="998">
        <v>603</v>
      </c>
      <c r="K1556" s="986">
        <v>62</v>
      </c>
      <c r="L1556" s="998">
        <v>2148805.02</v>
      </c>
      <c r="M1556" s="998">
        <v>0</v>
      </c>
      <c r="N1556" s="998">
        <v>0</v>
      </c>
      <c r="O1556" s="998">
        <v>2148805.02</v>
      </c>
      <c r="P1556" s="998">
        <v>0</v>
      </c>
      <c r="Q1556" s="998">
        <v>0</v>
      </c>
      <c r="R1556" s="998">
        <f t="shared" si="448"/>
        <v>3129.6315467521117</v>
      </c>
      <c r="S1556" s="988">
        <v>2019</v>
      </c>
      <c r="T1556" s="988">
        <v>2020</v>
      </c>
    </row>
    <row r="1557" spans="1:20" ht="42" customHeight="1">
      <c r="A1557" s="1249">
        <v>584</v>
      </c>
      <c r="B1557" s="1245" t="s">
        <v>719</v>
      </c>
      <c r="C1557" s="1249">
        <v>1983</v>
      </c>
      <c r="D1557" s="1249"/>
      <c r="E1557" s="1249" t="s">
        <v>218</v>
      </c>
      <c r="F1557" s="1249">
        <v>2</v>
      </c>
      <c r="G1557" s="1249">
        <v>2</v>
      </c>
      <c r="H1557" s="998">
        <v>1325.6</v>
      </c>
      <c r="I1557" s="998">
        <v>781.4</v>
      </c>
      <c r="J1557" s="998">
        <v>694.1</v>
      </c>
      <c r="K1557" s="986">
        <v>54</v>
      </c>
      <c r="L1557" s="998">
        <v>1540084</v>
      </c>
      <c r="M1557" s="998">
        <v>0</v>
      </c>
      <c r="N1557" s="998">
        <v>0</v>
      </c>
      <c r="O1557" s="998">
        <v>1540084</v>
      </c>
      <c r="P1557" s="998">
        <v>0</v>
      </c>
      <c r="Q1557" s="998">
        <v>0</v>
      </c>
      <c r="R1557" s="998">
        <f t="shared" si="448"/>
        <v>1970.9291016124905</v>
      </c>
      <c r="S1557" s="988">
        <v>2019</v>
      </c>
      <c r="T1557" s="988">
        <v>2020</v>
      </c>
    </row>
    <row r="1558" spans="1:20" ht="42" customHeight="1">
      <c r="A1558" s="1249">
        <v>585</v>
      </c>
      <c r="B1558" s="1245" t="s">
        <v>1677</v>
      </c>
      <c r="C1558" s="1249">
        <v>1966</v>
      </c>
      <c r="D1558" s="1249"/>
      <c r="E1558" s="1249" t="s">
        <v>218</v>
      </c>
      <c r="F1558" s="1249">
        <v>3</v>
      </c>
      <c r="G1558" s="1249">
        <v>2</v>
      </c>
      <c r="H1558" s="998">
        <v>892.3</v>
      </c>
      <c r="I1558" s="998">
        <v>581.6</v>
      </c>
      <c r="J1558" s="998">
        <v>427.1</v>
      </c>
      <c r="K1558" s="986">
        <v>50</v>
      </c>
      <c r="L1558" s="998">
        <v>1407983.65</v>
      </c>
      <c r="M1558" s="998">
        <v>0</v>
      </c>
      <c r="N1558" s="998">
        <v>0</v>
      </c>
      <c r="O1558" s="998">
        <v>1407983.65</v>
      </c>
      <c r="P1558" s="998">
        <v>0</v>
      </c>
      <c r="Q1558" s="998">
        <v>0</v>
      </c>
      <c r="R1558" s="998">
        <f t="shared" si="448"/>
        <v>2420.8797283356257</v>
      </c>
      <c r="S1558" s="988">
        <v>2019</v>
      </c>
      <c r="T1558" s="988">
        <v>2020</v>
      </c>
    </row>
    <row r="1559" spans="1:20" ht="45" customHeight="1">
      <c r="A1559" s="1249"/>
      <c r="B1559" s="1246" t="s">
        <v>1092</v>
      </c>
      <c r="C1559" s="991"/>
      <c r="D1559" s="992"/>
      <c r="E1559" s="993"/>
      <c r="F1559" s="991"/>
      <c r="G1559" s="994"/>
      <c r="H1559" s="985">
        <f>H1560+H1561+H1562+H1563+H1564</f>
        <v>9196.1</v>
      </c>
      <c r="I1559" s="985">
        <f t="shared" ref="I1559:Q1559" si="449">I1560+I1561+I1562+I1563+I1564</f>
        <v>6899.1</v>
      </c>
      <c r="J1559" s="985">
        <f t="shared" si="449"/>
        <v>5350</v>
      </c>
      <c r="K1559" s="995">
        <f t="shared" si="449"/>
        <v>325</v>
      </c>
      <c r="L1559" s="985">
        <f t="shared" si="449"/>
        <v>7740931.0599999996</v>
      </c>
      <c r="M1559" s="985">
        <f t="shared" si="449"/>
        <v>0</v>
      </c>
      <c r="N1559" s="985">
        <f t="shared" si="449"/>
        <v>0</v>
      </c>
      <c r="O1559" s="985">
        <f t="shared" si="449"/>
        <v>7740931.0599999996</v>
      </c>
      <c r="P1559" s="985">
        <f t="shared" si="449"/>
        <v>0</v>
      </c>
      <c r="Q1559" s="985">
        <f t="shared" si="449"/>
        <v>0</v>
      </c>
      <c r="R1559" s="996" t="s">
        <v>40</v>
      </c>
      <c r="S1559" s="996" t="s">
        <v>40</v>
      </c>
      <c r="T1559" s="996" t="s">
        <v>40</v>
      </c>
    </row>
    <row r="1560" spans="1:20" ht="40.200000000000003" customHeight="1">
      <c r="A1560" s="1249">
        <v>586</v>
      </c>
      <c r="B1560" s="1260" t="s">
        <v>990</v>
      </c>
      <c r="C1560" s="1249">
        <v>1956</v>
      </c>
      <c r="D1560" s="1260"/>
      <c r="E1560" s="1249" t="s">
        <v>218</v>
      </c>
      <c r="F1560" s="1249">
        <v>2</v>
      </c>
      <c r="G1560" s="1249">
        <v>2</v>
      </c>
      <c r="H1560" s="985">
        <v>432.6</v>
      </c>
      <c r="I1560" s="985">
        <v>387.2</v>
      </c>
      <c r="J1560" s="985">
        <v>182.5</v>
      </c>
      <c r="K1560" s="995">
        <v>26</v>
      </c>
      <c r="L1560" s="987">
        <f>O1560</f>
        <v>1268038</v>
      </c>
      <c r="M1560" s="987">
        <v>0</v>
      </c>
      <c r="N1560" s="987">
        <v>0</v>
      </c>
      <c r="O1560" s="987">
        <v>1268038</v>
      </c>
      <c r="P1560" s="998">
        <v>0</v>
      </c>
      <c r="Q1560" s="987">
        <v>0</v>
      </c>
      <c r="R1560" s="985">
        <f>L1560/I1560</f>
        <v>3274.8915289256202</v>
      </c>
      <c r="S1560" s="988">
        <v>2018</v>
      </c>
      <c r="T1560" s="988">
        <v>2020</v>
      </c>
    </row>
    <row r="1561" spans="1:20" ht="40.200000000000003" customHeight="1">
      <c r="A1561" s="1249">
        <v>587</v>
      </c>
      <c r="B1561" s="1260" t="s">
        <v>991</v>
      </c>
      <c r="C1561" s="1249">
        <v>1954</v>
      </c>
      <c r="D1561" s="1260"/>
      <c r="E1561" s="1249" t="s">
        <v>218</v>
      </c>
      <c r="F1561" s="1249">
        <v>2</v>
      </c>
      <c r="G1561" s="1249">
        <v>2</v>
      </c>
      <c r="H1561" s="985">
        <v>427.1</v>
      </c>
      <c r="I1561" s="985">
        <v>383.9</v>
      </c>
      <c r="J1561" s="985">
        <v>278.3</v>
      </c>
      <c r="K1561" s="995">
        <v>17</v>
      </c>
      <c r="L1561" s="987">
        <v>1318782.8799999999</v>
      </c>
      <c r="M1561" s="987">
        <v>0</v>
      </c>
      <c r="N1561" s="987">
        <v>0</v>
      </c>
      <c r="O1561" s="987">
        <v>1318782.8799999999</v>
      </c>
      <c r="P1561" s="998">
        <v>0</v>
      </c>
      <c r="Q1561" s="987">
        <v>0</v>
      </c>
      <c r="R1561" s="985">
        <f>L1561/I1561</f>
        <v>3435.2250065121125</v>
      </c>
      <c r="S1561" s="988">
        <v>2018</v>
      </c>
      <c r="T1561" s="988">
        <v>2020</v>
      </c>
    </row>
    <row r="1562" spans="1:20" ht="40.799999999999997" customHeight="1">
      <c r="A1562" s="1249">
        <v>588</v>
      </c>
      <c r="B1562" s="1260" t="s">
        <v>992</v>
      </c>
      <c r="C1562" s="1249">
        <v>1953</v>
      </c>
      <c r="D1562" s="1255"/>
      <c r="E1562" s="1249" t="s">
        <v>218</v>
      </c>
      <c r="F1562" s="1255">
        <v>2</v>
      </c>
      <c r="G1562" s="1255">
        <v>2</v>
      </c>
      <c r="H1562" s="985">
        <v>433.6</v>
      </c>
      <c r="I1562" s="985">
        <v>388.6</v>
      </c>
      <c r="J1562" s="985">
        <v>388.6</v>
      </c>
      <c r="K1562" s="995">
        <v>14</v>
      </c>
      <c r="L1562" s="987">
        <v>1351512.96</v>
      </c>
      <c r="M1562" s="987">
        <v>0</v>
      </c>
      <c r="N1562" s="987">
        <v>0</v>
      </c>
      <c r="O1562" s="987">
        <v>1351512.96</v>
      </c>
      <c r="P1562" s="998">
        <v>0</v>
      </c>
      <c r="Q1562" s="987">
        <v>0</v>
      </c>
      <c r="R1562" s="985">
        <f>L1562/I1562</f>
        <v>3477.902624806999</v>
      </c>
      <c r="S1562" s="988">
        <v>2018</v>
      </c>
      <c r="T1562" s="988">
        <v>2020</v>
      </c>
    </row>
    <row r="1563" spans="1:20" ht="42" customHeight="1">
      <c r="A1563" s="1249">
        <v>589</v>
      </c>
      <c r="B1563" s="1260" t="s">
        <v>1171</v>
      </c>
      <c r="C1563" s="1249">
        <v>1984</v>
      </c>
      <c r="D1563" s="1255"/>
      <c r="E1563" s="1249" t="s">
        <v>218</v>
      </c>
      <c r="F1563" s="1255">
        <v>5</v>
      </c>
      <c r="G1563" s="1255">
        <v>1</v>
      </c>
      <c r="H1563" s="985">
        <v>3948.8</v>
      </c>
      <c r="I1563" s="985">
        <v>2687.9</v>
      </c>
      <c r="J1563" s="985">
        <v>1667.1</v>
      </c>
      <c r="K1563" s="995">
        <v>175</v>
      </c>
      <c r="L1563" s="987">
        <v>1563119.22</v>
      </c>
      <c r="M1563" s="987">
        <v>0</v>
      </c>
      <c r="N1563" s="987">
        <v>0</v>
      </c>
      <c r="O1563" s="987">
        <v>1563119.22</v>
      </c>
      <c r="P1563" s="998">
        <v>0</v>
      </c>
      <c r="Q1563" s="987">
        <v>0</v>
      </c>
      <c r="R1563" s="985">
        <f>L1563/I1563</f>
        <v>581.53920160720259</v>
      </c>
      <c r="S1563" s="988">
        <v>2018</v>
      </c>
      <c r="T1563" s="988">
        <v>2020</v>
      </c>
    </row>
    <row r="1564" spans="1:20" ht="38.4" customHeight="1">
      <c r="A1564" s="1249">
        <v>590</v>
      </c>
      <c r="B1564" s="1260" t="s">
        <v>993</v>
      </c>
      <c r="C1564" s="1249">
        <v>1982</v>
      </c>
      <c r="D1564" s="1255"/>
      <c r="E1564" s="1249" t="s">
        <v>219</v>
      </c>
      <c r="F1564" s="1255">
        <v>5</v>
      </c>
      <c r="G1564" s="1255">
        <v>4</v>
      </c>
      <c r="H1564" s="985">
        <v>3954</v>
      </c>
      <c r="I1564" s="985">
        <v>3051.5</v>
      </c>
      <c r="J1564" s="985">
        <v>2833.5</v>
      </c>
      <c r="K1564" s="995">
        <v>93</v>
      </c>
      <c r="L1564" s="987">
        <v>2239478</v>
      </c>
      <c r="M1564" s="987">
        <v>0</v>
      </c>
      <c r="N1564" s="987">
        <v>0</v>
      </c>
      <c r="O1564" s="987">
        <v>2239478</v>
      </c>
      <c r="P1564" s="998">
        <v>0</v>
      </c>
      <c r="Q1564" s="987">
        <v>0</v>
      </c>
      <c r="R1564" s="985">
        <f>L1564/I1564</f>
        <v>733.89415041782729</v>
      </c>
      <c r="S1564" s="988">
        <v>2019</v>
      </c>
      <c r="T1564" s="988">
        <v>2020</v>
      </c>
    </row>
    <row r="1565" spans="1:20" ht="33" customHeight="1">
      <c r="A1565" s="1249"/>
      <c r="B1565" s="1542" t="s">
        <v>1093</v>
      </c>
      <c r="C1565" s="1542"/>
      <c r="D1565" s="1542"/>
      <c r="E1565" s="1542"/>
      <c r="F1565" s="1542"/>
      <c r="G1565" s="1542"/>
      <c r="H1565" s="985">
        <f>H1566</f>
        <v>1395.4</v>
      </c>
      <c r="I1565" s="985">
        <f t="shared" ref="I1565:Q1565" si="450">I1566</f>
        <v>1395.4</v>
      </c>
      <c r="J1565" s="985">
        <f t="shared" si="450"/>
        <v>1327.5</v>
      </c>
      <c r="K1565" s="995">
        <f t="shared" si="450"/>
        <v>82</v>
      </c>
      <c r="L1565" s="985">
        <f t="shared" si="450"/>
        <v>435162</v>
      </c>
      <c r="M1565" s="985">
        <f t="shared" si="450"/>
        <v>0</v>
      </c>
      <c r="N1565" s="985">
        <f t="shared" si="450"/>
        <v>0</v>
      </c>
      <c r="O1565" s="985">
        <f t="shared" si="450"/>
        <v>435162</v>
      </c>
      <c r="P1565" s="985">
        <f t="shared" si="450"/>
        <v>0</v>
      </c>
      <c r="Q1565" s="985">
        <f t="shared" si="450"/>
        <v>0</v>
      </c>
      <c r="R1565" s="996" t="s">
        <v>40</v>
      </c>
      <c r="S1565" s="996" t="s">
        <v>40</v>
      </c>
      <c r="T1565" s="996" t="s">
        <v>40</v>
      </c>
    </row>
    <row r="1566" spans="1:20" ht="36.6" customHeight="1">
      <c r="A1566" s="1249">
        <v>591</v>
      </c>
      <c r="B1566" s="1260" t="s">
        <v>445</v>
      </c>
      <c r="C1566" s="1249">
        <v>1982</v>
      </c>
      <c r="D1566" s="1255"/>
      <c r="E1566" s="1249" t="s">
        <v>219</v>
      </c>
      <c r="F1566" s="1255">
        <v>3</v>
      </c>
      <c r="G1566" s="1255">
        <v>3</v>
      </c>
      <c r="H1566" s="985">
        <v>1395.4</v>
      </c>
      <c r="I1566" s="985">
        <v>1395.4</v>
      </c>
      <c r="J1566" s="985">
        <v>1327.5</v>
      </c>
      <c r="K1566" s="995">
        <v>82</v>
      </c>
      <c r="L1566" s="987">
        <v>435162</v>
      </c>
      <c r="M1566" s="987">
        <v>0</v>
      </c>
      <c r="N1566" s="987">
        <v>0</v>
      </c>
      <c r="O1566" s="987">
        <v>435162</v>
      </c>
      <c r="P1566" s="998">
        <v>0</v>
      </c>
      <c r="Q1566" s="987">
        <v>0</v>
      </c>
      <c r="R1566" s="985">
        <v>311.85466532893793</v>
      </c>
      <c r="S1566" s="988">
        <v>2019</v>
      </c>
      <c r="T1566" s="988">
        <v>2020</v>
      </c>
    </row>
    <row r="1567" spans="1:20" ht="34.799999999999997" customHeight="1">
      <c r="A1567" s="1249"/>
      <c r="B1567" s="1261" t="s">
        <v>57</v>
      </c>
      <c r="C1567" s="991"/>
      <c r="D1567" s="992"/>
      <c r="E1567" s="993"/>
      <c r="F1567" s="991"/>
      <c r="G1567" s="994"/>
      <c r="H1567" s="985">
        <f>H1568</f>
        <v>7878</v>
      </c>
      <c r="I1567" s="985">
        <f t="shared" ref="I1567:Q1567" si="451">I1568</f>
        <v>7160</v>
      </c>
      <c r="J1567" s="985">
        <f t="shared" si="451"/>
        <v>7018</v>
      </c>
      <c r="K1567" s="995">
        <f t="shared" si="451"/>
        <v>199</v>
      </c>
      <c r="L1567" s="987">
        <f t="shared" si="451"/>
        <v>6354008.9000000004</v>
      </c>
      <c r="M1567" s="987">
        <f t="shared" si="451"/>
        <v>0</v>
      </c>
      <c r="N1567" s="987">
        <f t="shared" si="451"/>
        <v>0</v>
      </c>
      <c r="O1567" s="987">
        <f t="shared" si="451"/>
        <v>6354008.9000000004</v>
      </c>
      <c r="P1567" s="998">
        <f t="shared" si="440"/>
        <v>0</v>
      </c>
      <c r="Q1567" s="987">
        <f t="shared" si="451"/>
        <v>0</v>
      </c>
      <c r="R1567" s="996" t="s">
        <v>40</v>
      </c>
      <c r="S1567" s="996" t="s">
        <v>40</v>
      </c>
      <c r="T1567" s="996" t="s">
        <v>40</v>
      </c>
    </row>
    <row r="1568" spans="1:20" ht="36">
      <c r="A1568" s="1249"/>
      <c r="B1568" s="1246" t="s">
        <v>1094</v>
      </c>
      <c r="C1568" s="991"/>
      <c r="D1568" s="992"/>
      <c r="E1568" s="993"/>
      <c r="F1568" s="991"/>
      <c r="G1568" s="994"/>
      <c r="H1568" s="985">
        <f>H1569+H1570</f>
        <v>7878</v>
      </c>
      <c r="I1568" s="985">
        <f t="shared" ref="I1568:Q1568" si="452">I1569+I1570</f>
        <v>7160</v>
      </c>
      <c r="J1568" s="985">
        <f t="shared" si="452"/>
        <v>7018</v>
      </c>
      <c r="K1568" s="995">
        <f t="shared" si="452"/>
        <v>199</v>
      </c>
      <c r="L1568" s="985">
        <f t="shared" si="452"/>
        <v>6354008.9000000004</v>
      </c>
      <c r="M1568" s="985">
        <f t="shared" si="452"/>
        <v>0</v>
      </c>
      <c r="N1568" s="985">
        <f t="shared" si="452"/>
        <v>0</v>
      </c>
      <c r="O1568" s="985">
        <f t="shared" si="452"/>
        <v>6354008.9000000004</v>
      </c>
      <c r="P1568" s="985">
        <f t="shared" si="452"/>
        <v>0</v>
      </c>
      <c r="Q1568" s="985">
        <f t="shared" si="452"/>
        <v>0</v>
      </c>
      <c r="R1568" s="996" t="s">
        <v>40</v>
      </c>
      <c r="S1568" s="996" t="s">
        <v>40</v>
      </c>
      <c r="T1568" s="996" t="s">
        <v>40</v>
      </c>
    </row>
    <row r="1569" spans="1:20" ht="40.799999999999997" customHeight="1">
      <c r="A1569" s="1249">
        <v>592</v>
      </c>
      <c r="B1569" s="1260" t="s">
        <v>981</v>
      </c>
      <c r="C1569" s="1249">
        <v>1988</v>
      </c>
      <c r="D1569" s="1255"/>
      <c r="E1569" s="1249" t="s">
        <v>218</v>
      </c>
      <c r="F1569" s="1255">
        <v>3</v>
      </c>
      <c r="G1569" s="1255">
        <v>3</v>
      </c>
      <c r="H1569" s="985">
        <v>1602</v>
      </c>
      <c r="I1569" s="985">
        <v>1602</v>
      </c>
      <c r="J1569" s="985">
        <v>1602</v>
      </c>
      <c r="K1569" s="995">
        <v>42</v>
      </c>
      <c r="L1569" s="987">
        <v>1194767</v>
      </c>
      <c r="M1569" s="987">
        <v>0</v>
      </c>
      <c r="N1569" s="987">
        <v>0</v>
      </c>
      <c r="O1569" s="987">
        <f>L1569</f>
        <v>1194767</v>
      </c>
      <c r="P1569" s="998">
        <f t="shared" si="440"/>
        <v>0</v>
      </c>
      <c r="Q1569" s="987">
        <v>0</v>
      </c>
      <c r="R1569" s="985">
        <f>L1569/I1569</f>
        <v>745.79712858926337</v>
      </c>
      <c r="S1569" s="988">
        <v>2019</v>
      </c>
      <c r="T1569" s="988">
        <v>2020</v>
      </c>
    </row>
    <row r="1570" spans="1:20" ht="37.200000000000003" customHeight="1">
      <c r="A1570" s="1249">
        <v>593</v>
      </c>
      <c r="B1570" s="1260" t="s">
        <v>980</v>
      </c>
      <c r="C1570" s="1249">
        <v>1985</v>
      </c>
      <c r="D1570" s="1255"/>
      <c r="E1570" s="1249" t="s">
        <v>219</v>
      </c>
      <c r="F1570" s="1255">
        <v>5</v>
      </c>
      <c r="G1570" s="1255">
        <v>8</v>
      </c>
      <c r="H1570" s="985">
        <v>6276</v>
      </c>
      <c r="I1570" s="985">
        <v>5558</v>
      </c>
      <c r="J1570" s="985">
        <v>5416</v>
      </c>
      <c r="K1570" s="995">
        <v>157</v>
      </c>
      <c r="L1570" s="987">
        <v>5159241.9000000004</v>
      </c>
      <c r="M1570" s="987">
        <v>0</v>
      </c>
      <c r="N1570" s="987">
        <v>0</v>
      </c>
      <c r="O1570" s="987">
        <v>5159241.9000000004</v>
      </c>
      <c r="P1570" s="998">
        <v>0</v>
      </c>
      <c r="Q1570" s="987">
        <v>0</v>
      </c>
      <c r="R1570" s="985">
        <f>L1570/I1570</f>
        <v>928.25510975170937</v>
      </c>
      <c r="S1570" s="988">
        <v>2019</v>
      </c>
      <c r="T1570" s="988">
        <v>2020</v>
      </c>
    </row>
    <row r="1571" spans="1:20" ht="35.4" customHeight="1">
      <c r="A1571" s="1249"/>
      <c r="B1571" s="1245" t="s">
        <v>1220</v>
      </c>
      <c r="C1571" s="1011"/>
      <c r="D1571" s="1012"/>
      <c r="E1571" s="1010"/>
      <c r="F1571" s="1011"/>
      <c r="G1571" s="1011"/>
      <c r="H1571" s="985">
        <f>H1572+H1573+H1574+H1575+H1576+H1577</f>
        <v>6218.2</v>
      </c>
      <c r="I1571" s="985">
        <f t="shared" ref="I1571:Q1571" si="453">I1572+I1573+I1574+I1575+I1576+I1577</f>
        <v>5793.9000000000005</v>
      </c>
      <c r="J1571" s="985">
        <f t="shared" si="453"/>
        <v>5263.5999999999995</v>
      </c>
      <c r="K1571" s="995">
        <f t="shared" si="453"/>
        <v>190</v>
      </c>
      <c r="L1571" s="985">
        <f t="shared" si="453"/>
        <v>11757861</v>
      </c>
      <c r="M1571" s="985">
        <f t="shared" si="453"/>
        <v>0</v>
      </c>
      <c r="N1571" s="985">
        <f t="shared" si="453"/>
        <v>0</v>
      </c>
      <c r="O1571" s="985">
        <f t="shared" si="453"/>
        <v>11757861</v>
      </c>
      <c r="P1571" s="985">
        <f t="shared" si="453"/>
        <v>0</v>
      </c>
      <c r="Q1571" s="985">
        <f t="shared" si="453"/>
        <v>0</v>
      </c>
      <c r="R1571" s="996" t="s">
        <v>40</v>
      </c>
      <c r="S1571" s="996" t="s">
        <v>40</v>
      </c>
      <c r="T1571" s="996" t="s">
        <v>40</v>
      </c>
    </row>
    <row r="1572" spans="1:20" ht="34.200000000000003" customHeight="1">
      <c r="A1572" s="1249">
        <v>594</v>
      </c>
      <c r="B1572" s="1260" t="s">
        <v>1974</v>
      </c>
      <c r="C1572" s="1249">
        <v>1953</v>
      </c>
      <c r="D1572" s="1260"/>
      <c r="E1572" s="1249" t="s">
        <v>823</v>
      </c>
      <c r="F1572" s="1255">
        <v>2</v>
      </c>
      <c r="G1572" s="1255">
        <v>2</v>
      </c>
      <c r="H1572" s="985">
        <v>777.7</v>
      </c>
      <c r="I1572" s="985">
        <v>744.4</v>
      </c>
      <c r="J1572" s="985">
        <v>680.5</v>
      </c>
      <c r="K1572" s="995">
        <v>26</v>
      </c>
      <c r="L1572" s="987">
        <f>O1572</f>
        <v>2101771</v>
      </c>
      <c r="M1572" s="987">
        <v>0</v>
      </c>
      <c r="N1572" s="987">
        <v>0</v>
      </c>
      <c r="O1572" s="985">
        <v>2101771</v>
      </c>
      <c r="P1572" s="998">
        <v>0</v>
      </c>
      <c r="Q1572" s="987">
        <v>0</v>
      </c>
      <c r="R1572" s="985">
        <f t="shared" ref="R1572" si="454">L1572/I1572</f>
        <v>2823.4430413756045</v>
      </c>
      <c r="S1572" s="988">
        <v>2018</v>
      </c>
      <c r="T1572" s="988">
        <v>2020</v>
      </c>
    </row>
    <row r="1573" spans="1:20" ht="40.799999999999997" customHeight="1">
      <c r="A1573" s="1249">
        <v>595</v>
      </c>
      <c r="B1573" s="1260" t="s">
        <v>1037</v>
      </c>
      <c r="C1573" s="1249">
        <v>1979</v>
      </c>
      <c r="D1573" s="1260"/>
      <c r="E1573" s="1249" t="s">
        <v>218</v>
      </c>
      <c r="F1573" s="1255">
        <v>2</v>
      </c>
      <c r="G1573" s="1255">
        <v>1</v>
      </c>
      <c r="H1573" s="985">
        <v>398.3</v>
      </c>
      <c r="I1573" s="985">
        <v>366.3</v>
      </c>
      <c r="J1573" s="985">
        <v>322.8</v>
      </c>
      <c r="K1573" s="995">
        <v>20</v>
      </c>
      <c r="L1573" s="987">
        <v>1094104</v>
      </c>
      <c r="M1573" s="987">
        <v>0</v>
      </c>
      <c r="N1573" s="987">
        <v>0</v>
      </c>
      <c r="O1573" s="985">
        <v>1094104</v>
      </c>
      <c r="P1573" s="998">
        <v>0</v>
      </c>
      <c r="Q1573" s="987">
        <v>0</v>
      </c>
      <c r="R1573" s="985">
        <f>L1573/I1573</f>
        <v>2986.9069069069069</v>
      </c>
      <c r="S1573" s="988">
        <v>2018</v>
      </c>
      <c r="T1573" s="988">
        <v>2020</v>
      </c>
    </row>
    <row r="1574" spans="1:20" ht="37.950000000000003" customHeight="1">
      <c r="A1574" s="1249">
        <v>596</v>
      </c>
      <c r="B1574" s="1260" t="s">
        <v>1975</v>
      </c>
      <c r="C1574" s="1249">
        <v>1956</v>
      </c>
      <c r="D1574" s="1260"/>
      <c r="E1574" s="1249" t="s">
        <v>823</v>
      </c>
      <c r="F1574" s="1255">
        <v>2</v>
      </c>
      <c r="G1574" s="1255">
        <v>3</v>
      </c>
      <c r="H1574" s="985">
        <v>1488.7</v>
      </c>
      <c r="I1574" s="985">
        <v>1371.1</v>
      </c>
      <c r="J1574" s="985">
        <v>1289.0999999999999</v>
      </c>
      <c r="K1574" s="995">
        <v>34</v>
      </c>
      <c r="L1574" s="987">
        <v>2736554</v>
      </c>
      <c r="M1574" s="987">
        <v>0</v>
      </c>
      <c r="N1574" s="987">
        <v>0</v>
      </c>
      <c r="O1574" s="985">
        <v>2736554</v>
      </c>
      <c r="P1574" s="998">
        <v>0</v>
      </c>
      <c r="Q1574" s="987">
        <v>0</v>
      </c>
      <c r="R1574" s="985">
        <f>L1574/I1574</f>
        <v>1995.8821384289988</v>
      </c>
      <c r="S1574" s="988">
        <v>2019</v>
      </c>
      <c r="T1574" s="988">
        <v>2020</v>
      </c>
    </row>
    <row r="1575" spans="1:20" ht="42" customHeight="1">
      <c r="A1575" s="1249">
        <v>597</v>
      </c>
      <c r="B1575" s="1260" t="s">
        <v>890</v>
      </c>
      <c r="C1575" s="1249">
        <v>1957</v>
      </c>
      <c r="D1575" s="1260"/>
      <c r="E1575" s="1249" t="s">
        <v>218</v>
      </c>
      <c r="F1575" s="1255">
        <v>3</v>
      </c>
      <c r="G1575" s="1255">
        <v>3</v>
      </c>
      <c r="H1575" s="985">
        <v>1960.3</v>
      </c>
      <c r="I1575" s="985">
        <v>1839.8</v>
      </c>
      <c r="J1575" s="985">
        <v>1839.8</v>
      </c>
      <c r="K1575" s="995">
        <v>56</v>
      </c>
      <c r="L1575" s="987">
        <v>4102476</v>
      </c>
      <c r="M1575" s="987">
        <v>0</v>
      </c>
      <c r="N1575" s="987">
        <v>0</v>
      </c>
      <c r="O1575" s="985">
        <v>4102476</v>
      </c>
      <c r="P1575" s="998">
        <v>0</v>
      </c>
      <c r="Q1575" s="987">
        <v>0</v>
      </c>
      <c r="R1575" s="985">
        <f t="shared" ref="R1575:R1577" si="455">L1575/I1575</f>
        <v>2229.8488966191976</v>
      </c>
      <c r="S1575" s="988">
        <v>2019</v>
      </c>
      <c r="T1575" s="988">
        <v>2020</v>
      </c>
    </row>
    <row r="1576" spans="1:20" ht="37.200000000000003" customHeight="1">
      <c r="A1576" s="1249">
        <v>598</v>
      </c>
      <c r="B1576" s="1260" t="s">
        <v>1976</v>
      </c>
      <c r="C1576" s="1249">
        <v>1953</v>
      </c>
      <c r="D1576" s="1260"/>
      <c r="E1576" s="1249" t="s">
        <v>220</v>
      </c>
      <c r="F1576" s="1255">
        <v>2</v>
      </c>
      <c r="G1576" s="1255">
        <v>2</v>
      </c>
      <c r="H1576" s="985">
        <v>790.9</v>
      </c>
      <c r="I1576" s="985">
        <v>723.2</v>
      </c>
      <c r="J1576" s="985">
        <v>416.9</v>
      </c>
      <c r="K1576" s="995">
        <v>31</v>
      </c>
      <c r="L1576" s="987">
        <v>839575</v>
      </c>
      <c r="M1576" s="987">
        <v>0</v>
      </c>
      <c r="N1576" s="987">
        <v>0</v>
      </c>
      <c r="O1576" s="985">
        <v>839575</v>
      </c>
      <c r="P1576" s="998">
        <v>0</v>
      </c>
      <c r="Q1576" s="987">
        <v>0</v>
      </c>
      <c r="R1576" s="985">
        <f t="shared" si="455"/>
        <v>1160.9167588495575</v>
      </c>
      <c r="S1576" s="988">
        <v>2019</v>
      </c>
      <c r="T1576" s="988">
        <v>2020</v>
      </c>
    </row>
    <row r="1577" spans="1:20" ht="36">
      <c r="A1577" s="1249">
        <v>599</v>
      </c>
      <c r="B1577" s="1260" t="s">
        <v>1218</v>
      </c>
      <c r="C1577" s="1249">
        <v>1974</v>
      </c>
      <c r="D1577" s="1260"/>
      <c r="E1577" s="1249" t="s">
        <v>218</v>
      </c>
      <c r="F1577" s="1255">
        <v>2</v>
      </c>
      <c r="G1577" s="1255">
        <v>2</v>
      </c>
      <c r="H1577" s="985">
        <v>802.3</v>
      </c>
      <c r="I1577" s="985">
        <v>749.1</v>
      </c>
      <c r="J1577" s="985">
        <v>714.5</v>
      </c>
      <c r="K1577" s="995">
        <v>23</v>
      </c>
      <c r="L1577" s="987">
        <v>883381</v>
      </c>
      <c r="M1577" s="987">
        <v>0</v>
      </c>
      <c r="N1577" s="987">
        <v>0</v>
      </c>
      <c r="O1577" s="985">
        <v>883381</v>
      </c>
      <c r="P1577" s="998">
        <v>0</v>
      </c>
      <c r="Q1577" s="987">
        <v>0</v>
      </c>
      <c r="R1577" s="985">
        <f t="shared" si="455"/>
        <v>1179.2564410626085</v>
      </c>
      <c r="S1577" s="988">
        <v>2019</v>
      </c>
      <c r="T1577" s="988">
        <v>2020</v>
      </c>
    </row>
    <row r="1578" spans="1:20" ht="37.200000000000003" customHeight="1">
      <c r="A1578" s="1249"/>
      <c r="B1578" s="1245" t="s">
        <v>1158</v>
      </c>
      <c r="C1578" s="1011"/>
      <c r="D1578" s="1012"/>
      <c r="E1578" s="1010"/>
      <c r="F1578" s="1011"/>
      <c r="G1578" s="1011"/>
      <c r="H1578" s="985">
        <f>SUM(H1579:H1582)</f>
        <v>14290.4</v>
      </c>
      <c r="I1578" s="985">
        <f t="shared" ref="I1578:Q1578" si="456">SUM(I1579:I1582)</f>
        <v>13285.099999999999</v>
      </c>
      <c r="J1578" s="985">
        <f t="shared" si="456"/>
        <v>11691</v>
      </c>
      <c r="K1578" s="995">
        <f t="shared" si="456"/>
        <v>480</v>
      </c>
      <c r="L1578" s="985">
        <f t="shared" si="456"/>
        <v>27401698.199999999</v>
      </c>
      <c r="M1578" s="985">
        <f t="shared" si="456"/>
        <v>0</v>
      </c>
      <c r="N1578" s="985">
        <f t="shared" si="456"/>
        <v>0</v>
      </c>
      <c r="O1578" s="985">
        <f t="shared" si="456"/>
        <v>27401698.199999999</v>
      </c>
      <c r="P1578" s="985">
        <f t="shared" si="456"/>
        <v>0</v>
      </c>
      <c r="Q1578" s="985">
        <f t="shared" si="456"/>
        <v>0</v>
      </c>
      <c r="R1578" s="996" t="s">
        <v>40</v>
      </c>
      <c r="S1578" s="996" t="s">
        <v>40</v>
      </c>
      <c r="T1578" s="996" t="s">
        <v>40</v>
      </c>
    </row>
    <row r="1579" spans="1:20" ht="39.6" customHeight="1">
      <c r="A1579" s="1249">
        <v>600</v>
      </c>
      <c r="B1579" s="1260" t="s">
        <v>888</v>
      </c>
      <c r="C1579" s="1255">
        <v>1983</v>
      </c>
      <c r="D1579" s="1255"/>
      <c r="E1579" s="1249" t="s">
        <v>218</v>
      </c>
      <c r="F1579" s="1255">
        <v>5</v>
      </c>
      <c r="G1579" s="1255">
        <v>7</v>
      </c>
      <c r="H1579" s="985">
        <v>5053.5</v>
      </c>
      <c r="I1579" s="985">
        <v>4573.3999999999996</v>
      </c>
      <c r="J1579" s="985">
        <v>4190.6000000000004</v>
      </c>
      <c r="K1579" s="995">
        <v>182</v>
      </c>
      <c r="L1579" s="987">
        <v>10078977</v>
      </c>
      <c r="M1579" s="987">
        <v>0</v>
      </c>
      <c r="N1579" s="987">
        <v>0</v>
      </c>
      <c r="O1579" s="987">
        <f>L1579</f>
        <v>10078977</v>
      </c>
      <c r="P1579" s="998">
        <f t="shared" si="440"/>
        <v>0</v>
      </c>
      <c r="Q1579" s="987">
        <v>0</v>
      </c>
      <c r="R1579" s="985">
        <f>L1579/I1579</f>
        <v>2203.8258188656146</v>
      </c>
      <c r="S1579" s="988">
        <v>2019</v>
      </c>
      <c r="T1579" s="988">
        <v>2020</v>
      </c>
    </row>
    <row r="1580" spans="1:20" ht="34.799999999999997" customHeight="1">
      <c r="A1580" s="1249">
        <v>601</v>
      </c>
      <c r="B1580" s="1260" t="s">
        <v>889</v>
      </c>
      <c r="C1580" s="1255">
        <v>1979</v>
      </c>
      <c r="D1580" s="1255"/>
      <c r="E1580" s="1249" t="s">
        <v>219</v>
      </c>
      <c r="F1580" s="1255">
        <v>5</v>
      </c>
      <c r="G1580" s="1255">
        <v>4</v>
      </c>
      <c r="H1580" s="985">
        <v>3427.8</v>
      </c>
      <c r="I1580" s="985">
        <v>2935.9</v>
      </c>
      <c r="J1580" s="985">
        <v>2751.4</v>
      </c>
      <c r="K1580" s="995">
        <v>102</v>
      </c>
      <c r="L1580" s="987">
        <v>2386993</v>
      </c>
      <c r="M1580" s="987">
        <v>0</v>
      </c>
      <c r="N1580" s="987">
        <v>0</v>
      </c>
      <c r="O1580" s="987">
        <f>L1580</f>
        <v>2386993</v>
      </c>
      <c r="P1580" s="998">
        <f t="shared" si="440"/>
        <v>0</v>
      </c>
      <c r="Q1580" s="987">
        <v>0</v>
      </c>
      <c r="R1580" s="985">
        <f>L1580/I1580</f>
        <v>813.03620695527775</v>
      </c>
      <c r="S1580" s="988">
        <v>2019</v>
      </c>
      <c r="T1580" s="988">
        <v>2020</v>
      </c>
    </row>
    <row r="1581" spans="1:20" ht="40.200000000000003" customHeight="1">
      <c r="A1581" s="1249">
        <v>602</v>
      </c>
      <c r="B1581" s="1260" t="s">
        <v>1607</v>
      </c>
      <c r="C1581" s="1255">
        <v>1974</v>
      </c>
      <c r="D1581" s="1255"/>
      <c r="E1581" s="1249" t="s">
        <v>218</v>
      </c>
      <c r="F1581" s="1255">
        <v>5</v>
      </c>
      <c r="G1581" s="1255">
        <v>6</v>
      </c>
      <c r="H1581" s="985">
        <v>5409</v>
      </c>
      <c r="I1581" s="985">
        <v>5409</v>
      </c>
      <c r="J1581" s="985">
        <v>4535</v>
      </c>
      <c r="K1581" s="995">
        <v>183</v>
      </c>
      <c r="L1581" s="987">
        <v>12697564.32</v>
      </c>
      <c r="M1581" s="987">
        <v>0</v>
      </c>
      <c r="N1581" s="987">
        <v>0</v>
      </c>
      <c r="O1581" s="987">
        <f>L1581</f>
        <v>12697564.32</v>
      </c>
      <c r="P1581" s="998">
        <v>0</v>
      </c>
      <c r="Q1581" s="987">
        <v>0</v>
      </c>
      <c r="R1581" s="985">
        <f>L1581/I1581</f>
        <v>2347.488319467554</v>
      </c>
      <c r="S1581" s="988">
        <v>2019</v>
      </c>
      <c r="T1581" s="988">
        <v>2020</v>
      </c>
    </row>
    <row r="1582" spans="1:20" ht="40.799999999999997" customHeight="1">
      <c r="A1582" s="1249">
        <v>603</v>
      </c>
      <c r="B1582" s="1260" t="s">
        <v>1605</v>
      </c>
      <c r="C1582" s="1255">
        <v>1980</v>
      </c>
      <c r="D1582" s="1255"/>
      <c r="E1582" s="1249" t="s">
        <v>218</v>
      </c>
      <c r="F1582" s="1255">
        <v>2</v>
      </c>
      <c r="G1582" s="1255">
        <v>1</v>
      </c>
      <c r="H1582" s="985">
        <v>400.1</v>
      </c>
      <c r="I1582" s="985">
        <v>366.8</v>
      </c>
      <c r="J1582" s="985">
        <v>214</v>
      </c>
      <c r="K1582" s="995">
        <v>13</v>
      </c>
      <c r="L1582" s="987">
        <v>2238163.88</v>
      </c>
      <c r="M1582" s="987">
        <v>0</v>
      </c>
      <c r="N1582" s="987">
        <v>0</v>
      </c>
      <c r="O1582" s="987">
        <v>2238163.88</v>
      </c>
      <c r="P1582" s="998">
        <v>0</v>
      </c>
      <c r="Q1582" s="987">
        <v>0</v>
      </c>
      <c r="R1582" s="985">
        <f>L1582/I1582</f>
        <v>6101.8644492911662</v>
      </c>
      <c r="S1582" s="988">
        <v>2018</v>
      </c>
      <c r="T1582" s="988">
        <v>2020</v>
      </c>
    </row>
    <row r="1583" spans="1:20" ht="36.6" customHeight="1">
      <c r="A1583" s="1249"/>
      <c r="B1583" s="1261" t="s">
        <v>2013</v>
      </c>
      <c r="C1583" s="991"/>
      <c r="D1583" s="992"/>
      <c r="E1583" s="993"/>
      <c r="F1583" s="991"/>
      <c r="G1583" s="994"/>
      <c r="H1583" s="985">
        <f>H1584+H1585+H1586</f>
        <v>1006.04</v>
      </c>
      <c r="I1583" s="985">
        <f t="shared" ref="I1583:Q1583" si="457">I1584+I1585+I1586</f>
        <v>918.3</v>
      </c>
      <c r="J1583" s="985">
        <f t="shared" si="457"/>
        <v>893.6</v>
      </c>
      <c r="K1583" s="995">
        <f t="shared" si="457"/>
        <v>44</v>
      </c>
      <c r="L1583" s="985">
        <f t="shared" si="457"/>
        <v>2552797.1</v>
      </c>
      <c r="M1583" s="985">
        <f t="shared" si="457"/>
        <v>0</v>
      </c>
      <c r="N1583" s="985">
        <f t="shared" si="457"/>
        <v>202967.46</v>
      </c>
      <c r="O1583" s="985">
        <f t="shared" si="457"/>
        <v>2349829.64</v>
      </c>
      <c r="P1583" s="985">
        <f t="shared" si="457"/>
        <v>0</v>
      </c>
      <c r="Q1583" s="985">
        <f t="shared" si="457"/>
        <v>0</v>
      </c>
      <c r="R1583" s="996" t="s">
        <v>40</v>
      </c>
      <c r="S1583" s="996" t="s">
        <v>40</v>
      </c>
      <c r="T1583" s="996" t="s">
        <v>40</v>
      </c>
    </row>
    <row r="1584" spans="1:20" ht="42" customHeight="1">
      <c r="A1584" s="1046">
        <v>604</v>
      </c>
      <c r="B1584" s="1076" t="s">
        <v>478</v>
      </c>
      <c r="C1584" s="1048">
        <v>1962</v>
      </c>
      <c r="D1584" s="1048"/>
      <c r="E1584" s="1249" t="s">
        <v>218</v>
      </c>
      <c r="F1584" s="1048">
        <v>2</v>
      </c>
      <c r="G1584" s="1048">
        <v>1</v>
      </c>
      <c r="H1584" s="1067">
        <v>318.7</v>
      </c>
      <c r="I1584" s="1067">
        <v>297.60000000000002</v>
      </c>
      <c r="J1584" s="1067">
        <v>297.60000000000002</v>
      </c>
      <c r="K1584" s="1077">
        <v>14</v>
      </c>
      <c r="L1584" s="1067">
        <v>1167102</v>
      </c>
      <c r="M1584" s="1067">
        <v>0</v>
      </c>
      <c r="N1584" s="1067">
        <v>202967.46</v>
      </c>
      <c r="O1584" s="1067">
        <v>964134.54</v>
      </c>
      <c r="P1584" s="1067">
        <v>0</v>
      </c>
      <c r="Q1584" s="1067">
        <v>0</v>
      </c>
      <c r="R1584" s="985">
        <f>L1584/I1584</f>
        <v>3921.713709677419</v>
      </c>
      <c r="S1584" s="988">
        <v>2019</v>
      </c>
      <c r="T1584" s="988">
        <v>2020</v>
      </c>
    </row>
    <row r="1585" spans="1:20" ht="40.200000000000003" customHeight="1">
      <c r="A1585" s="1249">
        <v>605</v>
      </c>
      <c r="B1585" s="1076" t="s">
        <v>1053</v>
      </c>
      <c r="C1585" s="1048">
        <v>1964</v>
      </c>
      <c r="D1585" s="1048"/>
      <c r="E1585" s="1249" t="s">
        <v>218</v>
      </c>
      <c r="F1585" s="1048">
        <v>2</v>
      </c>
      <c r="G1585" s="1048">
        <v>2</v>
      </c>
      <c r="H1585" s="1067">
        <v>413.2</v>
      </c>
      <c r="I1585" s="1067">
        <v>374.4</v>
      </c>
      <c r="J1585" s="1067">
        <v>374.4</v>
      </c>
      <c r="K1585" s="1077">
        <v>17</v>
      </c>
      <c r="L1585" s="1067">
        <v>1242462</v>
      </c>
      <c r="M1585" s="1067">
        <v>0</v>
      </c>
      <c r="N1585" s="1067">
        <v>0</v>
      </c>
      <c r="O1585" s="1067">
        <v>1242462</v>
      </c>
      <c r="P1585" s="1067">
        <v>0</v>
      </c>
      <c r="Q1585" s="1067">
        <v>0</v>
      </c>
      <c r="R1585" s="985">
        <f t="shared" ref="R1585:R1586" si="458">L1585/I1585</f>
        <v>3318.541666666667</v>
      </c>
      <c r="S1585" s="988">
        <v>2019</v>
      </c>
      <c r="T1585" s="988">
        <v>2020</v>
      </c>
    </row>
    <row r="1586" spans="1:20" ht="34.799999999999997" customHeight="1">
      <c r="A1586" s="1249">
        <v>606</v>
      </c>
      <c r="B1586" s="1164" t="s">
        <v>1977</v>
      </c>
      <c r="C1586" s="1048">
        <v>1962</v>
      </c>
      <c r="D1586" s="1048"/>
      <c r="E1586" s="1048" t="s">
        <v>221</v>
      </c>
      <c r="F1586" s="1048">
        <v>1</v>
      </c>
      <c r="G1586" s="1048">
        <v>2</v>
      </c>
      <c r="H1586" s="1067">
        <v>274.14</v>
      </c>
      <c r="I1586" s="1067">
        <v>246.3</v>
      </c>
      <c r="J1586" s="1067">
        <v>221.6</v>
      </c>
      <c r="K1586" s="1077">
        <v>13</v>
      </c>
      <c r="L1586" s="1067">
        <v>143233.1</v>
      </c>
      <c r="M1586" s="1067">
        <v>0</v>
      </c>
      <c r="N1586" s="1067">
        <v>0</v>
      </c>
      <c r="O1586" s="1067">
        <v>143233.1</v>
      </c>
      <c r="P1586" s="1067">
        <v>0</v>
      </c>
      <c r="Q1586" s="1067">
        <v>0</v>
      </c>
      <c r="R1586" s="985">
        <f t="shared" si="458"/>
        <v>581.539179861957</v>
      </c>
      <c r="S1586" s="988">
        <v>2019</v>
      </c>
      <c r="T1586" s="988">
        <v>2020</v>
      </c>
    </row>
    <row r="1587" spans="1:20" ht="32.4" customHeight="1">
      <c r="A1587" s="1249"/>
      <c r="B1587" s="1261" t="s">
        <v>61</v>
      </c>
      <c r="C1587" s="991"/>
      <c r="D1587" s="992"/>
      <c r="E1587" s="993"/>
      <c r="F1587" s="991"/>
      <c r="G1587" s="994"/>
      <c r="H1587" s="985">
        <f>H1588+H1591</f>
        <v>1413.04</v>
      </c>
      <c r="I1587" s="985">
        <f t="shared" ref="I1587:Q1587" si="459">I1588+I1591</f>
        <v>1306.04</v>
      </c>
      <c r="J1587" s="985">
        <f t="shared" si="459"/>
        <v>965.34</v>
      </c>
      <c r="K1587" s="995">
        <f t="shared" si="459"/>
        <v>74</v>
      </c>
      <c r="L1587" s="985">
        <f t="shared" si="459"/>
        <v>3015777</v>
      </c>
      <c r="M1587" s="985">
        <f t="shared" si="459"/>
        <v>0</v>
      </c>
      <c r="N1587" s="985">
        <f t="shared" si="459"/>
        <v>0</v>
      </c>
      <c r="O1587" s="985">
        <f t="shared" si="459"/>
        <v>3015777</v>
      </c>
      <c r="P1587" s="985">
        <f t="shared" si="459"/>
        <v>0</v>
      </c>
      <c r="Q1587" s="985">
        <f t="shared" si="459"/>
        <v>0</v>
      </c>
      <c r="R1587" s="996" t="s">
        <v>40</v>
      </c>
      <c r="S1587" s="996" t="s">
        <v>40</v>
      </c>
      <c r="T1587" s="996" t="s">
        <v>40</v>
      </c>
    </row>
    <row r="1588" spans="1:20" ht="33" customHeight="1">
      <c r="A1588" s="1249"/>
      <c r="B1588" s="1261" t="s">
        <v>1095</v>
      </c>
      <c r="C1588" s="991"/>
      <c r="D1588" s="992"/>
      <c r="E1588" s="993"/>
      <c r="F1588" s="991"/>
      <c r="G1588" s="994"/>
      <c r="H1588" s="985">
        <f>H1589+H1590</f>
        <v>636.54</v>
      </c>
      <c r="I1588" s="985">
        <f t="shared" ref="I1588:Q1588" si="460">I1589+I1590</f>
        <v>561.44000000000005</v>
      </c>
      <c r="J1588" s="985">
        <f t="shared" si="460"/>
        <v>328.14</v>
      </c>
      <c r="K1588" s="995">
        <f t="shared" si="460"/>
        <v>46</v>
      </c>
      <c r="L1588" s="985">
        <f t="shared" si="460"/>
        <v>2310714</v>
      </c>
      <c r="M1588" s="985">
        <f t="shared" si="460"/>
        <v>0</v>
      </c>
      <c r="N1588" s="985">
        <f t="shared" si="460"/>
        <v>0</v>
      </c>
      <c r="O1588" s="985">
        <f t="shared" si="460"/>
        <v>2310714</v>
      </c>
      <c r="P1588" s="985">
        <f t="shared" si="460"/>
        <v>0</v>
      </c>
      <c r="Q1588" s="985">
        <f t="shared" si="460"/>
        <v>0</v>
      </c>
      <c r="R1588" s="996" t="s">
        <v>40</v>
      </c>
      <c r="S1588" s="996" t="s">
        <v>40</v>
      </c>
      <c r="T1588" s="996" t="s">
        <v>40</v>
      </c>
    </row>
    <row r="1589" spans="1:20" ht="42" customHeight="1">
      <c r="A1589" s="1249">
        <v>607</v>
      </c>
      <c r="B1589" s="1245" t="s">
        <v>492</v>
      </c>
      <c r="C1589" s="1255">
        <v>1961</v>
      </c>
      <c r="D1589" s="1245"/>
      <c r="E1589" s="1249" t="s">
        <v>218</v>
      </c>
      <c r="F1589" s="1255">
        <v>2</v>
      </c>
      <c r="G1589" s="1255">
        <v>2</v>
      </c>
      <c r="H1589" s="985">
        <v>411.7</v>
      </c>
      <c r="I1589" s="985">
        <v>380</v>
      </c>
      <c r="J1589" s="985">
        <v>188.1</v>
      </c>
      <c r="K1589" s="995">
        <v>33</v>
      </c>
      <c r="L1589" s="987">
        <v>1449272</v>
      </c>
      <c r="M1589" s="987">
        <v>0</v>
      </c>
      <c r="N1589" s="987">
        <v>0</v>
      </c>
      <c r="O1589" s="987">
        <v>1449272</v>
      </c>
      <c r="P1589" s="998">
        <v>0</v>
      </c>
      <c r="Q1589" s="987">
        <v>0</v>
      </c>
      <c r="R1589" s="985">
        <v>3813.8736842105263</v>
      </c>
      <c r="S1589" s="988">
        <v>2018</v>
      </c>
      <c r="T1589" s="988">
        <v>2020</v>
      </c>
    </row>
    <row r="1590" spans="1:20" ht="42.6" customHeight="1">
      <c r="A1590" s="1249">
        <v>608</v>
      </c>
      <c r="B1590" s="1245" t="s">
        <v>494</v>
      </c>
      <c r="C1590" s="1255">
        <v>1968</v>
      </c>
      <c r="D1590" s="1255"/>
      <c r="E1590" s="1249" t="s">
        <v>218</v>
      </c>
      <c r="F1590" s="1255">
        <v>2</v>
      </c>
      <c r="G1590" s="1255">
        <v>2</v>
      </c>
      <c r="H1590" s="985">
        <v>224.84</v>
      </c>
      <c r="I1590" s="985">
        <v>181.44</v>
      </c>
      <c r="J1590" s="985">
        <v>140.04</v>
      </c>
      <c r="K1590" s="995">
        <v>13</v>
      </c>
      <c r="L1590" s="987">
        <v>861442</v>
      </c>
      <c r="M1590" s="987">
        <v>0</v>
      </c>
      <c r="N1590" s="987">
        <v>0</v>
      </c>
      <c r="O1590" s="987">
        <v>861442</v>
      </c>
      <c r="P1590" s="998">
        <v>0</v>
      </c>
      <c r="Q1590" s="987">
        <v>0</v>
      </c>
      <c r="R1590" s="985">
        <v>4747.8064373897705</v>
      </c>
      <c r="S1590" s="988">
        <v>2018</v>
      </c>
      <c r="T1590" s="988">
        <v>2020</v>
      </c>
    </row>
    <row r="1591" spans="1:20" ht="34.799999999999997" customHeight="1">
      <c r="A1591" s="1249"/>
      <c r="B1591" s="1245" t="s">
        <v>1182</v>
      </c>
      <c r="C1591" s="1011"/>
      <c r="D1591" s="1012"/>
      <c r="E1591" s="1010"/>
      <c r="F1591" s="1011"/>
      <c r="G1591" s="1011"/>
      <c r="H1591" s="985">
        <v>776.5</v>
      </c>
      <c r="I1591" s="985">
        <v>744.6</v>
      </c>
      <c r="J1591" s="985">
        <v>637.20000000000005</v>
      </c>
      <c r="K1591" s="995">
        <v>28</v>
      </c>
      <c r="L1591" s="987">
        <v>705063</v>
      </c>
      <c r="M1591" s="987">
        <v>0</v>
      </c>
      <c r="N1591" s="987">
        <v>0</v>
      </c>
      <c r="O1591" s="987">
        <v>705063</v>
      </c>
      <c r="P1591" s="987">
        <v>0</v>
      </c>
      <c r="Q1591" s="987">
        <v>0</v>
      </c>
      <c r="R1591" s="996" t="s">
        <v>40</v>
      </c>
      <c r="S1591" s="996" t="s">
        <v>40</v>
      </c>
      <c r="T1591" s="996" t="s">
        <v>40</v>
      </c>
    </row>
    <row r="1592" spans="1:20" ht="42" customHeight="1">
      <c r="A1592" s="1249">
        <v>609</v>
      </c>
      <c r="B1592" s="1245" t="s">
        <v>1183</v>
      </c>
      <c r="C1592" s="1255">
        <v>1980</v>
      </c>
      <c r="D1592" s="1380">
        <v>2008</v>
      </c>
      <c r="E1592" s="1249" t="s">
        <v>218</v>
      </c>
      <c r="F1592" s="1255">
        <v>2</v>
      </c>
      <c r="G1592" s="1255">
        <v>2</v>
      </c>
      <c r="H1592" s="985">
        <v>776.5</v>
      </c>
      <c r="I1592" s="985">
        <v>744.6</v>
      </c>
      <c r="J1592" s="985">
        <v>637.20000000000005</v>
      </c>
      <c r="K1592" s="995">
        <v>28</v>
      </c>
      <c r="L1592" s="987">
        <v>705063</v>
      </c>
      <c r="M1592" s="987">
        <v>0</v>
      </c>
      <c r="N1592" s="987">
        <v>0</v>
      </c>
      <c r="O1592" s="987">
        <v>705063</v>
      </c>
      <c r="P1592" s="998">
        <v>0</v>
      </c>
      <c r="Q1592" s="987">
        <v>0</v>
      </c>
      <c r="R1592" s="985">
        <v>946.90169218372273</v>
      </c>
      <c r="S1592" s="988">
        <v>2018</v>
      </c>
      <c r="T1592" s="988">
        <v>2020</v>
      </c>
    </row>
    <row r="1593" spans="1:20" ht="29.4" customHeight="1">
      <c r="A1593" s="1249"/>
      <c r="B1593" s="1261" t="s">
        <v>2014</v>
      </c>
      <c r="C1593" s="991"/>
      <c r="D1593" s="992"/>
      <c r="E1593" s="993"/>
      <c r="F1593" s="991"/>
      <c r="G1593" s="994"/>
      <c r="H1593" s="985">
        <f>H1594+H1595</f>
        <v>3621.8</v>
      </c>
      <c r="I1593" s="985">
        <f t="shared" ref="I1593:Q1593" si="461">I1594+I1595</f>
        <v>3161.2799999999997</v>
      </c>
      <c r="J1593" s="985">
        <f t="shared" si="461"/>
        <v>3161.2799999999997</v>
      </c>
      <c r="K1593" s="995">
        <f t="shared" si="461"/>
        <v>113</v>
      </c>
      <c r="L1593" s="985">
        <f t="shared" si="461"/>
        <v>3720453.9699999997</v>
      </c>
      <c r="M1593" s="985">
        <f t="shared" si="461"/>
        <v>0</v>
      </c>
      <c r="N1593" s="985">
        <f t="shared" si="461"/>
        <v>0</v>
      </c>
      <c r="O1593" s="985">
        <f t="shared" si="461"/>
        <v>3720453.9699999997</v>
      </c>
      <c r="P1593" s="985">
        <f t="shared" si="461"/>
        <v>0</v>
      </c>
      <c r="Q1593" s="985">
        <f t="shared" si="461"/>
        <v>0</v>
      </c>
      <c r="R1593" s="996" t="s">
        <v>40</v>
      </c>
      <c r="S1593" s="996" t="s">
        <v>40</v>
      </c>
      <c r="T1593" s="996" t="s">
        <v>40</v>
      </c>
    </row>
    <row r="1594" spans="1:20" ht="44.4" customHeight="1">
      <c r="A1594" s="1249">
        <v>610</v>
      </c>
      <c r="B1594" s="1245" t="s">
        <v>487</v>
      </c>
      <c r="C1594" s="1255">
        <v>1969</v>
      </c>
      <c r="D1594" s="1255"/>
      <c r="E1594" s="1249" t="s">
        <v>218</v>
      </c>
      <c r="F1594" s="1255">
        <v>2</v>
      </c>
      <c r="G1594" s="1255">
        <v>2</v>
      </c>
      <c r="H1594" s="985">
        <v>403.4</v>
      </c>
      <c r="I1594" s="985">
        <v>360.2</v>
      </c>
      <c r="J1594" s="985">
        <v>360.2</v>
      </c>
      <c r="K1594" s="995">
        <v>16</v>
      </c>
      <c r="L1594" s="987">
        <v>1489224.97</v>
      </c>
      <c r="M1594" s="987">
        <v>0</v>
      </c>
      <c r="N1594" s="987">
        <v>0</v>
      </c>
      <c r="O1594" s="987">
        <f>L1594</f>
        <v>1489224.97</v>
      </c>
      <c r="P1594" s="998">
        <v>0</v>
      </c>
      <c r="Q1594" s="987">
        <v>0</v>
      </c>
      <c r="R1594" s="985">
        <f>L1594/I1594</f>
        <v>4134.4391171571351</v>
      </c>
      <c r="S1594" s="988">
        <v>2018</v>
      </c>
      <c r="T1594" s="988">
        <v>2020</v>
      </c>
    </row>
    <row r="1595" spans="1:20" ht="37.799999999999997" customHeight="1">
      <c r="A1595" s="1249">
        <v>611</v>
      </c>
      <c r="B1595" s="1245" t="s">
        <v>1614</v>
      </c>
      <c r="C1595" s="1255">
        <v>1984</v>
      </c>
      <c r="D1595" s="1255"/>
      <c r="E1595" s="1249" t="s">
        <v>219</v>
      </c>
      <c r="F1595" s="1255">
        <v>5</v>
      </c>
      <c r="G1595" s="1255">
        <v>4</v>
      </c>
      <c r="H1595" s="985">
        <v>3218.4</v>
      </c>
      <c r="I1595" s="985">
        <v>2801.08</v>
      </c>
      <c r="J1595" s="985">
        <v>2801.08</v>
      </c>
      <c r="K1595" s="995">
        <v>97</v>
      </c>
      <c r="L1595" s="987">
        <v>2231229</v>
      </c>
      <c r="M1595" s="987">
        <v>0</v>
      </c>
      <c r="N1595" s="987">
        <v>0</v>
      </c>
      <c r="O1595" s="987">
        <v>2231229</v>
      </c>
      <c r="P1595" s="998">
        <v>0</v>
      </c>
      <c r="Q1595" s="987">
        <v>0</v>
      </c>
      <c r="R1595" s="985">
        <v>796.56025533008699</v>
      </c>
      <c r="S1595" s="988">
        <v>2019</v>
      </c>
      <c r="T1595" s="988">
        <v>2020</v>
      </c>
    </row>
    <row r="1596" spans="1:20" ht="30.6" customHeight="1">
      <c r="A1596" s="1249"/>
      <c r="B1596" s="1261" t="s">
        <v>2016</v>
      </c>
      <c r="C1596" s="991"/>
      <c r="D1596" s="992"/>
      <c r="E1596" s="993"/>
      <c r="F1596" s="991"/>
      <c r="G1596" s="994"/>
      <c r="H1596" s="985">
        <f>SUM(H1597:H1603)</f>
        <v>9932</v>
      </c>
      <c r="I1596" s="985">
        <f t="shared" ref="I1596:Q1596" si="462">SUM(I1597:I1603)</f>
        <v>9099.7999999999993</v>
      </c>
      <c r="J1596" s="985">
        <f t="shared" si="462"/>
        <v>9046.1</v>
      </c>
      <c r="K1596" s="995">
        <f t="shared" si="462"/>
        <v>349</v>
      </c>
      <c r="L1596" s="985">
        <f t="shared" si="462"/>
        <v>13336676</v>
      </c>
      <c r="M1596" s="985">
        <f t="shared" si="462"/>
        <v>0</v>
      </c>
      <c r="N1596" s="985">
        <f t="shared" si="462"/>
        <v>214483.68</v>
      </c>
      <c r="O1596" s="985">
        <f t="shared" si="462"/>
        <v>13122192.32</v>
      </c>
      <c r="P1596" s="985">
        <f t="shared" si="462"/>
        <v>0</v>
      </c>
      <c r="Q1596" s="985">
        <f t="shared" si="462"/>
        <v>0</v>
      </c>
      <c r="R1596" s="996" t="s">
        <v>40</v>
      </c>
      <c r="S1596" s="996" t="s">
        <v>40</v>
      </c>
      <c r="T1596" s="996" t="s">
        <v>40</v>
      </c>
    </row>
    <row r="1597" spans="1:20" ht="36.6" customHeight="1">
      <c r="A1597" s="1249">
        <v>612</v>
      </c>
      <c r="B1597" s="1115" t="s">
        <v>675</v>
      </c>
      <c r="C1597" s="988">
        <v>1992</v>
      </c>
      <c r="D1597" s="1116"/>
      <c r="E1597" s="1249" t="s">
        <v>219</v>
      </c>
      <c r="F1597" s="988">
        <v>5</v>
      </c>
      <c r="G1597" s="988">
        <v>4</v>
      </c>
      <c r="H1597" s="998">
        <v>3349.7</v>
      </c>
      <c r="I1597" s="998">
        <v>3054.1</v>
      </c>
      <c r="J1597" s="998">
        <v>3000.4</v>
      </c>
      <c r="K1597" s="986">
        <v>125</v>
      </c>
      <c r="L1597" s="987">
        <f>N1597+O1597</f>
        <v>2205623</v>
      </c>
      <c r="M1597" s="987">
        <v>0</v>
      </c>
      <c r="N1597" s="987">
        <v>142143.20000000001</v>
      </c>
      <c r="O1597" s="987">
        <v>2063479.8</v>
      </c>
      <c r="P1597" s="998">
        <f t="shared" si="440"/>
        <v>0</v>
      </c>
      <c r="Q1597" s="987">
        <v>0</v>
      </c>
      <c r="R1597" s="998">
        <f t="shared" ref="R1597:R1603" si="463">L1597/I1597</f>
        <v>722.18427687371081</v>
      </c>
      <c r="S1597" s="988">
        <v>2019</v>
      </c>
      <c r="T1597" s="988">
        <v>2020</v>
      </c>
    </row>
    <row r="1598" spans="1:20" ht="39.6" customHeight="1">
      <c r="A1598" s="1249">
        <v>613</v>
      </c>
      <c r="B1598" s="1115" t="s">
        <v>1123</v>
      </c>
      <c r="C1598" s="988">
        <v>1976</v>
      </c>
      <c r="D1598" s="1116"/>
      <c r="E1598" s="1249" t="s">
        <v>218</v>
      </c>
      <c r="F1598" s="988">
        <v>2</v>
      </c>
      <c r="G1598" s="988">
        <v>2</v>
      </c>
      <c r="H1598" s="998">
        <v>990.8</v>
      </c>
      <c r="I1598" s="998">
        <v>899.8</v>
      </c>
      <c r="J1598" s="998">
        <v>899.8</v>
      </c>
      <c r="K1598" s="986">
        <v>38</v>
      </c>
      <c r="L1598" s="987">
        <f t="shared" ref="L1598:L1599" si="464">N1598+O1598</f>
        <v>1083429</v>
      </c>
      <c r="M1598" s="987">
        <v>0</v>
      </c>
      <c r="N1598" s="987">
        <v>0</v>
      </c>
      <c r="O1598" s="987">
        <v>1083429</v>
      </c>
      <c r="P1598" s="998">
        <f t="shared" ref="P1598:P1635" si="465">Q1598</f>
        <v>0</v>
      </c>
      <c r="Q1598" s="987">
        <v>0</v>
      </c>
      <c r="R1598" s="998">
        <f t="shared" si="463"/>
        <v>1204.0775727939542</v>
      </c>
      <c r="S1598" s="988">
        <v>2019</v>
      </c>
      <c r="T1598" s="988">
        <v>2020</v>
      </c>
    </row>
    <row r="1599" spans="1:20" ht="37.200000000000003" customHeight="1">
      <c r="A1599" s="1249">
        <v>614</v>
      </c>
      <c r="B1599" s="1115" t="s">
        <v>676</v>
      </c>
      <c r="C1599" s="1116">
        <v>1983</v>
      </c>
      <c r="D1599" s="1117"/>
      <c r="E1599" s="1249" t="s">
        <v>219</v>
      </c>
      <c r="F1599" s="988">
        <v>5</v>
      </c>
      <c r="G1599" s="988">
        <v>2</v>
      </c>
      <c r="H1599" s="998">
        <v>1649.5</v>
      </c>
      <c r="I1599" s="998">
        <v>1512.2</v>
      </c>
      <c r="J1599" s="998">
        <v>1512.2</v>
      </c>
      <c r="K1599" s="986">
        <v>65</v>
      </c>
      <c r="L1599" s="987">
        <f t="shared" si="464"/>
        <v>1110773</v>
      </c>
      <c r="M1599" s="987">
        <v>0</v>
      </c>
      <c r="N1599" s="987">
        <v>72340.479999999996</v>
      </c>
      <c r="O1599" s="987">
        <v>1038432.52</v>
      </c>
      <c r="P1599" s="998">
        <f t="shared" si="465"/>
        <v>0</v>
      </c>
      <c r="Q1599" s="987">
        <v>0</v>
      </c>
      <c r="R1599" s="998">
        <f t="shared" si="463"/>
        <v>734.54106599656131</v>
      </c>
      <c r="S1599" s="988">
        <v>2019</v>
      </c>
      <c r="T1599" s="988">
        <v>2020</v>
      </c>
    </row>
    <row r="1600" spans="1:20" ht="43.8" customHeight="1">
      <c r="A1600" s="1249">
        <v>615</v>
      </c>
      <c r="B1600" s="1115" t="s">
        <v>677</v>
      </c>
      <c r="C1600" s="988">
        <v>1977</v>
      </c>
      <c r="D1600" s="1116"/>
      <c r="E1600" s="1249" t="s">
        <v>218</v>
      </c>
      <c r="F1600" s="988">
        <v>2</v>
      </c>
      <c r="G1600" s="988">
        <v>2</v>
      </c>
      <c r="H1600" s="998">
        <v>829.3</v>
      </c>
      <c r="I1600" s="998">
        <v>753</v>
      </c>
      <c r="J1600" s="998">
        <v>753</v>
      </c>
      <c r="K1600" s="986">
        <v>27</v>
      </c>
      <c r="L1600" s="987">
        <v>2359067</v>
      </c>
      <c r="M1600" s="987">
        <v>0</v>
      </c>
      <c r="N1600" s="987">
        <v>0</v>
      </c>
      <c r="O1600" s="987">
        <f>L1600</f>
        <v>2359067</v>
      </c>
      <c r="P1600" s="998">
        <v>0</v>
      </c>
      <c r="Q1600" s="987">
        <v>0</v>
      </c>
      <c r="R1600" s="998">
        <f t="shared" si="463"/>
        <v>3132.8911022576362</v>
      </c>
      <c r="S1600" s="988">
        <v>2019</v>
      </c>
      <c r="T1600" s="988">
        <v>2020</v>
      </c>
    </row>
    <row r="1601" spans="1:20" ht="43.8" customHeight="1">
      <c r="A1601" s="1249">
        <v>616</v>
      </c>
      <c r="B1601" s="1115" t="s">
        <v>504</v>
      </c>
      <c r="C1601" s="1116">
        <v>1966</v>
      </c>
      <c r="D1601" s="1117"/>
      <c r="E1601" s="1249" t="s">
        <v>218</v>
      </c>
      <c r="F1601" s="988">
        <v>2</v>
      </c>
      <c r="G1601" s="988">
        <v>2</v>
      </c>
      <c r="H1601" s="998">
        <v>559.1</v>
      </c>
      <c r="I1601" s="998">
        <v>513.1</v>
      </c>
      <c r="J1601" s="998">
        <v>513.1</v>
      </c>
      <c r="K1601" s="986">
        <v>12</v>
      </c>
      <c r="L1601" s="987">
        <v>2301529</v>
      </c>
      <c r="M1601" s="987">
        <v>0</v>
      </c>
      <c r="N1601" s="987">
        <v>0</v>
      </c>
      <c r="O1601" s="987">
        <f>L1601</f>
        <v>2301529</v>
      </c>
      <c r="P1601" s="998">
        <v>0</v>
      </c>
      <c r="Q1601" s="987">
        <v>0</v>
      </c>
      <c r="R1601" s="998">
        <f t="shared" si="463"/>
        <v>4485.5369323718569</v>
      </c>
      <c r="S1601" s="988">
        <v>2019</v>
      </c>
      <c r="T1601" s="988">
        <v>2020</v>
      </c>
    </row>
    <row r="1602" spans="1:20" ht="40.799999999999997" customHeight="1">
      <c r="A1602" s="1249">
        <v>617</v>
      </c>
      <c r="B1602" s="1115" t="s">
        <v>678</v>
      </c>
      <c r="C1602" s="1116">
        <v>1969</v>
      </c>
      <c r="D1602" s="1117"/>
      <c r="E1602" s="1249" t="s">
        <v>218</v>
      </c>
      <c r="F1602" s="988">
        <v>2</v>
      </c>
      <c r="G1602" s="988">
        <v>2</v>
      </c>
      <c r="H1602" s="998">
        <v>571.1</v>
      </c>
      <c r="I1602" s="998">
        <v>516.70000000000005</v>
      </c>
      <c r="J1602" s="998">
        <v>516.70000000000005</v>
      </c>
      <c r="K1602" s="986">
        <v>28</v>
      </c>
      <c r="L1602" s="987">
        <v>1705162</v>
      </c>
      <c r="M1602" s="987">
        <v>0</v>
      </c>
      <c r="N1602" s="987">
        <v>0</v>
      </c>
      <c r="O1602" s="987">
        <v>1705162</v>
      </c>
      <c r="P1602" s="998">
        <v>0</v>
      </c>
      <c r="Q1602" s="987">
        <v>0</v>
      </c>
      <c r="R1602" s="998">
        <f t="shared" si="463"/>
        <v>3300.1006386684726</v>
      </c>
      <c r="S1602" s="988">
        <v>2019</v>
      </c>
      <c r="T1602" s="988">
        <v>2020</v>
      </c>
    </row>
    <row r="1603" spans="1:20" ht="41.4" customHeight="1">
      <c r="A1603" s="1249">
        <v>618</v>
      </c>
      <c r="B1603" s="1214" t="s">
        <v>1150</v>
      </c>
      <c r="C1603" s="1215">
        <v>1984</v>
      </c>
      <c r="D1603" s="1022"/>
      <c r="E1603" s="1249" t="s">
        <v>218</v>
      </c>
      <c r="F1603" s="1215">
        <v>3</v>
      </c>
      <c r="G1603" s="1215">
        <v>3</v>
      </c>
      <c r="H1603" s="1057">
        <v>1982.5</v>
      </c>
      <c r="I1603" s="1057">
        <v>1850.9</v>
      </c>
      <c r="J1603" s="1057">
        <v>1850.9</v>
      </c>
      <c r="K1603" s="1036">
        <v>54</v>
      </c>
      <c r="L1603" s="987">
        <v>2571093</v>
      </c>
      <c r="M1603" s="987">
        <v>0</v>
      </c>
      <c r="N1603" s="987">
        <v>0</v>
      </c>
      <c r="O1603" s="987">
        <v>2571093</v>
      </c>
      <c r="P1603" s="1057">
        <v>0</v>
      </c>
      <c r="Q1603" s="987">
        <v>0</v>
      </c>
      <c r="R1603" s="1057">
        <f t="shared" si="463"/>
        <v>1389.1042195688583</v>
      </c>
      <c r="S1603" s="988">
        <v>2019</v>
      </c>
      <c r="T1603" s="988">
        <v>2020</v>
      </c>
    </row>
    <row r="1604" spans="1:20" ht="32.4" customHeight="1">
      <c r="A1604" s="1249"/>
      <c r="B1604" s="1216" t="s">
        <v>663</v>
      </c>
      <c r="C1604" s="991"/>
      <c r="D1604" s="992"/>
      <c r="E1604" s="993"/>
      <c r="F1604" s="991"/>
      <c r="G1604" s="994"/>
      <c r="H1604" s="998">
        <f>H1606</f>
        <v>783.2</v>
      </c>
      <c r="I1604" s="998">
        <f t="shared" ref="I1604:Q1604" si="466">I1606</f>
        <v>734.8</v>
      </c>
      <c r="J1604" s="998">
        <f t="shared" si="466"/>
        <v>552.79999999999995</v>
      </c>
      <c r="K1604" s="986">
        <f t="shared" si="466"/>
        <v>32</v>
      </c>
      <c r="L1604" s="998">
        <f t="shared" si="466"/>
        <v>1587823</v>
      </c>
      <c r="M1604" s="998">
        <f t="shared" si="466"/>
        <v>0</v>
      </c>
      <c r="N1604" s="998">
        <f t="shared" si="466"/>
        <v>0</v>
      </c>
      <c r="O1604" s="998">
        <f t="shared" si="466"/>
        <v>1587823</v>
      </c>
      <c r="P1604" s="998">
        <f t="shared" si="465"/>
        <v>0</v>
      </c>
      <c r="Q1604" s="998">
        <f t="shared" si="466"/>
        <v>0</v>
      </c>
      <c r="R1604" s="996" t="s">
        <v>40</v>
      </c>
      <c r="S1604" s="996" t="s">
        <v>40</v>
      </c>
      <c r="T1604" s="996" t="s">
        <v>40</v>
      </c>
    </row>
    <row r="1605" spans="1:20" ht="32.4" customHeight="1">
      <c r="A1605" s="1249"/>
      <c r="B1605" s="1261" t="s">
        <v>1105</v>
      </c>
      <c r="C1605" s="991"/>
      <c r="D1605" s="992"/>
      <c r="E1605" s="993"/>
      <c r="F1605" s="991"/>
      <c r="G1605" s="994"/>
      <c r="H1605" s="998">
        <f>H1606</f>
        <v>783.2</v>
      </c>
      <c r="I1605" s="998">
        <f t="shared" ref="I1605:Q1605" si="467">I1606</f>
        <v>734.8</v>
      </c>
      <c r="J1605" s="998">
        <f t="shared" si="467"/>
        <v>552.79999999999995</v>
      </c>
      <c r="K1605" s="986">
        <f t="shared" si="467"/>
        <v>32</v>
      </c>
      <c r="L1605" s="998">
        <f t="shared" si="467"/>
        <v>1587823</v>
      </c>
      <c r="M1605" s="998">
        <f t="shared" si="467"/>
        <v>0</v>
      </c>
      <c r="N1605" s="998">
        <f t="shared" si="467"/>
        <v>0</v>
      </c>
      <c r="O1605" s="998">
        <f t="shared" si="467"/>
        <v>1587823</v>
      </c>
      <c r="P1605" s="998">
        <f t="shared" si="465"/>
        <v>0</v>
      </c>
      <c r="Q1605" s="998">
        <f t="shared" si="467"/>
        <v>0</v>
      </c>
      <c r="R1605" s="996" t="s">
        <v>40</v>
      </c>
      <c r="S1605" s="996" t="s">
        <v>40</v>
      </c>
      <c r="T1605" s="996" t="s">
        <v>40</v>
      </c>
    </row>
    <row r="1606" spans="1:20" ht="43.8" customHeight="1">
      <c r="A1606" s="1249">
        <v>619</v>
      </c>
      <c r="B1606" s="1115" t="s">
        <v>1978</v>
      </c>
      <c r="C1606" s="1116">
        <v>1978</v>
      </c>
      <c r="D1606" s="1117"/>
      <c r="E1606" s="1249" t="s">
        <v>218</v>
      </c>
      <c r="F1606" s="988">
        <v>2</v>
      </c>
      <c r="G1606" s="988">
        <v>2</v>
      </c>
      <c r="H1606" s="998">
        <v>783.2</v>
      </c>
      <c r="I1606" s="998">
        <v>734.8</v>
      </c>
      <c r="J1606" s="998">
        <v>552.79999999999995</v>
      </c>
      <c r="K1606" s="986">
        <v>32</v>
      </c>
      <c r="L1606" s="987">
        <v>1587823</v>
      </c>
      <c r="M1606" s="987">
        <v>0</v>
      </c>
      <c r="N1606" s="987">
        <v>0</v>
      </c>
      <c r="O1606" s="987">
        <v>1587823</v>
      </c>
      <c r="P1606" s="998">
        <f t="shared" si="465"/>
        <v>0</v>
      </c>
      <c r="Q1606" s="987">
        <v>0</v>
      </c>
      <c r="R1606" s="998">
        <f t="shared" ref="R1606" si="468">L1606/I1606</f>
        <v>2160.8913990201418</v>
      </c>
      <c r="S1606" s="988">
        <v>2019</v>
      </c>
      <c r="T1606" s="988">
        <v>2020</v>
      </c>
    </row>
    <row r="1607" spans="1:20" ht="34.200000000000003" customHeight="1">
      <c r="A1607" s="1249"/>
      <c r="B1607" s="1216" t="s">
        <v>64</v>
      </c>
      <c r="C1607" s="991"/>
      <c r="D1607" s="992"/>
      <c r="E1607" s="993"/>
      <c r="F1607" s="991"/>
      <c r="G1607" s="994"/>
      <c r="H1607" s="998">
        <f>H1608</f>
        <v>2241.2999999999997</v>
      </c>
      <c r="I1607" s="998">
        <f t="shared" ref="I1607:Q1607" si="469">I1608</f>
        <v>1868.8</v>
      </c>
      <c r="J1607" s="998">
        <f t="shared" si="469"/>
        <v>1869.3</v>
      </c>
      <c r="K1607" s="986">
        <f t="shared" si="469"/>
        <v>114</v>
      </c>
      <c r="L1607" s="998">
        <f t="shared" si="469"/>
        <v>11390543.579999998</v>
      </c>
      <c r="M1607" s="998">
        <f t="shared" si="469"/>
        <v>0</v>
      </c>
      <c r="N1607" s="998">
        <f t="shared" si="469"/>
        <v>0</v>
      </c>
      <c r="O1607" s="998">
        <f t="shared" si="469"/>
        <v>11390543.579999998</v>
      </c>
      <c r="P1607" s="998">
        <f t="shared" si="465"/>
        <v>0</v>
      </c>
      <c r="Q1607" s="998">
        <f t="shared" si="469"/>
        <v>0</v>
      </c>
      <c r="R1607" s="996" t="s">
        <v>40</v>
      </c>
      <c r="S1607" s="996" t="s">
        <v>40</v>
      </c>
      <c r="T1607" s="996" t="s">
        <v>40</v>
      </c>
    </row>
    <row r="1608" spans="1:20" ht="33" customHeight="1">
      <c r="A1608" s="1249"/>
      <c r="B1608" s="1261" t="s">
        <v>1097</v>
      </c>
      <c r="C1608" s="991"/>
      <c r="D1608" s="992"/>
      <c r="E1608" s="993"/>
      <c r="F1608" s="991"/>
      <c r="G1608" s="994"/>
      <c r="H1608" s="998">
        <f t="shared" ref="H1608:Q1608" si="470">SUM(H1609:H1613)</f>
        <v>2241.2999999999997</v>
      </c>
      <c r="I1608" s="998">
        <f t="shared" si="470"/>
        <v>1868.8</v>
      </c>
      <c r="J1608" s="998">
        <f t="shared" si="470"/>
        <v>1869.3</v>
      </c>
      <c r="K1608" s="986">
        <f t="shared" si="470"/>
        <v>114</v>
      </c>
      <c r="L1608" s="998">
        <f t="shared" si="470"/>
        <v>11390543.579999998</v>
      </c>
      <c r="M1608" s="998">
        <f t="shared" si="470"/>
        <v>0</v>
      </c>
      <c r="N1608" s="998">
        <f t="shared" si="470"/>
        <v>0</v>
      </c>
      <c r="O1608" s="998">
        <f t="shared" si="470"/>
        <v>11390543.579999998</v>
      </c>
      <c r="P1608" s="998">
        <f t="shared" si="470"/>
        <v>0</v>
      </c>
      <c r="Q1608" s="998">
        <f t="shared" si="470"/>
        <v>0</v>
      </c>
      <c r="R1608" s="996" t="s">
        <v>40</v>
      </c>
      <c r="S1608" s="996" t="s">
        <v>40</v>
      </c>
      <c r="T1608" s="996" t="s">
        <v>40</v>
      </c>
    </row>
    <row r="1609" spans="1:20" ht="43.8" customHeight="1">
      <c r="A1609" s="1249">
        <v>620</v>
      </c>
      <c r="B1609" s="1245" t="s">
        <v>1222</v>
      </c>
      <c r="C1609" s="1255">
        <v>1917</v>
      </c>
      <c r="D1609" s="1255"/>
      <c r="E1609" s="1249" t="s">
        <v>218</v>
      </c>
      <c r="F1609" s="1255">
        <v>1</v>
      </c>
      <c r="G1609" s="1255">
        <v>3</v>
      </c>
      <c r="H1609" s="985">
        <v>657.7</v>
      </c>
      <c r="I1609" s="985">
        <v>438.5</v>
      </c>
      <c r="J1609" s="985">
        <v>439</v>
      </c>
      <c r="K1609" s="995">
        <v>38</v>
      </c>
      <c r="L1609" s="987">
        <v>2585836</v>
      </c>
      <c r="M1609" s="987">
        <v>0</v>
      </c>
      <c r="N1609" s="987">
        <v>0</v>
      </c>
      <c r="O1609" s="987">
        <f>L1609</f>
        <v>2585836</v>
      </c>
      <c r="P1609" s="998">
        <f t="shared" si="465"/>
        <v>0</v>
      </c>
      <c r="Q1609" s="987">
        <v>0</v>
      </c>
      <c r="R1609" s="985">
        <f>L1609/I1609</f>
        <v>5897.0034207525659</v>
      </c>
      <c r="S1609" s="988">
        <v>2019</v>
      </c>
      <c r="T1609" s="988">
        <v>2020</v>
      </c>
    </row>
    <row r="1610" spans="1:20" ht="45" customHeight="1">
      <c r="A1610" s="1249">
        <v>621</v>
      </c>
      <c r="B1610" s="1245" t="s">
        <v>1196</v>
      </c>
      <c r="C1610" s="1255" t="s">
        <v>190</v>
      </c>
      <c r="D1610" s="1255"/>
      <c r="E1610" s="1249" t="s">
        <v>218</v>
      </c>
      <c r="F1610" s="1255">
        <v>2</v>
      </c>
      <c r="G1610" s="1255">
        <v>1</v>
      </c>
      <c r="H1610" s="985">
        <v>241</v>
      </c>
      <c r="I1610" s="985">
        <v>214.8</v>
      </c>
      <c r="J1610" s="985">
        <v>214.8</v>
      </c>
      <c r="K1610" s="995">
        <v>15</v>
      </c>
      <c r="L1610" s="987">
        <v>964611</v>
      </c>
      <c r="M1610" s="987">
        <v>0</v>
      </c>
      <c r="N1610" s="987">
        <v>0</v>
      </c>
      <c r="O1610" s="987">
        <f>L1610</f>
        <v>964611</v>
      </c>
      <c r="P1610" s="998">
        <v>0</v>
      </c>
      <c r="Q1610" s="987">
        <v>0</v>
      </c>
      <c r="R1610" s="985">
        <f>L1610/I1610</f>
        <v>4490.7402234636866</v>
      </c>
      <c r="S1610" s="988">
        <v>2019</v>
      </c>
      <c r="T1610" s="988">
        <v>2020</v>
      </c>
    </row>
    <row r="1611" spans="1:20" ht="40.200000000000003" customHeight="1">
      <c r="A1611" s="1249">
        <v>622</v>
      </c>
      <c r="B1611" s="1245" t="s">
        <v>1979</v>
      </c>
      <c r="C1611" s="1255">
        <v>1983</v>
      </c>
      <c r="D1611" s="1255"/>
      <c r="E1611" s="1249" t="s">
        <v>218</v>
      </c>
      <c r="F1611" s="1255">
        <v>2</v>
      </c>
      <c r="G1611" s="1255">
        <v>2</v>
      </c>
      <c r="H1611" s="985">
        <v>622</v>
      </c>
      <c r="I1611" s="985">
        <v>572.79999999999995</v>
      </c>
      <c r="J1611" s="985">
        <v>572.79999999999995</v>
      </c>
      <c r="K1611" s="995">
        <v>26</v>
      </c>
      <c r="L1611" s="987">
        <v>2098453.36</v>
      </c>
      <c r="M1611" s="987">
        <v>0</v>
      </c>
      <c r="N1611" s="987">
        <v>0</v>
      </c>
      <c r="O1611" s="987">
        <f t="shared" ref="O1611:O1612" si="471">L1611</f>
        <v>2098453.36</v>
      </c>
      <c r="P1611" s="998">
        <v>0</v>
      </c>
      <c r="Q1611" s="987">
        <v>0</v>
      </c>
      <c r="R1611" s="985">
        <f t="shared" ref="R1611:R1612" si="472">L1611/I1611</f>
        <v>3663.5009776536313</v>
      </c>
      <c r="S1611" s="988">
        <v>2019</v>
      </c>
      <c r="T1611" s="988">
        <v>2020</v>
      </c>
    </row>
    <row r="1612" spans="1:20" ht="39.6" customHeight="1">
      <c r="A1612" s="1249">
        <v>623</v>
      </c>
      <c r="B1612" s="1245" t="s">
        <v>1618</v>
      </c>
      <c r="C1612" s="1255">
        <v>1960</v>
      </c>
      <c r="D1612" s="1255"/>
      <c r="E1612" s="1249" t="s">
        <v>218</v>
      </c>
      <c r="F1612" s="1255">
        <v>2</v>
      </c>
      <c r="G1612" s="1255">
        <v>1</v>
      </c>
      <c r="H1612" s="985">
        <v>497.4</v>
      </c>
      <c r="I1612" s="985">
        <v>451.4</v>
      </c>
      <c r="J1612" s="985">
        <v>451.4</v>
      </c>
      <c r="K1612" s="995">
        <v>16</v>
      </c>
      <c r="L1612" s="987">
        <v>4296418.22</v>
      </c>
      <c r="M1612" s="987">
        <v>0</v>
      </c>
      <c r="N1612" s="987">
        <v>0</v>
      </c>
      <c r="O1612" s="987">
        <f t="shared" si="471"/>
        <v>4296418.22</v>
      </c>
      <c r="P1612" s="998">
        <v>0</v>
      </c>
      <c r="Q1612" s="987">
        <v>0</v>
      </c>
      <c r="R1612" s="985">
        <f t="shared" si="472"/>
        <v>9517.984536996013</v>
      </c>
      <c r="S1612" s="988">
        <v>2019</v>
      </c>
      <c r="T1612" s="988">
        <v>2020</v>
      </c>
    </row>
    <row r="1613" spans="1:20" ht="34.799999999999997" customHeight="1">
      <c r="A1613" s="1249">
        <v>624</v>
      </c>
      <c r="B1613" s="1245" t="s">
        <v>1195</v>
      </c>
      <c r="C1613" s="1255" t="s">
        <v>190</v>
      </c>
      <c r="D1613" s="1255"/>
      <c r="E1613" s="1249" t="s">
        <v>222</v>
      </c>
      <c r="F1613" s="1255">
        <v>1</v>
      </c>
      <c r="G1613" s="1255">
        <v>3</v>
      </c>
      <c r="H1613" s="985">
        <v>223.2</v>
      </c>
      <c r="I1613" s="985">
        <v>191.3</v>
      </c>
      <c r="J1613" s="985">
        <v>191.3</v>
      </c>
      <c r="K1613" s="995">
        <v>19</v>
      </c>
      <c r="L1613" s="987">
        <v>1445225</v>
      </c>
      <c r="M1613" s="987">
        <v>0</v>
      </c>
      <c r="N1613" s="987">
        <v>0</v>
      </c>
      <c r="O1613" s="987">
        <f>L1613</f>
        <v>1445225</v>
      </c>
      <c r="P1613" s="998">
        <v>0</v>
      </c>
      <c r="Q1613" s="987">
        <v>0</v>
      </c>
      <c r="R1613" s="985">
        <f>L1613/I1613</f>
        <v>7554.7569262937786</v>
      </c>
      <c r="S1613" s="988">
        <v>2019</v>
      </c>
      <c r="T1613" s="988">
        <v>2020</v>
      </c>
    </row>
    <row r="1614" spans="1:20" ht="34.799999999999997" customHeight="1">
      <c r="A1614" s="1249"/>
      <c r="B1614" s="1513" t="s">
        <v>211</v>
      </c>
      <c r="C1614" s="1513"/>
      <c r="D1614" s="1513"/>
      <c r="E1614" s="1513"/>
      <c r="F1614" s="1513"/>
      <c r="G1614" s="1513"/>
      <c r="H1614" s="985">
        <f>H1615+H1617+H1619</f>
        <v>1483.4</v>
      </c>
      <c r="I1614" s="985">
        <f t="shared" ref="I1614:Q1614" si="473">I1615+I1617+I1619</f>
        <v>1394.1</v>
      </c>
      <c r="J1614" s="985">
        <f t="shared" si="473"/>
        <v>903</v>
      </c>
      <c r="K1614" s="995">
        <f t="shared" si="473"/>
        <v>44</v>
      </c>
      <c r="L1614" s="985">
        <f t="shared" si="473"/>
        <v>4149700.9699999997</v>
      </c>
      <c r="M1614" s="985">
        <f t="shared" si="473"/>
        <v>0</v>
      </c>
      <c r="N1614" s="985">
        <f t="shared" si="473"/>
        <v>0</v>
      </c>
      <c r="O1614" s="985">
        <f t="shared" si="473"/>
        <v>4149700.9699999997</v>
      </c>
      <c r="P1614" s="985">
        <f t="shared" si="473"/>
        <v>0</v>
      </c>
      <c r="Q1614" s="985">
        <f t="shared" si="473"/>
        <v>0</v>
      </c>
      <c r="R1614" s="996" t="s">
        <v>40</v>
      </c>
      <c r="S1614" s="996" t="s">
        <v>40</v>
      </c>
      <c r="T1614" s="996" t="s">
        <v>40</v>
      </c>
    </row>
    <row r="1615" spans="1:20" ht="33" customHeight="1">
      <c r="A1615" s="1249"/>
      <c r="B1615" s="1513" t="s">
        <v>1208</v>
      </c>
      <c r="C1615" s="1513"/>
      <c r="D1615" s="1513"/>
      <c r="E1615" s="1513"/>
      <c r="F1615" s="1513"/>
      <c r="G1615" s="1513"/>
      <c r="H1615" s="985">
        <v>388.1</v>
      </c>
      <c r="I1615" s="985">
        <v>350.9</v>
      </c>
      <c r="J1615" s="985">
        <v>350.9</v>
      </c>
      <c r="K1615" s="995">
        <v>17</v>
      </c>
      <c r="L1615" s="985">
        <v>1116919</v>
      </c>
      <c r="M1615" s="985">
        <v>0</v>
      </c>
      <c r="N1615" s="985">
        <v>0</v>
      </c>
      <c r="O1615" s="985">
        <v>1116919</v>
      </c>
      <c r="P1615" s="985">
        <v>0</v>
      </c>
      <c r="Q1615" s="985">
        <v>0</v>
      </c>
      <c r="R1615" s="996" t="s">
        <v>40</v>
      </c>
      <c r="S1615" s="996" t="s">
        <v>40</v>
      </c>
      <c r="T1615" s="996" t="s">
        <v>40</v>
      </c>
    </row>
    <row r="1616" spans="1:20" ht="42.6" customHeight="1">
      <c r="A1616" s="1249">
        <v>625</v>
      </c>
      <c r="B1616" s="1245" t="s">
        <v>1615</v>
      </c>
      <c r="C1616" s="1255">
        <v>1975</v>
      </c>
      <c r="D1616" s="1255"/>
      <c r="E1616" s="1249" t="s">
        <v>218</v>
      </c>
      <c r="F1616" s="1255">
        <v>2</v>
      </c>
      <c r="G1616" s="1255">
        <v>1</v>
      </c>
      <c r="H1616" s="985">
        <v>388.1</v>
      </c>
      <c r="I1616" s="985">
        <v>350.9</v>
      </c>
      <c r="J1616" s="985">
        <v>350.9</v>
      </c>
      <c r="K1616" s="995">
        <v>17</v>
      </c>
      <c r="L1616" s="987">
        <v>1116919</v>
      </c>
      <c r="M1616" s="987">
        <v>0</v>
      </c>
      <c r="N1616" s="987">
        <v>0</v>
      </c>
      <c r="O1616" s="987">
        <v>1116919</v>
      </c>
      <c r="P1616" s="998">
        <v>0</v>
      </c>
      <c r="Q1616" s="987">
        <v>0</v>
      </c>
      <c r="R1616" s="985">
        <v>3183.0122542034769</v>
      </c>
      <c r="S1616" s="988">
        <v>2019</v>
      </c>
      <c r="T1616" s="988">
        <v>2020</v>
      </c>
    </row>
    <row r="1617" spans="1:20" ht="33" customHeight="1">
      <c r="A1617" s="1249"/>
      <c r="B1617" s="1245" t="s">
        <v>1098</v>
      </c>
      <c r="C1617" s="1011"/>
      <c r="D1617" s="1012"/>
      <c r="E1617" s="1010"/>
      <c r="F1617" s="1011"/>
      <c r="G1617" s="1011"/>
      <c r="H1617" s="985">
        <f>H1618</f>
        <v>494.8</v>
      </c>
      <c r="I1617" s="985">
        <f t="shared" ref="I1617:Q1617" si="474">I1618</f>
        <v>494.8</v>
      </c>
      <c r="J1617" s="985">
        <f t="shared" si="474"/>
        <v>379.6</v>
      </c>
      <c r="K1617" s="995">
        <f t="shared" si="474"/>
        <v>12</v>
      </c>
      <c r="L1617" s="985">
        <f t="shared" si="474"/>
        <v>1537679</v>
      </c>
      <c r="M1617" s="985">
        <f t="shared" si="474"/>
        <v>0</v>
      </c>
      <c r="N1617" s="985">
        <f t="shared" si="474"/>
        <v>0</v>
      </c>
      <c r="O1617" s="985">
        <f t="shared" si="474"/>
        <v>1537679</v>
      </c>
      <c r="P1617" s="985">
        <f t="shared" si="474"/>
        <v>0</v>
      </c>
      <c r="Q1617" s="985">
        <f t="shared" si="474"/>
        <v>0</v>
      </c>
      <c r="R1617" s="996" t="s">
        <v>40</v>
      </c>
      <c r="S1617" s="996" t="s">
        <v>40</v>
      </c>
      <c r="T1617" s="996" t="s">
        <v>40</v>
      </c>
    </row>
    <row r="1618" spans="1:20" ht="42.6" customHeight="1">
      <c r="A1618" s="1249">
        <v>626</v>
      </c>
      <c r="B1618" s="1245" t="s">
        <v>630</v>
      </c>
      <c r="C1618" s="1255">
        <v>1917</v>
      </c>
      <c r="D1618" s="1255"/>
      <c r="E1618" s="1249" t="s">
        <v>218</v>
      </c>
      <c r="F1618" s="1255">
        <v>2</v>
      </c>
      <c r="G1618" s="1255">
        <v>1</v>
      </c>
      <c r="H1618" s="985">
        <v>494.8</v>
      </c>
      <c r="I1618" s="985">
        <v>494.8</v>
      </c>
      <c r="J1618" s="985">
        <v>379.6</v>
      </c>
      <c r="K1618" s="995">
        <v>12</v>
      </c>
      <c r="L1618" s="987">
        <v>1537679</v>
      </c>
      <c r="M1618" s="987">
        <v>0</v>
      </c>
      <c r="N1618" s="987">
        <v>0</v>
      </c>
      <c r="O1618" s="987">
        <v>1537679</v>
      </c>
      <c r="P1618" s="998">
        <v>0</v>
      </c>
      <c r="Q1618" s="987">
        <v>0</v>
      </c>
      <c r="R1618" s="985">
        <v>3107.6778496362167</v>
      </c>
      <c r="S1618" s="988">
        <v>2017</v>
      </c>
      <c r="T1618" s="988">
        <v>2020</v>
      </c>
    </row>
    <row r="1619" spans="1:20" ht="36.6" customHeight="1">
      <c r="A1619" s="1249"/>
      <c r="B1619" s="1245" t="s">
        <v>1099</v>
      </c>
      <c r="C1619" s="1011"/>
      <c r="D1619" s="1012"/>
      <c r="E1619" s="1010"/>
      <c r="F1619" s="1011"/>
      <c r="G1619" s="1011"/>
      <c r="H1619" s="985">
        <f>H1620</f>
        <v>600.5</v>
      </c>
      <c r="I1619" s="985">
        <f t="shared" ref="I1619:Q1619" si="475">I1620</f>
        <v>548.4</v>
      </c>
      <c r="J1619" s="985">
        <f t="shared" si="475"/>
        <v>172.5</v>
      </c>
      <c r="K1619" s="995">
        <f t="shared" si="475"/>
        <v>15</v>
      </c>
      <c r="L1619" s="985">
        <f t="shared" si="475"/>
        <v>1495102.97</v>
      </c>
      <c r="M1619" s="985">
        <f t="shared" si="475"/>
        <v>0</v>
      </c>
      <c r="N1619" s="985">
        <f t="shared" si="475"/>
        <v>0</v>
      </c>
      <c r="O1619" s="985">
        <f t="shared" si="475"/>
        <v>1495102.97</v>
      </c>
      <c r="P1619" s="985">
        <f t="shared" si="475"/>
        <v>0</v>
      </c>
      <c r="Q1619" s="985">
        <f t="shared" si="475"/>
        <v>0</v>
      </c>
      <c r="R1619" s="996" t="s">
        <v>40</v>
      </c>
      <c r="S1619" s="996" t="s">
        <v>40</v>
      </c>
      <c r="T1619" s="996" t="s">
        <v>40</v>
      </c>
    </row>
    <row r="1620" spans="1:20" ht="42" customHeight="1">
      <c r="A1620" s="1249">
        <v>627</v>
      </c>
      <c r="B1620" s="1245" t="s">
        <v>632</v>
      </c>
      <c r="C1620" s="1255">
        <v>1982</v>
      </c>
      <c r="D1620" s="1255"/>
      <c r="E1620" s="1249" t="s">
        <v>218</v>
      </c>
      <c r="F1620" s="1255">
        <v>2</v>
      </c>
      <c r="G1620" s="1255">
        <v>2</v>
      </c>
      <c r="H1620" s="985">
        <v>600.5</v>
      </c>
      <c r="I1620" s="985">
        <v>548.4</v>
      </c>
      <c r="J1620" s="985">
        <v>172.5</v>
      </c>
      <c r="K1620" s="995">
        <v>15</v>
      </c>
      <c r="L1620" s="987">
        <v>1495102.97</v>
      </c>
      <c r="M1620" s="987">
        <v>0</v>
      </c>
      <c r="N1620" s="987">
        <v>0</v>
      </c>
      <c r="O1620" s="987">
        <v>1495102.97</v>
      </c>
      <c r="P1620" s="998">
        <v>0</v>
      </c>
      <c r="Q1620" s="987">
        <v>0</v>
      </c>
      <c r="R1620" s="985">
        <v>2646.2983223924143</v>
      </c>
      <c r="S1620" s="988">
        <v>2017</v>
      </c>
      <c r="T1620" s="988">
        <v>2020</v>
      </c>
    </row>
    <row r="1621" spans="1:20" ht="32.4" customHeight="1">
      <c r="A1621" s="1249"/>
      <c r="B1621" s="1513" t="s">
        <v>66</v>
      </c>
      <c r="C1621" s="1513"/>
      <c r="D1621" s="1513"/>
      <c r="E1621" s="1513"/>
      <c r="F1621" s="1513"/>
      <c r="G1621" s="1513"/>
      <c r="H1621" s="985">
        <f>H1625+H1622</f>
        <v>2124.6</v>
      </c>
      <c r="I1621" s="985">
        <f t="shared" ref="I1621:Q1621" si="476">I1625+I1622</f>
        <v>1807.2</v>
      </c>
      <c r="J1621" s="985">
        <f t="shared" si="476"/>
        <v>1573.8000000000002</v>
      </c>
      <c r="K1621" s="995">
        <f t="shared" si="476"/>
        <v>53</v>
      </c>
      <c r="L1621" s="985">
        <f t="shared" si="476"/>
        <v>2929055</v>
      </c>
      <c r="M1621" s="985">
        <f t="shared" si="476"/>
        <v>0</v>
      </c>
      <c r="N1621" s="985">
        <f t="shared" si="476"/>
        <v>0</v>
      </c>
      <c r="O1621" s="985">
        <f t="shared" si="476"/>
        <v>2929055</v>
      </c>
      <c r="P1621" s="985">
        <f t="shared" si="476"/>
        <v>0</v>
      </c>
      <c r="Q1621" s="985">
        <f t="shared" si="476"/>
        <v>0</v>
      </c>
      <c r="R1621" s="996" t="str">
        <f t="shared" ref="R1621:T1621" si="477">R1625</f>
        <v>Х</v>
      </c>
      <c r="S1621" s="996" t="str">
        <f t="shared" si="477"/>
        <v>Х</v>
      </c>
      <c r="T1621" s="996" t="str">
        <f t="shared" si="477"/>
        <v>Х</v>
      </c>
    </row>
    <row r="1622" spans="1:20" ht="32.4" customHeight="1">
      <c r="A1622" s="1249"/>
      <c r="B1622" s="1513" t="s">
        <v>1101</v>
      </c>
      <c r="C1622" s="1513"/>
      <c r="D1622" s="1513"/>
      <c r="E1622" s="1513"/>
      <c r="F1622" s="1513"/>
      <c r="G1622" s="1513"/>
      <c r="H1622" s="985">
        <f>H1623+H1624</f>
        <v>759.1</v>
      </c>
      <c r="I1622" s="985">
        <f t="shared" ref="I1622:Q1622" si="478">I1623+I1624</f>
        <v>539.70000000000005</v>
      </c>
      <c r="J1622" s="985">
        <f t="shared" si="478"/>
        <v>474.1</v>
      </c>
      <c r="K1622" s="995">
        <f t="shared" si="478"/>
        <v>13</v>
      </c>
      <c r="L1622" s="985">
        <f t="shared" si="478"/>
        <v>2224132</v>
      </c>
      <c r="M1622" s="985">
        <f t="shared" si="478"/>
        <v>0</v>
      </c>
      <c r="N1622" s="985">
        <f t="shared" si="478"/>
        <v>0</v>
      </c>
      <c r="O1622" s="985">
        <f t="shared" si="478"/>
        <v>2224132</v>
      </c>
      <c r="P1622" s="985">
        <f t="shared" si="478"/>
        <v>0</v>
      </c>
      <c r="Q1622" s="985">
        <f t="shared" si="478"/>
        <v>0</v>
      </c>
      <c r="R1622" s="996" t="s">
        <v>40</v>
      </c>
      <c r="S1622" s="996" t="s">
        <v>40</v>
      </c>
      <c r="T1622" s="996" t="s">
        <v>40</v>
      </c>
    </row>
    <row r="1623" spans="1:20" ht="44.4" customHeight="1">
      <c r="A1623" s="1249">
        <v>628</v>
      </c>
      <c r="B1623" s="1245" t="s">
        <v>502</v>
      </c>
      <c r="C1623" s="1255">
        <v>1953</v>
      </c>
      <c r="D1623" s="1255"/>
      <c r="E1623" s="1249" t="s">
        <v>218</v>
      </c>
      <c r="F1623" s="1255">
        <v>2</v>
      </c>
      <c r="G1623" s="1255">
        <v>1</v>
      </c>
      <c r="H1623" s="985">
        <v>419.5</v>
      </c>
      <c r="I1623" s="985">
        <v>387.2</v>
      </c>
      <c r="J1623" s="985">
        <v>346</v>
      </c>
      <c r="K1623" s="995">
        <v>9</v>
      </c>
      <c r="L1623" s="987">
        <v>1439531</v>
      </c>
      <c r="M1623" s="987">
        <v>0</v>
      </c>
      <c r="N1623" s="987">
        <v>0</v>
      </c>
      <c r="O1623" s="987">
        <v>1439531</v>
      </c>
      <c r="P1623" s="998">
        <v>0</v>
      </c>
      <c r="Q1623" s="987">
        <v>0</v>
      </c>
      <c r="R1623" s="998">
        <f>L1623/I1623</f>
        <v>3717.7970041322315</v>
      </c>
      <c r="S1623" s="988">
        <v>2019</v>
      </c>
      <c r="T1623" s="988">
        <v>2020</v>
      </c>
    </row>
    <row r="1624" spans="1:20" ht="35.4" customHeight="1">
      <c r="A1624" s="1249">
        <v>629</v>
      </c>
      <c r="B1624" s="1245" t="s">
        <v>497</v>
      </c>
      <c r="C1624" s="1255">
        <v>1890</v>
      </c>
      <c r="D1624" s="1255"/>
      <c r="E1624" s="1249" t="s">
        <v>221</v>
      </c>
      <c r="F1624" s="1255">
        <v>2</v>
      </c>
      <c r="G1624" s="1255">
        <v>1</v>
      </c>
      <c r="H1624" s="985">
        <v>339.6</v>
      </c>
      <c r="I1624" s="985">
        <v>152.5</v>
      </c>
      <c r="J1624" s="985">
        <v>128.1</v>
      </c>
      <c r="K1624" s="995">
        <v>4</v>
      </c>
      <c r="L1624" s="987">
        <v>784601</v>
      </c>
      <c r="M1624" s="987">
        <v>0</v>
      </c>
      <c r="N1624" s="987">
        <v>0</v>
      </c>
      <c r="O1624" s="987">
        <v>784601</v>
      </c>
      <c r="P1624" s="998">
        <v>0</v>
      </c>
      <c r="Q1624" s="987">
        <v>0</v>
      </c>
      <c r="R1624" s="998">
        <f>L1624/I1624</f>
        <v>5144.9245901639342</v>
      </c>
      <c r="S1624" s="988">
        <v>2017</v>
      </c>
      <c r="T1624" s="988">
        <v>2020</v>
      </c>
    </row>
    <row r="1625" spans="1:20" ht="37.799999999999997" customHeight="1">
      <c r="A1625" s="1249"/>
      <c r="B1625" s="1245" t="s">
        <v>1100</v>
      </c>
      <c r="C1625" s="1261"/>
      <c r="D1625" s="1262"/>
      <c r="E1625" s="991"/>
      <c r="F1625" s="1262"/>
      <c r="G1625" s="1263"/>
      <c r="H1625" s="985">
        <f>H1626+H1627</f>
        <v>1365.5</v>
      </c>
      <c r="I1625" s="985">
        <f t="shared" ref="I1625:Q1625" si="479">I1626+I1627</f>
        <v>1267.5</v>
      </c>
      <c r="J1625" s="985">
        <f t="shared" si="479"/>
        <v>1099.7</v>
      </c>
      <c r="K1625" s="995">
        <f t="shared" si="479"/>
        <v>40</v>
      </c>
      <c r="L1625" s="985">
        <f t="shared" si="479"/>
        <v>704923</v>
      </c>
      <c r="M1625" s="985">
        <f t="shared" si="479"/>
        <v>0</v>
      </c>
      <c r="N1625" s="985">
        <f t="shared" si="479"/>
        <v>0</v>
      </c>
      <c r="O1625" s="985">
        <f t="shared" si="479"/>
        <v>704923</v>
      </c>
      <c r="P1625" s="985">
        <f t="shared" si="479"/>
        <v>0</v>
      </c>
      <c r="Q1625" s="985">
        <f t="shared" si="479"/>
        <v>0</v>
      </c>
      <c r="R1625" s="996" t="s">
        <v>40</v>
      </c>
      <c r="S1625" s="996" t="s">
        <v>40</v>
      </c>
      <c r="T1625" s="996" t="s">
        <v>40</v>
      </c>
    </row>
    <row r="1626" spans="1:20" ht="43.8" customHeight="1">
      <c r="A1626" s="1249">
        <v>630</v>
      </c>
      <c r="B1626" s="1245" t="s">
        <v>643</v>
      </c>
      <c r="C1626" s="1255">
        <v>1972</v>
      </c>
      <c r="D1626" s="1245"/>
      <c r="E1626" s="1249" t="s">
        <v>218</v>
      </c>
      <c r="F1626" s="1255">
        <v>2</v>
      </c>
      <c r="G1626" s="1255">
        <v>2</v>
      </c>
      <c r="H1626" s="985">
        <v>689.6</v>
      </c>
      <c r="I1626" s="985">
        <v>641.1</v>
      </c>
      <c r="J1626" s="985">
        <v>555.5</v>
      </c>
      <c r="K1626" s="995">
        <v>19</v>
      </c>
      <c r="L1626" s="987">
        <v>357985</v>
      </c>
      <c r="M1626" s="987">
        <v>0</v>
      </c>
      <c r="N1626" s="987">
        <v>0</v>
      </c>
      <c r="O1626" s="987">
        <v>357985</v>
      </c>
      <c r="P1626" s="998">
        <v>0</v>
      </c>
      <c r="Q1626" s="987">
        <v>0</v>
      </c>
      <c r="R1626" s="985">
        <v>558.39182654812043</v>
      </c>
      <c r="S1626" s="988">
        <v>2019</v>
      </c>
      <c r="T1626" s="988">
        <v>2020</v>
      </c>
    </row>
    <row r="1627" spans="1:20" ht="42.6" customHeight="1">
      <c r="A1627" s="1249">
        <v>631</v>
      </c>
      <c r="B1627" s="1245" t="s">
        <v>642</v>
      </c>
      <c r="C1627" s="1255">
        <v>1972</v>
      </c>
      <c r="D1627" s="1255"/>
      <c r="E1627" s="1249" t="s">
        <v>218</v>
      </c>
      <c r="F1627" s="1255">
        <v>2</v>
      </c>
      <c r="G1627" s="1255">
        <v>2</v>
      </c>
      <c r="H1627" s="985">
        <v>675.9</v>
      </c>
      <c r="I1627" s="985">
        <v>626.4</v>
      </c>
      <c r="J1627" s="985">
        <v>544.20000000000005</v>
      </c>
      <c r="K1627" s="995">
        <v>21</v>
      </c>
      <c r="L1627" s="987">
        <v>346938</v>
      </c>
      <c r="M1627" s="987">
        <v>0</v>
      </c>
      <c r="N1627" s="987">
        <v>0</v>
      </c>
      <c r="O1627" s="987">
        <v>346938</v>
      </c>
      <c r="P1627" s="998">
        <v>0</v>
      </c>
      <c r="Q1627" s="987">
        <v>0</v>
      </c>
      <c r="R1627" s="985">
        <v>553.86015325670496</v>
      </c>
      <c r="S1627" s="988">
        <v>2017</v>
      </c>
      <c r="T1627" s="988">
        <v>2020</v>
      </c>
    </row>
    <row r="1628" spans="1:20" ht="34.799999999999997" customHeight="1">
      <c r="A1628" s="1249"/>
      <c r="B1628" s="1245" t="s">
        <v>1161</v>
      </c>
      <c r="C1628" s="1011"/>
      <c r="D1628" s="1012"/>
      <c r="E1628" s="1010"/>
      <c r="F1628" s="1011"/>
      <c r="G1628" s="1011"/>
      <c r="H1628" s="985">
        <f>SUM(H1629:H1629)</f>
        <v>5114.17</v>
      </c>
      <c r="I1628" s="985">
        <f t="shared" ref="I1628:Q1628" si="480">SUM(I1629:I1629)</f>
        <v>4404.8</v>
      </c>
      <c r="J1628" s="985">
        <f t="shared" si="480"/>
        <v>4404.8</v>
      </c>
      <c r="K1628" s="995">
        <f t="shared" si="480"/>
        <v>180</v>
      </c>
      <c r="L1628" s="985">
        <f t="shared" si="480"/>
        <v>12132544</v>
      </c>
      <c r="M1628" s="985">
        <f t="shared" si="480"/>
        <v>0</v>
      </c>
      <c r="N1628" s="985">
        <f t="shared" si="480"/>
        <v>0</v>
      </c>
      <c r="O1628" s="985">
        <f t="shared" si="480"/>
        <v>12132544</v>
      </c>
      <c r="P1628" s="985">
        <f t="shared" si="480"/>
        <v>0</v>
      </c>
      <c r="Q1628" s="985">
        <f t="shared" si="480"/>
        <v>0</v>
      </c>
      <c r="R1628" s="996" t="s">
        <v>40</v>
      </c>
      <c r="S1628" s="996" t="s">
        <v>40</v>
      </c>
      <c r="T1628" s="996" t="s">
        <v>40</v>
      </c>
    </row>
    <row r="1629" spans="1:20" ht="36" customHeight="1">
      <c r="A1629" s="1048">
        <v>632</v>
      </c>
      <c r="B1629" s="1076" t="s">
        <v>1980</v>
      </c>
      <c r="C1629" s="1076">
        <v>1982</v>
      </c>
      <c r="D1629" s="1167">
        <v>0</v>
      </c>
      <c r="E1629" s="1370" t="s">
        <v>219</v>
      </c>
      <c r="F1629" s="1217">
        <v>9</v>
      </c>
      <c r="G1629" s="1217">
        <v>2</v>
      </c>
      <c r="H1629" s="1067">
        <v>5114.17</v>
      </c>
      <c r="I1629" s="1067">
        <v>4404.8</v>
      </c>
      <c r="J1629" s="1067">
        <v>4404.8</v>
      </c>
      <c r="K1629" s="1077">
        <v>180</v>
      </c>
      <c r="L1629" s="1067">
        <v>12132544</v>
      </c>
      <c r="M1629" s="1107">
        <v>0</v>
      </c>
      <c r="N1629" s="1067">
        <v>0</v>
      </c>
      <c r="O1629" s="1067">
        <v>12132544</v>
      </c>
      <c r="P1629" s="1107">
        <v>0</v>
      </c>
      <c r="Q1629" s="1107">
        <v>0</v>
      </c>
      <c r="R1629" s="998">
        <f>L1629/I1629</f>
        <v>2754.3915728296402</v>
      </c>
      <c r="S1629" s="988">
        <v>2019</v>
      </c>
      <c r="T1629" s="988">
        <v>2020</v>
      </c>
    </row>
    <row r="1630" spans="1:20" ht="37.200000000000003" customHeight="1">
      <c r="A1630" s="1249"/>
      <c r="B1630" s="1261" t="s">
        <v>67</v>
      </c>
      <c r="C1630" s="991"/>
      <c r="D1630" s="992"/>
      <c r="E1630" s="993"/>
      <c r="F1630" s="991"/>
      <c r="G1630" s="994"/>
      <c r="H1630" s="985">
        <f>H1633+H1636+H1631</f>
        <v>5621.8</v>
      </c>
      <c r="I1630" s="985">
        <f t="shared" ref="I1630:Q1630" si="481">I1633+I1636+I1631</f>
        <v>5584.5999999999995</v>
      </c>
      <c r="J1630" s="985">
        <f t="shared" si="481"/>
        <v>4081.7999999999997</v>
      </c>
      <c r="K1630" s="995">
        <f t="shared" si="481"/>
        <v>207</v>
      </c>
      <c r="L1630" s="985">
        <f t="shared" si="481"/>
        <v>7537035</v>
      </c>
      <c r="M1630" s="985">
        <f t="shared" si="481"/>
        <v>0</v>
      </c>
      <c r="N1630" s="985">
        <f t="shared" si="481"/>
        <v>172616.56</v>
      </c>
      <c r="O1630" s="985">
        <f t="shared" si="481"/>
        <v>7364418.4399999995</v>
      </c>
      <c r="P1630" s="985">
        <f t="shared" si="481"/>
        <v>0</v>
      </c>
      <c r="Q1630" s="985">
        <f t="shared" si="481"/>
        <v>0</v>
      </c>
      <c r="R1630" s="996" t="s">
        <v>40</v>
      </c>
      <c r="S1630" s="996" t="s">
        <v>40</v>
      </c>
      <c r="T1630" s="996" t="s">
        <v>40</v>
      </c>
    </row>
    <row r="1631" spans="1:20" ht="34.799999999999997" customHeight="1">
      <c r="A1631" s="1249"/>
      <c r="B1631" s="1244" t="s">
        <v>1604</v>
      </c>
      <c r="C1631" s="991"/>
      <c r="D1631" s="992"/>
      <c r="E1631" s="993"/>
      <c r="F1631" s="991"/>
      <c r="G1631" s="994"/>
      <c r="H1631" s="985">
        <f>H1632</f>
        <v>403.1</v>
      </c>
      <c r="I1631" s="985">
        <f t="shared" ref="I1631:Q1631" si="482">I1632</f>
        <v>365.9</v>
      </c>
      <c r="J1631" s="985">
        <f t="shared" si="482"/>
        <v>250.2</v>
      </c>
      <c r="K1631" s="995">
        <f t="shared" si="482"/>
        <v>22</v>
      </c>
      <c r="L1631" s="985">
        <f t="shared" si="482"/>
        <v>1191810</v>
      </c>
      <c r="M1631" s="985">
        <f t="shared" si="482"/>
        <v>0</v>
      </c>
      <c r="N1631" s="985">
        <f t="shared" si="482"/>
        <v>172616.56</v>
      </c>
      <c r="O1631" s="985">
        <f t="shared" si="482"/>
        <v>1019193.44</v>
      </c>
      <c r="P1631" s="985">
        <f t="shared" si="482"/>
        <v>0</v>
      </c>
      <c r="Q1631" s="985">
        <f t="shared" si="482"/>
        <v>0</v>
      </c>
      <c r="R1631" s="996" t="s">
        <v>40</v>
      </c>
      <c r="S1631" s="996" t="s">
        <v>40</v>
      </c>
      <c r="T1631" s="996" t="s">
        <v>40</v>
      </c>
    </row>
    <row r="1632" spans="1:20" ht="40.799999999999997" customHeight="1">
      <c r="A1632" s="1249">
        <v>633</v>
      </c>
      <c r="B1632" s="1260" t="s">
        <v>1981</v>
      </c>
      <c r="C1632" s="1249">
        <v>1950</v>
      </c>
      <c r="D1632" s="1249">
        <v>1981</v>
      </c>
      <c r="E1632" s="1249" t="s">
        <v>218</v>
      </c>
      <c r="F1632" s="1249">
        <v>2</v>
      </c>
      <c r="G1632" s="1249">
        <v>1</v>
      </c>
      <c r="H1632" s="985">
        <v>403.1</v>
      </c>
      <c r="I1632" s="985">
        <v>365.9</v>
      </c>
      <c r="J1632" s="985">
        <v>250.2</v>
      </c>
      <c r="K1632" s="995">
        <v>22</v>
      </c>
      <c r="L1632" s="985">
        <v>1191810</v>
      </c>
      <c r="M1632" s="985">
        <v>0</v>
      </c>
      <c r="N1632" s="985">
        <v>172616.56</v>
      </c>
      <c r="O1632" s="985">
        <v>1019193.44</v>
      </c>
      <c r="P1632" s="985">
        <v>0</v>
      </c>
      <c r="Q1632" s="985">
        <v>0</v>
      </c>
      <c r="R1632" s="998">
        <f>L1632/I1632</f>
        <v>3257.201421153321</v>
      </c>
      <c r="S1632" s="988">
        <v>2018</v>
      </c>
      <c r="T1632" s="988">
        <v>2020</v>
      </c>
    </row>
    <row r="1633" spans="1:20" ht="36.6" customHeight="1">
      <c r="A1633" s="1249"/>
      <c r="B1633" s="1244" t="s">
        <v>1345</v>
      </c>
      <c r="C1633" s="991"/>
      <c r="D1633" s="992"/>
      <c r="E1633" s="993"/>
      <c r="F1633" s="991"/>
      <c r="G1633" s="994"/>
      <c r="H1633" s="985">
        <f>H1634+H1635</f>
        <v>4063.2</v>
      </c>
      <c r="I1633" s="985">
        <f t="shared" ref="I1633:Q1633" si="483">I1634+I1635</f>
        <v>4063.2</v>
      </c>
      <c r="J1633" s="985">
        <f t="shared" si="483"/>
        <v>3329.9</v>
      </c>
      <c r="K1633" s="995">
        <f t="shared" si="483"/>
        <v>128</v>
      </c>
      <c r="L1633" s="985">
        <f t="shared" si="483"/>
        <v>4719145</v>
      </c>
      <c r="M1633" s="985">
        <f t="shared" si="483"/>
        <v>0</v>
      </c>
      <c r="N1633" s="985">
        <f t="shared" si="483"/>
        <v>0</v>
      </c>
      <c r="O1633" s="985">
        <f t="shared" si="483"/>
        <v>4719145</v>
      </c>
      <c r="P1633" s="985">
        <f t="shared" si="483"/>
        <v>0</v>
      </c>
      <c r="Q1633" s="985">
        <f t="shared" si="483"/>
        <v>0</v>
      </c>
      <c r="R1633" s="996" t="s">
        <v>40</v>
      </c>
      <c r="S1633" s="996" t="s">
        <v>40</v>
      </c>
      <c r="T1633" s="996" t="s">
        <v>40</v>
      </c>
    </row>
    <row r="1634" spans="1:20" ht="42" customHeight="1">
      <c r="A1634" s="1249">
        <v>634</v>
      </c>
      <c r="B1634" s="1260" t="s">
        <v>2381</v>
      </c>
      <c r="C1634" s="1249">
        <v>1970</v>
      </c>
      <c r="D1634" s="1249"/>
      <c r="E1634" s="1249" t="s">
        <v>218</v>
      </c>
      <c r="F1634" s="1249">
        <v>5</v>
      </c>
      <c r="G1634" s="1249">
        <v>4</v>
      </c>
      <c r="H1634" s="985">
        <v>3387.4</v>
      </c>
      <c r="I1634" s="985">
        <v>3387.4</v>
      </c>
      <c r="J1634" s="985">
        <v>2715.3</v>
      </c>
      <c r="K1634" s="995">
        <v>105</v>
      </c>
      <c r="L1634" s="987">
        <v>2858799</v>
      </c>
      <c r="M1634" s="987">
        <v>0</v>
      </c>
      <c r="N1634" s="987">
        <v>0</v>
      </c>
      <c r="O1634" s="987">
        <v>2858799</v>
      </c>
      <c r="P1634" s="998">
        <v>0</v>
      </c>
      <c r="Q1634" s="987">
        <v>0</v>
      </c>
      <c r="R1634" s="998">
        <f>L1634/I1634</f>
        <v>843.95081773631694</v>
      </c>
      <c r="S1634" s="988">
        <v>2019</v>
      </c>
      <c r="T1634" s="988">
        <v>2020</v>
      </c>
    </row>
    <row r="1635" spans="1:20" ht="43.2" customHeight="1">
      <c r="A1635" s="1249">
        <v>635</v>
      </c>
      <c r="B1635" s="1260" t="s">
        <v>2382</v>
      </c>
      <c r="C1635" s="1249">
        <v>1962</v>
      </c>
      <c r="D1635" s="1249"/>
      <c r="E1635" s="1249" t="s">
        <v>218</v>
      </c>
      <c r="F1635" s="1249">
        <v>2</v>
      </c>
      <c r="G1635" s="1249">
        <v>3</v>
      </c>
      <c r="H1635" s="998">
        <v>675.8</v>
      </c>
      <c r="I1635" s="998">
        <v>675.8</v>
      </c>
      <c r="J1635" s="998">
        <v>614.6</v>
      </c>
      <c r="K1635" s="986">
        <v>23</v>
      </c>
      <c r="L1635" s="987">
        <v>1860346</v>
      </c>
      <c r="M1635" s="987">
        <v>0</v>
      </c>
      <c r="N1635" s="987">
        <v>0</v>
      </c>
      <c r="O1635" s="987">
        <f>L1635</f>
        <v>1860346</v>
      </c>
      <c r="P1635" s="998">
        <f t="shared" si="465"/>
        <v>0</v>
      </c>
      <c r="Q1635" s="987">
        <v>0</v>
      </c>
      <c r="R1635" s="998">
        <f>L1635/I1635</f>
        <v>2752.8055637762654</v>
      </c>
      <c r="S1635" s="988">
        <v>2019</v>
      </c>
      <c r="T1635" s="988">
        <v>2020</v>
      </c>
    </row>
    <row r="1636" spans="1:20" ht="38.4" customHeight="1">
      <c r="A1636" s="1249"/>
      <c r="B1636" s="1265" t="s">
        <v>1219</v>
      </c>
      <c r="C1636" s="1249"/>
      <c r="D1636" s="1249"/>
      <c r="E1636" s="1249"/>
      <c r="F1636" s="1249"/>
      <c r="G1636" s="1249"/>
      <c r="H1636" s="998">
        <f>H1637</f>
        <v>1155.5</v>
      </c>
      <c r="I1636" s="998">
        <f t="shared" ref="I1636:Q1636" si="484">I1637</f>
        <v>1155.5</v>
      </c>
      <c r="J1636" s="998">
        <f t="shared" si="484"/>
        <v>501.7</v>
      </c>
      <c r="K1636" s="986">
        <f t="shared" si="484"/>
        <v>57</v>
      </c>
      <c r="L1636" s="998">
        <f t="shared" si="484"/>
        <v>1626080</v>
      </c>
      <c r="M1636" s="998">
        <f t="shared" si="484"/>
        <v>0</v>
      </c>
      <c r="N1636" s="998">
        <f t="shared" si="484"/>
        <v>0</v>
      </c>
      <c r="O1636" s="998">
        <f t="shared" si="484"/>
        <v>1626080</v>
      </c>
      <c r="P1636" s="998">
        <f t="shared" si="484"/>
        <v>0</v>
      </c>
      <c r="Q1636" s="998">
        <f t="shared" si="484"/>
        <v>0</v>
      </c>
      <c r="R1636" s="996" t="s">
        <v>40</v>
      </c>
      <c r="S1636" s="996" t="s">
        <v>40</v>
      </c>
      <c r="T1636" s="996" t="s">
        <v>40</v>
      </c>
    </row>
    <row r="1637" spans="1:20" ht="45" customHeight="1">
      <c r="A1637" s="1249">
        <v>636</v>
      </c>
      <c r="B1637" s="1260" t="s">
        <v>1389</v>
      </c>
      <c r="C1637" s="1249">
        <v>1981</v>
      </c>
      <c r="D1637" s="1249"/>
      <c r="E1637" s="1249" t="s">
        <v>218</v>
      </c>
      <c r="F1637" s="1249">
        <v>3</v>
      </c>
      <c r="G1637" s="1249">
        <v>2</v>
      </c>
      <c r="H1637" s="998">
        <v>1155.5</v>
      </c>
      <c r="I1637" s="998">
        <v>1155.5</v>
      </c>
      <c r="J1637" s="998">
        <v>501.7</v>
      </c>
      <c r="K1637" s="986">
        <v>57</v>
      </c>
      <c r="L1637" s="987">
        <v>1626080</v>
      </c>
      <c r="M1637" s="987">
        <v>0</v>
      </c>
      <c r="N1637" s="987">
        <v>0</v>
      </c>
      <c r="O1637" s="987">
        <v>1626080</v>
      </c>
      <c r="P1637" s="998">
        <v>0</v>
      </c>
      <c r="Q1637" s="987">
        <v>0</v>
      </c>
      <c r="R1637" s="998">
        <f>L1637/I1637</f>
        <v>1407.2522717438339</v>
      </c>
      <c r="S1637" s="988">
        <v>2019</v>
      </c>
      <c r="T1637" s="988">
        <v>2020</v>
      </c>
    </row>
    <row r="1638" spans="1:20" ht="35.4" customHeight="1">
      <c r="A1638" s="1529" t="s">
        <v>35</v>
      </c>
      <c r="B1638" s="1529"/>
      <c r="C1638" s="1529"/>
      <c r="D1638" s="1529"/>
      <c r="E1638" s="1529"/>
      <c r="F1638" s="1529"/>
      <c r="G1638" s="1529"/>
      <c r="H1638" s="1529"/>
      <c r="I1638" s="1529"/>
      <c r="J1638" s="1529"/>
      <c r="K1638" s="1529"/>
      <c r="L1638" s="1529"/>
      <c r="M1638" s="1529"/>
      <c r="N1638" s="1529"/>
      <c r="O1638" s="1529"/>
      <c r="P1638" s="1529"/>
      <c r="Q1638" s="1529"/>
      <c r="R1638" s="1529"/>
      <c r="S1638" s="1529"/>
      <c r="T1638" s="1529"/>
    </row>
    <row r="1639" spans="1:20" ht="34.799999999999997" customHeight="1">
      <c r="A1639" s="1249"/>
      <c r="B1639" s="1517" t="s">
        <v>42</v>
      </c>
      <c r="C1639" s="1517"/>
      <c r="D1639" s="1517"/>
      <c r="E1639" s="1517"/>
      <c r="F1639" s="1517"/>
      <c r="G1639" s="1517"/>
      <c r="H1639" s="985">
        <v>0</v>
      </c>
      <c r="I1639" s="985">
        <v>0</v>
      </c>
      <c r="J1639" s="985">
        <v>0</v>
      </c>
      <c r="K1639" s="995">
        <v>0</v>
      </c>
      <c r="L1639" s="987">
        <v>0</v>
      </c>
      <c r="M1639" s="987">
        <v>0</v>
      </c>
      <c r="N1639" s="987">
        <v>0</v>
      </c>
      <c r="O1639" s="987">
        <v>0</v>
      </c>
      <c r="P1639" s="987">
        <v>0</v>
      </c>
      <c r="Q1639" s="987">
        <v>0</v>
      </c>
      <c r="R1639" s="996" t="s">
        <v>40</v>
      </c>
      <c r="S1639" s="996" t="s">
        <v>40</v>
      </c>
      <c r="T1639" s="996" t="s">
        <v>40</v>
      </c>
    </row>
    <row r="1640" spans="1:20" ht="45" customHeight="1">
      <c r="A1640" s="1529" t="s">
        <v>1159</v>
      </c>
      <c r="B1640" s="1529"/>
      <c r="C1640" s="1529"/>
      <c r="D1640" s="1529"/>
      <c r="E1640" s="1529"/>
      <c r="F1640" s="1529"/>
      <c r="G1640" s="1529"/>
      <c r="H1640" s="1529"/>
      <c r="I1640" s="1529"/>
      <c r="J1640" s="1529"/>
      <c r="K1640" s="1529"/>
      <c r="L1640" s="1529"/>
      <c r="M1640" s="1529"/>
      <c r="N1640" s="1529"/>
      <c r="O1640" s="1529"/>
      <c r="P1640" s="1529"/>
      <c r="Q1640" s="1529"/>
      <c r="R1640" s="1529"/>
      <c r="S1640" s="1529"/>
      <c r="T1640" s="1529"/>
    </row>
    <row r="1641" spans="1:20" ht="38.4" customHeight="1">
      <c r="A1641" s="1249"/>
      <c r="B1641" s="1517" t="s">
        <v>42</v>
      </c>
      <c r="C1641" s="1517"/>
      <c r="D1641" s="1517"/>
      <c r="E1641" s="1517"/>
      <c r="F1641" s="1517"/>
      <c r="G1641" s="1517"/>
      <c r="H1641" s="985">
        <v>0</v>
      </c>
      <c r="I1641" s="985">
        <v>0</v>
      </c>
      <c r="J1641" s="985">
        <v>0</v>
      </c>
      <c r="K1641" s="995">
        <v>0</v>
      </c>
      <c r="L1641" s="985">
        <v>0</v>
      </c>
      <c r="M1641" s="985">
        <v>0</v>
      </c>
      <c r="N1641" s="985">
        <v>0</v>
      </c>
      <c r="O1641" s="985">
        <v>0</v>
      </c>
      <c r="P1641" s="985">
        <v>0</v>
      </c>
      <c r="Q1641" s="985">
        <v>0</v>
      </c>
      <c r="R1641" s="996" t="s">
        <v>40</v>
      </c>
      <c r="S1641" s="996" t="s">
        <v>40</v>
      </c>
      <c r="T1641" s="996" t="s">
        <v>40</v>
      </c>
    </row>
    <row r="1642" spans="1:20" ht="24.6" customHeight="1">
      <c r="B1642" s="1508" t="s">
        <v>2387</v>
      </c>
      <c r="C1642" s="1508"/>
      <c r="D1642" s="1508"/>
      <c r="E1642" s="1508"/>
      <c r="F1642" s="1508"/>
      <c r="G1642" s="1508"/>
      <c r="H1642" s="1508"/>
      <c r="I1642" s="1508"/>
      <c r="J1642" s="1508"/>
      <c r="K1642" s="1508"/>
      <c r="L1642" s="1508"/>
      <c r="M1642" s="1508"/>
      <c r="N1642" s="1508"/>
      <c r="O1642" s="1508"/>
      <c r="P1642" s="1508"/>
      <c r="Q1642" s="1508"/>
      <c r="R1642" s="1508"/>
      <c r="S1642" s="1508"/>
      <c r="T1642" s="1508"/>
    </row>
  </sheetData>
  <autoFilter ref="A12:T1641"/>
  <sortState ref="B107:S119">
    <sortCondition ref="B107:B119"/>
  </sortState>
  <customSheetViews>
    <customSheetView guid="{971AA6D5-B469-4A54-816C-1252CCB6D265}" scale="72" showPageBreaks="1" fitToPage="1" printArea="1" showAutoFilter="1" view="pageBreakPreview" topLeftCell="A1466">
      <selection activeCell="I1485" sqref="I1485"/>
      <pageMargins left="0.39370078740157483" right="0.39370078740157483" top="0.78740157480314965" bottom="0.43307086614173229" header="0.31496062992125984" footer="0.31496062992125984"/>
      <printOptions horizontalCentered="1"/>
      <pageSetup paperSize="9" scale="50" firstPageNumber="2" fitToHeight="0" orientation="landscape" useFirstPageNumber="1" r:id="rId1"/>
      <headerFooter>
        <oddHeader>&amp;C&amp;"Times New Roman,обычный"&amp;18&amp;P</oddHeader>
      </headerFooter>
      <autoFilter ref="A12:T1475"/>
    </customSheetView>
    <customSheetView guid="{DFE5B545-478C-4B86-847C-1FEE882C6F69}" scale="90" showPageBreaks="1" printArea="1" showAutoFilter="1" view="pageBreakPreview" topLeftCell="A4">
      <pane ySplit="7" topLeftCell="A13" activePane="bottomLeft" state="frozen"/>
      <selection pane="bottomLeft" activeCell="V74" sqref="V74"/>
      <rowBreaks count="1" manualBreakCount="1">
        <brk id="1279" max="22" man="1"/>
      </rowBreaks>
      <pageMargins left="0.51181102362204722" right="0.23622047244094491" top="1.1811023622047245" bottom="0.59055118110236227" header="0.31496062992125984" footer="0.31496062992125984"/>
      <printOptions horizontalCentered="1"/>
      <pageSetup paperSize="9" scale="47" firstPageNumber="2" fitToHeight="50" orientation="landscape" useFirstPageNumber="1" r:id="rId2"/>
      <headerFooter>
        <oddHeader>&amp;C&amp;"Times New Roman,обычный"&amp;18&amp;P</oddHeader>
      </headerFooter>
      <autoFilter ref="A12:T1620"/>
    </customSheetView>
    <customSheetView guid="{4C44C113-DA02-468D-99C5-83FA6693F42F}" scale="90" showPageBreaks="1" printArea="1" showAutoFilter="1" view="pageBreakPreview" topLeftCell="A4">
      <pane ySplit="9" topLeftCell="A13" activePane="bottomLeft" state="frozen"/>
      <selection pane="bottomLeft" activeCell="V74" sqref="V74"/>
      <rowBreaks count="1" manualBreakCount="1">
        <brk id="1279" max="22" man="1"/>
      </rowBreaks>
      <pageMargins left="0.51181102362204722" right="0.23622047244094491" top="1.1811023622047245" bottom="0.59055118110236227" header="0.31496062992125984" footer="0.31496062992125984"/>
      <printOptions horizontalCentered="1"/>
      <pageSetup paperSize="9" scale="47" firstPageNumber="2" fitToHeight="50" orientation="landscape" useFirstPageNumber="1" r:id="rId3"/>
      <headerFooter>
        <oddHeader>&amp;C&amp;"Times New Roman,обычный"&amp;18&amp;P</oddHeader>
      </headerFooter>
      <autoFilter ref="A12:T1620"/>
    </customSheetView>
    <customSheetView guid="{570403C4-1D93-4175-B4D8-BD47D46CE99C}" scale="90" showPageBreaks="1" printArea="1" showAutoFilter="1" view="pageBreakPreview" topLeftCell="A4">
      <pane ySplit="9" topLeftCell="A13" activePane="bottomLeft" state="frozen"/>
      <selection pane="bottomLeft" activeCell="V74" sqref="V74"/>
      <rowBreaks count="1" manualBreakCount="1">
        <brk id="1279" max="22" man="1"/>
      </rowBreaks>
      <pageMargins left="0.51181102362204722" right="0.23622047244094491" top="1.1811023622047245" bottom="0.59055118110236227" header="0.31496062992125984" footer="0.31496062992125984"/>
      <printOptions horizontalCentered="1"/>
      <pageSetup paperSize="9" scale="47" firstPageNumber="2" fitToHeight="50" orientation="landscape" useFirstPageNumber="1" r:id="rId4"/>
      <headerFooter>
        <oddHeader>&amp;C&amp;"Times New Roman,обычный"&amp;18&amp;P</oddHeader>
      </headerFooter>
      <autoFilter ref="A12:T1620"/>
    </customSheetView>
    <customSheetView guid="{B1841E62-04AF-4786-8B2B-B1F42C88E6D1}" scale="90" showPageBreaks="1" printArea="1" showAutoFilter="1" view="pageBreakPreview" topLeftCell="A4">
      <pane ySplit="8" topLeftCell="A13" activePane="bottomLeft" state="frozen"/>
      <selection pane="bottomLeft" activeCell="V74" sqref="V74"/>
      <rowBreaks count="1" manualBreakCount="1">
        <brk id="1279" max="22" man="1"/>
      </rowBreaks>
      <pageMargins left="0.51181102362204722" right="0.23622047244094491" top="1.1811023622047245" bottom="0.59055118110236227" header="0.31496062992125984" footer="0.31496062992125984"/>
      <printOptions horizontalCentered="1"/>
      <pageSetup paperSize="9" scale="47" firstPageNumber="2" fitToHeight="50" orientation="landscape" useFirstPageNumber="1" r:id="rId5"/>
      <headerFooter>
        <oddHeader>&amp;C&amp;"Times New Roman,обычный"&amp;18&amp;P</oddHeader>
      </headerFooter>
      <autoFilter ref="A12:T1620"/>
    </customSheetView>
    <customSheetView guid="{A28C0ADC-4E0C-4A0A-ACB1-DA409183476D}" scale="90" showPageBreaks="1" printArea="1" showAutoFilter="1" view="pageBreakPreview" topLeftCell="A4">
      <pane ySplit="9" topLeftCell="A13" activePane="bottomLeft" state="frozen"/>
      <selection pane="bottomLeft" activeCell="V74" sqref="V74"/>
      <rowBreaks count="1" manualBreakCount="1">
        <brk id="1279" max="22" man="1"/>
      </rowBreaks>
      <pageMargins left="0.51181102362204722" right="0.23622047244094491" top="1.1811023622047245" bottom="0.59055118110236227" header="0.31496062992125984" footer="0.31496062992125984"/>
      <printOptions horizontalCentered="1"/>
      <pageSetup paperSize="9" scale="47" firstPageNumber="2" fitToHeight="50" orientation="landscape" useFirstPageNumber="1" r:id="rId6"/>
      <headerFooter>
        <oddHeader>&amp;C&amp;"Times New Roman,обычный"&amp;18&amp;P</oddHeader>
      </headerFooter>
      <autoFilter ref="A12:T1620"/>
    </customSheetView>
    <customSheetView guid="{144E5A37-1CF2-41F0-BEF8-CB5D4D392E2A}" scale="90" showPageBreaks="1" printArea="1" showAutoFilter="1" view="pageBreakPreview" topLeftCell="A4">
      <pane ySplit="8" topLeftCell="A13" activePane="bottomLeft" state="frozen"/>
      <selection pane="bottomLeft" activeCell="V74" sqref="V74"/>
      <rowBreaks count="1" manualBreakCount="1">
        <brk id="1279" max="22" man="1"/>
      </rowBreaks>
      <pageMargins left="0.51181102362204722" right="0.23622047244094491" top="1.1811023622047245" bottom="0.59055118110236227" header="0.31496062992125984" footer="0.31496062992125984"/>
      <printOptions horizontalCentered="1"/>
      <pageSetup paperSize="9" scale="47" firstPageNumber="2" fitToHeight="50" orientation="landscape" useFirstPageNumber="1" r:id="rId7"/>
      <headerFooter>
        <oddHeader>&amp;C&amp;"Times New Roman,обычный"&amp;18&amp;P</oddHeader>
      </headerFooter>
      <autoFilter ref="A12:T1620"/>
    </customSheetView>
    <customSheetView guid="{7A75CCE7-0E84-47E6-A162-5AC0354F2967}" scale="90" showPageBreaks="1" printArea="1" showAutoFilter="1" view="pageBreakPreview" topLeftCell="A4">
      <pane ySplit="9" topLeftCell="A13" activePane="bottomLeft" state="frozen"/>
      <selection pane="bottomLeft" activeCell="V74" sqref="V74"/>
      <rowBreaks count="1" manualBreakCount="1">
        <brk id="1279" max="22" man="1"/>
      </rowBreaks>
      <pageMargins left="0.51181102362204722" right="0.23622047244094491" top="1.1811023622047245" bottom="0.59055118110236227" header="0.31496062992125984" footer="0.31496062992125984"/>
      <printOptions horizontalCentered="1"/>
      <pageSetup paperSize="9" scale="47" firstPageNumber="2" fitToHeight="50" orientation="landscape" useFirstPageNumber="1" r:id="rId8"/>
      <headerFooter>
        <oddHeader>&amp;C&amp;"Times New Roman,обычный"&amp;18&amp;P</oddHeader>
      </headerFooter>
      <autoFilter ref="A12:T1620"/>
    </customSheetView>
    <customSheetView guid="{A6187BD3-0BA4-497C-8924-4FA3D77530F0}" scale="90" showPageBreaks="1" printArea="1" showAutoFilter="1" view="pageBreakPreview" topLeftCell="A4">
      <pane ySplit="9" topLeftCell="A13" activePane="bottomLeft" state="frozen"/>
      <selection pane="bottomLeft" activeCell="V74" sqref="V74"/>
      <rowBreaks count="1" manualBreakCount="1">
        <brk id="1279" max="22" man="1"/>
      </rowBreaks>
      <pageMargins left="0.51181102362204722" right="0.23622047244094491" top="1.1811023622047245" bottom="0.59055118110236227" header="0.31496062992125984" footer="0.31496062992125984"/>
      <printOptions horizontalCentered="1"/>
      <pageSetup paperSize="9" scale="47" firstPageNumber="2" fitToHeight="50" orientation="landscape" useFirstPageNumber="1" r:id="rId9"/>
      <headerFooter>
        <oddHeader>&amp;C&amp;"Times New Roman,обычный"&amp;18&amp;P</oddHeader>
      </headerFooter>
      <autoFilter ref="A12:T1620"/>
    </customSheetView>
    <customSheetView guid="{DC88C499-913F-4D15-846E-E5B9D5E047D7}" scale="90" showPageBreaks="1" printArea="1" showAutoFilter="1" view="pageBreakPreview" topLeftCell="A4">
      <pane ySplit="9" topLeftCell="A31" activePane="bottomLeft" state="frozen"/>
      <selection pane="bottomLeft" activeCell="L39" sqref="L39"/>
      <rowBreaks count="1" manualBreakCount="1">
        <brk id="1279" max="22" man="1"/>
      </rowBreaks>
      <pageMargins left="0.51181102362204722" right="0.23622047244094491" top="1.1811023622047245" bottom="0.59055118110236227" header="0.31496062992125984" footer="0.31496062992125984"/>
      <printOptions horizontalCentered="1"/>
      <pageSetup paperSize="9" scale="47" firstPageNumber="2" fitToHeight="50" orientation="landscape" useFirstPageNumber="1" r:id="rId10"/>
      <headerFooter>
        <oddHeader>&amp;C&amp;"Times New Roman,обычный"&amp;18&amp;P</oddHeader>
      </headerFooter>
      <autoFilter ref="A12:T1620"/>
    </customSheetView>
  </customSheetViews>
  <mergeCells count="226">
    <mergeCell ref="B513:G513"/>
    <mergeCell ref="A454:T454"/>
    <mergeCell ref="B455:G455"/>
    <mergeCell ref="B623:G623"/>
    <mergeCell ref="B578:G578"/>
    <mergeCell ref="B703:G703"/>
    <mergeCell ref="A714:T714"/>
    <mergeCell ref="B790:G790"/>
    <mergeCell ref="A716:T716"/>
    <mergeCell ref="A717:T717"/>
    <mergeCell ref="B715:G715"/>
    <mergeCell ref="A712:T712"/>
    <mergeCell ref="B713:G713"/>
    <mergeCell ref="B718:G718"/>
    <mergeCell ref="B784:G784"/>
    <mergeCell ref="B783:G783"/>
    <mergeCell ref="B741:G741"/>
    <mergeCell ref="B814:G814"/>
    <mergeCell ref="B653:G653"/>
    <mergeCell ref="B534:G534"/>
    <mergeCell ref="B542:G542"/>
    <mergeCell ref="B643:G643"/>
    <mergeCell ref="B657:G657"/>
    <mergeCell ref="B701:G701"/>
    <mergeCell ref="B809:G809"/>
    <mergeCell ref="B811:G811"/>
    <mergeCell ref="B805:G805"/>
    <mergeCell ref="B808:G808"/>
    <mergeCell ref="B791:G791"/>
    <mergeCell ref="B794:G794"/>
    <mergeCell ref="B795:G795"/>
    <mergeCell ref="B689:G689"/>
    <mergeCell ref="B762:G762"/>
    <mergeCell ref="B776:G776"/>
    <mergeCell ref="B708:G708"/>
    <mergeCell ref="B678:G678"/>
    <mergeCell ref="B631:G631"/>
    <mergeCell ref="B563:G563"/>
    <mergeCell ref="B588:G588"/>
    <mergeCell ref="B585:G585"/>
    <mergeCell ref="B622:G622"/>
    <mergeCell ref="B894:G894"/>
    <mergeCell ref="B900:G900"/>
    <mergeCell ref="B898:G898"/>
    <mergeCell ref="B863:G863"/>
    <mergeCell ref="B861:G861"/>
    <mergeCell ref="B820:G820"/>
    <mergeCell ref="B824:G824"/>
    <mergeCell ref="B840:G840"/>
    <mergeCell ref="B846:G846"/>
    <mergeCell ref="B848:G848"/>
    <mergeCell ref="B833:G833"/>
    <mergeCell ref="B868:G868"/>
    <mergeCell ref="B850:G850"/>
    <mergeCell ref="B856:G856"/>
    <mergeCell ref="B851:G851"/>
    <mergeCell ref="B855:G855"/>
    <mergeCell ref="B858:G858"/>
    <mergeCell ref="B831:G831"/>
    <mergeCell ref="B815:G815"/>
    <mergeCell ref="B889:G889"/>
    <mergeCell ref="B884:G884"/>
    <mergeCell ref="B886:G886"/>
    <mergeCell ref="B887:G887"/>
    <mergeCell ref="B866:G866"/>
    <mergeCell ref="B844:G844"/>
    <mergeCell ref="B819:G819"/>
    <mergeCell ref="B817:G817"/>
    <mergeCell ref="B865:G865"/>
    <mergeCell ref="B834:G834"/>
    <mergeCell ref="B872:G872"/>
    <mergeCell ref="A1640:T1640"/>
    <mergeCell ref="B1641:G1641"/>
    <mergeCell ref="A916:T916"/>
    <mergeCell ref="B917:G917"/>
    <mergeCell ref="A918:T918"/>
    <mergeCell ref="B919:G919"/>
    <mergeCell ref="B908:G908"/>
    <mergeCell ref="B913:G913"/>
    <mergeCell ref="B914:G914"/>
    <mergeCell ref="A1638:T1638"/>
    <mergeCell ref="B1639:G1639"/>
    <mergeCell ref="B1449:G1449"/>
    <mergeCell ref="B1483:G1483"/>
    <mergeCell ref="B1484:G1484"/>
    <mergeCell ref="B1487:G1487"/>
    <mergeCell ref="B1489:G1489"/>
    <mergeCell ref="B1565:G1565"/>
    <mergeCell ref="A920:T920"/>
    <mergeCell ref="A922:T922"/>
    <mergeCell ref="B901:G901"/>
    <mergeCell ref="B1614:G1614"/>
    <mergeCell ref="B905:G905"/>
    <mergeCell ref="B906:G906"/>
    <mergeCell ref="B891:G891"/>
    <mergeCell ref="B636:G636"/>
    <mergeCell ref="B1615:G1615"/>
    <mergeCell ref="B1621:G1621"/>
    <mergeCell ref="B1622:G1622"/>
    <mergeCell ref="B1491:G1491"/>
    <mergeCell ref="B1528:G1528"/>
    <mergeCell ref="B655:G655"/>
    <mergeCell ref="B684:G684"/>
    <mergeCell ref="B658:G658"/>
    <mergeCell ref="B679:G679"/>
    <mergeCell ref="B663:G663"/>
    <mergeCell ref="B650:G650"/>
    <mergeCell ref="B667:G667"/>
    <mergeCell ref="B676:G676"/>
    <mergeCell ref="B700:G700"/>
    <mergeCell ref="B698:G698"/>
    <mergeCell ref="B780:G780"/>
    <mergeCell ref="B695:G695"/>
    <mergeCell ref="B842:G842"/>
    <mergeCell ref="B256:G256"/>
    <mergeCell ref="A453:T453"/>
    <mergeCell ref="B244:G244"/>
    <mergeCell ref="B228:G228"/>
    <mergeCell ref="B235:G235"/>
    <mergeCell ref="B233:G233"/>
    <mergeCell ref="B319:G319"/>
    <mergeCell ref="B423:G423"/>
    <mergeCell ref="B649:G649"/>
    <mergeCell ref="B603:G603"/>
    <mergeCell ref="B609:G609"/>
    <mergeCell ref="B604:G604"/>
    <mergeCell ref="B456:G456"/>
    <mergeCell ref="B638:G638"/>
    <mergeCell ref="B594:G594"/>
    <mergeCell ref="B589:G589"/>
    <mergeCell ref="B591:G591"/>
    <mergeCell ref="B352:G352"/>
    <mergeCell ref="B347:G347"/>
    <mergeCell ref="B372:G372"/>
    <mergeCell ref="B357:G357"/>
    <mergeCell ref="B356:G356"/>
    <mergeCell ref="B344:G344"/>
    <mergeCell ref="B633:G633"/>
    <mergeCell ref="B322:G322"/>
    <mergeCell ref="B337:G337"/>
    <mergeCell ref="B341:G341"/>
    <mergeCell ref="A434:T434"/>
    <mergeCell ref="B435:G435"/>
    <mergeCell ref="B436:G436"/>
    <mergeCell ref="B413:G413"/>
    <mergeCell ref="B396:G396"/>
    <mergeCell ref="B403:G403"/>
    <mergeCell ref="B381:G381"/>
    <mergeCell ref="B397:G397"/>
    <mergeCell ref="B412:G412"/>
    <mergeCell ref="B409:G409"/>
    <mergeCell ref="B375:G375"/>
    <mergeCell ref="B374:G374"/>
    <mergeCell ref="B386:G386"/>
    <mergeCell ref="B433:G433"/>
    <mergeCell ref="B408:G408"/>
    <mergeCell ref="B359:G359"/>
    <mergeCell ref="B390:G390"/>
    <mergeCell ref="B363:G363"/>
    <mergeCell ref="B416:G416"/>
    <mergeCell ref="B393:G393"/>
    <mergeCell ref="A432:T432"/>
    <mergeCell ref="A15:T15"/>
    <mergeCell ref="A13:T13"/>
    <mergeCell ref="B226:G226"/>
    <mergeCell ref="S8:T9"/>
    <mergeCell ref="I8:J8"/>
    <mergeCell ref="B17:G17"/>
    <mergeCell ref="B142:G142"/>
    <mergeCell ref="B164:G164"/>
    <mergeCell ref="B211:G211"/>
    <mergeCell ref="B99:G99"/>
    <mergeCell ref="B179:G179"/>
    <mergeCell ref="B225:G225"/>
    <mergeCell ref="G8:G11"/>
    <mergeCell ref="B212:G212"/>
    <mergeCell ref="B16:G16"/>
    <mergeCell ref="B222:G222"/>
    <mergeCell ref="B232:G232"/>
    <mergeCell ref="B220:G220"/>
    <mergeCell ref="A4:T4"/>
    <mergeCell ref="A5:T5"/>
    <mergeCell ref="A6:T6"/>
    <mergeCell ref="C9:C11"/>
    <mergeCell ref="R8:R10"/>
    <mergeCell ref="S10:S11"/>
    <mergeCell ref="T10:T11"/>
    <mergeCell ref="A7:T7"/>
    <mergeCell ref="A8:A11"/>
    <mergeCell ref="B8:B11"/>
    <mergeCell ref="C8:D8"/>
    <mergeCell ref="E8:E11"/>
    <mergeCell ref="F8:F11"/>
    <mergeCell ref="I9:I10"/>
    <mergeCell ref="K8:K10"/>
    <mergeCell ref="L8:Q8"/>
    <mergeCell ref="J9:J10"/>
    <mergeCell ref="L9:L10"/>
    <mergeCell ref="D9:D11"/>
    <mergeCell ref="M9:Q9"/>
    <mergeCell ref="H8:H10"/>
    <mergeCell ref="B14:G14"/>
    <mergeCell ref="B1642:T1642"/>
    <mergeCell ref="O1:Q2"/>
    <mergeCell ref="B258:G258"/>
    <mergeCell ref="B290:G290"/>
    <mergeCell ref="B238:G238"/>
    <mergeCell ref="B601:G601"/>
    <mergeCell ref="B354:G354"/>
    <mergeCell ref="B241:G241"/>
    <mergeCell ref="B306:G306"/>
    <mergeCell ref="B247:G247"/>
    <mergeCell ref="B297:G297"/>
    <mergeCell ref="B261:G261"/>
    <mergeCell ref="B323:G323"/>
    <mergeCell ref="B262:G262"/>
    <mergeCell ref="B271:G271"/>
    <mergeCell ref="B300:G300"/>
    <mergeCell ref="B287:G287"/>
    <mergeCell ref="B289:G289"/>
    <mergeCell ref="B254:G254"/>
    <mergeCell ref="B312:G312"/>
    <mergeCell ref="B302:G302"/>
    <mergeCell ref="B304:G304"/>
    <mergeCell ref="B597:G597"/>
    <mergeCell ref="B346:G346"/>
  </mergeCells>
  <printOptions horizontalCentered="1"/>
  <pageMargins left="0.39370078740157483" right="0.39370078740157483" top="1.1811023622047245" bottom="0.39370078740157483" header="0.70866141732283472" footer="0.31496062992125984"/>
  <pageSetup paperSize="9" scale="48" firstPageNumber="2" fitToHeight="0" orientation="landscape" useFirstPageNumber="1" r:id="rId11"/>
  <headerFooter>
    <oddHeader>&amp;C&amp;"Times New Roman,обычный"&amp;18&amp;P</oddHeader>
  </headerFooter>
  <rowBreaks count="1" manualBreakCount="1">
    <brk id="431" max="19" man="1"/>
  </rowBreaks>
  <legacyDrawing r:id="rId1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DC1623"/>
  <sheetViews>
    <sheetView tabSelected="1" view="pageBreakPreview" zoomScale="25" zoomScaleNormal="75" zoomScaleSheetLayoutView="25" zoomScalePageLayoutView="50" workbookViewId="0">
      <selection activeCell="A1302" sqref="A1302:Y1302"/>
    </sheetView>
  </sheetViews>
  <sheetFormatPr defaultColWidth="8.88671875" defaultRowHeight="37.799999999999997"/>
  <cols>
    <col min="1" max="1" width="18.88671875" style="1271" customWidth="1"/>
    <col min="2" max="2" width="63.33203125" style="1272" customWidth="1"/>
    <col min="3" max="3" width="43.88671875" style="1365" customWidth="1"/>
    <col min="4" max="4" width="39.33203125" style="1365" customWidth="1"/>
    <col min="5" max="5" width="34.88671875" style="1365" customWidth="1"/>
    <col min="6" max="6" width="39.5546875" style="1365" customWidth="1"/>
    <col min="7" max="7" width="34.88671875" style="1365" customWidth="1"/>
    <col min="8" max="8" width="38.33203125" style="1365" customWidth="1"/>
    <col min="9" max="9" width="36.6640625" style="1365" customWidth="1"/>
    <col min="10" max="10" width="40.44140625" style="1365" customWidth="1"/>
    <col min="11" max="11" width="12.5546875" style="1366" customWidth="1"/>
    <col min="12" max="12" width="32.109375" style="1271" customWidth="1"/>
    <col min="13" max="13" width="12.6640625" style="1366" customWidth="1"/>
    <col min="14" max="14" width="36.44140625" style="1365" customWidth="1"/>
    <col min="15" max="15" width="28.109375" style="1367" customWidth="1"/>
    <col min="16" max="16" width="39.88671875" style="1368" customWidth="1"/>
    <col min="17" max="17" width="27.88671875" style="1367" customWidth="1"/>
    <col min="18" max="18" width="32" style="1368" customWidth="1"/>
    <col min="19" max="19" width="29.6640625" style="1367" customWidth="1"/>
    <col min="20" max="20" width="37.5546875" style="1365" customWidth="1"/>
    <col min="21" max="21" width="16.109375" style="1367" customWidth="1"/>
    <col min="22" max="22" width="27.33203125" style="1365" customWidth="1"/>
    <col min="23" max="23" width="20.88671875" style="1365" customWidth="1"/>
    <col min="24" max="24" width="34.6640625" style="1365" customWidth="1"/>
    <col min="25" max="25" width="38.109375" style="1365" customWidth="1"/>
    <col min="26" max="16384" width="8.88671875" style="1272"/>
  </cols>
  <sheetData>
    <row r="1" spans="1:25" ht="64.2" customHeight="1">
      <c r="A1" s="1565" t="s">
        <v>39</v>
      </c>
      <c r="B1" s="1565"/>
      <c r="C1" s="1565"/>
      <c r="D1" s="1565"/>
      <c r="E1" s="1565"/>
      <c r="F1" s="1565"/>
      <c r="G1" s="1565"/>
      <c r="H1" s="1565"/>
      <c r="I1" s="1565"/>
      <c r="J1" s="1565"/>
      <c r="K1" s="1565"/>
      <c r="L1" s="1565"/>
      <c r="M1" s="1565"/>
      <c r="N1" s="1565"/>
      <c r="O1" s="1565"/>
      <c r="P1" s="1565"/>
      <c r="Q1" s="1565"/>
      <c r="R1" s="1565"/>
      <c r="S1" s="1565"/>
      <c r="T1" s="1565"/>
      <c r="U1" s="1565"/>
      <c r="V1" s="1565"/>
      <c r="W1" s="1269"/>
      <c r="X1" s="1270"/>
      <c r="Y1" s="1270"/>
    </row>
    <row r="2" spans="1:25" ht="59.4" customHeight="1">
      <c r="A2" s="1566" t="s">
        <v>0</v>
      </c>
      <c r="B2" s="1566" t="s">
        <v>22</v>
      </c>
      <c r="C2" s="1567" t="s">
        <v>459</v>
      </c>
      <c r="D2" s="1566" t="s">
        <v>1160</v>
      </c>
      <c r="E2" s="1566"/>
      <c r="F2" s="1566"/>
      <c r="G2" s="1566"/>
      <c r="H2" s="1566"/>
      <c r="I2" s="1566"/>
      <c r="J2" s="1566"/>
      <c r="K2" s="1566"/>
      <c r="L2" s="1566"/>
      <c r="M2" s="1566"/>
      <c r="N2" s="1566"/>
      <c r="O2" s="1566"/>
      <c r="P2" s="1566"/>
      <c r="Q2" s="1566"/>
      <c r="R2" s="1566"/>
      <c r="S2" s="1566"/>
      <c r="T2" s="1566"/>
      <c r="U2" s="1566"/>
      <c r="V2" s="1566"/>
      <c r="W2" s="1566"/>
      <c r="X2" s="1566"/>
      <c r="Y2" s="1566"/>
    </row>
    <row r="3" spans="1:25" ht="59.4" customHeight="1">
      <c r="A3" s="1566"/>
      <c r="B3" s="1566"/>
      <c r="C3" s="1568"/>
      <c r="D3" s="1566" t="s">
        <v>559</v>
      </c>
      <c r="E3" s="1566"/>
      <c r="F3" s="1566"/>
      <c r="G3" s="1566"/>
      <c r="H3" s="1566"/>
      <c r="I3" s="1566"/>
      <c r="J3" s="1566"/>
      <c r="K3" s="1570" t="s">
        <v>2029</v>
      </c>
      <c r="L3" s="1571"/>
      <c r="M3" s="1556" t="s">
        <v>2026</v>
      </c>
      <c r="N3" s="1556"/>
      <c r="O3" s="1556" t="s">
        <v>2027</v>
      </c>
      <c r="P3" s="1556"/>
      <c r="Q3" s="1556" t="s">
        <v>217</v>
      </c>
      <c r="R3" s="1556"/>
      <c r="S3" s="1556" t="s">
        <v>1193</v>
      </c>
      <c r="T3" s="1556"/>
      <c r="U3" s="1556" t="s">
        <v>557</v>
      </c>
      <c r="V3" s="1556"/>
      <c r="W3" s="1567" t="s">
        <v>2598</v>
      </c>
      <c r="X3" s="1556" t="s">
        <v>2028</v>
      </c>
      <c r="Y3" s="1567" t="s">
        <v>2599</v>
      </c>
    </row>
    <row r="4" spans="1:25" ht="56.4" customHeight="1">
      <c r="A4" s="1566"/>
      <c r="B4" s="1566"/>
      <c r="C4" s="1568"/>
      <c r="D4" s="1554" t="s">
        <v>556</v>
      </c>
      <c r="E4" s="1557" t="s">
        <v>549</v>
      </c>
      <c r="F4" s="1557" t="s">
        <v>2030</v>
      </c>
      <c r="G4" s="1557" t="s">
        <v>551</v>
      </c>
      <c r="H4" s="1557" t="s">
        <v>552</v>
      </c>
      <c r="I4" s="1557" t="s">
        <v>553</v>
      </c>
      <c r="J4" s="1557" t="s">
        <v>554</v>
      </c>
      <c r="K4" s="1572"/>
      <c r="L4" s="1573"/>
      <c r="M4" s="1556"/>
      <c r="N4" s="1556"/>
      <c r="O4" s="1556"/>
      <c r="P4" s="1556"/>
      <c r="Q4" s="1556"/>
      <c r="R4" s="1556"/>
      <c r="S4" s="1556"/>
      <c r="T4" s="1556"/>
      <c r="U4" s="1556"/>
      <c r="V4" s="1556"/>
      <c r="W4" s="1568"/>
      <c r="X4" s="1556"/>
      <c r="Y4" s="1568"/>
    </row>
    <row r="5" spans="1:25" ht="356.4" customHeight="1">
      <c r="A5" s="1566"/>
      <c r="B5" s="1566"/>
      <c r="C5" s="1569"/>
      <c r="D5" s="1555"/>
      <c r="E5" s="1558"/>
      <c r="F5" s="1558"/>
      <c r="G5" s="1558"/>
      <c r="H5" s="1558"/>
      <c r="I5" s="1558"/>
      <c r="J5" s="1558"/>
      <c r="K5" s="1574"/>
      <c r="L5" s="1575"/>
      <c r="M5" s="1556"/>
      <c r="N5" s="1556"/>
      <c r="O5" s="1556"/>
      <c r="P5" s="1556"/>
      <c r="Q5" s="1556"/>
      <c r="R5" s="1556"/>
      <c r="S5" s="1556"/>
      <c r="T5" s="1556"/>
      <c r="U5" s="1556"/>
      <c r="V5" s="1556"/>
      <c r="W5" s="1569"/>
      <c r="X5" s="1556"/>
      <c r="Y5" s="1569"/>
    </row>
    <row r="6" spans="1:25" ht="58.2" customHeight="1">
      <c r="A6" s="1566"/>
      <c r="B6" s="1566"/>
      <c r="C6" s="1273" t="s">
        <v>17</v>
      </c>
      <c r="D6" s="1273" t="s">
        <v>17</v>
      </c>
      <c r="E6" s="1273" t="s">
        <v>17</v>
      </c>
      <c r="F6" s="1273" t="s">
        <v>17</v>
      </c>
      <c r="G6" s="1273" t="s">
        <v>17</v>
      </c>
      <c r="H6" s="1273" t="s">
        <v>17</v>
      </c>
      <c r="I6" s="1273" t="s">
        <v>17</v>
      </c>
      <c r="J6" s="1273" t="s">
        <v>17</v>
      </c>
      <c r="K6" s="1274" t="s">
        <v>23</v>
      </c>
      <c r="L6" s="1273" t="s">
        <v>17</v>
      </c>
      <c r="M6" s="1274" t="s">
        <v>23</v>
      </c>
      <c r="N6" s="1273" t="s">
        <v>17</v>
      </c>
      <c r="O6" s="1275" t="s">
        <v>21</v>
      </c>
      <c r="P6" s="1276" t="s">
        <v>17</v>
      </c>
      <c r="Q6" s="1275" t="s">
        <v>21</v>
      </c>
      <c r="R6" s="1276" t="s">
        <v>17</v>
      </c>
      <c r="S6" s="1275" t="s">
        <v>21</v>
      </c>
      <c r="T6" s="1273" t="s">
        <v>17</v>
      </c>
      <c r="U6" s="1275" t="s">
        <v>24</v>
      </c>
      <c r="V6" s="1273" t="s">
        <v>17</v>
      </c>
      <c r="W6" s="1273"/>
      <c r="X6" s="1273" t="s">
        <v>17</v>
      </c>
      <c r="Y6" s="1273" t="s">
        <v>17</v>
      </c>
    </row>
    <row r="7" spans="1:25">
      <c r="A7" s="1273">
        <v>1</v>
      </c>
      <c r="B7" s="1273">
        <v>2</v>
      </c>
      <c r="C7" s="1273">
        <v>3</v>
      </c>
      <c r="D7" s="1273">
        <v>4</v>
      </c>
      <c r="E7" s="1273">
        <v>5</v>
      </c>
      <c r="F7" s="1273">
        <v>6</v>
      </c>
      <c r="G7" s="1273">
        <v>7</v>
      </c>
      <c r="H7" s="1273">
        <v>8</v>
      </c>
      <c r="I7" s="1273">
        <v>9</v>
      </c>
      <c r="J7" s="1273">
        <v>10</v>
      </c>
      <c r="K7" s="1274">
        <v>11</v>
      </c>
      <c r="L7" s="1273">
        <v>12</v>
      </c>
      <c r="M7" s="1274">
        <v>13</v>
      </c>
      <c r="N7" s="1273">
        <v>14</v>
      </c>
      <c r="O7" s="1273">
        <v>15</v>
      </c>
      <c r="P7" s="1273">
        <v>16</v>
      </c>
      <c r="Q7" s="1273">
        <v>17</v>
      </c>
      <c r="R7" s="1273">
        <v>18</v>
      </c>
      <c r="S7" s="1273">
        <v>19</v>
      </c>
      <c r="T7" s="1273">
        <v>20</v>
      </c>
      <c r="U7" s="1273">
        <v>21</v>
      </c>
      <c r="V7" s="1273">
        <v>22</v>
      </c>
      <c r="W7" s="1273">
        <v>23</v>
      </c>
      <c r="X7" s="1273">
        <v>24</v>
      </c>
      <c r="Y7" s="1273">
        <v>25</v>
      </c>
    </row>
    <row r="8" spans="1:25">
      <c r="A8" s="1559" t="s">
        <v>1243</v>
      </c>
      <c r="B8" s="1560"/>
      <c r="C8" s="1560"/>
      <c r="D8" s="1560"/>
      <c r="E8" s="1560"/>
      <c r="F8" s="1560"/>
      <c r="G8" s="1560"/>
      <c r="H8" s="1560"/>
      <c r="I8" s="1560"/>
      <c r="J8" s="1560"/>
      <c r="K8" s="1560"/>
      <c r="L8" s="1560"/>
      <c r="M8" s="1560"/>
      <c r="N8" s="1560"/>
      <c r="O8" s="1560"/>
      <c r="P8" s="1560"/>
      <c r="Q8" s="1560"/>
      <c r="R8" s="1560"/>
      <c r="S8" s="1560"/>
      <c r="T8" s="1560"/>
      <c r="U8" s="1560"/>
      <c r="V8" s="1560"/>
      <c r="W8" s="1560"/>
      <c r="X8" s="1560"/>
      <c r="Y8" s="1561"/>
    </row>
    <row r="9" spans="1:25" s="1280" customFormat="1" ht="84" customHeight="1">
      <c r="A9" s="1277"/>
      <c r="B9" s="1277" t="s">
        <v>42</v>
      </c>
      <c r="C9" s="1268">
        <f t="shared" ref="C9:Y9" si="0">C10+C92+C129+C135+C157+C168+C172+C175+C198+C204+C215+C218+C221+C225+C228+C254+C264+C273+C282+C305+C309+C312+C315+C339+C349+C352+C356+C373+C382+C384+C388+C394+C396+C399+C411+C414+C418+C422+C426+C433</f>
        <v>1009644760.3708</v>
      </c>
      <c r="D9" s="1268">
        <f t="shared" si="0"/>
        <v>162021907.12080002</v>
      </c>
      <c r="E9" s="1268">
        <f t="shared" si="0"/>
        <v>29079296</v>
      </c>
      <c r="F9" s="1268">
        <f t="shared" si="0"/>
        <v>43409610.310800001</v>
      </c>
      <c r="G9" s="1268">
        <f t="shared" si="0"/>
        <v>2424643</v>
      </c>
      <c r="H9" s="1268">
        <f t="shared" si="0"/>
        <v>32553679</v>
      </c>
      <c r="I9" s="1268">
        <f t="shared" si="0"/>
        <v>19971209</v>
      </c>
      <c r="J9" s="1268">
        <f t="shared" si="0"/>
        <v>34583469.810000002</v>
      </c>
      <c r="K9" s="1278">
        <f t="shared" si="0"/>
        <v>6</v>
      </c>
      <c r="L9" s="1268">
        <f t="shared" si="0"/>
        <v>1389420</v>
      </c>
      <c r="M9" s="1278">
        <f t="shared" si="0"/>
        <v>26</v>
      </c>
      <c r="N9" s="1268">
        <f t="shared" si="0"/>
        <v>65514195</v>
      </c>
      <c r="O9" s="1268">
        <f t="shared" si="0"/>
        <v>147455.63499999998</v>
      </c>
      <c r="P9" s="1268">
        <f t="shared" si="0"/>
        <v>461366617.50999999</v>
      </c>
      <c r="Q9" s="1268">
        <f t="shared" si="0"/>
        <v>893.4</v>
      </c>
      <c r="R9" s="1268">
        <f t="shared" si="0"/>
        <v>1207262</v>
      </c>
      <c r="S9" s="1268">
        <f t="shared" si="0"/>
        <v>79782.03</v>
      </c>
      <c r="T9" s="1268">
        <f t="shared" si="0"/>
        <v>243911424.16</v>
      </c>
      <c r="U9" s="1268">
        <f t="shared" si="0"/>
        <v>56.92</v>
      </c>
      <c r="V9" s="1268">
        <f t="shared" si="0"/>
        <v>593736</v>
      </c>
      <c r="W9" s="1268">
        <f t="shared" si="0"/>
        <v>0</v>
      </c>
      <c r="X9" s="1268">
        <f t="shared" si="0"/>
        <v>73661739.935184315</v>
      </c>
      <c r="Y9" s="1268">
        <f t="shared" si="0"/>
        <v>0</v>
      </c>
    </row>
    <row r="10" spans="1:25" s="1280" customFormat="1" ht="87" customHeight="1">
      <c r="A10" s="1281"/>
      <c r="B10" s="1267" t="s">
        <v>1103</v>
      </c>
      <c r="C10" s="1268">
        <f>SUM(C11:C91)</f>
        <v>353984333</v>
      </c>
      <c r="D10" s="1268">
        <f t="shared" ref="D10:Y10" si="1">SUM(D11:D91)</f>
        <v>84265424</v>
      </c>
      <c r="E10" s="1268">
        <f t="shared" si="1"/>
        <v>20422065</v>
      </c>
      <c r="F10" s="1268">
        <f t="shared" si="1"/>
        <v>10184216</v>
      </c>
      <c r="G10" s="1268">
        <f t="shared" si="1"/>
        <v>1180528</v>
      </c>
      <c r="H10" s="1268">
        <f t="shared" si="1"/>
        <v>24131761</v>
      </c>
      <c r="I10" s="1268">
        <f t="shared" si="1"/>
        <v>9968079</v>
      </c>
      <c r="J10" s="1268">
        <f t="shared" si="1"/>
        <v>18378775</v>
      </c>
      <c r="K10" s="1278">
        <f t="shared" si="1"/>
        <v>0</v>
      </c>
      <c r="L10" s="1268">
        <f t="shared" si="1"/>
        <v>0</v>
      </c>
      <c r="M10" s="1278">
        <f t="shared" si="1"/>
        <v>15</v>
      </c>
      <c r="N10" s="1268">
        <f t="shared" si="1"/>
        <v>40710174</v>
      </c>
      <c r="O10" s="1268">
        <f t="shared" si="1"/>
        <v>30607.030000000002</v>
      </c>
      <c r="P10" s="1268">
        <f t="shared" si="1"/>
        <v>100783578</v>
      </c>
      <c r="Q10" s="1268">
        <f t="shared" si="1"/>
        <v>0</v>
      </c>
      <c r="R10" s="1268">
        <f t="shared" si="1"/>
        <v>0</v>
      </c>
      <c r="S10" s="1268">
        <f t="shared" si="1"/>
        <v>37832.580000000009</v>
      </c>
      <c r="T10" s="1268">
        <f t="shared" si="1"/>
        <v>102197114</v>
      </c>
      <c r="U10" s="1268">
        <f t="shared" si="1"/>
        <v>0</v>
      </c>
      <c r="V10" s="1268">
        <f t="shared" si="1"/>
        <v>0</v>
      </c>
      <c r="W10" s="1268">
        <v>0</v>
      </c>
      <c r="X10" s="1268">
        <f t="shared" si="1"/>
        <v>26028043</v>
      </c>
      <c r="Y10" s="1268">
        <f t="shared" si="1"/>
        <v>0</v>
      </c>
    </row>
    <row r="11" spans="1:25" s="1280" customFormat="1" ht="42.6" customHeight="1">
      <c r="A11" s="1282">
        <v>1</v>
      </c>
      <c r="B11" s="1283" t="s">
        <v>1682</v>
      </c>
      <c r="C11" s="1268">
        <f t="shared" ref="C11" si="2">D11+N11+P11+R11+T11+V11+X11</f>
        <v>16299923</v>
      </c>
      <c r="D11" s="1268">
        <f t="shared" ref="D11" si="3">SUM(E11:J11)</f>
        <v>0</v>
      </c>
      <c r="E11" s="1268">
        <v>0</v>
      </c>
      <c r="F11" s="1268">
        <v>0</v>
      </c>
      <c r="G11" s="1268">
        <v>0</v>
      </c>
      <c r="H11" s="1268">
        <v>0</v>
      </c>
      <c r="I11" s="1268">
        <v>0</v>
      </c>
      <c r="J11" s="1268">
        <v>0</v>
      </c>
      <c r="K11" s="1278">
        <v>0</v>
      </c>
      <c r="L11" s="1268">
        <v>0</v>
      </c>
      <c r="M11" s="1278">
        <v>5</v>
      </c>
      <c r="N11" s="1284">
        <v>11274555</v>
      </c>
      <c r="O11" s="1268">
        <v>1524.5</v>
      </c>
      <c r="P11" s="1284">
        <v>3841426</v>
      </c>
      <c r="Q11" s="1268">
        <v>0</v>
      </c>
      <c r="R11" s="1268">
        <v>0</v>
      </c>
      <c r="S11" s="1268">
        <v>0</v>
      </c>
      <c r="T11" s="1268">
        <v>0</v>
      </c>
      <c r="U11" s="1268">
        <v>0</v>
      </c>
      <c r="V11" s="1268">
        <v>0</v>
      </c>
      <c r="W11" s="1268">
        <v>0</v>
      </c>
      <c r="X11" s="1268">
        <v>1183942</v>
      </c>
      <c r="Y11" s="1268">
        <v>0</v>
      </c>
    </row>
    <row r="12" spans="1:25" s="1285" customFormat="1">
      <c r="A12" s="1282">
        <v>2</v>
      </c>
      <c r="B12" s="1283" t="s">
        <v>1683</v>
      </c>
      <c r="C12" s="1268">
        <f t="shared" ref="C12:C75" si="4">D12+N12+P12+R12+T12+V12+X12</f>
        <v>6984731</v>
      </c>
      <c r="D12" s="1268">
        <f t="shared" ref="D12:D75" si="5">SUM(E12:J12)</f>
        <v>0</v>
      </c>
      <c r="E12" s="1268">
        <v>0</v>
      </c>
      <c r="F12" s="1268">
        <v>0</v>
      </c>
      <c r="G12" s="1268">
        <v>0</v>
      </c>
      <c r="H12" s="1268">
        <v>0</v>
      </c>
      <c r="I12" s="1268">
        <v>0</v>
      </c>
      <c r="J12" s="1268">
        <v>0</v>
      </c>
      <c r="K12" s="1278">
        <v>0</v>
      </c>
      <c r="L12" s="1268">
        <v>0</v>
      </c>
      <c r="M12" s="1278">
        <v>2</v>
      </c>
      <c r="N12" s="1284">
        <v>6477396</v>
      </c>
      <c r="O12" s="1268">
        <v>0</v>
      </c>
      <c r="P12" s="1268">
        <v>0</v>
      </c>
      <c r="Q12" s="1268">
        <v>0</v>
      </c>
      <c r="R12" s="1268">
        <v>0</v>
      </c>
      <c r="S12" s="1268">
        <v>0</v>
      </c>
      <c r="T12" s="1268">
        <v>0</v>
      </c>
      <c r="U12" s="1268">
        <v>0</v>
      </c>
      <c r="V12" s="1268">
        <v>0</v>
      </c>
      <c r="W12" s="1268">
        <v>0</v>
      </c>
      <c r="X12" s="1268">
        <v>507335</v>
      </c>
      <c r="Y12" s="1268">
        <v>0</v>
      </c>
    </row>
    <row r="13" spans="1:25" s="1285" customFormat="1">
      <c r="A13" s="1282">
        <v>3</v>
      </c>
      <c r="B13" s="1283" t="s">
        <v>1684</v>
      </c>
      <c r="C13" s="1268">
        <f t="shared" si="4"/>
        <v>10555158</v>
      </c>
      <c r="D13" s="1268">
        <f t="shared" si="5"/>
        <v>0</v>
      </c>
      <c r="E13" s="1268">
        <v>0</v>
      </c>
      <c r="F13" s="1268">
        <v>0</v>
      </c>
      <c r="G13" s="1268">
        <v>0</v>
      </c>
      <c r="H13" s="1268">
        <v>0</v>
      </c>
      <c r="I13" s="1268">
        <v>0</v>
      </c>
      <c r="J13" s="1268">
        <v>0</v>
      </c>
      <c r="K13" s="1278">
        <v>0</v>
      </c>
      <c r="L13" s="1268">
        <v>0</v>
      </c>
      <c r="M13" s="1278">
        <v>3</v>
      </c>
      <c r="N13" s="1284">
        <v>6764733</v>
      </c>
      <c r="O13" s="1268">
        <v>1200</v>
      </c>
      <c r="P13" s="1284">
        <v>3023753</v>
      </c>
      <c r="Q13" s="1268">
        <v>0</v>
      </c>
      <c r="R13" s="1268">
        <v>0</v>
      </c>
      <c r="S13" s="1268">
        <v>0</v>
      </c>
      <c r="T13" s="1268">
        <v>0</v>
      </c>
      <c r="U13" s="1268">
        <v>0</v>
      </c>
      <c r="V13" s="1268">
        <v>0</v>
      </c>
      <c r="W13" s="1268">
        <v>0</v>
      </c>
      <c r="X13" s="1268">
        <v>766672</v>
      </c>
      <c r="Y13" s="1268">
        <v>0</v>
      </c>
    </row>
    <row r="14" spans="1:25" s="1285" customFormat="1">
      <c r="A14" s="1282">
        <v>4</v>
      </c>
      <c r="B14" s="1283" t="s">
        <v>1685</v>
      </c>
      <c r="C14" s="1268">
        <f t="shared" si="4"/>
        <v>17461827</v>
      </c>
      <c r="D14" s="1268">
        <f t="shared" si="5"/>
        <v>0</v>
      </c>
      <c r="E14" s="1268">
        <v>0</v>
      </c>
      <c r="F14" s="1268">
        <v>0</v>
      </c>
      <c r="G14" s="1268">
        <v>0</v>
      </c>
      <c r="H14" s="1268">
        <v>0</v>
      </c>
      <c r="I14" s="1268">
        <v>0</v>
      </c>
      <c r="J14" s="1268">
        <v>0</v>
      </c>
      <c r="K14" s="1278">
        <v>0</v>
      </c>
      <c r="L14" s="1268">
        <v>0</v>
      </c>
      <c r="M14" s="1278">
        <v>5</v>
      </c>
      <c r="N14" s="1284">
        <v>16193490</v>
      </c>
      <c r="O14" s="1268">
        <v>0</v>
      </c>
      <c r="P14" s="1284">
        <v>0</v>
      </c>
      <c r="Q14" s="1268">
        <v>0</v>
      </c>
      <c r="R14" s="1268">
        <v>0</v>
      </c>
      <c r="S14" s="1268">
        <v>0</v>
      </c>
      <c r="T14" s="1268">
        <v>0</v>
      </c>
      <c r="U14" s="1268">
        <v>0</v>
      </c>
      <c r="V14" s="1268">
        <v>0</v>
      </c>
      <c r="W14" s="1268">
        <v>0</v>
      </c>
      <c r="X14" s="1268">
        <v>1268337</v>
      </c>
      <c r="Y14" s="1268">
        <v>0</v>
      </c>
    </row>
    <row r="15" spans="1:25" s="1285" customFormat="1">
      <c r="A15" s="1282">
        <v>5</v>
      </c>
      <c r="B15" s="1283" t="s">
        <v>1686</v>
      </c>
      <c r="C15" s="1268">
        <f t="shared" si="4"/>
        <v>143558</v>
      </c>
      <c r="D15" s="1268">
        <f t="shared" si="5"/>
        <v>0</v>
      </c>
      <c r="E15" s="1268">
        <v>0</v>
      </c>
      <c r="F15" s="1268">
        <v>0</v>
      </c>
      <c r="G15" s="1268">
        <v>0</v>
      </c>
      <c r="H15" s="1268">
        <v>0</v>
      </c>
      <c r="I15" s="1268">
        <v>0</v>
      </c>
      <c r="J15" s="1268">
        <v>0</v>
      </c>
      <c r="K15" s="1278">
        <v>0</v>
      </c>
      <c r="L15" s="1268">
        <v>0</v>
      </c>
      <c r="M15" s="1278">
        <v>0</v>
      </c>
      <c r="N15" s="1268">
        <v>0</v>
      </c>
      <c r="O15" s="1268">
        <v>0</v>
      </c>
      <c r="P15" s="1284">
        <v>0</v>
      </c>
      <c r="Q15" s="1268">
        <v>0</v>
      </c>
      <c r="R15" s="1268">
        <v>0</v>
      </c>
      <c r="S15" s="1268">
        <v>0</v>
      </c>
      <c r="T15" s="1268">
        <v>0</v>
      </c>
      <c r="U15" s="1268">
        <v>0</v>
      </c>
      <c r="V15" s="1268">
        <v>0</v>
      </c>
      <c r="W15" s="1268">
        <v>0</v>
      </c>
      <c r="X15" s="1268">
        <v>143558</v>
      </c>
      <c r="Y15" s="1268">
        <v>0</v>
      </c>
    </row>
    <row r="16" spans="1:25" s="1285" customFormat="1">
      <c r="A16" s="1282">
        <v>6</v>
      </c>
      <c r="B16" s="1267" t="s">
        <v>1724</v>
      </c>
      <c r="C16" s="1268">
        <f t="shared" si="4"/>
        <v>1223262</v>
      </c>
      <c r="D16" s="1268">
        <f t="shared" si="5"/>
        <v>0</v>
      </c>
      <c r="E16" s="1268">
        <v>0</v>
      </c>
      <c r="F16" s="1268">
        <v>0</v>
      </c>
      <c r="G16" s="1268">
        <v>0</v>
      </c>
      <c r="H16" s="1268">
        <v>0</v>
      </c>
      <c r="I16" s="1268">
        <v>0</v>
      </c>
      <c r="J16" s="1268">
        <v>0</v>
      </c>
      <c r="K16" s="1278">
        <v>0</v>
      </c>
      <c r="L16" s="1268">
        <v>0</v>
      </c>
      <c r="M16" s="1278">
        <v>0</v>
      </c>
      <c r="N16" s="1268">
        <v>0</v>
      </c>
      <c r="O16" s="1268">
        <v>450.2</v>
      </c>
      <c r="P16" s="1284">
        <v>1134411</v>
      </c>
      <c r="Q16" s="1268">
        <v>0</v>
      </c>
      <c r="R16" s="1268">
        <v>0</v>
      </c>
      <c r="S16" s="1268">
        <v>0</v>
      </c>
      <c r="T16" s="1268">
        <v>0</v>
      </c>
      <c r="U16" s="1268">
        <v>0</v>
      </c>
      <c r="V16" s="1268">
        <v>0</v>
      </c>
      <c r="W16" s="1268">
        <v>0</v>
      </c>
      <c r="X16" s="1268">
        <v>88851</v>
      </c>
      <c r="Y16" s="1268">
        <v>0</v>
      </c>
    </row>
    <row r="17" spans="1:25" s="1285" customFormat="1">
      <c r="A17" s="1282">
        <v>7</v>
      </c>
      <c r="B17" s="1283" t="s">
        <v>1687</v>
      </c>
      <c r="C17" s="1268">
        <f t="shared" si="4"/>
        <v>2502533</v>
      </c>
      <c r="D17" s="1268">
        <f t="shared" si="5"/>
        <v>2320763</v>
      </c>
      <c r="E17" s="1268">
        <v>0</v>
      </c>
      <c r="F17" s="1284">
        <v>887082</v>
      </c>
      <c r="G17" s="1268">
        <v>0</v>
      </c>
      <c r="H17" s="1284">
        <v>544642</v>
      </c>
      <c r="I17" s="1284">
        <v>544642</v>
      </c>
      <c r="J17" s="1284">
        <v>344397</v>
      </c>
      <c r="K17" s="1278">
        <v>0</v>
      </c>
      <c r="L17" s="1268">
        <v>0</v>
      </c>
      <c r="M17" s="1278">
        <v>0</v>
      </c>
      <c r="N17" s="1268">
        <v>0</v>
      </c>
      <c r="O17" s="1268">
        <v>0</v>
      </c>
      <c r="P17" s="1268">
        <v>0</v>
      </c>
      <c r="Q17" s="1268">
        <v>0</v>
      </c>
      <c r="R17" s="1268">
        <v>0</v>
      </c>
      <c r="S17" s="1268">
        <v>0</v>
      </c>
      <c r="T17" s="1268">
        <v>0</v>
      </c>
      <c r="U17" s="1268">
        <v>0</v>
      </c>
      <c r="V17" s="1268">
        <v>0</v>
      </c>
      <c r="W17" s="1268">
        <v>0</v>
      </c>
      <c r="X17" s="1268">
        <v>181770</v>
      </c>
      <c r="Y17" s="1268">
        <v>0</v>
      </c>
    </row>
    <row r="18" spans="1:25" s="1285" customFormat="1" ht="75.599999999999994">
      <c r="A18" s="1282">
        <v>8</v>
      </c>
      <c r="B18" s="1283" t="s">
        <v>1688</v>
      </c>
      <c r="C18" s="1268">
        <f t="shared" si="4"/>
        <v>3252433</v>
      </c>
      <c r="D18" s="1268">
        <f t="shared" si="5"/>
        <v>0</v>
      </c>
      <c r="E18" s="1268">
        <v>0</v>
      </c>
      <c r="F18" s="1268">
        <v>0</v>
      </c>
      <c r="G18" s="1268">
        <v>0</v>
      </c>
      <c r="H18" s="1268">
        <v>0</v>
      </c>
      <c r="I18" s="1268">
        <v>0</v>
      </c>
      <c r="J18" s="1268">
        <v>0</v>
      </c>
      <c r="K18" s="1278">
        <v>0</v>
      </c>
      <c r="L18" s="1268">
        <v>0</v>
      </c>
      <c r="M18" s="1278">
        <v>0</v>
      </c>
      <c r="N18" s="1268">
        <v>0</v>
      </c>
      <c r="O18" s="1268">
        <v>1197</v>
      </c>
      <c r="P18" s="1284">
        <v>3016193</v>
      </c>
      <c r="Q18" s="1268">
        <v>0</v>
      </c>
      <c r="R18" s="1268">
        <v>0</v>
      </c>
      <c r="S18" s="1268">
        <v>0</v>
      </c>
      <c r="T18" s="1268">
        <v>0</v>
      </c>
      <c r="U18" s="1268">
        <v>0</v>
      </c>
      <c r="V18" s="1268">
        <v>0</v>
      </c>
      <c r="W18" s="1268">
        <v>0</v>
      </c>
      <c r="X18" s="1268">
        <v>236240</v>
      </c>
      <c r="Y18" s="1268">
        <v>0</v>
      </c>
    </row>
    <row r="19" spans="1:25" s="1285" customFormat="1">
      <c r="A19" s="1282">
        <v>9</v>
      </c>
      <c r="B19" s="1283" t="s">
        <v>2231</v>
      </c>
      <c r="C19" s="1268">
        <f t="shared" si="4"/>
        <v>2472610</v>
      </c>
      <c r="D19" s="1268">
        <f t="shared" si="5"/>
        <v>0</v>
      </c>
      <c r="E19" s="1268">
        <v>0</v>
      </c>
      <c r="F19" s="1268">
        <v>0</v>
      </c>
      <c r="G19" s="1268">
        <v>0</v>
      </c>
      <c r="H19" s="1268">
        <v>0</v>
      </c>
      <c r="I19" s="1268">
        <v>0</v>
      </c>
      <c r="J19" s="1268">
        <v>0</v>
      </c>
      <c r="K19" s="1278">
        <v>0</v>
      </c>
      <c r="L19" s="1268">
        <v>0</v>
      </c>
      <c r="M19" s="1278">
        <v>0</v>
      </c>
      <c r="N19" s="1268">
        <v>0</v>
      </c>
      <c r="O19" s="1268">
        <v>910</v>
      </c>
      <c r="P19" s="1284">
        <v>2293012</v>
      </c>
      <c r="Q19" s="1268">
        <v>0</v>
      </c>
      <c r="R19" s="1268">
        <v>0</v>
      </c>
      <c r="S19" s="1268">
        <v>0</v>
      </c>
      <c r="T19" s="1268">
        <v>0</v>
      </c>
      <c r="U19" s="1268">
        <v>0</v>
      </c>
      <c r="V19" s="1268">
        <v>0</v>
      </c>
      <c r="W19" s="1268">
        <v>0</v>
      </c>
      <c r="X19" s="1268">
        <v>179598</v>
      </c>
      <c r="Y19" s="1268">
        <v>0</v>
      </c>
    </row>
    <row r="20" spans="1:25" s="1285" customFormat="1" ht="75.599999999999994">
      <c r="A20" s="1282">
        <v>10</v>
      </c>
      <c r="B20" s="1283" t="s">
        <v>2034</v>
      </c>
      <c r="C20" s="1268">
        <f t="shared" si="4"/>
        <v>2486195</v>
      </c>
      <c r="D20" s="1268">
        <f t="shared" si="5"/>
        <v>0</v>
      </c>
      <c r="E20" s="1268">
        <v>0</v>
      </c>
      <c r="F20" s="1268">
        <v>0</v>
      </c>
      <c r="G20" s="1268">
        <v>0</v>
      </c>
      <c r="H20" s="1268">
        <v>0</v>
      </c>
      <c r="I20" s="1268">
        <v>0</v>
      </c>
      <c r="J20" s="1268">
        <v>0</v>
      </c>
      <c r="K20" s="1278">
        <v>0</v>
      </c>
      <c r="L20" s="1268">
        <v>0</v>
      </c>
      <c r="M20" s="1278">
        <v>0</v>
      </c>
      <c r="N20" s="1268">
        <v>0</v>
      </c>
      <c r="O20" s="1268">
        <v>915</v>
      </c>
      <c r="P20" s="1284">
        <v>2305611</v>
      </c>
      <c r="Q20" s="1268">
        <v>0</v>
      </c>
      <c r="R20" s="1268">
        <v>0</v>
      </c>
      <c r="S20" s="1268">
        <v>0</v>
      </c>
      <c r="T20" s="1268">
        <v>0</v>
      </c>
      <c r="U20" s="1268">
        <v>0</v>
      </c>
      <c r="V20" s="1268">
        <v>0</v>
      </c>
      <c r="W20" s="1268">
        <v>0</v>
      </c>
      <c r="X20" s="1268">
        <v>180584</v>
      </c>
      <c r="Y20" s="1268">
        <v>0</v>
      </c>
    </row>
    <row r="21" spans="1:25" s="1285" customFormat="1" ht="75.599999999999994">
      <c r="A21" s="1282">
        <v>11</v>
      </c>
      <c r="B21" s="1283" t="s">
        <v>2596</v>
      </c>
      <c r="C21" s="1268">
        <f t="shared" si="4"/>
        <v>2978001</v>
      </c>
      <c r="D21" s="1268">
        <f t="shared" si="5"/>
        <v>0</v>
      </c>
      <c r="E21" s="1268">
        <v>0</v>
      </c>
      <c r="F21" s="1268">
        <v>0</v>
      </c>
      <c r="G21" s="1268">
        <v>0</v>
      </c>
      <c r="H21" s="1268">
        <v>0</v>
      </c>
      <c r="I21" s="1268">
        <v>0</v>
      </c>
      <c r="J21" s="1268">
        <v>0</v>
      </c>
      <c r="K21" s="1278">
        <v>0</v>
      </c>
      <c r="L21" s="1268">
        <v>0</v>
      </c>
      <c r="M21" s="1278">
        <v>0</v>
      </c>
      <c r="N21" s="1268">
        <v>0</v>
      </c>
      <c r="O21" s="1268">
        <v>1096</v>
      </c>
      <c r="P21" s="1284">
        <v>2761694</v>
      </c>
      <c r="Q21" s="1268">
        <v>0</v>
      </c>
      <c r="R21" s="1268">
        <v>0</v>
      </c>
      <c r="S21" s="1268">
        <v>0</v>
      </c>
      <c r="T21" s="1268">
        <v>0</v>
      </c>
      <c r="U21" s="1268">
        <v>0</v>
      </c>
      <c r="V21" s="1268">
        <v>0</v>
      </c>
      <c r="W21" s="1268">
        <v>0</v>
      </c>
      <c r="X21" s="1268">
        <v>216307</v>
      </c>
      <c r="Y21" s="1268">
        <v>0</v>
      </c>
    </row>
    <row r="22" spans="1:25" s="1285" customFormat="1">
      <c r="A22" s="1282">
        <v>12</v>
      </c>
      <c r="B22" s="1283" t="s">
        <v>2232</v>
      </c>
      <c r="C22" s="1268">
        <f t="shared" si="4"/>
        <v>1725393</v>
      </c>
      <c r="D22" s="1268">
        <f t="shared" si="5"/>
        <v>0</v>
      </c>
      <c r="E22" s="1268">
        <v>0</v>
      </c>
      <c r="F22" s="1268">
        <v>0</v>
      </c>
      <c r="G22" s="1268">
        <v>0</v>
      </c>
      <c r="H22" s="1268">
        <v>0</v>
      </c>
      <c r="I22" s="1268">
        <v>0</v>
      </c>
      <c r="J22" s="1268">
        <v>0</v>
      </c>
      <c r="K22" s="1278">
        <v>0</v>
      </c>
      <c r="L22" s="1268">
        <v>0</v>
      </c>
      <c r="M22" s="1278">
        <v>0</v>
      </c>
      <c r="N22" s="1268">
        <v>0</v>
      </c>
      <c r="O22" s="1268">
        <v>635</v>
      </c>
      <c r="P22" s="1284">
        <v>1600069</v>
      </c>
      <c r="Q22" s="1268">
        <v>0</v>
      </c>
      <c r="R22" s="1268">
        <v>0</v>
      </c>
      <c r="S22" s="1268">
        <v>0</v>
      </c>
      <c r="T22" s="1268">
        <v>0</v>
      </c>
      <c r="U22" s="1268">
        <v>0</v>
      </c>
      <c r="V22" s="1268">
        <v>0</v>
      </c>
      <c r="W22" s="1268">
        <v>0</v>
      </c>
      <c r="X22" s="1268">
        <v>125324</v>
      </c>
      <c r="Y22" s="1268">
        <v>0</v>
      </c>
    </row>
    <row r="23" spans="1:25" s="1285" customFormat="1">
      <c r="A23" s="1282">
        <v>13</v>
      </c>
      <c r="B23" s="1283" t="s">
        <v>1690</v>
      </c>
      <c r="C23" s="1268">
        <f t="shared" si="4"/>
        <v>1304334</v>
      </c>
      <c r="D23" s="1268">
        <f t="shared" si="5"/>
        <v>1209594</v>
      </c>
      <c r="E23" s="1268">
        <v>0</v>
      </c>
      <c r="F23" s="1268">
        <v>0</v>
      </c>
      <c r="G23" s="1268">
        <v>0</v>
      </c>
      <c r="H23" s="1268">
        <v>0</v>
      </c>
      <c r="I23" s="1268">
        <v>0</v>
      </c>
      <c r="J23" s="1284">
        <v>1209594</v>
      </c>
      <c r="K23" s="1278">
        <v>0</v>
      </c>
      <c r="L23" s="1268">
        <v>0</v>
      </c>
      <c r="M23" s="1278">
        <v>0</v>
      </c>
      <c r="N23" s="1268">
        <v>0</v>
      </c>
      <c r="O23" s="1268">
        <v>0</v>
      </c>
      <c r="P23" s="1268">
        <v>0</v>
      </c>
      <c r="Q23" s="1268">
        <v>0</v>
      </c>
      <c r="R23" s="1268">
        <v>0</v>
      </c>
      <c r="S23" s="1268">
        <v>0</v>
      </c>
      <c r="T23" s="1268">
        <v>0</v>
      </c>
      <c r="U23" s="1268">
        <v>0</v>
      </c>
      <c r="V23" s="1268">
        <v>0</v>
      </c>
      <c r="W23" s="1268">
        <v>0</v>
      </c>
      <c r="X23" s="1268">
        <v>94740</v>
      </c>
      <c r="Y23" s="1268">
        <v>0</v>
      </c>
    </row>
    <row r="24" spans="1:25" s="1285" customFormat="1" ht="75.599999999999994">
      <c r="A24" s="1282">
        <v>14</v>
      </c>
      <c r="B24" s="1283" t="s">
        <v>1691</v>
      </c>
      <c r="C24" s="1268">
        <f t="shared" si="4"/>
        <v>7429397</v>
      </c>
      <c r="D24" s="1268">
        <f t="shared" si="5"/>
        <v>0</v>
      </c>
      <c r="E24" s="1268">
        <v>0</v>
      </c>
      <c r="F24" s="1268">
        <v>0</v>
      </c>
      <c r="G24" s="1268">
        <v>0</v>
      </c>
      <c r="H24" s="1268">
        <v>0</v>
      </c>
      <c r="I24" s="1268">
        <v>0</v>
      </c>
      <c r="J24" s="1268">
        <v>0</v>
      </c>
      <c r="K24" s="1278">
        <v>0</v>
      </c>
      <c r="L24" s="1268">
        <v>0</v>
      </c>
      <c r="M24" s="1278">
        <v>0</v>
      </c>
      <c r="N24" s="1268">
        <v>0</v>
      </c>
      <c r="O24" s="1268">
        <v>700</v>
      </c>
      <c r="P24" s="1284">
        <v>3170936</v>
      </c>
      <c r="Q24" s="1268">
        <v>0</v>
      </c>
      <c r="R24" s="1268">
        <v>0</v>
      </c>
      <c r="S24" s="1268">
        <v>1507</v>
      </c>
      <c r="T24" s="1284">
        <v>3718828</v>
      </c>
      <c r="U24" s="1268">
        <v>0</v>
      </c>
      <c r="V24" s="1268">
        <v>0</v>
      </c>
      <c r="W24" s="1268">
        <v>0</v>
      </c>
      <c r="X24" s="1268">
        <v>539633</v>
      </c>
      <c r="Y24" s="1268">
        <v>0</v>
      </c>
    </row>
    <row r="25" spans="1:25" s="1285" customFormat="1" ht="75.599999999999994">
      <c r="A25" s="1282">
        <v>15</v>
      </c>
      <c r="B25" s="1283" t="s">
        <v>2597</v>
      </c>
      <c r="C25" s="1268">
        <f t="shared" si="4"/>
        <v>220003</v>
      </c>
      <c r="D25" s="1268">
        <f t="shared" si="5"/>
        <v>204023</v>
      </c>
      <c r="E25" s="1284">
        <v>204023</v>
      </c>
      <c r="F25" s="1268">
        <v>0</v>
      </c>
      <c r="G25" s="1268">
        <v>0</v>
      </c>
      <c r="H25" s="1268">
        <v>0</v>
      </c>
      <c r="I25" s="1268">
        <v>0</v>
      </c>
      <c r="J25" s="1268">
        <v>0</v>
      </c>
      <c r="K25" s="1278">
        <v>0</v>
      </c>
      <c r="L25" s="1268">
        <v>0</v>
      </c>
      <c r="M25" s="1278">
        <v>0</v>
      </c>
      <c r="N25" s="1268">
        <v>0</v>
      </c>
      <c r="O25" s="1268">
        <v>0</v>
      </c>
      <c r="P25" s="1268">
        <v>0</v>
      </c>
      <c r="Q25" s="1268">
        <v>0</v>
      </c>
      <c r="R25" s="1268">
        <v>0</v>
      </c>
      <c r="S25" s="1268">
        <v>0</v>
      </c>
      <c r="T25" s="1268">
        <v>0</v>
      </c>
      <c r="U25" s="1268">
        <v>0</v>
      </c>
      <c r="V25" s="1268">
        <v>0</v>
      </c>
      <c r="W25" s="1268">
        <v>0</v>
      </c>
      <c r="X25" s="1268">
        <v>15980</v>
      </c>
      <c r="Y25" s="1268">
        <v>0</v>
      </c>
    </row>
    <row r="26" spans="1:25" s="1285" customFormat="1">
      <c r="A26" s="1282">
        <v>16</v>
      </c>
      <c r="B26" s="1283" t="s">
        <v>1725</v>
      </c>
      <c r="C26" s="1268">
        <f t="shared" si="4"/>
        <v>1272992</v>
      </c>
      <c r="D26" s="1268">
        <f t="shared" si="5"/>
        <v>1180528</v>
      </c>
      <c r="E26" s="1268">
        <v>0</v>
      </c>
      <c r="F26" s="1268">
        <v>0</v>
      </c>
      <c r="G26" s="1284">
        <v>1180528</v>
      </c>
      <c r="H26" s="1268">
        <v>0</v>
      </c>
      <c r="I26" s="1268">
        <v>0</v>
      </c>
      <c r="J26" s="1268">
        <v>0</v>
      </c>
      <c r="K26" s="1278">
        <v>0</v>
      </c>
      <c r="L26" s="1268">
        <v>0</v>
      </c>
      <c r="M26" s="1278">
        <v>0</v>
      </c>
      <c r="N26" s="1268">
        <v>0</v>
      </c>
      <c r="O26" s="1268">
        <v>0</v>
      </c>
      <c r="P26" s="1268">
        <v>0</v>
      </c>
      <c r="Q26" s="1268">
        <v>0</v>
      </c>
      <c r="R26" s="1268">
        <v>0</v>
      </c>
      <c r="S26" s="1268">
        <v>0</v>
      </c>
      <c r="T26" s="1268">
        <v>0</v>
      </c>
      <c r="U26" s="1268">
        <v>0</v>
      </c>
      <c r="V26" s="1268">
        <v>0</v>
      </c>
      <c r="W26" s="1268">
        <v>0</v>
      </c>
      <c r="X26" s="1268">
        <v>92464</v>
      </c>
      <c r="Y26" s="1268">
        <v>0</v>
      </c>
    </row>
    <row r="27" spans="1:25" s="1285" customFormat="1" ht="75.599999999999994">
      <c r="A27" s="1282">
        <v>17</v>
      </c>
      <c r="B27" s="1283" t="s">
        <v>2392</v>
      </c>
      <c r="C27" s="1268">
        <f t="shared" si="4"/>
        <v>7458020</v>
      </c>
      <c r="D27" s="1268">
        <f t="shared" si="5"/>
        <v>0</v>
      </c>
      <c r="E27" s="1268">
        <v>0</v>
      </c>
      <c r="F27" s="1268">
        <v>0</v>
      </c>
      <c r="G27" s="1268">
        <v>0</v>
      </c>
      <c r="H27" s="1268">
        <v>0</v>
      </c>
      <c r="I27" s="1268">
        <v>0</v>
      </c>
      <c r="J27" s="1268">
        <v>0</v>
      </c>
      <c r="K27" s="1278">
        <v>0</v>
      </c>
      <c r="L27" s="1268">
        <v>0</v>
      </c>
      <c r="M27" s="1278">
        <v>0</v>
      </c>
      <c r="N27" s="1268">
        <v>0</v>
      </c>
      <c r="O27" s="1268">
        <v>921</v>
      </c>
      <c r="P27" s="1284">
        <v>2320730</v>
      </c>
      <c r="Q27" s="1268">
        <v>0</v>
      </c>
      <c r="R27" s="1268">
        <v>0</v>
      </c>
      <c r="S27" s="1268">
        <v>1862.29</v>
      </c>
      <c r="T27" s="1284">
        <v>4595578</v>
      </c>
      <c r="U27" s="1268">
        <v>0</v>
      </c>
      <c r="V27" s="1268">
        <v>0</v>
      </c>
      <c r="W27" s="1268">
        <v>0</v>
      </c>
      <c r="X27" s="1268">
        <v>541712</v>
      </c>
      <c r="Y27" s="1268">
        <v>0</v>
      </c>
    </row>
    <row r="28" spans="1:25" s="1286" customFormat="1" ht="75.599999999999994">
      <c r="A28" s="1282">
        <v>18</v>
      </c>
      <c r="B28" s="1267" t="s">
        <v>337</v>
      </c>
      <c r="C28" s="1268">
        <f t="shared" si="4"/>
        <v>379105</v>
      </c>
      <c r="D28" s="1268">
        <f t="shared" si="5"/>
        <v>351569</v>
      </c>
      <c r="E28" s="1268">
        <v>0</v>
      </c>
      <c r="F28" s="1268">
        <v>0</v>
      </c>
      <c r="G28" s="1268">
        <v>0</v>
      </c>
      <c r="H28" s="1268">
        <v>0</v>
      </c>
      <c r="I28" s="1268">
        <v>0</v>
      </c>
      <c r="J28" s="1284">
        <v>351569</v>
      </c>
      <c r="K28" s="1278">
        <v>0</v>
      </c>
      <c r="L28" s="1268">
        <v>0</v>
      </c>
      <c r="M28" s="1278">
        <v>0</v>
      </c>
      <c r="N28" s="1268">
        <v>0</v>
      </c>
      <c r="O28" s="1268">
        <v>0</v>
      </c>
      <c r="P28" s="1268">
        <v>0</v>
      </c>
      <c r="Q28" s="1268">
        <v>0</v>
      </c>
      <c r="R28" s="1268">
        <v>0</v>
      </c>
      <c r="S28" s="1268">
        <v>0</v>
      </c>
      <c r="T28" s="1268">
        <v>0</v>
      </c>
      <c r="U28" s="1268">
        <v>0</v>
      </c>
      <c r="V28" s="1268">
        <v>0</v>
      </c>
      <c r="W28" s="1268">
        <v>0</v>
      </c>
      <c r="X28" s="1268">
        <v>27536</v>
      </c>
      <c r="Y28" s="1268">
        <v>0</v>
      </c>
    </row>
    <row r="29" spans="1:25" s="1285" customFormat="1">
      <c r="A29" s="1282">
        <v>19</v>
      </c>
      <c r="B29" s="1283" t="s">
        <v>1726</v>
      </c>
      <c r="C29" s="1268">
        <f t="shared" si="4"/>
        <v>720344</v>
      </c>
      <c r="D29" s="1268">
        <f t="shared" si="5"/>
        <v>668022</v>
      </c>
      <c r="E29" s="1284">
        <v>668022</v>
      </c>
      <c r="F29" s="1268">
        <v>0</v>
      </c>
      <c r="G29" s="1268">
        <v>0</v>
      </c>
      <c r="H29" s="1268">
        <v>0</v>
      </c>
      <c r="I29" s="1268">
        <v>0</v>
      </c>
      <c r="J29" s="1268">
        <v>0</v>
      </c>
      <c r="K29" s="1278">
        <v>0</v>
      </c>
      <c r="L29" s="1268">
        <v>0</v>
      </c>
      <c r="M29" s="1278">
        <v>0</v>
      </c>
      <c r="N29" s="1268">
        <v>0</v>
      </c>
      <c r="O29" s="1268">
        <v>0</v>
      </c>
      <c r="P29" s="1268">
        <v>0</v>
      </c>
      <c r="Q29" s="1268">
        <v>0</v>
      </c>
      <c r="R29" s="1268">
        <v>0</v>
      </c>
      <c r="S29" s="1268">
        <v>0</v>
      </c>
      <c r="T29" s="1268">
        <v>0</v>
      </c>
      <c r="U29" s="1268">
        <v>0</v>
      </c>
      <c r="V29" s="1268">
        <v>0</v>
      </c>
      <c r="W29" s="1268">
        <v>0</v>
      </c>
      <c r="X29" s="1268">
        <v>52322</v>
      </c>
      <c r="Y29" s="1268">
        <v>0</v>
      </c>
    </row>
    <row r="30" spans="1:25" s="1285" customFormat="1" ht="75.599999999999994">
      <c r="A30" s="1282">
        <v>20</v>
      </c>
      <c r="B30" s="1283" t="s">
        <v>1694</v>
      </c>
      <c r="C30" s="1268">
        <f t="shared" si="4"/>
        <v>4274120</v>
      </c>
      <c r="D30" s="1268">
        <f t="shared" si="5"/>
        <v>0</v>
      </c>
      <c r="E30" s="1268">
        <v>0</v>
      </c>
      <c r="F30" s="1268">
        <v>0</v>
      </c>
      <c r="G30" s="1268">
        <v>0</v>
      </c>
      <c r="H30" s="1268">
        <v>0</v>
      </c>
      <c r="I30" s="1268">
        <v>0</v>
      </c>
      <c r="J30" s="1268">
        <v>0</v>
      </c>
      <c r="K30" s="1278">
        <v>0</v>
      </c>
      <c r="L30" s="1268">
        <v>0</v>
      </c>
      <c r="M30" s="1278">
        <v>0</v>
      </c>
      <c r="N30" s="1268">
        <v>0</v>
      </c>
      <c r="O30" s="1268">
        <v>875</v>
      </c>
      <c r="P30" s="1284">
        <v>3963670</v>
      </c>
      <c r="Q30" s="1268">
        <v>0</v>
      </c>
      <c r="R30" s="1268">
        <v>0</v>
      </c>
      <c r="S30" s="1268">
        <v>0</v>
      </c>
      <c r="T30" s="1268">
        <v>0</v>
      </c>
      <c r="U30" s="1268">
        <v>0</v>
      </c>
      <c r="V30" s="1268">
        <v>0</v>
      </c>
      <c r="W30" s="1268">
        <v>0</v>
      </c>
      <c r="X30" s="1268">
        <v>310450</v>
      </c>
      <c r="Y30" s="1268">
        <v>0</v>
      </c>
    </row>
    <row r="31" spans="1:25" s="1285" customFormat="1" ht="75.599999999999994">
      <c r="A31" s="1282">
        <v>21</v>
      </c>
      <c r="B31" s="1283" t="s">
        <v>2393</v>
      </c>
      <c r="C31" s="1268">
        <f t="shared" si="4"/>
        <v>1840546</v>
      </c>
      <c r="D31" s="1268">
        <f t="shared" si="5"/>
        <v>0</v>
      </c>
      <c r="E31" s="1268">
        <v>0</v>
      </c>
      <c r="F31" s="1268">
        <v>0</v>
      </c>
      <c r="G31" s="1268">
        <v>0</v>
      </c>
      <c r="H31" s="1268">
        <v>0</v>
      </c>
      <c r="I31" s="1268">
        <v>0</v>
      </c>
      <c r="J31" s="1268">
        <v>0</v>
      </c>
      <c r="K31" s="1278">
        <v>0</v>
      </c>
      <c r="L31" s="1268">
        <v>0</v>
      </c>
      <c r="M31" s="1278">
        <v>0</v>
      </c>
      <c r="N31" s="1268">
        <v>0</v>
      </c>
      <c r="O31" s="1268">
        <v>543.79999999999995</v>
      </c>
      <c r="P31" s="1284">
        <v>1706858</v>
      </c>
      <c r="Q31" s="1268">
        <v>0</v>
      </c>
      <c r="R31" s="1268">
        <v>0</v>
      </c>
      <c r="S31" s="1268">
        <v>0</v>
      </c>
      <c r="T31" s="1268">
        <v>0</v>
      </c>
      <c r="U31" s="1268">
        <v>0</v>
      </c>
      <c r="V31" s="1268">
        <v>0</v>
      </c>
      <c r="W31" s="1268">
        <v>0</v>
      </c>
      <c r="X31" s="1268">
        <v>133688</v>
      </c>
      <c r="Y31" s="1268">
        <v>0</v>
      </c>
    </row>
    <row r="32" spans="1:25" s="1285" customFormat="1" ht="75.599999999999994">
      <c r="A32" s="1282">
        <v>22</v>
      </c>
      <c r="B32" s="1283" t="s">
        <v>1696</v>
      </c>
      <c r="C32" s="1268">
        <f t="shared" si="4"/>
        <v>1985158</v>
      </c>
      <c r="D32" s="1268">
        <f t="shared" si="5"/>
        <v>1840966</v>
      </c>
      <c r="E32" s="1284">
        <v>1840966</v>
      </c>
      <c r="F32" s="1268">
        <v>0</v>
      </c>
      <c r="G32" s="1268">
        <v>0</v>
      </c>
      <c r="H32" s="1268">
        <v>0</v>
      </c>
      <c r="I32" s="1268">
        <v>0</v>
      </c>
      <c r="J32" s="1268">
        <v>0</v>
      </c>
      <c r="K32" s="1278">
        <v>0</v>
      </c>
      <c r="L32" s="1268">
        <v>0</v>
      </c>
      <c r="M32" s="1278">
        <v>0</v>
      </c>
      <c r="N32" s="1268">
        <v>0</v>
      </c>
      <c r="O32" s="1268">
        <v>0</v>
      </c>
      <c r="P32" s="1268">
        <v>0</v>
      </c>
      <c r="Q32" s="1268">
        <v>0</v>
      </c>
      <c r="R32" s="1268">
        <v>0</v>
      </c>
      <c r="S32" s="1268">
        <v>0</v>
      </c>
      <c r="T32" s="1268">
        <v>0</v>
      </c>
      <c r="U32" s="1268">
        <v>0</v>
      </c>
      <c r="V32" s="1268">
        <v>0</v>
      </c>
      <c r="W32" s="1268">
        <v>0</v>
      </c>
      <c r="X32" s="1268">
        <v>144192</v>
      </c>
      <c r="Y32" s="1268">
        <v>0</v>
      </c>
    </row>
    <row r="33" spans="1:25" s="1285" customFormat="1">
      <c r="A33" s="1282">
        <v>23</v>
      </c>
      <c r="B33" s="1283" t="s">
        <v>1697</v>
      </c>
      <c r="C33" s="1268">
        <f t="shared" si="4"/>
        <v>2465544</v>
      </c>
      <c r="D33" s="1268">
        <f t="shared" si="5"/>
        <v>660894</v>
      </c>
      <c r="E33" s="1284">
        <v>380836</v>
      </c>
      <c r="F33" s="1268">
        <v>0</v>
      </c>
      <c r="G33" s="1268">
        <v>0</v>
      </c>
      <c r="H33" s="1268">
        <v>0</v>
      </c>
      <c r="I33" s="1268">
        <v>0</v>
      </c>
      <c r="J33" s="1284">
        <v>280058</v>
      </c>
      <c r="K33" s="1278">
        <v>0</v>
      </c>
      <c r="L33" s="1268">
        <v>0</v>
      </c>
      <c r="M33" s="1278">
        <v>0</v>
      </c>
      <c r="N33" s="1268">
        <v>0</v>
      </c>
      <c r="O33" s="1268">
        <v>517.9</v>
      </c>
      <c r="P33" s="1284">
        <v>1625565</v>
      </c>
      <c r="Q33" s="1268">
        <v>0</v>
      </c>
      <c r="R33" s="1268">
        <v>0</v>
      </c>
      <c r="S33" s="1268">
        <v>0</v>
      </c>
      <c r="T33" s="1268">
        <v>0</v>
      </c>
      <c r="U33" s="1268">
        <v>0</v>
      </c>
      <c r="V33" s="1268">
        <v>0</v>
      </c>
      <c r="W33" s="1268">
        <v>0</v>
      </c>
      <c r="X33" s="1268">
        <v>179085</v>
      </c>
      <c r="Y33" s="1268">
        <v>0</v>
      </c>
    </row>
    <row r="34" spans="1:25" s="1285" customFormat="1">
      <c r="A34" s="1282">
        <v>24</v>
      </c>
      <c r="B34" s="1283" t="s">
        <v>263</v>
      </c>
      <c r="C34" s="1268">
        <f t="shared" si="4"/>
        <v>409752</v>
      </c>
      <c r="D34" s="1268">
        <f t="shared" si="5"/>
        <v>379990</v>
      </c>
      <c r="E34" s="1268">
        <v>0</v>
      </c>
      <c r="F34" s="1268">
        <v>0</v>
      </c>
      <c r="G34" s="1268">
        <v>0</v>
      </c>
      <c r="H34" s="1268">
        <v>0</v>
      </c>
      <c r="I34" s="1268">
        <v>0</v>
      </c>
      <c r="J34" s="1284">
        <v>379990</v>
      </c>
      <c r="K34" s="1278">
        <v>0</v>
      </c>
      <c r="L34" s="1268">
        <v>0</v>
      </c>
      <c r="M34" s="1278">
        <v>0</v>
      </c>
      <c r="N34" s="1268">
        <v>0</v>
      </c>
      <c r="O34" s="1268">
        <v>0</v>
      </c>
      <c r="P34" s="1268">
        <v>0</v>
      </c>
      <c r="Q34" s="1268">
        <v>0</v>
      </c>
      <c r="R34" s="1268">
        <v>0</v>
      </c>
      <c r="S34" s="1268">
        <v>0</v>
      </c>
      <c r="T34" s="1268">
        <v>0</v>
      </c>
      <c r="U34" s="1268">
        <v>0</v>
      </c>
      <c r="V34" s="1268">
        <v>0</v>
      </c>
      <c r="W34" s="1268">
        <v>0</v>
      </c>
      <c r="X34" s="1268">
        <v>29762</v>
      </c>
      <c r="Y34" s="1268">
        <v>0</v>
      </c>
    </row>
    <row r="35" spans="1:25" s="1285" customFormat="1" ht="75.599999999999994">
      <c r="A35" s="1282">
        <v>25</v>
      </c>
      <c r="B35" s="1283" t="s">
        <v>2394</v>
      </c>
      <c r="C35" s="1268">
        <f t="shared" si="4"/>
        <v>425860</v>
      </c>
      <c r="D35" s="1268">
        <f t="shared" si="5"/>
        <v>394928</v>
      </c>
      <c r="E35" s="1268">
        <v>0</v>
      </c>
      <c r="F35" s="1268">
        <v>0</v>
      </c>
      <c r="G35" s="1268">
        <v>0</v>
      </c>
      <c r="H35" s="1268">
        <v>0</v>
      </c>
      <c r="I35" s="1268">
        <v>0</v>
      </c>
      <c r="J35" s="1284">
        <v>394928</v>
      </c>
      <c r="K35" s="1278">
        <v>0</v>
      </c>
      <c r="L35" s="1268">
        <v>0</v>
      </c>
      <c r="M35" s="1278">
        <v>0</v>
      </c>
      <c r="N35" s="1268">
        <v>0</v>
      </c>
      <c r="O35" s="1268">
        <v>0</v>
      </c>
      <c r="P35" s="1268">
        <v>0</v>
      </c>
      <c r="Q35" s="1268">
        <v>0</v>
      </c>
      <c r="R35" s="1268">
        <v>0</v>
      </c>
      <c r="S35" s="1268">
        <v>0</v>
      </c>
      <c r="T35" s="1268">
        <v>0</v>
      </c>
      <c r="U35" s="1268">
        <v>0</v>
      </c>
      <c r="V35" s="1268">
        <v>0</v>
      </c>
      <c r="W35" s="1268">
        <v>0</v>
      </c>
      <c r="X35" s="1268">
        <v>30932</v>
      </c>
      <c r="Y35" s="1268">
        <v>0</v>
      </c>
    </row>
    <row r="36" spans="1:25" s="1285" customFormat="1" ht="75.599999999999994">
      <c r="A36" s="1282">
        <v>26</v>
      </c>
      <c r="B36" s="1283" t="s">
        <v>1698</v>
      </c>
      <c r="C36" s="1268">
        <f t="shared" si="4"/>
        <v>945487</v>
      </c>
      <c r="D36" s="1268">
        <f t="shared" si="5"/>
        <v>876812</v>
      </c>
      <c r="E36" s="1284">
        <v>876812</v>
      </c>
      <c r="F36" s="1268">
        <v>0</v>
      </c>
      <c r="G36" s="1268">
        <v>0</v>
      </c>
      <c r="H36" s="1268">
        <v>0</v>
      </c>
      <c r="I36" s="1268">
        <v>0</v>
      </c>
      <c r="J36" s="1268">
        <v>0</v>
      </c>
      <c r="K36" s="1278">
        <v>0</v>
      </c>
      <c r="L36" s="1268">
        <v>0</v>
      </c>
      <c r="M36" s="1278">
        <v>0</v>
      </c>
      <c r="N36" s="1268">
        <v>0</v>
      </c>
      <c r="O36" s="1268">
        <v>0</v>
      </c>
      <c r="P36" s="1268">
        <v>0</v>
      </c>
      <c r="Q36" s="1268">
        <v>0</v>
      </c>
      <c r="R36" s="1268">
        <v>0</v>
      </c>
      <c r="S36" s="1268">
        <v>0</v>
      </c>
      <c r="T36" s="1268">
        <v>0</v>
      </c>
      <c r="U36" s="1268">
        <v>0</v>
      </c>
      <c r="V36" s="1268">
        <v>0</v>
      </c>
      <c r="W36" s="1268">
        <v>0</v>
      </c>
      <c r="X36" s="1268">
        <v>68675</v>
      </c>
      <c r="Y36" s="1268">
        <v>0</v>
      </c>
    </row>
    <row r="37" spans="1:25" s="1285" customFormat="1">
      <c r="A37" s="1282">
        <v>27</v>
      </c>
      <c r="B37" s="1283" t="s">
        <v>1699</v>
      </c>
      <c r="C37" s="1268">
        <f t="shared" si="4"/>
        <v>3932416</v>
      </c>
      <c r="D37" s="1268">
        <f t="shared" si="5"/>
        <v>476614</v>
      </c>
      <c r="E37" s="1284">
        <v>476614</v>
      </c>
      <c r="F37" s="1268">
        <v>0</v>
      </c>
      <c r="G37" s="1268">
        <v>0</v>
      </c>
      <c r="H37" s="1268">
        <v>0</v>
      </c>
      <c r="I37" s="1268">
        <v>0</v>
      </c>
      <c r="J37" s="1268">
        <v>0</v>
      </c>
      <c r="K37" s="1278">
        <v>0</v>
      </c>
      <c r="L37" s="1268">
        <v>0</v>
      </c>
      <c r="M37" s="1278">
        <v>0</v>
      </c>
      <c r="N37" s="1268">
        <v>0</v>
      </c>
      <c r="O37" s="1268">
        <v>621.01</v>
      </c>
      <c r="P37" s="1284">
        <v>1949203</v>
      </c>
      <c r="Q37" s="1268">
        <v>0</v>
      </c>
      <c r="R37" s="1268">
        <v>0</v>
      </c>
      <c r="S37" s="1268">
        <v>494.78</v>
      </c>
      <c r="T37" s="1284">
        <v>1220969</v>
      </c>
      <c r="U37" s="1268">
        <v>0</v>
      </c>
      <c r="V37" s="1268">
        <v>0</v>
      </c>
      <c r="W37" s="1268">
        <v>0</v>
      </c>
      <c r="X37" s="1268">
        <v>285630</v>
      </c>
      <c r="Y37" s="1268">
        <v>0</v>
      </c>
    </row>
    <row r="38" spans="1:25" s="1285" customFormat="1">
      <c r="A38" s="1282">
        <v>28</v>
      </c>
      <c r="B38" s="1283" t="s">
        <v>1700</v>
      </c>
      <c r="C38" s="1268">
        <f t="shared" si="4"/>
        <v>3786311</v>
      </c>
      <c r="D38" s="1268">
        <f t="shared" si="5"/>
        <v>0</v>
      </c>
      <c r="E38" s="1268">
        <v>0</v>
      </c>
      <c r="F38" s="1268">
        <v>0</v>
      </c>
      <c r="G38" s="1268">
        <v>0</v>
      </c>
      <c r="H38" s="1268">
        <v>0</v>
      </c>
      <c r="I38" s="1268">
        <v>0</v>
      </c>
      <c r="J38" s="1268">
        <v>0</v>
      </c>
      <c r="K38" s="1278">
        <v>0</v>
      </c>
      <c r="L38" s="1268">
        <v>0</v>
      </c>
      <c r="M38" s="1278">
        <v>0</v>
      </c>
      <c r="N38" s="1268">
        <v>0</v>
      </c>
      <c r="O38" s="1268">
        <v>0</v>
      </c>
      <c r="P38" s="1268">
        <v>0</v>
      </c>
      <c r="Q38" s="1268">
        <v>0</v>
      </c>
      <c r="R38" s="1268">
        <v>0</v>
      </c>
      <c r="S38" s="1268">
        <v>1422.9</v>
      </c>
      <c r="T38" s="1284">
        <v>3511293</v>
      </c>
      <c r="U38" s="1268">
        <v>0</v>
      </c>
      <c r="V38" s="1268">
        <v>0</v>
      </c>
      <c r="W38" s="1268">
        <v>0</v>
      </c>
      <c r="X38" s="1268">
        <v>275018</v>
      </c>
      <c r="Y38" s="1268">
        <v>0</v>
      </c>
    </row>
    <row r="39" spans="1:25" s="1285" customFormat="1" ht="75.599999999999994">
      <c r="A39" s="1282">
        <v>29</v>
      </c>
      <c r="B39" s="1283" t="s">
        <v>250</v>
      </c>
      <c r="C39" s="1268">
        <f t="shared" si="4"/>
        <v>958615</v>
      </c>
      <c r="D39" s="1268">
        <f t="shared" si="5"/>
        <v>888986</v>
      </c>
      <c r="E39" s="1284">
        <v>888986</v>
      </c>
      <c r="F39" s="1268">
        <v>0</v>
      </c>
      <c r="G39" s="1268">
        <v>0</v>
      </c>
      <c r="H39" s="1268">
        <v>0</v>
      </c>
      <c r="I39" s="1268">
        <v>0</v>
      </c>
      <c r="J39" s="1268">
        <v>0</v>
      </c>
      <c r="K39" s="1278">
        <v>0</v>
      </c>
      <c r="L39" s="1268">
        <v>0</v>
      </c>
      <c r="M39" s="1278">
        <v>0</v>
      </c>
      <c r="N39" s="1268">
        <v>0</v>
      </c>
      <c r="O39" s="1268">
        <v>0</v>
      </c>
      <c r="P39" s="1268">
        <v>0</v>
      </c>
      <c r="Q39" s="1268">
        <v>0</v>
      </c>
      <c r="R39" s="1268">
        <v>0</v>
      </c>
      <c r="S39" s="1268">
        <v>0</v>
      </c>
      <c r="T39" s="1268">
        <v>0</v>
      </c>
      <c r="U39" s="1268">
        <v>0</v>
      </c>
      <c r="V39" s="1268">
        <v>0</v>
      </c>
      <c r="W39" s="1268">
        <v>0</v>
      </c>
      <c r="X39" s="1268">
        <v>69629</v>
      </c>
      <c r="Y39" s="1268">
        <v>0</v>
      </c>
    </row>
    <row r="40" spans="1:25" s="1285" customFormat="1">
      <c r="A40" s="1282">
        <v>30</v>
      </c>
      <c r="B40" s="1283" t="s">
        <v>1701</v>
      </c>
      <c r="C40" s="1268">
        <f t="shared" si="4"/>
        <v>1907186</v>
      </c>
      <c r="D40" s="1268">
        <f t="shared" si="5"/>
        <v>488576</v>
      </c>
      <c r="E40" s="1284">
        <v>281539</v>
      </c>
      <c r="F40" s="1268">
        <v>0</v>
      </c>
      <c r="G40" s="1268">
        <v>0</v>
      </c>
      <c r="H40" s="1268">
        <v>0</v>
      </c>
      <c r="I40" s="1268">
        <v>0</v>
      </c>
      <c r="J40" s="1284">
        <v>207037</v>
      </c>
      <c r="K40" s="1278">
        <v>0</v>
      </c>
      <c r="L40" s="1268">
        <v>0</v>
      </c>
      <c r="M40" s="1278">
        <v>0</v>
      </c>
      <c r="N40" s="1268">
        <v>0</v>
      </c>
      <c r="O40" s="1268">
        <v>407.83</v>
      </c>
      <c r="P40" s="1284">
        <v>1280082</v>
      </c>
      <c r="Q40" s="1268">
        <v>0</v>
      </c>
      <c r="R40" s="1268">
        <v>0</v>
      </c>
      <c r="S40" s="1268">
        <v>0</v>
      </c>
      <c r="T40" s="1268">
        <v>0</v>
      </c>
      <c r="U40" s="1268">
        <v>0</v>
      </c>
      <c r="V40" s="1268">
        <v>0</v>
      </c>
      <c r="W40" s="1268">
        <v>0</v>
      </c>
      <c r="X40" s="1268">
        <v>138528</v>
      </c>
      <c r="Y40" s="1268">
        <v>0</v>
      </c>
    </row>
    <row r="41" spans="1:25" s="1285" customFormat="1">
      <c r="A41" s="1282">
        <v>31</v>
      </c>
      <c r="B41" s="1267" t="s">
        <v>496</v>
      </c>
      <c r="C41" s="1268">
        <f t="shared" si="4"/>
        <v>5534843</v>
      </c>
      <c r="D41" s="1268">
        <f t="shared" si="5"/>
        <v>0</v>
      </c>
      <c r="E41" s="1268">
        <v>0</v>
      </c>
      <c r="F41" s="1268">
        <v>0</v>
      </c>
      <c r="G41" s="1268">
        <v>0</v>
      </c>
      <c r="H41" s="1268">
        <v>0</v>
      </c>
      <c r="I41" s="1268">
        <v>0</v>
      </c>
      <c r="J41" s="1268">
        <v>0</v>
      </c>
      <c r="K41" s="1278">
        <v>0</v>
      </c>
      <c r="L41" s="1268">
        <v>0</v>
      </c>
      <c r="M41" s="1278">
        <v>0</v>
      </c>
      <c r="N41" s="1268">
        <v>0</v>
      </c>
      <c r="O41" s="1268">
        <v>0</v>
      </c>
      <c r="P41" s="1268">
        <v>0</v>
      </c>
      <c r="Q41" s="1268">
        <v>0</v>
      </c>
      <c r="R41" s="1268">
        <v>0</v>
      </c>
      <c r="S41" s="1268">
        <v>2080</v>
      </c>
      <c r="T41" s="1284">
        <v>5132821</v>
      </c>
      <c r="U41" s="1268">
        <v>0</v>
      </c>
      <c r="V41" s="1268">
        <v>0</v>
      </c>
      <c r="W41" s="1268">
        <v>0</v>
      </c>
      <c r="X41" s="1268">
        <v>402022</v>
      </c>
      <c r="Y41" s="1268">
        <v>0</v>
      </c>
    </row>
    <row r="42" spans="1:25" s="1285" customFormat="1">
      <c r="A42" s="1282">
        <v>32</v>
      </c>
      <c r="B42" s="1283" t="s">
        <v>1702</v>
      </c>
      <c r="C42" s="1268">
        <f t="shared" si="4"/>
        <v>2175056</v>
      </c>
      <c r="D42" s="1268">
        <f t="shared" si="5"/>
        <v>394331</v>
      </c>
      <c r="E42" s="1284">
        <v>394331</v>
      </c>
      <c r="F42" s="1268">
        <v>0</v>
      </c>
      <c r="G42" s="1268">
        <v>0</v>
      </c>
      <c r="H42" s="1268">
        <v>0</v>
      </c>
      <c r="I42" s="1268">
        <v>0</v>
      </c>
      <c r="J42" s="1268">
        <v>0</v>
      </c>
      <c r="K42" s="1278">
        <v>0</v>
      </c>
      <c r="L42" s="1268">
        <v>0</v>
      </c>
      <c r="M42" s="1278">
        <v>0</v>
      </c>
      <c r="N42" s="1268">
        <v>0</v>
      </c>
      <c r="O42" s="1268">
        <v>517</v>
      </c>
      <c r="P42" s="1284">
        <v>1622740</v>
      </c>
      <c r="Q42" s="1268">
        <v>0</v>
      </c>
      <c r="R42" s="1268">
        <v>0</v>
      </c>
      <c r="S42" s="1268">
        <v>0</v>
      </c>
      <c r="T42" s="1268">
        <v>0</v>
      </c>
      <c r="U42" s="1268">
        <v>0</v>
      </c>
      <c r="V42" s="1268">
        <v>0</v>
      </c>
      <c r="W42" s="1268">
        <v>0</v>
      </c>
      <c r="X42" s="1268">
        <v>157985</v>
      </c>
      <c r="Y42" s="1268">
        <v>0</v>
      </c>
    </row>
    <row r="43" spans="1:25" s="1285" customFormat="1">
      <c r="A43" s="1282">
        <v>33</v>
      </c>
      <c r="B43" s="1283" t="s">
        <v>1703</v>
      </c>
      <c r="C43" s="1268">
        <f t="shared" si="4"/>
        <v>7608031</v>
      </c>
      <c r="D43" s="1268">
        <f t="shared" si="5"/>
        <v>0</v>
      </c>
      <c r="E43" s="1268">
        <v>0</v>
      </c>
      <c r="F43" s="1268">
        <v>0</v>
      </c>
      <c r="G43" s="1268">
        <v>0</v>
      </c>
      <c r="H43" s="1268">
        <v>0</v>
      </c>
      <c r="I43" s="1268">
        <v>0</v>
      </c>
      <c r="J43" s="1268">
        <v>0</v>
      </c>
      <c r="K43" s="1278">
        <v>0</v>
      </c>
      <c r="L43" s="1268">
        <v>0</v>
      </c>
      <c r="M43" s="1278">
        <v>0</v>
      </c>
      <c r="N43" s="1268">
        <v>0</v>
      </c>
      <c r="O43" s="1268">
        <v>2800</v>
      </c>
      <c r="P43" s="1284">
        <v>7055423</v>
      </c>
      <c r="Q43" s="1268">
        <v>0</v>
      </c>
      <c r="R43" s="1268">
        <v>0</v>
      </c>
      <c r="S43" s="1268">
        <v>0</v>
      </c>
      <c r="T43" s="1268">
        <v>0</v>
      </c>
      <c r="U43" s="1268">
        <v>0</v>
      </c>
      <c r="V43" s="1268">
        <v>0</v>
      </c>
      <c r="W43" s="1268">
        <v>0</v>
      </c>
      <c r="X43" s="1268">
        <v>552608</v>
      </c>
      <c r="Y43" s="1268">
        <v>0</v>
      </c>
    </row>
    <row r="44" spans="1:25" s="1285" customFormat="1" ht="75.599999999999994">
      <c r="A44" s="1282">
        <v>34</v>
      </c>
      <c r="B44" s="1283" t="s">
        <v>1704</v>
      </c>
      <c r="C44" s="1268">
        <f t="shared" si="4"/>
        <v>2033556</v>
      </c>
      <c r="D44" s="1268">
        <f t="shared" si="5"/>
        <v>1885849</v>
      </c>
      <c r="E44" s="1284">
        <v>1885849</v>
      </c>
      <c r="F44" s="1268">
        <v>0</v>
      </c>
      <c r="G44" s="1268">
        <v>0</v>
      </c>
      <c r="H44" s="1268">
        <v>0</v>
      </c>
      <c r="I44" s="1268">
        <v>0</v>
      </c>
      <c r="J44" s="1268">
        <v>0</v>
      </c>
      <c r="K44" s="1278">
        <v>0</v>
      </c>
      <c r="L44" s="1268">
        <v>0</v>
      </c>
      <c r="M44" s="1278">
        <v>0</v>
      </c>
      <c r="N44" s="1268">
        <v>0</v>
      </c>
      <c r="O44" s="1268">
        <v>0</v>
      </c>
      <c r="P44" s="1268">
        <v>0</v>
      </c>
      <c r="Q44" s="1268">
        <v>0</v>
      </c>
      <c r="R44" s="1268">
        <v>0</v>
      </c>
      <c r="S44" s="1268">
        <v>0</v>
      </c>
      <c r="T44" s="1268">
        <v>0</v>
      </c>
      <c r="U44" s="1268">
        <v>0</v>
      </c>
      <c r="V44" s="1268">
        <v>0</v>
      </c>
      <c r="W44" s="1268">
        <v>0</v>
      </c>
      <c r="X44" s="1268">
        <v>147707</v>
      </c>
      <c r="Y44" s="1268">
        <v>0</v>
      </c>
    </row>
    <row r="45" spans="1:25" s="1285" customFormat="1" ht="75.599999999999994">
      <c r="A45" s="1282">
        <v>35</v>
      </c>
      <c r="B45" s="1283" t="s">
        <v>1705</v>
      </c>
      <c r="C45" s="1268">
        <f t="shared" si="4"/>
        <v>3653569</v>
      </c>
      <c r="D45" s="1268">
        <f t="shared" si="5"/>
        <v>3388193</v>
      </c>
      <c r="E45" s="1268">
        <v>0</v>
      </c>
      <c r="F45" s="1268">
        <v>0</v>
      </c>
      <c r="G45" s="1268">
        <v>0</v>
      </c>
      <c r="H45" s="1284">
        <v>3388193</v>
      </c>
      <c r="I45" s="1268">
        <v>0</v>
      </c>
      <c r="J45" s="1268">
        <v>0</v>
      </c>
      <c r="K45" s="1278">
        <v>0</v>
      </c>
      <c r="L45" s="1268">
        <v>0</v>
      </c>
      <c r="M45" s="1278">
        <v>0</v>
      </c>
      <c r="N45" s="1268">
        <v>0</v>
      </c>
      <c r="O45" s="1268">
        <v>0</v>
      </c>
      <c r="P45" s="1268">
        <v>0</v>
      </c>
      <c r="Q45" s="1268">
        <v>0</v>
      </c>
      <c r="R45" s="1268">
        <v>0</v>
      </c>
      <c r="S45" s="1268">
        <v>0</v>
      </c>
      <c r="T45" s="1268">
        <v>0</v>
      </c>
      <c r="U45" s="1268">
        <v>0</v>
      </c>
      <c r="V45" s="1268">
        <v>0</v>
      </c>
      <c r="W45" s="1268">
        <v>0</v>
      </c>
      <c r="X45" s="1268">
        <v>265376</v>
      </c>
      <c r="Y45" s="1268">
        <v>0</v>
      </c>
    </row>
    <row r="46" spans="1:25" s="1285" customFormat="1">
      <c r="A46" s="1282">
        <v>36</v>
      </c>
      <c r="B46" s="1283" t="s">
        <v>1706</v>
      </c>
      <c r="C46" s="1268">
        <f t="shared" si="4"/>
        <v>771870</v>
      </c>
      <c r="D46" s="1268">
        <f t="shared" si="5"/>
        <v>715805</v>
      </c>
      <c r="E46" s="1268">
        <v>0</v>
      </c>
      <c r="F46" s="1284">
        <v>715805</v>
      </c>
      <c r="G46" s="1268">
        <v>0</v>
      </c>
      <c r="H46" s="1268">
        <v>0</v>
      </c>
      <c r="I46" s="1268">
        <v>0</v>
      </c>
      <c r="J46" s="1268">
        <v>0</v>
      </c>
      <c r="K46" s="1278">
        <v>0</v>
      </c>
      <c r="L46" s="1268">
        <v>0</v>
      </c>
      <c r="M46" s="1278">
        <v>0</v>
      </c>
      <c r="N46" s="1268">
        <v>0</v>
      </c>
      <c r="O46" s="1268">
        <v>0</v>
      </c>
      <c r="P46" s="1268">
        <v>0</v>
      </c>
      <c r="Q46" s="1268">
        <v>0</v>
      </c>
      <c r="R46" s="1268">
        <v>0</v>
      </c>
      <c r="S46" s="1268">
        <v>0</v>
      </c>
      <c r="T46" s="1268">
        <v>0</v>
      </c>
      <c r="U46" s="1268">
        <v>0</v>
      </c>
      <c r="V46" s="1268">
        <v>0</v>
      </c>
      <c r="W46" s="1268">
        <v>0</v>
      </c>
      <c r="X46" s="1268">
        <v>56065</v>
      </c>
      <c r="Y46" s="1268">
        <v>0</v>
      </c>
    </row>
    <row r="47" spans="1:25" s="1285" customFormat="1">
      <c r="A47" s="1282">
        <v>37</v>
      </c>
      <c r="B47" s="1283" t="s">
        <v>1707</v>
      </c>
      <c r="C47" s="1268">
        <f t="shared" si="4"/>
        <v>3642204</v>
      </c>
      <c r="D47" s="1268">
        <f t="shared" si="5"/>
        <v>0</v>
      </c>
      <c r="E47" s="1268">
        <v>0</v>
      </c>
      <c r="F47" s="1268">
        <v>0</v>
      </c>
      <c r="G47" s="1268">
        <v>0</v>
      </c>
      <c r="H47" s="1268">
        <v>0</v>
      </c>
      <c r="I47" s="1268">
        <v>0</v>
      </c>
      <c r="J47" s="1268">
        <v>0</v>
      </c>
      <c r="K47" s="1278">
        <v>0</v>
      </c>
      <c r="L47" s="1268">
        <v>0</v>
      </c>
      <c r="M47" s="1278">
        <v>0</v>
      </c>
      <c r="N47" s="1268">
        <v>0</v>
      </c>
      <c r="O47" s="1268">
        <v>913</v>
      </c>
      <c r="P47" s="1284">
        <v>3377653</v>
      </c>
      <c r="Q47" s="1268">
        <v>0</v>
      </c>
      <c r="R47" s="1268">
        <v>0</v>
      </c>
      <c r="S47" s="1268">
        <v>0</v>
      </c>
      <c r="T47" s="1268">
        <v>0</v>
      </c>
      <c r="U47" s="1268">
        <v>0</v>
      </c>
      <c r="V47" s="1268">
        <v>0</v>
      </c>
      <c r="W47" s="1268">
        <v>0</v>
      </c>
      <c r="X47" s="1268">
        <v>264551</v>
      </c>
      <c r="Y47" s="1268">
        <v>0</v>
      </c>
    </row>
    <row r="48" spans="1:25" s="1285" customFormat="1">
      <c r="A48" s="1282">
        <v>38</v>
      </c>
      <c r="B48" s="1283" t="s">
        <v>1708</v>
      </c>
      <c r="C48" s="1268">
        <f t="shared" si="4"/>
        <v>4169204</v>
      </c>
      <c r="D48" s="1268">
        <f t="shared" si="5"/>
        <v>3866375</v>
      </c>
      <c r="E48" s="1284">
        <v>3866375</v>
      </c>
      <c r="F48" s="1268">
        <v>0</v>
      </c>
      <c r="G48" s="1268">
        <v>0</v>
      </c>
      <c r="H48" s="1268">
        <v>0</v>
      </c>
      <c r="I48" s="1268">
        <v>0</v>
      </c>
      <c r="J48" s="1268">
        <v>0</v>
      </c>
      <c r="K48" s="1278">
        <v>0</v>
      </c>
      <c r="L48" s="1268">
        <v>0</v>
      </c>
      <c r="M48" s="1278">
        <v>0</v>
      </c>
      <c r="N48" s="1268">
        <v>0</v>
      </c>
      <c r="O48" s="1268">
        <v>0</v>
      </c>
      <c r="P48" s="1268">
        <v>0</v>
      </c>
      <c r="Q48" s="1268">
        <v>0</v>
      </c>
      <c r="R48" s="1268">
        <v>0</v>
      </c>
      <c r="S48" s="1268">
        <v>0</v>
      </c>
      <c r="T48" s="1268">
        <v>0</v>
      </c>
      <c r="U48" s="1268">
        <v>0</v>
      </c>
      <c r="V48" s="1268">
        <v>0</v>
      </c>
      <c r="W48" s="1268">
        <v>0</v>
      </c>
      <c r="X48" s="1268">
        <v>302829</v>
      </c>
      <c r="Y48" s="1268">
        <v>0</v>
      </c>
    </row>
    <row r="49" spans="1:25" s="1285" customFormat="1">
      <c r="A49" s="1282">
        <v>39</v>
      </c>
      <c r="B49" s="1283" t="s">
        <v>1709</v>
      </c>
      <c r="C49" s="1268">
        <f t="shared" si="4"/>
        <v>2841648</v>
      </c>
      <c r="D49" s="1268">
        <f t="shared" si="5"/>
        <v>2635245</v>
      </c>
      <c r="E49" s="1284">
        <v>2635245</v>
      </c>
      <c r="F49" s="1268">
        <v>0</v>
      </c>
      <c r="G49" s="1268">
        <v>0</v>
      </c>
      <c r="H49" s="1268">
        <v>0</v>
      </c>
      <c r="I49" s="1268">
        <v>0</v>
      </c>
      <c r="J49" s="1268">
        <v>0</v>
      </c>
      <c r="K49" s="1278">
        <v>0</v>
      </c>
      <c r="L49" s="1268">
        <v>0</v>
      </c>
      <c r="M49" s="1278">
        <v>0</v>
      </c>
      <c r="N49" s="1268">
        <v>0</v>
      </c>
      <c r="O49" s="1268">
        <v>0</v>
      </c>
      <c r="P49" s="1268">
        <v>0</v>
      </c>
      <c r="Q49" s="1268">
        <v>0</v>
      </c>
      <c r="R49" s="1268">
        <v>0</v>
      </c>
      <c r="S49" s="1268">
        <v>0</v>
      </c>
      <c r="T49" s="1268">
        <v>0</v>
      </c>
      <c r="U49" s="1268">
        <v>0</v>
      </c>
      <c r="V49" s="1268">
        <v>0</v>
      </c>
      <c r="W49" s="1268">
        <v>0</v>
      </c>
      <c r="X49" s="1268">
        <v>206403</v>
      </c>
      <c r="Y49" s="1268">
        <v>0</v>
      </c>
    </row>
    <row r="50" spans="1:25" s="1285" customFormat="1">
      <c r="A50" s="1282">
        <v>40</v>
      </c>
      <c r="B50" s="1283" t="s">
        <v>1710</v>
      </c>
      <c r="C50" s="1268">
        <f t="shared" si="4"/>
        <v>1499848</v>
      </c>
      <c r="D50" s="1268">
        <f t="shared" si="5"/>
        <v>1390907</v>
      </c>
      <c r="E50" s="1268">
        <v>0</v>
      </c>
      <c r="F50" s="1268">
        <v>0</v>
      </c>
      <c r="G50" s="1268">
        <v>0</v>
      </c>
      <c r="H50" s="1268">
        <v>0</v>
      </c>
      <c r="I50" s="1268">
        <v>0</v>
      </c>
      <c r="J50" s="1284">
        <v>1390907</v>
      </c>
      <c r="K50" s="1278">
        <v>0</v>
      </c>
      <c r="L50" s="1268">
        <v>0</v>
      </c>
      <c r="M50" s="1278">
        <v>0</v>
      </c>
      <c r="N50" s="1268">
        <v>0</v>
      </c>
      <c r="O50" s="1268">
        <v>0</v>
      </c>
      <c r="P50" s="1268">
        <v>0</v>
      </c>
      <c r="Q50" s="1268">
        <v>0</v>
      </c>
      <c r="R50" s="1268">
        <v>0</v>
      </c>
      <c r="S50" s="1268">
        <v>0</v>
      </c>
      <c r="T50" s="1268">
        <v>0</v>
      </c>
      <c r="U50" s="1268">
        <v>0</v>
      </c>
      <c r="V50" s="1268">
        <v>0</v>
      </c>
      <c r="W50" s="1268">
        <v>0</v>
      </c>
      <c r="X50" s="1268">
        <v>108941</v>
      </c>
      <c r="Y50" s="1268">
        <v>0</v>
      </c>
    </row>
    <row r="51" spans="1:25" s="1280" customFormat="1">
      <c r="A51" s="1282">
        <v>41</v>
      </c>
      <c r="B51" s="1283" t="s">
        <v>224</v>
      </c>
      <c r="C51" s="1268">
        <f t="shared" si="4"/>
        <v>4803022</v>
      </c>
      <c r="D51" s="1268">
        <f t="shared" si="5"/>
        <v>0</v>
      </c>
      <c r="E51" s="1268">
        <v>0</v>
      </c>
      <c r="F51" s="1268">
        <v>0</v>
      </c>
      <c r="G51" s="1268">
        <v>0</v>
      </c>
      <c r="H51" s="1268">
        <v>0</v>
      </c>
      <c r="I51" s="1268">
        <v>0</v>
      </c>
      <c r="J51" s="1268">
        <v>0</v>
      </c>
      <c r="K51" s="1278">
        <v>0</v>
      </c>
      <c r="L51" s="1268">
        <v>0</v>
      </c>
      <c r="M51" s="1278">
        <v>0</v>
      </c>
      <c r="N51" s="1268">
        <v>0</v>
      </c>
      <c r="O51" s="1268">
        <v>1419.08</v>
      </c>
      <c r="P51" s="1284">
        <v>4454155</v>
      </c>
      <c r="Q51" s="1268">
        <v>0</v>
      </c>
      <c r="R51" s="1268">
        <v>0</v>
      </c>
      <c r="S51" s="1268">
        <v>0</v>
      </c>
      <c r="T51" s="1268">
        <v>0</v>
      </c>
      <c r="U51" s="1268">
        <v>0</v>
      </c>
      <c r="V51" s="1268">
        <v>0</v>
      </c>
      <c r="W51" s="1268">
        <v>0</v>
      </c>
      <c r="X51" s="1268">
        <v>348867</v>
      </c>
      <c r="Y51" s="1268">
        <v>0</v>
      </c>
    </row>
    <row r="52" spans="1:25" s="1280" customFormat="1" ht="75.599999999999994">
      <c r="A52" s="1282">
        <v>42</v>
      </c>
      <c r="B52" s="1267" t="s">
        <v>2395</v>
      </c>
      <c r="C52" s="1268">
        <f t="shared" si="4"/>
        <v>2546736</v>
      </c>
      <c r="D52" s="1268">
        <f t="shared" si="5"/>
        <v>468107</v>
      </c>
      <c r="E52" s="1284">
        <v>468107</v>
      </c>
      <c r="F52" s="1268">
        <v>0</v>
      </c>
      <c r="G52" s="1268">
        <v>0</v>
      </c>
      <c r="H52" s="1268">
        <v>0</v>
      </c>
      <c r="I52" s="1268">
        <v>0</v>
      </c>
      <c r="J52" s="1268">
        <v>0</v>
      </c>
      <c r="K52" s="1278">
        <v>0</v>
      </c>
      <c r="L52" s="1268">
        <v>0</v>
      </c>
      <c r="M52" s="1278">
        <v>0</v>
      </c>
      <c r="N52" s="1268">
        <v>0</v>
      </c>
      <c r="O52" s="1268">
        <v>603.30999999999995</v>
      </c>
      <c r="P52" s="1284">
        <v>1893647</v>
      </c>
      <c r="Q52" s="1268">
        <v>0</v>
      </c>
      <c r="R52" s="1268">
        <v>0</v>
      </c>
      <c r="S52" s="1268">
        <v>0</v>
      </c>
      <c r="T52" s="1268">
        <v>0</v>
      </c>
      <c r="U52" s="1268">
        <v>0</v>
      </c>
      <c r="V52" s="1268">
        <v>0</v>
      </c>
      <c r="W52" s="1268">
        <v>0</v>
      </c>
      <c r="X52" s="1268">
        <v>184982</v>
      </c>
      <c r="Y52" s="1268">
        <v>0</v>
      </c>
    </row>
    <row r="53" spans="1:25" s="1280" customFormat="1">
      <c r="A53" s="1282">
        <v>43</v>
      </c>
      <c r="B53" s="1283" t="s">
        <v>1712</v>
      </c>
      <c r="C53" s="1268">
        <f t="shared" si="4"/>
        <v>22225426</v>
      </c>
      <c r="D53" s="1268">
        <f t="shared" si="5"/>
        <v>0</v>
      </c>
      <c r="E53" s="1268">
        <v>0</v>
      </c>
      <c r="F53" s="1268">
        <v>0</v>
      </c>
      <c r="G53" s="1268">
        <v>0</v>
      </c>
      <c r="H53" s="1268">
        <v>0</v>
      </c>
      <c r="I53" s="1268">
        <v>0</v>
      </c>
      <c r="J53" s="1268">
        <v>0</v>
      </c>
      <c r="K53" s="1278">
        <v>0</v>
      </c>
      <c r="L53" s="1268">
        <v>0</v>
      </c>
      <c r="M53" s="1278">
        <v>0</v>
      </c>
      <c r="N53" s="1268">
        <v>0</v>
      </c>
      <c r="O53" s="1268">
        <v>4550</v>
      </c>
      <c r="P53" s="1284">
        <v>20611086</v>
      </c>
      <c r="Q53" s="1268">
        <v>0</v>
      </c>
      <c r="R53" s="1268">
        <v>0</v>
      </c>
      <c r="S53" s="1268">
        <v>0</v>
      </c>
      <c r="T53" s="1268">
        <v>0</v>
      </c>
      <c r="U53" s="1268">
        <v>0</v>
      </c>
      <c r="V53" s="1268">
        <v>0</v>
      </c>
      <c r="W53" s="1268">
        <v>0</v>
      </c>
      <c r="X53" s="1268">
        <v>1614340</v>
      </c>
      <c r="Y53" s="1268">
        <v>0</v>
      </c>
    </row>
    <row r="54" spans="1:25" s="1280" customFormat="1" ht="75.599999999999994">
      <c r="A54" s="1282">
        <v>44</v>
      </c>
      <c r="B54" s="1283" t="s">
        <v>2396</v>
      </c>
      <c r="C54" s="1268">
        <f t="shared" si="4"/>
        <v>1661291</v>
      </c>
      <c r="D54" s="1268">
        <f t="shared" si="5"/>
        <v>0</v>
      </c>
      <c r="E54" s="1268">
        <v>0</v>
      </c>
      <c r="F54" s="1268">
        <v>0</v>
      </c>
      <c r="G54" s="1268">
        <v>0</v>
      </c>
      <c r="H54" s="1268">
        <v>0</v>
      </c>
      <c r="I54" s="1268">
        <v>0</v>
      </c>
      <c r="J54" s="1268">
        <v>0</v>
      </c>
      <c r="K54" s="1278">
        <v>0</v>
      </c>
      <c r="L54" s="1268">
        <v>0</v>
      </c>
      <c r="M54" s="1278">
        <v>0</v>
      </c>
      <c r="N54" s="1268">
        <v>0</v>
      </c>
      <c r="O54" s="1268">
        <v>340.1</v>
      </c>
      <c r="P54" s="1284">
        <v>1540623</v>
      </c>
      <c r="Q54" s="1268">
        <v>0</v>
      </c>
      <c r="R54" s="1268">
        <v>0</v>
      </c>
      <c r="S54" s="1268">
        <v>0</v>
      </c>
      <c r="T54" s="1268">
        <v>0</v>
      </c>
      <c r="U54" s="1268">
        <v>0</v>
      </c>
      <c r="V54" s="1268">
        <v>0</v>
      </c>
      <c r="W54" s="1268">
        <v>0</v>
      </c>
      <c r="X54" s="1268">
        <v>120668</v>
      </c>
      <c r="Y54" s="1268">
        <v>0</v>
      </c>
    </row>
    <row r="55" spans="1:25" s="1280" customFormat="1">
      <c r="A55" s="1282">
        <v>45</v>
      </c>
      <c r="B55" s="1283" t="s">
        <v>1714</v>
      </c>
      <c r="C55" s="1268">
        <f t="shared" si="4"/>
        <v>1154705</v>
      </c>
      <c r="D55" s="1268">
        <f t="shared" si="5"/>
        <v>1070833</v>
      </c>
      <c r="E55" s="1268">
        <v>0</v>
      </c>
      <c r="F55" s="1268">
        <v>0</v>
      </c>
      <c r="G55" s="1268">
        <v>0</v>
      </c>
      <c r="H55" s="1268">
        <v>0</v>
      </c>
      <c r="I55" s="1268">
        <v>0</v>
      </c>
      <c r="J55" s="1284">
        <v>1070833</v>
      </c>
      <c r="K55" s="1278">
        <v>0</v>
      </c>
      <c r="L55" s="1268">
        <v>0</v>
      </c>
      <c r="M55" s="1278">
        <v>0</v>
      </c>
      <c r="N55" s="1268">
        <v>0</v>
      </c>
      <c r="O55" s="1268">
        <v>0</v>
      </c>
      <c r="P55" s="1268">
        <v>0</v>
      </c>
      <c r="Q55" s="1268">
        <v>0</v>
      </c>
      <c r="R55" s="1268">
        <v>0</v>
      </c>
      <c r="S55" s="1268">
        <v>0</v>
      </c>
      <c r="T55" s="1268">
        <v>0</v>
      </c>
      <c r="U55" s="1268">
        <v>0</v>
      </c>
      <c r="V55" s="1268">
        <v>0</v>
      </c>
      <c r="W55" s="1268">
        <v>0</v>
      </c>
      <c r="X55" s="1268">
        <v>83872</v>
      </c>
      <c r="Y55" s="1268">
        <v>0</v>
      </c>
    </row>
    <row r="56" spans="1:25" s="1280" customFormat="1" ht="75.599999999999994">
      <c r="A56" s="1282">
        <v>46</v>
      </c>
      <c r="B56" s="1283" t="s">
        <v>1715</v>
      </c>
      <c r="C56" s="1268">
        <f t="shared" si="4"/>
        <v>1168532</v>
      </c>
      <c r="D56" s="1268">
        <f t="shared" si="5"/>
        <v>1083656</v>
      </c>
      <c r="E56" s="1268">
        <v>0</v>
      </c>
      <c r="F56" s="1268">
        <v>0</v>
      </c>
      <c r="G56" s="1268">
        <v>0</v>
      </c>
      <c r="H56" s="1284">
        <v>541828</v>
      </c>
      <c r="I56" s="1284">
        <v>541828</v>
      </c>
      <c r="J56" s="1268">
        <v>0</v>
      </c>
      <c r="K56" s="1278">
        <v>0</v>
      </c>
      <c r="L56" s="1268">
        <v>0</v>
      </c>
      <c r="M56" s="1278">
        <v>0</v>
      </c>
      <c r="N56" s="1268">
        <v>0</v>
      </c>
      <c r="O56" s="1268">
        <v>0</v>
      </c>
      <c r="P56" s="1268">
        <v>0</v>
      </c>
      <c r="Q56" s="1268">
        <v>0</v>
      </c>
      <c r="R56" s="1268">
        <v>0</v>
      </c>
      <c r="S56" s="1268">
        <v>0</v>
      </c>
      <c r="T56" s="1268">
        <v>0</v>
      </c>
      <c r="U56" s="1268">
        <v>0</v>
      </c>
      <c r="V56" s="1268">
        <v>0</v>
      </c>
      <c r="W56" s="1268">
        <v>0</v>
      </c>
      <c r="X56" s="1268">
        <v>84876</v>
      </c>
      <c r="Y56" s="1268">
        <v>0</v>
      </c>
    </row>
    <row r="57" spans="1:25" s="1280" customFormat="1" ht="75.599999999999994">
      <c r="A57" s="1282">
        <v>47</v>
      </c>
      <c r="B57" s="1283" t="s">
        <v>2397</v>
      </c>
      <c r="C57" s="1268">
        <f t="shared" si="4"/>
        <v>15853359</v>
      </c>
      <c r="D57" s="1268">
        <f t="shared" si="5"/>
        <v>14701853</v>
      </c>
      <c r="E57" s="1268">
        <v>0</v>
      </c>
      <c r="F57" s="1268">
        <v>0</v>
      </c>
      <c r="G57" s="1268">
        <v>0</v>
      </c>
      <c r="H57" s="1284">
        <v>9006638</v>
      </c>
      <c r="I57" s="1268">
        <v>0</v>
      </c>
      <c r="J57" s="1284">
        <v>5695215</v>
      </c>
      <c r="K57" s="1278">
        <v>0</v>
      </c>
      <c r="L57" s="1268">
        <v>0</v>
      </c>
      <c r="M57" s="1278">
        <v>0</v>
      </c>
      <c r="N57" s="1268">
        <v>0</v>
      </c>
      <c r="O57" s="1268">
        <v>0</v>
      </c>
      <c r="P57" s="1268">
        <v>0</v>
      </c>
      <c r="Q57" s="1268">
        <v>0</v>
      </c>
      <c r="R57" s="1268">
        <v>0</v>
      </c>
      <c r="S57" s="1268">
        <v>0</v>
      </c>
      <c r="T57" s="1268">
        <v>0</v>
      </c>
      <c r="U57" s="1268">
        <v>0</v>
      </c>
      <c r="V57" s="1268">
        <v>0</v>
      </c>
      <c r="W57" s="1268">
        <v>0</v>
      </c>
      <c r="X57" s="1268">
        <v>1151506</v>
      </c>
      <c r="Y57" s="1268">
        <v>0</v>
      </c>
    </row>
    <row r="58" spans="1:25" s="1287" customFormat="1" ht="75.599999999999994">
      <c r="A58" s="1282">
        <v>48</v>
      </c>
      <c r="B58" s="1283" t="s">
        <v>1717</v>
      </c>
      <c r="C58" s="1268">
        <f t="shared" si="4"/>
        <v>2165572</v>
      </c>
      <c r="D58" s="1268">
        <f t="shared" si="5"/>
        <v>0</v>
      </c>
      <c r="E58" s="1268">
        <v>0</v>
      </c>
      <c r="F58" s="1268">
        <v>0</v>
      </c>
      <c r="G58" s="1268">
        <v>0</v>
      </c>
      <c r="H58" s="1268">
        <v>0</v>
      </c>
      <c r="I58" s="1268">
        <v>0</v>
      </c>
      <c r="J58" s="1268">
        <v>0</v>
      </c>
      <c r="K58" s="1278">
        <v>0</v>
      </c>
      <c r="L58" s="1268">
        <v>0</v>
      </c>
      <c r="M58" s="1278">
        <v>0</v>
      </c>
      <c r="N58" s="1268">
        <v>0</v>
      </c>
      <c r="O58" s="1268">
        <v>797</v>
      </c>
      <c r="P58" s="1284">
        <v>2008276</v>
      </c>
      <c r="Q58" s="1268">
        <v>0</v>
      </c>
      <c r="R58" s="1268">
        <v>0</v>
      </c>
      <c r="S58" s="1268">
        <v>0</v>
      </c>
      <c r="T58" s="1268">
        <v>0</v>
      </c>
      <c r="U58" s="1268">
        <v>0</v>
      </c>
      <c r="V58" s="1268">
        <v>0</v>
      </c>
      <c r="W58" s="1268">
        <v>0</v>
      </c>
      <c r="X58" s="1268">
        <v>157296</v>
      </c>
      <c r="Y58" s="1268">
        <v>0</v>
      </c>
    </row>
    <row r="59" spans="1:25" s="1287" customFormat="1">
      <c r="A59" s="1282">
        <v>49</v>
      </c>
      <c r="B59" s="1283" t="s">
        <v>1718</v>
      </c>
      <c r="C59" s="1268">
        <f t="shared" si="4"/>
        <v>718972</v>
      </c>
      <c r="D59" s="1268">
        <f t="shared" si="5"/>
        <v>666749</v>
      </c>
      <c r="E59" s="1284">
        <v>384210</v>
      </c>
      <c r="F59" s="1268">
        <v>0</v>
      </c>
      <c r="G59" s="1268">
        <v>0</v>
      </c>
      <c r="H59" s="1268">
        <v>0</v>
      </c>
      <c r="I59" s="1268">
        <v>0</v>
      </c>
      <c r="J59" s="1284">
        <v>282539</v>
      </c>
      <c r="K59" s="1278">
        <v>0</v>
      </c>
      <c r="L59" s="1268">
        <v>0</v>
      </c>
      <c r="M59" s="1278">
        <v>0</v>
      </c>
      <c r="N59" s="1268">
        <v>0</v>
      </c>
      <c r="O59" s="1268">
        <v>0</v>
      </c>
      <c r="P59" s="1268">
        <v>0</v>
      </c>
      <c r="Q59" s="1268">
        <v>0</v>
      </c>
      <c r="R59" s="1268">
        <v>0</v>
      </c>
      <c r="S59" s="1268">
        <v>0</v>
      </c>
      <c r="T59" s="1268">
        <v>0</v>
      </c>
      <c r="U59" s="1268">
        <v>0</v>
      </c>
      <c r="V59" s="1268">
        <v>0</v>
      </c>
      <c r="W59" s="1268">
        <v>0</v>
      </c>
      <c r="X59" s="1268">
        <v>52223</v>
      </c>
      <c r="Y59" s="1268">
        <v>0</v>
      </c>
    </row>
    <row r="60" spans="1:25" s="1287" customFormat="1" ht="75.599999999999994">
      <c r="A60" s="1282">
        <v>50</v>
      </c>
      <c r="B60" s="1283" t="s">
        <v>1719</v>
      </c>
      <c r="C60" s="1268">
        <f t="shared" si="4"/>
        <v>2538452</v>
      </c>
      <c r="D60" s="1268">
        <f t="shared" si="5"/>
        <v>0</v>
      </c>
      <c r="E60" s="1268">
        <v>0</v>
      </c>
      <c r="F60" s="1268">
        <v>0</v>
      </c>
      <c r="G60" s="1268">
        <v>0</v>
      </c>
      <c r="H60" s="1268">
        <v>0</v>
      </c>
      <c r="I60" s="1268">
        <v>0</v>
      </c>
      <c r="J60" s="1268">
        <v>0</v>
      </c>
      <c r="K60" s="1278">
        <v>0</v>
      </c>
      <c r="L60" s="1268">
        <v>0</v>
      </c>
      <c r="M60" s="1278">
        <v>0</v>
      </c>
      <c r="N60" s="1268">
        <v>0</v>
      </c>
      <c r="O60" s="1268">
        <v>750</v>
      </c>
      <c r="P60" s="1284">
        <v>2354072</v>
      </c>
      <c r="Q60" s="1268">
        <v>0</v>
      </c>
      <c r="R60" s="1268">
        <v>0</v>
      </c>
      <c r="S60" s="1268">
        <v>0</v>
      </c>
      <c r="T60" s="1268">
        <v>0</v>
      </c>
      <c r="U60" s="1268">
        <v>0</v>
      </c>
      <c r="V60" s="1268">
        <v>0</v>
      </c>
      <c r="W60" s="1268">
        <v>0</v>
      </c>
      <c r="X60" s="1268">
        <v>184380</v>
      </c>
      <c r="Y60" s="1268">
        <v>0</v>
      </c>
    </row>
    <row r="61" spans="1:25" s="1287" customFormat="1">
      <c r="A61" s="1282">
        <v>51</v>
      </c>
      <c r="B61" s="1283" t="s">
        <v>235</v>
      </c>
      <c r="C61" s="1268">
        <f t="shared" si="4"/>
        <v>814934</v>
      </c>
      <c r="D61" s="1268">
        <f t="shared" si="5"/>
        <v>755741</v>
      </c>
      <c r="E61" s="1268">
        <v>0</v>
      </c>
      <c r="F61" s="1284">
        <v>544390</v>
      </c>
      <c r="G61" s="1268">
        <v>0</v>
      </c>
      <c r="H61" s="1268">
        <v>0</v>
      </c>
      <c r="I61" s="1268">
        <v>0</v>
      </c>
      <c r="J61" s="1284">
        <v>211351</v>
      </c>
      <c r="K61" s="1278">
        <v>0</v>
      </c>
      <c r="L61" s="1268">
        <v>0</v>
      </c>
      <c r="M61" s="1278">
        <v>0</v>
      </c>
      <c r="N61" s="1268">
        <v>0</v>
      </c>
      <c r="O61" s="1268">
        <v>0</v>
      </c>
      <c r="P61" s="1268">
        <v>0</v>
      </c>
      <c r="Q61" s="1268">
        <v>0</v>
      </c>
      <c r="R61" s="1268">
        <v>0</v>
      </c>
      <c r="S61" s="1268">
        <v>0</v>
      </c>
      <c r="T61" s="1268">
        <v>0</v>
      </c>
      <c r="U61" s="1268">
        <v>0</v>
      </c>
      <c r="V61" s="1268">
        <v>0</v>
      </c>
      <c r="W61" s="1268">
        <v>0</v>
      </c>
      <c r="X61" s="1268">
        <v>59193</v>
      </c>
      <c r="Y61" s="1268">
        <v>0</v>
      </c>
    </row>
    <row r="62" spans="1:25" s="1287" customFormat="1" ht="75.599999999999994">
      <c r="A62" s="1282">
        <v>52</v>
      </c>
      <c r="B62" s="1283" t="s">
        <v>1720</v>
      </c>
      <c r="C62" s="1268">
        <f t="shared" si="4"/>
        <v>495540</v>
      </c>
      <c r="D62" s="1268">
        <f t="shared" si="5"/>
        <v>191554</v>
      </c>
      <c r="E62" s="1268">
        <v>0</v>
      </c>
      <c r="F62" s="1268">
        <v>0</v>
      </c>
      <c r="G62" s="1268">
        <v>0</v>
      </c>
      <c r="H62" s="1284">
        <v>191554</v>
      </c>
      <c r="I62" s="1268">
        <v>0</v>
      </c>
      <c r="J62" s="1268">
        <v>0</v>
      </c>
      <c r="K62" s="1278">
        <v>0</v>
      </c>
      <c r="L62" s="1268">
        <v>0</v>
      </c>
      <c r="M62" s="1278">
        <v>0</v>
      </c>
      <c r="N62" s="1268">
        <v>0</v>
      </c>
      <c r="O62" s="1268">
        <v>0</v>
      </c>
      <c r="P62" s="1268">
        <v>0</v>
      </c>
      <c r="Q62" s="1268">
        <v>0</v>
      </c>
      <c r="R62" s="1268">
        <v>0</v>
      </c>
      <c r="S62" s="1268">
        <v>108.6</v>
      </c>
      <c r="T62" s="1284">
        <v>267993</v>
      </c>
      <c r="U62" s="1268">
        <v>0</v>
      </c>
      <c r="V62" s="1268">
        <v>0</v>
      </c>
      <c r="W62" s="1268">
        <v>0</v>
      </c>
      <c r="X62" s="1268">
        <v>35993</v>
      </c>
      <c r="Y62" s="1268">
        <v>0</v>
      </c>
    </row>
    <row r="63" spans="1:25" s="1287" customFormat="1">
      <c r="A63" s="1282">
        <v>53</v>
      </c>
      <c r="B63" s="1283" t="s">
        <v>1721</v>
      </c>
      <c r="C63" s="1268">
        <f t="shared" si="4"/>
        <v>2581108</v>
      </c>
      <c r="D63" s="1268">
        <f t="shared" si="5"/>
        <v>2393630</v>
      </c>
      <c r="E63" s="1284">
        <v>2393630</v>
      </c>
      <c r="F63" s="1268">
        <v>0</v>
      </c>
      <c r="G63" s="1268">
        <v>0</v>
      </c>
      <c r="H63" s="1268">
        <v>0</v>
      </c>
      <c r="I63" s="1268">
        <v>0</v>
      </c>
      <c r="J63" s="1268">
        <v>0</v>
      </c>
      <c r="K63" s="1278">
        <v>0</v>
      </c>
      <c r="L63" s="1268">
        <v>0</v>
      </c>
      <c r="M63" s="1278">
        <v>0</v>
      </c>
      <c r="N63" s="1268">
        <v>0</v>
      </c>
      <c r="O63" s="1268">
        <v>0</v>
      </c>
      <c r="P63" s="1268">
        <v>0</v>
      </c>
      <c r="Q63" s="1268">
        <v>0</v>
      </c>
      <c r="R63" s="1268">
        <v>0</v>
      </c>
      <c r="S63" s="1268">
        <v>0</v>
      </c>
      <c r="T63" s="1268">
        <v>0</v>
      </c>
      <c r="U63" s="1268">
        <v>0</v>
      </c>
      <c r="V63" s="1268">
        <v>0</v>
      </c>
      <c r="W63" s="1268">
        <v>0</v>
      </c>
      <c r="X63" s="1268">
        <v>187478</v>
      </c>
      <c r="Y63" s="1268">
        <v>0</v>
      </c>
    </row>
    <row r="64" spans="1:25" s="1287" customFormat="1">
      <c r="A64" s="1282">
        <v>54</v>
      </c>
      <c r="B64" s="1283" t="s">
        <v>1723</v>
      </c>
      <c r="C64" s="1268">
        <f t="shared" si="4"/>
        <v>5892512</v>
      </c>
      <c r="D64" s="1268">
        <f t="shared" si="5"/>
        <v>0</v>
      </c>
      <c r="E64" s="1268">
        <v>0</v>
      </c>
      <c r="F64" s="1268">
        <v>0</v>
      </c>
      <c r="G64" s="1268">
        <v>0</v>
      </c>
      <c r="H64" s="1268">
        <v>0</v>
      </c>
      <c r="I64" s="1268">
        <v>0</v>
      </c>
      <c r="J64" s="1268">
        <v>0</v>
      </c>
      <c r="K64" s="1278">
        <v>0</v>
      </c>
      <c r="L64" s="1268">
        <v>0</v>
      </c>
      <c r="M64" s="1278">
        <v>0</v>
      </c>
      <c r="N64" s="1268">
        <v>0</v>
      </c>
      <c r="O64" s="1268">
        <v>0</v>
      </c>
      <c r="P64" s="1268">
        <v>0</v>
      </c>
      <c r="Q64" s="1268">
        <v>0</v>
      </c>
      <c r="R64" s="1268">
        <v>0</v>
      </c>
      <c r="S64" s="1268">
        <v>1140</v>
      </c>
      <c r="T64" s="1284">
        <v>5464510</v>
      </c>
      <c r="U64" s="1268">
        <v>0</v>
      </c>
      <c r="V64" s="1268">
        <v>0</v>
      </c>
      <c r="W64" s="1268">
        <v>0</v>
      </c>
      <c r="X64" s="1268">
        <v>428002</v>
      </c>
      <c r="Y64" s="1268">
        <v>0</v>
      </c>
    </row>
    <row r="65" spans="1:25" s="1287" customFormat="1" ht="75.599999999999994">
      <c r="A65" s="1282">
        <v>55</v>
      </c>
      <c r="B65" s="1283" t="s">
        <v>2398</v>
      </c>
      <c r="C65" s="1268">
        <f t="shared" si="4"/>
        <v>2869710</v>
      </c>
      <c r="D65" s="1268">
        <f t="shared" si="5"/>
        <v>0</v>
      </c>
      <c r="E65" s="1268">
        <v>0</v>
      </c>
      <c r="F65" s="1268">
        <v>0</v>
      </c>
      <c r="G65" s="1268">
        <v>0</v>
      </c>
      <c r="H65" s="1268">
        <v>0</v>
      </c>
      <c r="I65" s="1268">
        <v>0</v>
      </c>
      <c r="J65" s="1268">
        <v>0</v>
      </c>
      <c r="K65" s="1278">
        <v>0</v>
      </c>
      <c r="L65" s="1268">
        <v>0</v>
      </c>
      <c r="M65" s="1278">
        <v>0</v>
      </c>
      <c r="N65" s="1268">
        <v>0</v>
      </c>
      <c r="O65" s="1268">
        <v>0</v>
      </c>
      <c r="P65" s="1268">
        <v>0</v>
      </c>
      <c r="Q65" s="1268">
        <v>0</v>
      </c>
      <c r="R65" s="1268">
        <v>0</v>
      </c>
      <c r="S65" s="1268">
        <v>1078.44</v>
      </c>
      <c r="T65" s="1284">
        <v>2661269</v>
      </c>
      <c r="U65" s="1268">
        <v>0</v>
      </c>
      <c r="V65" s="1268">
        <v>0</v>
      </c>
      <c r="W65" s="1268">
        <v>0</v>
      </c>
      <c r="X65" s="1268">
        <v>208441</v>
      </c>
      <c r="Y65" s="1268">
        <v>0</v>
      </c>
    </row>
    <row r="66" spans="1:25" s="1287" customFormat="1">
      <c r="A66" s="1282">
        <v>56</v>
      </c>
      <c r="B66" s="1283" t="s">
        <v>305</v>
      </c>
      <c r="C66" s="1268">
        <f t="shared" si="4"/>
        <v>13361240</v>
      </c>
      <c r="D66" s="1268">
        <f t="shared" si="5"/>
        <v>0</v>
      </c>
      <c r="E66" s="1268">
        <v>0</v>
      </c>
      <c r="F66" s="1268">
        <v>0</v>
      </c>
      <c r="G66" s="1268">
        <v>0</v>
      </c>
      <c r="H66" s="1268">
        <v>0</v>
      </c>
      <c r="I66" s="1268">
        <v>0</v>
      </c>
      <c r="J66" s="1268">
        <v>0</v>
      </c>
      <c r="K66" s="1278">
        <v>0</v>
      </c>
      <c r="L66" s="1268">
        <v>0</v>
      </c>
      <c r="M66" s="1278">
        <v>0</v>
      </c>
      <c r="N66" s="1268">
        <v>0</v>
      </c>
      <c r="O66" s="1268">
        <v>0</v>
      </c>
      <c r="P66" s="1268">
        <v>0</v>
      </c>
      <c r="Q66" s="1268">
        <v>0</v>
      </c>
      <c r="R66" s="1268">
        <v>0</v>
      </c>
      <c r="S66" s="1268">
        <v>2440</v>
      </c>
      <c r="T66" s="1284">
        <v>12207429</v>
      </c>
      <c r="U66" s="1268">
        <v>0</v>
      </c>
      <c r="V66" s="1268">
        <v>0</v>
      </c>
      <c r="W66" s="1268">
        <v>0</v>
      </c>
      <c r="X66" s="1268">
        <v>1153811</v>
      </c>
      <c r="Y66" s="1268">
        <v>0</v>
      </c>
    </row>
    <row r="67" spans="1:25" s="1287" customFormat="1" ht="75.599999999999994">
      <c r="A67" s="1282">
        <v>57</v>
      </c>
      <c r="B67" s="1283" t="s">
        <v>1727</v>
      </c>
      <c r="C67" s="1268">
        <f t="shared" si="4"/>
        <v>5133035</v>
      </c>
      <c r="D67" s="1268">
        <f t="shared" si="5"/>
        <v>0</v>
      </c>
      <c r="E67" s="1268">
        <v>0</v>
      </c>
      <c r="F67" s="1268">
        <v>0</v>
      </c>
      <c r="G67" s="1268">
        <v>0</v>
      </c>
      <c r="H67" s="1268">
        <v>0</v>
      </c>
      <c r="I67" s="1268">
        <v>0</v>
      </c>
      <c r="J67" s="1268">
        <v>0</v>
      </c>
      <c r="K67" s="1278">
        <v>0</v>
      </c>
      <c r="L67" s="1268">
        <v>0</v>
      </c>
      <c r="M67" s="1278">
        <v>0</v>
      </c>
      <c r="N67" s="1268">
        <v>0</v>
      </c>
      <c r="O67" s="1268">
        <v>0</v>
      </c>
      <c r="P67" s="1268">
        <v>0</v>
      </c>
      <c r="Q67" s="1268">
        <v>0</v>
      </c>
      <c r="R67" s="1268">
        <v>0</v>
      </c>
      <c r="S67" s="1268">
        <v>1929</v>
      </c>
      <c r="T67" s="1284">
        <v>4760198</v>
      </c>
      <c r="U67" s="1268">
        <v>0</v>
      </c>
      <c r="V67" s="1268">
        <v>0</v>
      </c>
      <c r="W67" s="1268">
        <v>0</v>
      </c>
      <c r="X67" s="1268">
        <v>372837</v>
      </c>
      <c r="Y67" s="1268">
        <v>0</v>
      </c>
    </row>
    <row r="68" spans="1:25" s="1287" customFormat="1" ht="75.599999999999994">
      <c r="A68" s="1282">
        <v>58</v>
      </c>
      <c r="B68" s="1283" t="s">
        <v>2399</v>
      </c>
      <c r="C68" s="1268">
        <f t="shared" si="4"/>
        <v>3697990</v>
      </c>
      <c r="D68" s="1268">
        <f t="shared" si="5"/>
        <v>3429388</v>
      </c>
      <c r="E68" s="1268">
        <v>0</v>
      </c>
      <c r="F68" s="1268">
        <v>0</v>
      </c>
      <c r="G68" s="1268">
        <v>0</v>
      </c>
      <c r="H68" s="1284">
        <v>1714694</v>
      </c>
      <c r="I68" s="1284">
        <v>1714694</v>
      </c>
      <c r="J68" s="1268">
        <v>0</v>
      </c>
      <c r="K68" s="1278">
        <v>0</v>
      </c>
      <c r="L68" s="1268">
        <v>0</v>
      </c>
      <c r="M68" s="1278">
        <v>0</v>
      </c>
      <c r="N68" s="1268">
        <v>0</v>
      </c>
      <c r="O68" s="1268">
        <v>0</v>
      </c>
      <c r="P68" s="1268">
        <v>0</v>
      </c>
      <c r="Q68" s="1268">
        <v>0</v>
      </c>
      <c r="R68" s="1268">
        <v>0</v>
      </c>
      <c r="S68" s="1268">
        <v>0</v>
      </c>
      <c r="T68" s="1268">
        <v>0</v>
      </c>
      <c r="U68" s="1268">
        <v>0</v>
      </c>
      <c r="V68" s="1268">
        <v>0</v>
      </c>
      <c r="W68" s="1268">
        <v>0</v>
      </c>
      <c r="X68" s="1268">
        <v>268602</v>
      </c>
      <c r="Y68" s="1268">
        <v>0</v>
      </c>
    </row>
    <row r="69" spans="1:25" s="1287" customFormat="1" ht="75.599999999999994">
      <c r="A69" s="1282">
        <v>59</v>
      </c>
      <c r="B69" s="1283" t="s">
        <v>1729</v>
      </c>
      <c r="C69" s="1268">
        <f t="shared" si="4"/>
        <v>3744342</v>
      </c>
      <c r="D69" s="1268">
        <f t="shared" si="5"/>
        <v>3472372</v>
      </c>
      <c r="E69" s="1268">
        <v>0</v>
      </c>
      <c r="F69" s="1268">
        <v>0</v>
      </c>
      <c r="G69" s="1268">
        <v>0</v>
      </c>
      <c r="H69" s="1284">
        <v>1736186</v>
      </c>
      <c r="I69" s="1284">
        <v>1736186</v>
      </c>
      <c r="J69" s="1268">
        <v>0</v>
      </c>
      <c r="K69" s="1278">
        <v>0</v>
      </c>
      <c r="L69" s="1268">
        <v>0</v>
      </c>
      <c r="M69" s="1278">
        <v>0</v>
      </c>
      <c r="N69" s="1268">
        <v>0</v>
      </c>
      <c r="O69" s="1268">
        <v>0</v>
      </c>
      <c r="P69" s="1268">
        <v>0</v>
      </c>
      <c r="Q69" s="1268">
        <v>0</v>
      </c>
      <c r="R69" s="1268">
        <v>0</v>
      </c>
      <c r="S69" s="1268">
        <v>0</v>
      </c>
      <c r="T69" s="1268">
        <v>0</v>
      </c>
      <c r="U69" s="1268">
        <v>0</v>
      </c>
      <c r="V69" s="1268">
        <v>0</v>
      </c>
      <c r="W69" s="1268">
        <v>0</v>
      </c>
      <c r="X69" s="1268">
        <v>271970</v>
      </c>
      <c r="Y69" s="1268">
        <v>0</v>
      </c>
    </row>
    <row r="70" spans="1:25" s="1287" customFormat="1">
      <c r="A70" s="1282">
        <v>60</v>
      </c>
      <c r="B70" s="1283" t="s">
        <v>272</v>
      </c>
      <c r="C70" s="1268">
        <f t="shared" si="4"/>
        <v>1180385</v>
      </c>
      <c r="D70" s="1268">
        <f t="shared" si="5"/>
        <v>0</v>
      </c>
      <c r="E70" s="1268">
        <v>0</v>
      </c>
      <c r="F70" s="1268">
        <v>0</v>
      </c>
      <c r="G70" s="1268">
        <v>0</v>
      </c>
      <c r="H70" s="1268">
        <v>0</v>
      </c>
      <c r="I70" s="1268">
        <v>0</v>
      </c>
      <c r="J70" s="1268">
        <v>0</v>
      </c>
      <c r="K70" s="1278">
        <v>0</v>
      </c>
      <c r="L70" s="1268">
        <v>0</v>
      </c>
      <c r="M70" s="1278">
        <v>0</v>
      </c>
      <c r="N70" s="1268">
        <v>0</v>
      </c>
      <c r="O70" s="1268">
        <v>0</v>
      </c>
      <c r="P70" s="1268">
        <v>0</v>
      </c>
      <c r="Q70" s="1268">
        <v>0</v>
      </c>
      <c r="R70" s="1268">
        <v>0</v>
      </c>
      <c r="S70" s="1268">
        <v>443.59</v>
      </c>
      <c r="T70" s="1284">
        <v>1094648</v>
      </c>
      <c r="U70" s="1268">
        <v>0</v>
      </c>
      <c r="V70" s="1268">
        <v>0</v>
      </c>
      <c r="W70" s="1268">
        <v>0</v>
      </c>
      <c r="X70" s="1268">
        <v>85737</v>
      </c>
      <c r="Y70" s="1268">
        <v>0</v>
      </c>
    </row>
    <row r="71" spans="1:25" s="1287" customFormat="1">
      <c r="A71" s="1282">
        <v>61</v>
      </c>
      <c r="B71" s="1283" t="s">
        <v>1730</v>
      </c>
      <c r="C71" s="1268">
        <f t="shared" si="4"/>
        <v>3465934</v>
      </c>
      <c r="D71" s="1268">
        <f t="shared" si="5"/>
        <v>3214186</v>
      </c>
      <c r="E71" s="1284">
        <v>1486017</v>
      </c>
      <c r="F71" s="1268">
        <v>0</v>
      </c>
      <c r="G71" s="1268">
        <v>0</v>
      </c>
      <c r="H71" s="1284">
        <v>1728169</v>
      </c>
      <c r="I71" s="1268">
        <v>0</v>
      </c>
      <c r="J71" s="1268">
        <v>0</v>
      </c>
      <c r="K71" s="1278">
        <v>0</v>
      </c>
      <c r="L71" s="1268">
        <v>0</v>
      </c>
      <c r="M71" s="1278">
        <v>0</v>
      </c>
      <c r="N71" s="1268">
        <v>0</v>
      </c>
      <c r="O71" s="1268">
        <v>0</v>
      </c>
      <c r="P71" s="1268">
        <v>0</v>
      </c>
      <c r="Q71" s="1268">
        <v>0</v>
      </c>
      <c r="R71" s="1268">
        <v>0</v>
      </c>
      <c r="S71" s="1268">
        <v>0</v>
      </c>
      <c r="T71" s="1268">
        <v>0</v>
      </c>
      <c r="U71" s="1268">
        <v>0</v>
      </c>
      <c r="V71" s="1268">
        <v>0</v>
      </c>
      <c r="W71" s="1268">
        <v>0</v>
      </c>
      <c r="X71" s="1268">
        <v>251748</v>
      </c>
      <c r="Y71" s="1268">
        <v>0</v>
      </c>
    </row>
    <row r="72" spans="1:25" s="1287" customFormat="1" ht="75.599999999999994">
      <c r="A72" s="1282">
        <v>62</v>
      </c>
      <c r="B72" s="1283" t="s">
        <v>2400</v>
      </c>
      <c r="C72" s="1268">
        <f t="shared" si="4"/>
        <v>1532993</v>
      </c>
      <c r="D72" s="1268">
        <f t="shared" si="5"/>
        <v>0</v>
      </c>
      <c r="E72" s="1268">
        <v>0</v>
      </c>
      <c r="F72" s="1268">
        <v>0</v>
      </c>
      <c r="G72" s="1268">
        <v>0</v>
      </c>
      <c r="H72" s="1268">
        <v>0</v>
      </c>
      <c r="I72" s="1268">
        <v>0</v>
      </c>
      <c r="J72" s="1268">
        <v>0</v>
      </c>
      <c r="K72" s="1278">
        <v>0</v>
      </c>
      <c r="L72" s="1268">
        <v>0</v>
      </c>
      <c r="M72" s="1278">
        <v>0</v>
      </c>
      <c r="N72" s="1268">
        <v>0</v>
      </c>
      <c r="O72" s="1268">
        <v>0</v>
      </c>
      <c r="P72" s="1268">
        <v>0</v>
      </c>
      <c r="Q72" s="1268">
        <v>0</v>
      </c>
      <c r="R72" s="1268">
        <v>0</v>
      </c>
      <c r="S72" s="1268">
        <v>576.1</v>
      </c>
      <c r="T72" s="1284">
        <v>1421644</v>
      </c>
      <c r="U72" s="1268">
        <v>0</v>
      </c>
      <c r="V72" s="1268">
        <v>0</v>
      </c>
      <c r="W72" s="1268">
        <v>0</v>
      </c>
      <c r="X72" s="1268">
        <v>111349</v>
      </c>
      <c r="Y72" s="1268">
        <v>0</v>
      </c>
    </row>
    <row r="73" spans="1:25" s="1287" customFormat="1" ht="75.599999999999994">
      <c r="A73" s="1282">
        <v>63</v>
      </c>
      <c r="B73" s="1283" t="s">
        <v>1732</v>
      </c>
      <c r="C73" s="1268">
        <f t="shared" si="4"/>
        <v>5074174</v>
      </c>
      <c r="D73" s="1268">
        <f t="shared" si="5"/>
        <v>0</v>
      </c>
      <c r="E73" s="1268">
        <v>0</v>
      </c>
      <c r="F73" s="1268">
        <v>0</v>
      </c>
      <c r="G73" s="1268">
        <v>0</v>
      </c>
      <c r="H73" s="1268">
        <v>0</v>
      </c>
      <c r="I73" s="1268">
        <v>0</v>
      </c>
      <c r="J73" s="1268">
        <v>0</v>
      </c>
      <c r="K73" s="1278">
        <v>0</v>
      </c>
      <c r="L73" s="1268">
        <v>0</v>
      </c>
      <c r="M73" s="1278">
        <v>0</v>
      </c>
      <c r="N73" s="1268">
        <v>0</v>
      </c>
      <c r="O73" s="1268">
        <v>0</v>
      </c>
      <c r="P73" s="1268">
        <v>0</v>
      </c>
      <c r="Q73" s="1268">
        <v>0</v>
      </c>
      <c r="R73" s="1268">
        <v>0</v>
      </c>
      <c r="S73" s="1268">
        <v>1906.88</v>
      </c>
      <c r="T73" s="1284">
        <v>4705612</v>
      </c>
      <c r="U73" s="1268">
        <v>0</v>
      </c>
      <c r="V73" s="1268">
        <v>0</v>
      </c>
      <c r="W73" s="1268">
        <v>0</v>
      </c>
      <c r="X73" s="1268">
        <v>368562</v>
      </c>
      <c r="Y73" s="1268">
        <v>0</v>
      </c>
    </row>
    <row r="74" spans="1:25" s="1287" customFormat="1">
      <c r="A74" s="1282">
        <v>64</v>
      </c>
      <c r="B74" s="1283" t="s">
        <v>1733</v>
      </c>
      <c r="C74" s="1268">
        <f t="shared" si="4"/>
        <v>4291978</v>
      </c>
      <c r="D74" s="1268">
        <f t="shared" si="5"/>
        <v>0</v>
      </c>
      <c r="E74" s="1268">
        <v>0</v>
      </c>
      <c r="F74" s="1268">
        <v>0</v>
      </c>
      <c r="G74" s="1268">
        <v>0</v>
      </c>
      <c r="H74" s="1268">
        <v>0</v>
      </c>
      <c r="I74" s="1268">
        <v>0</v>
      </c>
      <c r="J74" s="1268">
        <v>0</v>
      </c>
      <c r="K74" s="1278">
        <v>0</v>
      </c>
      <c r="L74" s="1268">
        <v>0</v>
      </c>
      <c r="M74" s="1278">
        <v>0</v>
      </c>
      <c r="N74" s="1268">
        <v>0</v>
      </c>
      <c r="O74" s="1268">
        <v>0</v>
      </c>
      <c r="P74" s="1268">
        <v>0</v>
      </c>
      <c r="Q74" s="1268">
        <v>0</v>
      </c>
      <c r="R74" s="1268">
        <v>0</v>
      </c>
      <c r="S74" s="1268">
        <v>1612.93</v>
      </c>
      <c r="T74" s="1284">
        <v>3980231</v>
      </c>
      <c r="U74" s="1268">
        <v>0</v>
      </c>
      <c r="V74" s="1268">
        <v>0</v>
      </c>
      <c r="W74" s="1268">
        <v>0</v>
      </c>
      <c r="X74" s="1268">
        <v>311747</v>
      </c>
      <c r="Y74" s="1268">
        <v>0</v>
      </c>
    </row>
    <row r="75" spans="1:25" s="1287" customFormat="1">
      <c r="A75" s="1282">
        <v>65</v>
      </c>
      <c r="B75" s="1267" t="s">
        <v>247</v>
      </c>
      <c r="C75" s="1268">
        <f t="shared" si="4"/>
        <v>6083771</v>
      </c>
      <c r="D75" s="1268">
        <f t="shared" si="5"/>
        <v>1558619</v>
      </c>
      <c r="E75" s="1268">
        <v>0</v>
      </c>
      <c r="F75" s="1268">
        <v>0</v>
      </c>
      <c r="G75" s="1268">
        <v>0</v>
      </c>
      <c r="H75" s="1284">
        <v>1558619</v>
      </c>
      <c r="I75" s="1268">
        <v>0</v>
      </c>
      <c r="J75" s="1268">
        <v>0</v>
      </c>
      <c r="K75" s="1278">
        <v>0</v>
      </c>
      <c r="L75" s="1268">
        <v>0</v>
      </c>
      <c r="M75" s="1278">
        <v>0</v>
      </c>
      <c r="N75" s="1268">
        <v>0</v>
      </c>
      <c r="O75" s="1268">
        <v>0</v>
      </c>
      <c r="P75" s="1268">
        <v>0</v>
      </c>
      <c r="Q75" s="1268">
        <v>0</v>
      </c>
      <c r="R75" s="1268">
        <v>0</v>
      </c>
      <c r="S75" s="1268">
        <v>1654.68</v>
      </c>
      <c r="T75" s="1284">
        <v>4083258</v>
      </c>
      <c r="U75" s="1268">
        <v>0</v>
      </c>
      <c r="V75" s="1268">
        <v>0</v>
      </c>
      <c r="W75" s="1268">
        <v>0</v>
      </c>
      <c r="X75" s="1268">
        <v>441894</v>
      </c>
      <c r="Y75" s="1268">
        <v>0</v>
      </c>
    </row>
    <row r="76" spans="1:25" s="1287" customFormat="1">
      <c r="A76" s="1282">
        <v>66</v>
      </c>
      <c r="B76" s="1283" t="s">
        <v>1734</v>
      </c>
      <c r="C76" s="1268">
        <f t="shared" ref="C76:C91" si="6">D76+N76+P76+R76+T76+V76+X76</f>
        <v>4845784</v>
      </c>
      <c r="D76" s="1268">
        <f t="shared" ref="D76:D91" si="7">SUM(E76:J76)</f>
        <v>4493811</v>
      </c>
      <c r="E76" s="1268">
        <v>0</v>
      </c>
      <c r="F76" s="1284">
        <v>2784320</v>
      </c>
      <c r="G76" s="1268">
        <v>0</v>
      </c>
      <c r="H76" s="1268">
        <v>0</v>
      </c>
      <c r="I76" s="1284">
        <v>1709491</v>
      </c>
      <c r="J76" s="1268">
        <v>0</v>
      </c>
      <c r="K76" s="1278">
        <v>0</v>
      </c>
      <c r="L76" s="1268">
        <v>0</v>
      </c>
      <c r="M76" s="1278">
        <v>0</v>
      </c>
      <c r="N76" s="1268">
        <v>0</v>
      </c>
      <c r="O76" s="1268">
        <v>0</v>
      </c>
      <c r="P76" s="1268">
        <v>0</v>
      </c>
      <c r="Q76" s="1268">
        <v>0</v>
      </c>
      <c r="R76" s="1268">
        <v>0</v>
      </c>
      <c r="S76" s="1268">
        <v>0</v>
      </c>
      <c r="T76" s="1268">
        <v>0</v>
      </c>
      <c r="U76" s="1268">
        <v>0</v>
      </c>
      <c r="V76" s="1268">
        <v>0</v>
      </c>
      <c r="W76" s="1268">
        <v>0</v>
      </c>
      <c r="X76" s="1268">
        <v>351973</v>
      </c>
      <c r="Y76" s="1268">
        <v>0</v>
      </c>
    </row>
    <row r="77" spans="1:25" s="1287" customFormat="1">
      <c r="A77" s="1282">
        <v>67</v>
      </c>
      <c r="B77" s="1283" t="s">
        <v>1735</v>
      </c>
      <c r="C77" s="1268">
        <f t="shared" si="6"/>
        <v>8154102</v>
      </c>
      <c r="D77" s="1268">
        <f t="shared" si="7"/>
        <v>0</v>
      </c>
      <c r="E77" s="1268">
        <v>0</v>
      </c>
      <c r="F77" s="1268">
        <v>0</v>
      </c>
      <c r="G77" s="1268">
        <v>0</v>
      </c>
      <c r="H77" s="1268">
        <v>0</v>
      </c>
      <c r="I77" s="1268">
        <v>0</v>
      </c>
      <c r="J77" s="1268">
        <v>0</v>
      </c>
      <c r="K77" s="1278">
        <v>0</v>
      </c>
      <c r="L77" s="1268">
        <v>0</v>
      </c>
      <c r="M77" s="1278">
        <v>0</v>
      </c>
      <c r="N77" s="1268">
        <v>0</v>
      </c>
      <c r="O77" s="1268">
        <v>0</v>
      </c>
      <c r="P77" s="1268">
        <v>0</v>
      </c>
      <c r="Q77" s="1268">
        <v>0</v>
      </c>
      <c r="R77" s="1268">
        <v>0</v>
      </c>
      <c r="S77" s="1268">
        <v>3064.32</v>
      </c>
      <c r="T77" s="1284">
        <v>7561830</v>
      </c>
      <c r="U77" s="1268">
        <v>0</v>
      </c>
      <c r="V77" s="1268">
        <v>0</v>
      </c>
      <c r="W77" s="1268">
        <v>0</v>
      </c>
      <c r="X77" s="1268">
        <v>592272</v>
      </c>
      <c r="Y77" s="1268">
        <v>0</v>
      </c>
    </row>
    <row r="78" spans="1:25" s="1285" customFormat="1">
      <c r="A78" s="1282">
        <v>68</v>
      </c>
      <c r="B78" s="1283" t="s">
        <v>1736</v>
      </c>
      <c r="C78" s="1268">
        <f t="shared" si="6"/>
        <v>2022347</v>
      </c>
      <c r="D78" s="1268">
        <f t="shared" si="7"/>
        <v>0</v>
      </c>
      <c r="E78" s="1268">
        <v>0</v>
      </c>
      <c r="F78" s="1268">
        <v>0</v>
      </c>
      <c r="G78" s="1268">
        <v>0</v>
      </c>
      <c r="H78" s="1268">
        <v>0</v>
      </c>
      <c r="I78" s="1268">
        <v>0</v>
      </c>
      <c r="J78" s="1268">
        <v>0</v>
      </c>
      <c r="K78" s="1278">
        <v>0</v>
      </c>
      <c r="L78" s="1268">
        <v>0</v>
      </c>
      <c r="M78" s="1278">
        <v>0</v>
      </c>
      <c r="N78" s="1268">
        <v>0</v>
      </c>
      <c r="O78" s="1268">
        <v>0</v>
      </c>
      <c r="P78" s="1268">
        <v>0</v>
      </c>
      <c r="Q78" s="1268">
        <v>0</v>
      </c>
      <c r="R78" s="1268">
        <v>0</v>
      </c>
      <c r="S78" s="1268">
        <v>760</v>
      </c>
      <c r="T78" s="1284">
        <v>1875454</v>
      </c>
      <c r="U78" s="1268">
        <v>0</v>
      </c>
      <c r="V78" s="1268">
        <v>0</v>
      </c>
      <c r="W78" s="1268">
        <v>0</v>
      </c>
      <c r="X78" s="1268">
        <v>146893</v>
      </c>
      <c r="Y78" s="1268">
        <v>0</v>
      </c>
    </row>
    <row r="79" spans="1:25" s="1285" customFormat="1" ht="75.599999999999994">
      <c r="A79" s="1282">
        <v>69</v>
      </c>
      <c r="B79" s="1283" t="s">
        <v>2233</v>
      </c>
      <c r="C79" s="1268">
        <f t="shared" si="6"/>
        <v>2589668</v>
      </c>
      <c r="D79" s="1268">
        <f t="shared" si="7"/>
        <v>0</v>
      </c>
      <c r="E79" s="1268">
        <v>0</v>
      </c>
      <c r="F79" s="1268">
        <v>0</v>
      </c>
      <c r="G79" s="1268">
        <v>0</v>
      </c>
      <c r="H79" s="1268">
        <v>0</v>
      </c>
      <c r="I79" s="1268">
        <v>0</v>
      </c>
      <c r="J79" s="1268">
        <v>0</v>
      </c>
      <c r="K79" s="1278">
        <v>0</v>
      </c>
      <c r="L79" s="1268">
        <v>0</v>
      </c>
      <c r="M79" s="1278">
        <v>0</v>
      </c>
      <c r="N79" s="1268">
        <v>0</v>
      </c>
      <c r="O79" s="1268">
        <v>0</v>
      </c>
      <c r="P79" s="1268">
        <v>0</v>
      </c>
      <c r="Q79" s="1268">
        <v>0</v>
      </c>
      <c r="R79" s="1268">
        <v>0</v>
      </c>
      <c r="S79" s="1268">
        <v>973.2</v>
      </c>
      <c r="T79" s="1284">
        <v>2401568</v>
      </c>
      <c r="U79" s="1268">
        <v>0</v>
      </c>
      <c r="V79" s="1268">
        <v>0</v>
      </c>
      <c r="W79" s="1268">
        <v>0</v>
      </c>
      <c r="X79" s="1268">
        <v>188100</v>
      </c>
      <c r="Y79" s="1268">
        <v>0</v>
      </c>
    </row>
    <row r="80" spans="1:25" s="1285" customFormat="1">
      <c r="A80" s="1282">
        <v>70</v>
      </c>
      <c r="B80" s="1283" t="s">
        <v>1737</v>
      </c>
      <c r="C80" s="1268">
        <f t="shared" si="6"/>
        <v>1047584</v>
      </c>
      <c r="D80" s="1268">
        <f t="shared" si="7"/>
        <v>971493</v>
      </c>
      <c r="E80" s="1268">
        <v>0</v>
      </c>
      <c r="F80" s="1268">
        <v>0</v>
      </c>
      <c r="G80" s="1268">
        <v>0</v>
      </c>
      <c r="H80" s="1268">
        <v>0</v>
      </c>
      <c r="I80" s="1268">
        <v>0</v>
      </c>
      <c r="J80" s="1284">
        <v>971493</v>
      </c>
      <c r="K80" s="1278">
        <v>0</v>
      </c>
      <c r="L80" s="1268">
        <v>0</v>
      </c>
      <c r="M80" s="1278">
        <v>0</v>
      </c>
      <c r="N80" s="1268">
        <v>0</v>
      </c>
      <c r="O80" s="1268">
        <v>0</v>
      </c>
      <c r="P80" s="1268">
        <v>0</v>
      </c>
      <c r="Q80" s="1268">
        <v>0</v>
      </c>
      <c r="R80" s="1268">
        <v>0</v>
      </c>
      <c r="S80" s="1268">
        <v>0</v>
      </c>
      <c r="T80" s="1268">
        <v>0</v>
      </c>
      <c r="U80" s="1268">
        <v>0</v>
      </c>
      <c r="V80" s="1268">
        <v>0</v>
      </c>
      <c r="W80" s="1268">
        <v>0</v>
      </c>
      <c r="X80" s="1268">
        <v>76091</v>
      </c>
      <c r="Y80" s="1268">
        <v>0</v>
      </c>
    </row>
    <row r="81" spans="1:25" s="1285" customFormat="1">
      <c r="A81" s="1282">
        <v>71</v>
      </c>
      <c r="B81" s="1283" t="s">
        <v>1738</v>
      </c>
      <c r="C81" s="1268">
        <f t="shared" si="6"/>
        <v>3117167</v>
      </c>
      <c r="D81" s="1268">
        <f t="shared" si="7"/>
        <v>2890752</v>
      </c>
      <c r="E81" s="1268">
        <v>0</v>
      </c>
      <c r="F81" s="1268">
        <v>0</v>
      </c>
      <c r="G81" s="1268">
        <v>0</v>
      </c>
      <c r="H81" s="1268">
        <v>0</v>
      </c>
      <c r="I81" s="1268">
        <v>0</v>
      </c>
      <c r="J81" s="1284">
        <v>2890752</v>
      </c>
      <c r="K81" s="1278">
        <v>0</v>
      </c>
      <c r="L81" s="1268">
        <v>0</v>
      </c>
      <c r="M81" s="1278">
        <v>0</v>
      </c>
      <c r="N81" s="1268">
        <v>0</v>
      </c>
      <c r="O81" s="1268">
        <v>0</v>
      </c>
      <c r="P81" s="1268">
        <v>0</v>
      </c>
      <c r="Q81" s="1268">
        <v>0</v>
      </c>
      <c r="R81" s="1268">
        <v>0</v>
      </c>
      <c r="S81" s="1268">
        <v>0</v>
      </c>
      <c r="T81" s="1268">
        <v>0</v>
      </c>
      <c r="U81" s="1268">
        <v>0</v>
      </c>
      <c r="V81" s="1268">
        <v>0</v>
      </c>
      <c r="W81" s="1268">
        <v>0</v>
      </c>
      <c r="X81" s="1268">
        <v>226415</v>
      </c>
      <c r="Y81" s="1268">
        <v>0</v>
      </c>
    </row>
    <row r="82" spans="1:25" s="1288" customFormat="1" ht="75.599999999999994">
      <c r="A82" s="1282">
        <v>72</v>
      </c>
      <c r="B82" s="1283" t="s">
        <v>2401</v>
      </c>
      <c r="C82" s="1268">
        <f t="shared" si="6"/>
        <v>7217604</v>
      </c>
      <c r="D82" s="1268">
        <f t="shared" si="7"/>
        <v>6693354</v>
      </c>
      <c r="E82" s="1268">
        <v>0</v>
      </c>
      <c r="F82" s="1268">
        <v>0</v>
      </c>
      <c r="G82" s="1268">
        <v>0</v>
      </c>
      <c r="H82" s="1284">
        <v>2542744</v>
      </c>
      <c r="I82" s="1284">
        <v>2542744</v>
      </c>
      <c r="J82" s="1284">
        <v>1607866</v>
      </c>
      <c r="K82" s="1278">
        <v>0</v>
      </c>
      <c r="L82" s="1268">
        <v>0</v>
      </c>
      <c r="M82" s="1278">
        <v>0</v>
      </c>
      <c r="N82" s="1268">
        <v>0</v>
      </c>
      <c r="O82" s="1268">
        <v>0</v>
      </c>
      <c r="P82" s="1268">
        <v>0</v>
      </c>
      <c r="Q82" s="1268">
        <v>0</v>
      </c>
      <c r="R82" s="1268">
        <v>0</v>
      </c>
      <c r="S82" s="1268">
        <v>0</v>
      </c>
      <c r="T82" s="1268">
        <v>0</v>
      </c>
      <c r="U82" s="1268">
        <v>0</v>
      </c>
      <c r="V82" s="1268">
        <v>0</v>
      </c>
      <c r="W82" s="1268">
        <v>0</v>
      </c>
      <c r="X82" s="1268">
        <v>524250</v>
      </c>
      <c r="Y82" s="1268">
        <v>0</v>
      </c>
    </row>
    <row r="83" spans="1:25" s="1285" customFormat="1">
      <c r="A83" s="1282">
        <v>73</v>
      </c>
      <c r="B83" s="1283" t="s">
        <v>1740</v>
      </c>
      <c r="C83" s="1268">
        <f t="shared" si="6"/>
        <v>3551048</v>
      </c>
      <c r="D83" s="1268">
        <f t="shared" si="7"/>
        <v>0</v>
      </c>
      <c r="E83" s="1268">
        <v>0</v>
      </c>
      <c r="F83" s="1268">
        <v>0</v>
      </c>
      <c r="G83" s="1268">
        <v>0</v>
      </c>
      <c r="H83" s="1268">
        <v>0</v>
      </c>
      <c r="I83" s="1268">
        <v>0</v>
      </c>
      <c r="J83" s="1268">
        <v>0</v>
      </c>
      <c r="K83" s="1278">
        <v>0</v>
      </c>
      <c r="L83" s="1268">
        <v>0</v>
      </c>
      <c r="M83" s="1278">
        <v>0</v>
      </c>
      <c r="N83" s="1268">
        <v>0</v>
      </c>
      <c r="O83" s="1268">
        <v>1306.9000000000001</v>
      </c>
      <c r="P83" s="1284">
        <v>3293118</v>
      </c>
      <c r="Q83" s="1268">
        <v>0</v>
      </c>
      <c r="R83" s="1268">
        <v>0</v>
      </c>
      <c r="S83" s="1268">
        <v>0</v>
      </c>
      <c r="T83" s="1268">
        <v>0</v>
      </c>
      <c r="U83" s="1268">
        <v>0</v>
      </c>
      <c r="V83" s="1268">
        <v>0</v>
      </c>
      <c r="W83" s="1268">
        <v>0</v>
      </c>
      <c r="X83" s="1268">
        <v>257930</v>
      </c>
      <c r="Y83" s="1268">
        <v>0</v>
      </c>
    </row>
    <row r="84" spans="1:25" s="1285" customFormat="1">
      <c r="A84" s="1282">
        <v>74</v>
      </c>
      <c r="B84" s="1283" t="s">
        <v>1741</v>
      </c>
      <c r="C84" s="1268">
        <f t="shared" si="6"/>
        <v>2672049</v>
      </c>
      <c r="D84" s="1268">
        <f t="shared" si="7"/>
        <v>0</v>
      </c>
      <c r="E84" s="1268">
        <v>0</v>
      </c>
      <c r="F84" s="1268">
        <v>0</v>
      </c>
      <c r="G84" s="1268">
        <v>0</v>
      </c>
      <c r="H84" s="1268">
        <v>0</v>
      </c>
      <c r="I84" s="1268">
        <v>0</v>
      </c>
      <c r="J84" s="1268">
        <v>0</v>
      </c>
      <c r="K84" s="1278">
        <v>0</v>
      </c>
      <c r="L84" s="1268">
        <v>0</v>
      </c>
      <c r="M84" s="1278">
        <v>0</v>
      </c>
      <c r="N84" s="1268">
        <v>0</v>
      </c>
      <c r="O84" s="1268">
        <v>983.4</v>
      </c>
      <c r="P84" s="1284">
        <v>2477965</v>
      </c>
      <c r="Q84" s="1268">
        <v>0</v>
      </c>
      <c r="R84" s="1268">
        <v>0</v>
      </c>
      <c r="S84" s="1268">
        <v>0</v>
      </c>
      <c r="T84" s="1268">
        <v>0</v>
      </c>
      <c r="U84" s="1268">
        <v>0</v>
      </c>
      <c r="V84" s="1268">
        <v>0</v>
      </c>
      <c r="W84" s="1268">
        <v>0</v>
      </c>
      <c r="X84" s="1268">
        <v>194084</v>
      </c>
      <c r="Y84" s="1268">
        <v>0</v>
      </c>
    </row>
    <row r="85" spans="1:25" s="1285" customFormat="1" ht="75.599999999999994">
      <c r="A85" s="1282">
        <v>75</v>
      </c>
      <c r="B85" s="1283" t="s">
        <v>1742</v>
      </c>
      <c r="C85" s="1268">
        <f t="shared" si="6"/>
        <v>5055867</v>
      </c>
      <c r="D85" s="1268">
        <f t="shared" si="7"/>
        <v>0</v>
      </c>
      <c r="E85" s="1268">
        <v>0</v>
      </c>
      <c r="F85" s="1268">
        <v>0</v>
      </c>
      <c r="G85" s="1268">
        <v>0</v>
      </c>
      <c r="H85" s="1268">
        <v>0</v>
      </c>
      <c r="I85" s="1268">
        <v>0</v>
      </c>
      <c r="J85" s="1268">
        <v>0</v>
      </c>
      <c r="K85" s="1278">
        <v>0</v>
      </c>
      <c r="L85" s="1268">
        <v>0</v>
      </c>
      <c r="M85" s="1278">
        <v>0</v>
      </c>
      <c r="N85" s="1268">
        <v>0</v>
      </c>
      <c r="O85" s="1268">
        <v>0</v>
      </c>
      <c r="P85" s="1268">
        <v>0</v>
      </c>
      <c r="Q85" s="1268">
        <v>0</v>
      </c>
      <c r="R85" s="1268">
        <v>0</v>
      </c>
      <c r="S85" s="1268">
        <v>1900</v>
      </c>
      <c r="T85" s="1268">
        <v>4688635</v>
      </c>
      <c r="U85" s="1268">
        <v>0</v>
      </c>
      <c r="V85" s="1268">
        <v>0</v>
      </c>
      <c r="W85" s="1268">
        <v>0</v>
      </c>
      <c r="X85" s="1268">
        <v>367232</v>
      </c>
      <c r="Y85" s="1268">
        <v>0</v>
      </c>
    </row>
    <row r="86" spans="1:25" s="1285" customFormat="1">
      <c r="A86" s="1282">
        <v>76</v>
      </c>
      <c r="B86" s="1283" t="s">
        <v>1743</v>
      </c>
      <c r="C86" s="1268">
        <f t="shared" si="6"/>
        <v>4027441</v>
      </c>
      <c r="D86" s="1268">
        <f t="shared" si="7"/>
        <v>3734909</v>
      </c>
      <c r="E86" s="1284">
        <v>1290503</v>
      </c>
      <c r="F86" s="1284">
        <v>2444406</v>
      </c>
      <c r="G86" s="1268">
        <v>0</v>
      </c>
      <c r="H86" s="1268">
        <v>0</v>
      </c>
      <c r="I86" s="1268">
        <v>0</v>
      </c>
      <c r="J86" s="1268">
        <v>0</v>
      </c>
      <c r="K86" s="1278">
        <v>0</v>
      </c>
      <c r="L86" s="1268">
        <v>0</v>
      </c>
      <c r="M86" s="1278">
        <v>0</v>
      </c>
      <c r="N86" s="1268">
        <v>0</v>
      </c>
      <c r="O86" s="1268">
        <v>0</v>
      </c>
      <c r="P86" s="1268">
        <v>0</v>
      </c>
      <c r="Q86" s="1268">
        <v>0</v>
      </c>
      <c r="R86" s="1268">
        <v>0</v>
      </c>
      <c r="S86" s="1268">
        <v>0</v>
      </c>
      <c r="T86" s="1268">
        <v>0</v>
      </c>
      <c r="U86" s="1268">
        <v>0</v>
      </c>
      <c r="V86" s="1268">
        <v>0</v>
      </c>
      <c r="W86" s="1268">
        <v>0</v>
      </c>
      <c r="X86" s="1268">
        <v>292532</v>
      </c>
      <c r="Y86" s="1268">
        <v>0</v>
      </c>
    </row>
    <row r="87" spans="1:25" s="1285" customFormat="1">
      <c r="A87" s="1282">
        <v>77</v>
      </c>
      <c r="B87" s="1283" t="s">
        <v>310</v>
      </c>
      <c r="C87" s="1268">
        <f t="shared" si="6"/>
        <v>26812058</v>
      </c>
      <c r="D87" s="1268">
        <f t="shared" si="7"/>
        <v>0</v>
      </c>
      <c r="E87" s="1268">
        <v>0</v>
      </c>
      <c r="F87" s="1268">
        <v>0</v>
      </c>
      <c r="G87" s="1268">
        <v>0</v>
      </c>
      <c r="H87" s="1268">
        <v>0</v>
      </c>
      <c r="I87" s="1268">
        <v>0</v>
      </c>
      <c r="J87" s="1268">
        <v>0</v>
      </c>
      <c r="K87" s="1278">
        <v>0</v>
      </c>
      <c r="L87" s="1268">
        <v>0</v>
      </c>
      <c r="M87" s="1278">
        <v>0</v>
      </c>
      <c r="N87" s="1268">
        <v>0</v>
      </c>
      <c r="O87" s="1268">
        <v>0</v>
      </c>
      <c r="P87" s="1268">
        <v>0</v>
      </c>
      <c r="Q87" s="1268">
        <v>0</v>
      </c>
      <c r="R87" s="1268">
        <v>0</v>
      </c>
      <c r="S87" s="1268">
        <v>10076</v>
      </c>
      <c r="T87" s="1268">
        <v>24864569</v>
      </c>
      <c r="U87" s="1268">
        <v>0</v>
      </c>
      <c r="V87" s="1268">
        <v>0</v>
      </c>
      <c r="W87" s="1268">
        <v>0</v>
      </c>
      <c r="X87" s="1268">
        <v>1947489</v>
      </c>
      <c r="Y87" s="1268">
        <v>0</v>
      </c>
    </row>
    <row r="88" spans="1:25" s="1285" customFormat="1">
      <c r="A88" s="1282">
        <v>78</v>
      </c>
      <c r="B88" s="1283" t="s">
        <v>1744</v>
      </c>
      <c r="C88" s="1268">
        <f t="shared" si="6"/>
        <v>15206099</v>
      </c>
      <c r="D88" s="1268">
        <f t="shared" si="7"/>
        <v>0</v>
      </c>
      <c r="E88" s="1268">
        <v>0</v>
      </c>
      <c r="F88" s="1268">
        <v>0</v>
      </c>
      <c r="G88" s="1268">
        <v>0</v>
      </c>
      <c r="H88" s="1268">
        <v>0</v>
      </c>
      <c r="I88" s="1268">
        <v>0</v>
      </c>
      <c r="J88" s="1268">
        <v>0</v>
      </c>
      <c r="K88" s="1278">
        <v>0</v>
      </c>
      <c r="L88" s="1268">
        <v>0</v>
      </c>
      <c r="M88" s="1278">
        <v>0</v>
      </c>
      <c r="N88" s="1268">
        <v>0</v>
      </c>
      <c r="O88" s="1268">
        <v>3113</v>
      </c>
      <c r="P88" s="1284">
        <v>14101607</v>
      </c>
      <c r="Q88" s="1268">
        <v>0</v>
      </c>
      <c r="R88" s="1268">
        <v>0</v>
      </c>
      <c r="S88" s="1268">
        <v>0</v>
      </c>
      <c r="T88" s="1268">
        <v>0</v>
      </c>
      <c r="U88" s="1268">
        <v>0</v>
      </c>
      <c r="V88" s="1268">
        <v>0</v>
      </c>
      <c r="W88" s="1268">
        <v>0</v>
      </c>
      <c r="X88" s="1268">
        <v>1104492</v>
      </c>
      <c r="Y88" s="1268">
        <v>0</v>
      </c>
    </row>
    <row r="89" spans="1:25" s="1285" customFormat="1" ht="49.2" customHeight="1">
      <c r="A89" s="1282">
        <v>79</v>
      </c>
      <c r="B89" s="1283" t="s">
        <v>1745</v>
      </c>
      <c r="C89" s="1268">
        <f t="shared" si="6"/>
        <v>2133762</v>
      </c>
      <c r="D89" s="1268">
        <f t="shared" si="7"/>
        <v>0</v>
      </c>
      <c r="E89" s="1268">
        <v>0</v>
      </c>
      <c r="F89" s="1268">
        <v>0</v>
      </c>
      <c r="G89" s="1268">
        <v>0</v>
      </c>
      <c r="H89" s="1268">
        <v>0</v>
      </c>
      <c r="I89" s="1268">
        <v>0</v>
      </c>
      <c r="J89" s="1268">
        <v>0</v>
      </c>
      <c r="K89" s="1278">
        <v>0</v>
      </c>
      <c r="L89" s="1268">
        <v>0</v>
      </c>
      <c r="M89" s="1278">
        <v>0</v>
      </c>
      <c r="N89" s="1268">
        <v>0</v>
      </c>
      <c r="O89" s="1268">
        <v>0</v>
      </c>
      <c r="P89" s="1268">
        <v>0</v>
      </c>
      <c r="Q89" s="1268">
        <v>0</v>
      </c>
      <c r="R89" s="1268">
        <v>0</v>
      </c>
      <c r="S89" s="1268">
        <v>801.87</v>
      </c>
      <c r="T89" s="1268">
        <v>1978777</v>
      </c>
      <c r="U89" s="1268">
        <v>0</v>
      </c>
      <c r="V89" s="1268">
        <v>0</v>
      </c>
      <c r="W89" s="1268">
        <v>0</v>
      </c>
      <c r="X89" s="1268">
        <v>154985</v>
      </c>
      <c r="Y89" s="1268">
        <v>0</v>
      </c>
    </row>
    <row r="90" spans="1:25" s="1285" customFormat="1">
      <c r="A90" s="1282">
        <v>80</v>
      </c>
      <c r="B90" s="1283" t="s">
        <v>1746</v>
      </c>
      <c r="C90" s="1268">
        <f t="shared" si="6"/>
        <v>5414970</v>
      </c>
      <c r="D90" s="1268">
        <f t="shared" si="7"/>
        <v>5021655</v>
      </c>
      <c r="E90" s="1268">
        <v>0</v>
      </c>
      <c r="F90" s="1284">
        <v>1919464</v>
      </c>
      <c r="G90" s="1268">
        <v>0</v>
      </c>
      <c r="H90" s="1284">
        <v>1178494</v>
      </c>
      <c r="I90" s="1284">
        <v>1178494</v>
      </c>
      <c r="J90" s="1284">
        <v>745203</v>
      </c>
      <c r="K90" s="1278">
        <v>0</v>
      </c>
      <c r="L90" s="1268">
        <v>0</v>
      </c>
      <c r="M90" s="1278">
        <v>0</v>
      </c>
      <c r="N90" s="1268">
        <v>0</v>
      </c>
      <c r="O90" s="1268">
        <v>0</v>
      </c>
      <c r="P90" s="1268">
        <v>0</v>
      </c>
      <c r="Q90" s="1268">
        <v>0</v>
      </c>
      <c r="R90" s="1268">
        <v>0</v>
      </c>
      <c r="S90" s="1268">
        <v>0</v>
      </c>
      <c r="T90" s="1268">
        <v>0</v>
      </c>
      <c r="U90" s="1268">
        <v>0</v>
      </c>
      <c r="V90" s="1268">
        <v>0</v>
      </c>
      <c r="W90" s="1268">
        <v>0</v>
      </c>
      <c r="X90" s="1268">
        <v>393315</v>
      </c>
      <c r="Y90" s="1268">
        <v>0</v>
      </c>
    </row>
    <row r="91" spans="1:25" s="1285" customFormat="1">
      <c r="A91" s="1282">
        <v>81</v>
      </c>
      <c r="B91" s="1283" t="s">
        <v>1747</v>
      </c>
      <c r="C91" s="1268">
        <f t="shared" si="6"/>
        <v>1330427</v>
      </c>
      <c r="D91" s="1268">
        <f t="shared" si="7"/>
        <v>1233792</v>
      </c>
      <c r="E91" s="1268">
        <v>0</v>
      </c>
      <c r="F91" s="1284">
        <v>888749</v>
      </c>
      <c r="G91" s="1268">
        <v>0</v>
      </c>
      <c r="H91" s="1284">
        <v>0</v>
      </c>
      <c r="I91" s="1284">
        <v>0</v>
      </c>
      <c r="J91" s="1284">
        <v>345043</v>
      </c>
      <c r="K91" s="1278">
        <v>0</v>
      </c>
      <c r="L91" s="1268">
        <v>0</v>
      </c>
      <c r="M91" s="1278">
        <v>0</v>
      </c>
      <c r="N91" s="1268">
        <v>0</v>
      </c>
      <c r="O91" s="1268">
        <v>0</v>
      </c>
      <c r="P91" s="1268">
        <v>0</v>
      </c>
      <c r="Q91" s="1268">
        <v>0</v>
      </c>
      <c r="R91" s="1268">
        <v>0</v>
      </c>
      <c r="S91" s="1268">
        <v>0</v>
      </c>
      <c r="T91" s="1268">
        <v>0</v>
      </c>
      <c r="U91" s="1268">
        <v>0</v>
      </c>
      <c r="V91" s="1268">
        <v>0</v>
      </c>
      <c r="W91" s="1268">
        <v>0</v>
      </c>
      <c r="X91" s="1268">
        <v>96635</v>
      </c>
      <c r="Y91" s="1268">
        <v>0</v>
      </c>
    </row>
    <row r="92" spans="1:25" s="1285" customFormat="1" ht="75.599999999999994">
      <c r="A92" s="1281"/>
      <c r="B92" s="1267" t="s">
        <v>1071</v>
      </c>
      <c r="C92" s="1268">
        <f>SUM(C93:C128)</f>
        <v>64404784</v>
      </c>
      <c r="D92" s="1268">
        <f t="shared" ref="D92:Y92" si="8">SUM(D93:D128)</f>
        <v>824447</v>
      </c>
      <c r="E92" s="1268">
        <f t="shared" si="8"/>
        <v>660176</v>
      </c>
      <c r="F92" s="1268">
        <f t="shared" si="8"/>
        <v>0</v>
      </c>
      <c r="G92" s="1268">
        <f t="shared" si="8"/>
        <v>0</v>
      </c>
      <c r="H92" s="1284">
        <f t="shared" si="8"/>
        <v>0</v>
      </c>
      <c r="I92" s="1268">
        <f t="shared" si="8"/>
        <v>0</v>
      </c>
      <c r="J92" s="1268">
        <f t="shared" si="8"/>
        <v>164271</v>
      </c>
      <c r="K92" s="1278">
        <f t="shared" si="8"/>
        <v>0</v>
      </c>
      <c r="L92" s="1268">
        <f t="shared" si="8"/>
        <v>0</v>
      </c>
      <c r="M92" s="1278">
        <f t="shared" si="8"/>
        <v>0</v>
      </c>
      <c r="N92" s="1268">
        <f t="shared" si="8"/>
        <v>0</v>
      </c>
      <c r="O92" s="1268">
        <f t="shared" si="8"/>
        <v>15665.480000000003</v>
      </c>
      <c r="P92" s="1268">
        <f t="shared" si="8"/>
        <v>51549162</v>
      </c>
      <c r="Q92" s="1268">
        <f t="shared" si="8"/>
        <v>0</v>
      </c>
      <c r="R92" s="1268">
        <f t="shared" si="8"/>
        <v>0</v>
      </c>
      <c r="S92" s="1268">
        <f t="shared" si="8"/>
        <v>2912.8</v>
      </c>
      <c r="T92" s="1268">
        <f t="shared" si="8"/>
        <v>7187922</v>
      </c>
      <c r="U92" s="1268">
        <f t="shared" si="8"/>
        <v>0</v>
      </c>
      <c r="V92" s="1268">
        <f t="shared" si="8"/>
        <v>0</v>
      </c>
      <c r="W92" s="1268">
        <v>0</v>
      </c>
      <c r="X92" s="1268">
        <f t="shared" si="8"/>
        <v>4843253</v>
      </c>
      <c r="Y92" s="1268">
        <f t="shared" si="8"/>
        <v>0</v>
      </c>
    </row>
    <row r="93" spans="1:25" s="1285" customFormat="1">
      <c r="A93" s="1281">
        <v>82</v>
      </c>
      <c r="B93" s="1283" t="s">
        <v>1465</v>
      </c>
      <c r="C93" s="1268">
        <f t="shared" ref="C93" si="9">D93+N93+P93+R93+T93+V93+X93</f>
        <v>938888</v>
      </c>
      <c r="D93" s="1268">
        <f t="shared" ref="D93" si="10">SUM(E93:J93)</f>
        <v>0</v>
      </c>
      <c r="E93" s="1289">
        <v>0</v>
      </c>
      <c r="F93" s="1289">
        <v>0</v>
      </c>
      <c r="G93" s="1289">
        <v>0</v>
      </c>
      <c r="H93" s="1289">
        <v>0</v>
      </c>
      <c r="I93" s="1289">
        <v>0</v>
      </c>
      <c r="J93" s="1289">
        <v>0</v>
      </c>
      <c r="K93" s="1278">
        <v>0</v>
      </c>
      <c r="L93" s="1289">
        <v>0</v>
      </c>
      <c r="M93" s="1278">
        <v>0</v>
      </c>
      <c r="N93" s="1289">
        <v>0</v>
      </c>
      <c r="O93" s="1289">
        <v>277.39999999999998</v>
      </c>
      <c r="P93" s="1290">
        <v>870692</v>
      </c>
      <c r="Q93" s="1291">
        <v>0</v>
      </c>
      <c r="R93" s="1290">
        <v>0</v>
      </c>
      <c r="S93" s="1290">
        <v>0</v>
      </c>
      <c r="T93" s="1290">
        <v>0</v>
      </c>
      <c r="U93" s="1290">
        <v>0</v>
      </c>
      <c r="V93" s="1290">
        <v>0</v>
      </c>
      <c r="W93" s="1268">
        <v>0</v>
      </c>
      <c r="X93" s="1290">
        <v>68196</v>
      </c>
      <c r="Y93" s="1290">
        <v>0</v>
      </c>
    </row>
    <row r="94" spans="1:25" s="1285" customFormat="1" ht="123" customHeight="1">
      <c r="A94" s="1281">
        <v>83</v>
      </c>
      <c r="B94" s="1283" t="s">
        <v>1466</v>
      </c>
      <c r="C94" s="1268">
        <f t="shared" ref="C94:C121" si="11">D94+N94+P94+R94+T94+V94+X94</f>
        <v>1174456</v>
      </c>
      <c r="D94" s="1268">
        <f t="shared" ref="D94:D121" si="12">SUM(E94:J94)</f>
        <v>0</v>
      </c>
      <c r="E94" s="1289">
        <v>0</v>
      </c>
      <c r="F94" s="1289">
        <v>0</v>
      </c>
      <c r="G94" s="1289">
        <v>0</v>
      </c>
      <c r="H94" s="1289">
        <v>0</v>
      </c>
      <c r="I94" s="1289">
        <v>0</v>
      </c>
      <c r="J94" s="1289">
        <v>0</v>
      </c>
      <c r="K94" s="1278">
        <v>0</v>
      </c>
      <c r="L94" s="1289">
        <v>0</v>
      </c>
      <c r="M94" s="1278">
        <v>0</v>
      </c>
      <c r="N94" s="1289">
        <v>0</v>
      </c>
      <c r="O94" s="1289">
        <v>347</v>
      </c>
      <c r="P94" s="1290">
        <v>1089150</v>
      </c>
      <c r="Q94" s="1291">
        <v>0</v>
      </c>
      <c r="R94" s="1290">
        <v>0</v>
      </c>
      <c r="S94" s="1290">
        <v>0</v>
      </c>
      <c r="T94" s="1290">
        <v>0</v>
      </c>
      <c r="U94" s="1290">
        <v>0</v>
      </c>
      <c r="V94" s="1290">
        <v>0</v>
      </c>
      <c r="W94" s="1268">
        <v>0</v>
      </c>
      <c r="X94" s="1290">
        <v>85306</v>
      </c>
      <c r="Y94" s="1290">
        <v>0</v>
      </c>
    </row>
    <row r="95" spans="1:25" s="1285" customFormat="1" ht="75.599999999999994">
      <c r="A95" s="1281">
        <v>84</v>
      </c>
      <c r="B95" s="1283" t="s">
        <v>2402</v>
      </c>
      <c r="C95" s="1268">
        <f t="shared" si="11"/>
        <v>1141204</v>
      </c>
      <c r="D95" s="1268">
        <f t="shared" si="12"/>
        <v>0</v>
      </c>
      <c r="E95" s="1289">
        <v>0</v>
      </c>
      <c r="F95" s="1289">
        <v>0</v>
      </c>
      <c r="G95" s="1289">
        <v>0</v>
      </c>
      <c r="H95" s="1289">
        <v>0</v>
      </c>
      <c r="I95" s="1289">
        <v>0</v>
      </c>
      <c r="J95" s="1289">
        <v>0</v>
      </c>
      <c r="K95" s="1278">
        <v>0</v>
      </c>
      <c r="L95" s="1289">
        <v>0</v>
      </c>
      <c r="M95" s="1278">
        <v>0</v>
      </c>
      <c r="N95" s="1289">
        <v>0</v>
      </c>
      <c r="O95" s="1289">
        <v>420</v>
      </c>
      <c r="P95" s="1290">
        <v>1058313</v>
      </c>
      <c r="Q95" s="1291">
        <v>0</v>
      </c>
      <c r="R95" s="1290">
        <v>0</v>
      </c>
      <c r="S95" s="1290">
        <v>0</v>
      </c>
      <c r="T95" s="1290">
        <v>0</v>
      </c>
      <c r="U95" s="1290">
        <v>0</v>
      </c>
      <c r="V95" s="1290">
        <v>0</v>
      </c>
      <c r="W95" s="1268">
        <v>0</v>
      </c>
      <c r="X95" s="1290">
        <v>82891</v>
      </c>
      <c r="Y95" s="1290">
        <v>0</v>
      </c>
    </row>
    <row r="96" spans="1:25" s="1285" customFormat="1" ht="75.599999999999994">
      <c r="A96" s="1281">
        <v>85</v>
      </c>
      <c r="B96" s="1283" t="s">
        <v>1467</v>
      </c>
      <c r="C96" s="1268">
        <f t="shared" si="11"/>
        <v>1218456</v>
      </c>
      <c r="D96" s="1268">
        <f t="shared" si="12"/>
        <v>0</v>
      </c>
      <c r="E96" s="1289">
        <v>0</v>
      </c>
      <c r="F96" s="1289">
        <v>0</v>
      </c>
      <c r="G96" s="1289">
        <v>0</v>
      </c>
      <c r="H96" s="1289">
        <v>0</v>
      </c>
      <c r="I96" s="1289">
        <v>0</v>
      </c>
      <c r="J96" s="1289">
        <v>0</v>
      </c>
      <c r="K96" s="1278">
        <v>0</v>
      </c>
      <c r="L96" s="1289">
        <v>0</v>
      </c>
      <c r="M96" s="1278">
        <v>0</v>
      </c>
      <c r="N96" s="1289">
        <v>0</v>
      </c>
      <c r="O96" s="1289">
        <v>360</v>
      </c>
      <c r="P96" s="1290">
        <v>1129954</v>
      </c>
      <c r="Q96" s="1291">
        <v>0</v>
      </c>
      <c r="R96" s="1290">
        <v>0</v>
      </c>
      <c r="S96" s="1290">
        <v>0</v>
      </c>
      <c r="T96" s="1290">
        <v>0</v>
      </c>
      <c r="U96" s="1290">
        <v>0</v>
      </c>
      <c r="V96" s="1290">
        <v>0</v>
      </c>
      <c r="W96" s="1268">
        <v>0</v>
      </c>
      <c r="X96" s="1290">
        <v>88502</v>
      </c>
      <c r="Y96" s="1290">
        <v>0</v>
      </c>
    </row>
    <row r="97" spans="1:25" s="1285" customFormat="1" ht="75.599999999999994">
      <c r="A97" s="1281">
        <v>86</v>
      </c>
      <c r="B97" s="1283" t="s">
        <v>2403</v>
      </c>
      <c r="C97" s="1268">
        <f t="shared" si="11"/>
        <v>3553832</v>
      </c>
      <c r="D97" s="1268">
        <f t="shared" si="12"/>
        <v>0</v>
      </c>
      <c r="E97" s="1289">
        <v>0</v>
      </c>
      <c r="F97" s="1289">
        <v>0</v>
      </c>
      <c r="G97" s="1289">
        <v>0</v>
      </c>
      <c r="H97" s="1289">
        <v>0</v>
      </c>
      <c r="I97" s="1289">
        <v>0</v>
      </c>
      <c r="J97" s="1289">
        <v>0</v>
      </c>
      <c r="K97" s="1278">
        <v>0</v>
      </c>
      <c r="L97" s="1289">
        <v>0</v>
      </c>
      <c r="M97" s="1278">
        <v>0</v>
      </c>
      <c r="N97" s="1289">
        <v>0</v>
      </c>
      <c r="O97" s="1289">
        <v>1050</v>
      </c>
      <c r="P97" s="1290">
        <v>3295700</v>
      </c>
      <c r="Q97" s="1291">
        <v>0</v>
      </c>
      <c r="R97" s="1290">
        <v>0</v>
      </c>
      <c r="S97" s="1290">
        <v>0</v>
      </c>
      <c r="T97" s="1290">
        <v>0</v>
      </c>
      <c r="U97" s="1290">
        <v>0</v>
      </c>
      <c r="V97" s="1290">
        <v>0</v>
      </c>
      <c r="W97" s="1268">
        <v>0</v>
      </c>
      <c r="X97" s="1290">
        <v>258132</v>
      </c>
      <c r="Y97" s="1290">
        <v>0</v>
      </c>
    </row>
    <row r="98" spans="1:25" s="1285" customFormat="1">
      <c r="A98" s="1281">
        <v>87</v>
      </c>
      <c r="B98" s="1283" t="s">
        <v>1468</v>
      </c>
      <c r="C98" s="1268">
        <f t="shared" si="11"/>
        <v>1263776</v>
      </c>
      <c r="D98" s="1268">
        <f t="shared" si="12"/>
        <v>0</v>
      </c>
      <c r="E98" s="1289">
        <v>0</v>
      </c>
      <c r="F98" s="1289">
        <v>0</v>
      </c>
      <c r="G98" s="1289">
        <v>0</v>
      </c>
      <c r="H98" s="1289">
        <v>0</v>
      </c>
      <c r="I98" s="1289">
        <v>0</v>
      </c>
      <c r="J98" s="1289">
        <v>0</v>
      </c>
      <c r="K98" s="1278">
        <v>0</v>
      </c>
      <c r="L98" s="1289">
        <v>0</v>
      </c>
      <c r="M98" s="1278">
        <v>0</v>
      </c>
      <c r="N98" s="1289">
        <v>0</v>
      </c>
      <c r="O98" s="1289">
        <v>373.39</v>
      </c>
      <c r="P98" s="1290">
        <v>1171982</v>
      </c>
      <c r="Q98" s="1291">
        <v>0</v>
      </c>
      <c r="R98" s="1290">
        <v>0</v>
      </c>
      <c r="S98" s="1290">
        <v>0</v>
      </c>
      <c r="T98" s="1290">
        <v>0</v>
      </c>
      <c r="U98" s="1290">
        <v>0</v>
      </c>
      <c r="V98" s="1290">
        <v>0</v>
      </c>
      <c r="W98" s="1268">
        <v>0</v>
      </c>
      <c r="X98" s="1290">
        <v>91794</v>
      </c>
      <c r="Y98" s="1290">
        <v>0</v>
      </c>
    </row>
    <row r="99" spans="1:25" s="1285" customFormat="1">
      <c r="A99" s="1281">
        <v>88</v>
      </c>
      <c r="B99" s="1283" t="s">
        <v>1469</v>
      </c>
      <c r="C99" s="1268">
        <f t="shared" si="11"/>
        <v>1605636</v>
      </c>
      <c r="D99" s="1268">
        <f t="shared" si="12"/>
        <v>0</v>
      </c>
      <c r="E99" s="1289">
        <v>0</v>
      </c>
      <c r="F99" s="1289">
        <v>0</v>
      </c>
      <c r="G99" s="1289">
        <v>0</v>
      </c>
      <c r="H99" s="1289">
        <v>0</v>
      </c>
      <c r="I99" s="1289">
        <v>0</v>
      </c>
      <c r="J99" s="1289">
        <v>0</v>
      </c>
      <c r="K99" s="1278">
        <v>0</v>
      </c>
      <c r="L99" s="1289">
        <v>0</v>
      </c>
      <c r="M99" s="1278">
        <v>0</v>
      </c>
      <c r="N99" s="1289">
        <v>0</v>
      </c>
      <c r="O99" s="1289">
        <v>0</v>
      </c>
      <c r="P99" s="1290">
        <v>0</v>
      </c>
      <c r="Q99" s="1291">
        <v>0</v>
      </c>
      <c r="R99" s="1290">
        <v>0</v>
      </c>
      <c r="S99" s="1290">
        <v>603.4</v>
      </c>
      <c r="T99" s="1290">
        <v>1489011</v>
      </c>
      <c r="U99" s="1290">
        <v>0</v>
      </c>
      <c r="V99" s="1290">
        <v>0</v>
      </c>
      <c r="W99" s="1268">
        <v>0</v>
      </c>
      <c r="X99" s="1290">
        <v>116625</v>
      </c>
      <c r="Y99" s="1290">
        <v>0</v>
      </c>
    </row>
    <row r="100" spans="1:25" s="1292" customFormat="1">
      <c r="A100" s="1281">
        <v>89</v>
      </c>
      <c r="B100" s="1283" t="s">
        <v>1749</v>
      </c>
      <c r="C100" s="1268">
        <f t="shared" si="11"/>
        <v>1153472</v>
      </c>
      <c r="D100" s="1268">
        <f t="shared" si="12"/>
        <v>0</v>
      </c>
      <c r="E100" s="1289">
        <v>0</v>
      </c>
      <c r="F100" s="1289">
        <v>0</v>
      </c>
      <c r="G100" s="1289">
        <v>0</v>
      </c>
      <c r="H100" s="1289">
        <v>0</v>
      </c>
      <c r="I100" s="1289">
        <v>0</v>
      </c>
      <c r="J100" s="1289">
        <v>0</v>
      </c>
      <c r="K100" s="1278">
        <v>0</v>
      </c>
      <c r="L100" s="1289">
        <v>0</v>
      </c>
      <c r="M100" s="1278">
        <v>0</v>
      </c>
      <c r="N100" s="1289">
        <v>0</v>
      </c>
      <c r="O100" s="1289">
        <v>340.8</v>
      </c>
      <c r="P100" s="1290">
        <v>1069690</v>
      </c>
      <c r="Q100" s="1291">
        <v>0</v>
      </c>
      <c r="R100" s="1290">
        <v>0</v>
      </c>
      <c r="S100" s="1290">
        <v>0</v>
      </c>
      <c r="T100" s="1290">
        <v>0</v>
      </c>
      <c r="U100" s="1290">
        <v>0</v>
      </c>
      <c r="V100" s="1290">
        <v>0</v>
      </c>
      <c r="W100" s="1268">
        <v>0</v>
      </c>
      <c r="X100" s="1290">
        <v>83782</v>
      </c>
      <c r="Y100" s="1290">
        <v>0</v>
      </c>
    </row>
    <row r="101" spans="1:25" s="1292" customFormat="1" ht="44.4" customHeight="1">
      <c r="A101" s="1281">
        <v>90</v>
      </c>
      <c r="B101" s="1283" t="s">
        <v>1470</v>
      </c>
      <c r="C101" s="1268">
        <f t="shared" si="11"/>
        <v>2132299</v>
      </c>
      <c r="D101" s="1268">
        <f t="shared" si="12"/>
        <v>0</v>
      </c>
      <c r="E101" s="1289">
        <v>0</v>
      </c>
      <c r="F101" s="1289">
        <v>0</v>
      </c>
      <c r="G101" s="1289">
        <v>0</v>
      </c>
      <c r="H101" s="1289">
        <v>0</v>
      </c>
      <c r="I101" s="1289">
        <v>0</v>
      </c>
      <c r="J101" s="1289">
        <v>0</v>
      </c>
      <c r="K101" s="1278">
        <v>0</v>
      </c>
      <c r="L101" s="1289">
        <v>0</v>
      </c>
      <c r="M101" s="1278">
        <v>0</v>
      </c>
      <c r="N101" s="1289">
        <v>0</v>
      </c>
      <c r="O101" s="1289">
        <v>630</v>
      </c>
      <c r="P101" s="1290">
        <v>1977420</v>
      </c>
      <c r="Q101" s="1291">
        <v>0</v>
      </c>
      <c r="R101" s="1290">
        <v>0</v>
      </c>
      <c r="S101" s="1290">
        <v>0</v>
      </c>
      <c r="T101" s="1290">
        <v>0</v>
      </c>
      <c r="U101" s="1290">
        <v>0</v>
      </c>
      <c r="V101" s="1290">
        <v>0</v>
      </c>
      <c r="W101" s="1268">
        <v>0</v>
      </c>
      <c r="X101" s="1290">
        <v>154879</v>
      </c>
      <c r="Y101" s="1290">
        <v>0</v>
      </c>
    </row>
    <row r="102" spans="1:25" s="1292" customFormat="1">
      <c r="A102" s="1281">
        <v>91</v>
      </c>
      <c r="B102" s="1283" t="s">
        <v>1751</v>
      </c>
      <c r="C102" s="1268">
        <f t="shared" si="11"/>
        <v>5406298</v>
      </c>
      <c r="D102" s="1268">
        <f t="shared" si="12"/>
        <v>0</v>
      </c>
      <c r="E102" s="1289">
        <v>0</v>
      </c>
      <c r="F102" s="1289">
        <v>0</v>
      </c>
      <c r="G102" s="1289">
        <v>0</v>
      </c>
      <c r="H102" s="1289">
        <v>0</v>
      </c>
      <c r="I102" s="1289">
        <v>0</v>
      </c>
      <c r="J102" s="1289">
        <v>0</v>
      </c>
      <c r="K102" s="1278">
        <v>0</v>
      </c>
      <c r="L102" s="1289">
        <v>0</v>
      </c>
      <c r="M102" s="1278">
        <v>0</v>
      </c>
      <c r="N102" s="1289">
        <v>0</v>
      </c>
      <c r="O102" s="1289">
        <v>1106.78</v>
      </c>
      <c r="P102" s="1290">
        <v>5013612</v>
      </c>
      <c r="Q102" s="1291">
        <v>0</v>
      </c>
      <c r="R102" s="1290">
        <v>0</v>
      </c>
      <c r="S102" s="1290">
        <v>0</v>
      </c>
      <c r="T102" s="1290">
        <v>0</v>
      </c>
      <c r="U102" s="1290">
        <v>0</v>
      </c>
      <c r="V102" s="1290">
        <v>0</v>
      </c>
      <c r="W102" s="1268">
        <v>0</v>
      </c>
      <c r="X102" s="1290">
        <v>392686</v>
      </c>
      <c r="Y102" s="1290">
        <v>0</v>
      </c>
    </row>
    <row r="103" spans="1:25" s="1292" customFormat="1">
      <c r="A103" s="1281">
        <v>92</v>
      </c>
      <c r="B103" s="1283" t="s">
        <v>1471</v>
      </c>
      <c r="C103" s="1268">
        <f t="shared" si="11"/>
        <v>686261</v>
      </c>
      <c r="D103" s="1268">
        <f t="shared" si="12"/>
        <v>0</v>
      </c>
      <c r="E103" s="1289">
        <v>0</v>
      </c>
      <c r="F103" s="1289">
        <v>0</v>
      </c>
      <c r="G103" s="1289">
        <v>0</v>
      </c>
      <c r="H103" s="1289">
        <v>0</v>
      </c>
      <c r="I103" s="1289">
        <v>0</v>
      </c>
      <c r="J103" s="1289">
        <v>0</v>
      </c>
      <c r="K103" s="1278">
        <v>0</v>
      </c>
      <c r="L103" s="1289">
        <v>0</v>
      </c>
      <c r="M103" s="1278">
        <v>0</v>
      </c>
      <c r="N103" s="1289">
        <v>0</v>
      </c>
      <c r="O103" s="1289">
        <v>202.76</v>
      </c>
      <c r="P103" s="1290">
        <v>636415</v>
      </c>
      <c r="Q103" s="1291">
        <v>0</v>
      </c>
      <c r="R103" s="1290">
        <v>0</v>
      </c>
      <c r="S103" s="1290">
        <v>0</v>
      </c>
      <c r="T103" s="1290">
        <v>0</v>
      </c>
      <c r="U103" s="1290">
        <v>0</v>
      </c>
      <c r="V103" s="1290">
        <v>0</v>
      </c>
      <c r="W103" s="1268">
        <v>0</v>
      </c>
      <c r="X103" s="1290">
        <v>49846</v>
      </c>
      <c r="Y103" s="1290">
        <v>0</v>
      </c>
    </row>
    <row r="104" spans="1:25" s="1292" customFormat="1" ht="75.599999999999994">
      <c r="A104" s="1281">
        <v>93</v>
      </c>
      <c r="B104" s="1283" t="s">
        <v>2404</v>
      </c>
      <c r="C104" s="1268">
        <f t="shared" si="11"/>
        <v>117262</v>
      </c>
      <c r="D104" s="1268">
        <f t="shared" si="12"/>
        <v>0</v>
      </c>
      <c r="E104" s="1289">
        <v>0</v>
      </c>
      <c r="F104" s="1289">
        <v>0</v>
      </c>
      <c r="G104" s="1289">
        <v>0</v>
      </c>
      <c r="H104" s="1289">
        <v>0</v>
      </c>
      <c r="I104" s="1289">
        <v>0</v>
      </c>
      <c r="J104" s="1289">
        <v>0</v>
      </c>
      <c r="K104" s="1278">
        <v>0</v>
      </c>
      <c r="L104" s="1289">
        <v>0</v>
      </c>
      <c r="M104" s="1278">
        <v>0</v>
      </c>
      <c r="N104" s="1289">
        <v>0</v>
      </c>
      <c r="O104" s="1289">
        <v>0</v>
      </c>
      <c r="P104" s="1290">
        <v>0</v>
      </c>
      <c r="Q104" s="1291">
        <v>0</v>
      </c>
      <c r="R104" s="1290">
        <v>0</v>
      </c>
      <c r="S104" s="1290">
        <v>0</v>
      </c>
      <c r="T104" s="1290">
        <v>0</v>
      </c>
      <c r="U104" s="1290">
        <v>0</v>
      </c>
      <c r="V104" s="1290">
        <v>0</v>
      </c>
      <c r="W104" s="1268">
        <v>0</v>
      </c>
      <c r="X104" s="1290">
        <v>117262</v>
      </c>
      <c r="Y104" s="1290">
        <v>0</v>
      </c>
    </row>
    <row r="105" spans="1:25" s="1292" customFormat="1">
      <c r="A105" s="1281">
        <v>94</v>
      </c>
      <c r="B105" s="1283" t="s">
        <v>1752</v>
      </c>
      <c r="C105" s="1268">
        <f t="shared" si="11"/>
        <v>2568914</v>
      </c>
      <c r="D105" s="1268">
        <f t="shared" si="12"/>
        <v>0</v>
      </c>
      <c r="E105" s="1289">
        <v>0</v>
      </c>
      <c r="F105" s="1289">
        <v>0</v>
      </c>
      <c r="G105" s="1289">
        <v>0</v>
      </c>
      <c r="H105" s="1289">
        <v>0</v>
      </c>
      <c r="I105" s="1289">
        <v>0</v>
      </c>
      <c r="J105" s="1289">
        <v>0</v>
      </c>
      <c r="K105" s="1278">
        <v>0</v>
      </c>
      <c r="L105" s="1289">
        <v>0</v>
      </c>
      <c r="M105" s="1278">
        <v>0</v>
      </c>
      <c r="N105" s="1289">
        <v>0</v>
      </c>
      <c r="O105" s="1289">
        <v>759</v>
      </c>
      <c r="P105" s="1290">
        <v>2382321</v>
      </c>
      <c r="Q105" s="1291">
        <v>0</v>
      </c>
      <c r="R105" s="1290">
        <v>0</v>
      </c>
      <c r="S105" s="1290">
        <v>0</v>
      </c>
      <c r="T105" s="1290">
        <v>0</v>
      </c>
      <c r="U105" s="1290">
        <v>0</v>
      </c>
      <c r="V105" s="1290">
        <v>0</v>
      </c>
      <c r="W105" s="1268">
        <v>0</v>
      </c>
      <c r="X105" s="1290">
        <v>186593</v>
      </c>
      <c r="Y105" s="1290">
        <v>0</v>
      </c>
    </row>
    <row r="106" spans="1:25" s="1292" customFormat="1">
      <c r="A106" s="1281">
        <v>95</v>
      </c>
      <c r="B106" s="1267" t="s">
        <v>1472</v>
      </c>
      <c r="C106" s="1268">
        <f t="shared" si="11"/>
        <v>876612</v>
      </c>
      <c r="D106" s="1268">
        <f t="shared" si="12"/>
        <v>0</v>
      </c>
      <c r="E106" s="1289">
        <v>0</v>
      </c>
      <c r="F106" s="1289">
        <v>0</v>
      </c>
      <c r="G106" s="1289">
        <v>0</v>
      </c>
      <c r="H106" s="1289">
        <v>0</v>
      </c>
      <c r="I106" s="1289">
        <v>0</v>
      </c>
      <c r="J106" s="1289">
        <v>0</v>
      </c>
      <c r="K106" s="1278">
        <v>0</v>
      </c>
      <c r="L106" s="1289">
        <v>0</v>
      </c>
      <c r="M106" s="1278">
        <v>0</v>
      </c>
      <c r="N106" s="1289">
        <v>0</v>
      </c>
      <c r="O106" s="1289">
        <v>259</v>
      </c>
      <c r="P106" s="1289">
        <v>812939</v>
      </c>
      <c r="Q106" s="1291">
        <v>0</v>
      </c>
      <c r="R106" s="1290">
        <v>0</v>
      </c>
      <c r="S106" s="1290">
        <v>0</v>
      </c>
      <c r="T106" s="1290">
        <v>0</v>
      </c>
      <c r="U106" s="1290">
        <v>0</v>
      </c>
      <c r="V106" s="1290">
        <v>0</v>
      </c>
      <c r="W106" s="1268">
        <v>0</v>
      </c>
      <c r="X106" s="1289">
        <v>63673</v>
      </c>
      <c r="Y106" s="1289">
        <v>0</v>
      </c>
    </row>
    <row r="107" spans="1:25" s="1292" customFormat="1">
      <c r="A107" s="1281">
        <v>96</v>
      </c>
      <c r="B107" s="1283" t="s">
        <v>1753</v>
      </c>
      <c r="C107" s="1268">
        <f t="shared" si="11"/>
        <v>1086458</v>
      </c>
      <c r="D107" s="1268">
        <f t="shared" si="12"/>
        <v>0</v>
      </c>
      <c r="E107" s="1289">
        <v>0</v>
      </c>
      <c r="F107" s="1289">
        <v>0</v>
      </c>
      <c r="G107" s="1289">
        <v>0</v>
      </c>
      <c r="H107" s="1289">
        <v>0</v>
      </c>
      <c r="I107" s="1289">
        <v>0</v>
      </c>
      <c r="J107" s="1289">
        <v>0</v>
      </c>
      <c r="K107" s="1278">
        <v>0</v>
      </c>
      <c r="L107" s="1289">
        <v>0</v>
      </c>
      <c r="M107" s="1278">
        <v>0</v>
      </c>
      <c r="N107" s="1289">
        <v>0</v>
      </c>
      <c r="O107" s="1289">
        <v>321</v>
      </c>
      <c r="P107" s="1290">
        <v>1007543</v>
      </c>
      <c r="Q107" s="1291">
        <v>0</v>
      </c>
      <c r="R107" s="1290">
        <v>0</v>
      </c>
      <c r="S107" s="1290">
        <v>0</v>
      </c>
      <c r="T107" s="1290">
        <v>0</v>
      </c>
      <c r="U107" s="1290">
        <v>0</v>
      </c>
      <c r="V107" s="1290">
        <v>0</v>
      </c>
      <c r="W107" s="1268">
        <v>0</v>
      </c>
      <c r="X107" s="1290">
        <v>78915</v>
      </c>
      <c r="Y107" s="1290">
        <v>0</v>
      </c>
    </row>
    <row r="108" spans="1:25" s="1292" customFormat="1">
      <c r="A108" s="1281">
        <v>97</v>
      </c>
      <c r="B108" s="1283" t="s">
        <v>1473</v>
      </c>
      <c r="C108" s="1268">
        <f t="shared" si="11"/>
        <v>3316910</v>
      </c>
      <c r="D108" s="1268">
        <f t="shared" si="12"/>
        <v>0</v>
      </c>
      <c r="E108" s="1289">
        <v>0</v>
      </c>
      <c r="F108" s="1289">
        <v>0</v>
      </c>
      <c r="G108" s="1289">
        <v>0</v>
      </c>
      <c r="H108" s="1289">
        <v>0</v>
      </c>
      <c r="I108" s="1289">
        <v>0</v>
      </c>
      <c r="J108" s="1289">
        <v>0</v>
      </c>
      <c r="K108" s="1278">
        <v>0</v>
      </c>
      <c r="L108" s="1289">
        <v>0</v>
      </c>
      <c r="M108" s="1278">
        <v>0</v>
      </c>
      <c r="N108" s="1289">
        <v>0</v>
      </c>
      <c r="O108" s="1289">
        <v>980</v>
      </c>
      <c r="P108" s="1290">
        <v>3075987</v>
      </c>
      <c r="Q108" s="1291">
        <v>0</v>
      </c>
      <c r="R108" s="1290">
        <v>0</v>
      </c>
      <c r="S108" s="1290">
        <v>0</v>
      </c>
      <c r="T108" s="1290">
        <v>0</v>
      </c>
      <c r="U108" s="1290">
        <v>0</v>
      </c>
      <c r="V108" s="1290">
        <v>0</v>
      </c>
      <c r="W108" s="1268">
        <v>0</v>
      </c>
      <c r="X108" s="1290">
        <v>240923</v>
      </c>
      <c r="Y108" s="1290">
        <v>0</v>
      </c>
    </row>
    <row r="109" spans="1:25" s="1292" customFormat="1" ht="75.599999999999994">
      <c r="A109" s="1281">
        <v>98</v>
      </c>
      <c r="B109" s="1283" t="s">
        <v>1474</v>
      </c>
      <c r="C109" s="1268">
        <f t="shared" si="11"/>
        <v>1678763</v>
      </c>
      <c r="D109" s="1268">
        <f t="shared" si="12"/>
        <v>0</v>
      </c>
      <c r="E109" s="1289">
        <v>0</v>
      </c>
      <c r="F109" s="1289">
        <v>0</v>
      </c>
      <c r="G109" s="1289">
        <v>0</v>
      </c>
      <c r="H109" s="1289">
        <v>0</v>
      </c>
      <c r="I109" s="1289">
        <v>0</v>
      </c>
      <c r="J109" s="1289">
        <v>0</v>
      </c>
      <c r="K109" s="1278">
        <v>0</v>
      </c>
      <c r="L109" s="1289">
        <v>0</v>
      </c>
      <c r="M109" s="1278">
        <v>0</v>
      </c>
      <c r="N109" s="1289">
        <v>0</v>
      </c>
      <c r="O109" s="1289">
        <v>496</v>
      </c>
      <c r="P109" s="1290">
        <v>1556826</v>
      </c>
      <c r="Q109" s="1291">
        <v>0</v>
      </c>
      <c r="R109" s="1290">
        <v>0</v>
      </c>
      <c r="S109" s="1290">
        <v>0</v>
      </c>
      <c r="T109" s="1290">
        <v>0</v>
      </c>
      <c r="U109" s="1290">
        <v>0</v>
      </c>
      <c r="V109" s="1290">
        <v>0</v>
      </c>
      <c r="W109" s="1268">
        <v>0</v>
      </c>
      <c r="X109" s="1290">
        <v>121937</v>
      </c>
      <c r="Y109" s="1290">
        <v>0</v>
      </c>
    </row>
    <row r="110" spans="1:25" s="1292" customFormat="1" ht="47.4" customHeight="1">
      <c r="A110" s="1281">
        <v>99</v>
      </c>
      <c r="B110" s="1283" t="s">
        <v>1475</v>
      </c>
      <c r="C110" s="1268">
        <f t="shared" si="11"/>
        <v>940209</v>
      </c>
      <c r="D110" s="1268">
        <f t="shared" si="12"/>
        <v>0</v>
      </c>
      <c r="E110" s="1289">
        <v>0</v>
      </c>
      <c r="F110" s="1289">
        <v>0</v>
      </c>
      <c r="G110" s="1289">
        <v>0</v>
      </c>
      <c r="H110" s="1289">
        <v>0</v>
      </c>
      <c r="I110" s="1289">
        <v>0</v>
      </c>
      <c r="J110" s="1289">
        <v>0</v>
      </c>
      <c r="K110" s="1278">
        <v>0</v>
      </c>
      <c r="L110" s="1289">
        <v>0</v>
      </c>
      <c r="M110" s="1278">
        <v>0</v>
      </c>
      <c r="N110" s="1289">
        <v>0</v>
      </c>
      <c r="O110" s="1289">
        <v>277.79000000000002</v>
      </c>
      <c r="P110" s="1290">
        <v>871917</v>
      </c>
      <c r="Q110" s="1291">
        <v>0</v>
      </c>
      <c r="R110" s="1290">
        <v>0</v>
      </c>
      <c r="S110" s="1290">
        <v>0</v>
      </c>
      <c r="T110" s="1290">
        <v>0</v>
      </c>
      <c r="U110" s="1290">
        <v>0</v>
      </c>
      <c r="V110" s="1290">
        <v>0</v>
      </c>
      <c r="W110" s="1268">
        <v>0</v>
      </c>
      <c r="X110" s="1290">
        <v>68292</v>
      </c>
      <c r="Y110" s="1290">
        <v>0</v>
      </c>
    </row>
    <row r="111" spans="1:25" s="1292" customFormat="1">
      <c r="A111" s="1281">
        <v>100</v>
      </c>
      <c r="B111" s="1283" t="s">
        <v>1476</v>
      </c>
      <c r="C111" s="1268">
        <f t="shared" si="11"/>
        <v>670568</v>
      </c>
      <c r="D111" s="1268">
        <f t="shared" si="12"/>
        <v>0</v>
      </c>
      <c r="E111" s="1289">
        <v>0</v>
      </c>
      <c r="F111" s="1289">
        <v>0</v>
      </c>
      <c r="G111" s="1289">
        <v>0</v>
      </c>
      <c r="H111" s="1289">
        <v>0</v>
      </c>
      <c r="I111" s="1289">
        <v>0</v>
      </c>
      <c r="J111" s="1289">
        <v>0</v>
      </c>
      <c r="K111" s="1278">
        <v>0</v>
      </c>
      <c r="L111" s="1289">
        <v>0</v>
      </c>
      <c r="M111" s="1278">
        <v>0</v>
      </c>
      <c r="N111" s="1289">
        <v>0</v>
      </c>
      <c r="O111" s="1289">
        <v>0</v>
      </c>
      <c r="P111" s="1290">
        <v>0</v>
      </c>
      <c r="Q111" s="1291">
        <v>0</v>
      </c>
      <c r="R111" s="1290">
        <v>0</v>
      </c>
      <c r="S111" s="1290">
        <v>252</v>
      </c>
      <c r="T111" s="1290">
        <v>621861</v>
      </c>
      <c r="U111" s="1290">
        <v>0</v>
      </c>
      <c r="V111" s="1290">
        <v>0</v>
      </c>
      <c r="W111" s="1268">
        <v>0</v>
      </c>
      <c r="X111" s="1290">
        <v>48707</v>
      </c>
      <c r="Y111" s="1290">
        <v>0</v>
      </c>
    </row>
    <row r="112" spans="1:25" s="1292" customFormat="1" ht="75.599999999999994">
      <c r="A112" s="1281">
        <v>101</v>
      </c>
      <c r="B112" s="1283" t="s">
        <v>1477</v>
      </c>
      <c r="C112" s="1268">
        <f t="shared" si="11"/>
        <v>60901</v>
      </c>
      <c r="D112" s="1268">
        <f t="shared" si="12"/>
        <v>0</v>
      </c>
      <c r="E112" s="1289">
        <v>0</v>
      </c>
      <c r="F112" s="1289">
        <v>0</v>
      </c>
      <c r="G112" s="1289">
        <v>0</v>
      </c>
      <c r="H112" s="1289">
        <v>0</v>
      </c>
      <c r="I112" s="1289">
        <v>0</v>
      </c>
      <c r="J112" s="1289">
        <v>0</v>
      </c>
      <c r="K112" s="1278">
        <v>0</v>
      </c>
      <c r="L112" s="1289">
        <v>0</v>
      </c>
      <c r="M112" s="1278">
        <v>0</v>
      </c>
      <c r="N112" s="1289">
        <v>0</v>
      </c>
      <c r="O112" s="1289">
        <v>0</v>
      </c>
      <c r="P112" s="1290">
        <v>0</v>
      </c>
      <c r="Q112" s="1291">
        <v>0</v>
      </c>
      <c r="R112" s="1290">
        <v>0</v>
      </c>
      <c r="S112" s="1290">
        <v>0</v>
      </c>
      <c r="T112" s="1290">
        <v>0</v>
      </c>
      <c r="U112" s="1290">
        <v>0</v>
      </c>
      <c r="V112" s="1290">
        <v>0</v>
      </c>
      <c r="W112" s="1268">
        <v>0</v>
      </c>
      <c r="X112" s="1290">
        <v>60901</v>
      </c>
      <c r="Y112" s="1290">
        <v>0</v>
      </c>
    </row>
    <row r="113" spans="1:25" s="1292" customFormat="1">
      <c r="A113" s="1281">
        <v>102</v>
      </c>
      <c r="B113" s="1283" t="s">
        <v>1478</v>
      </c>
      <c r="C113" s="1268">
        <f t="shared" si="11"/>
        <v>3904725</v>
      </c>
      <c r="D113" s="1268">
        <f t="shared" si="12"/>
        <v>0</v>
      </c>
      <c r="E113" s="1289">
        <v>0</v>
      </c>
      <c r="F113" s="1289">
        <v>0</v>
      </c>
      <c r="G113" s="1289">
        <v>0</v>
      </c>
      <c r="H113" s="1289">
        <v>0</v>
      </c>
      <c r="I113" s="1289">
        <v>0</v>
      </c>
      <c r="J113" s="1289">
        <v>0</v>
      </c>
      <c r="K113" s="1278">
        <v>0</v>
      </c>
      <c r="L113" s="1289">
        <v>0</v>
      </c>
      <c r="M113" s="1278">
        <v>0</v>
      </c>
      <c r="N113" s="1289">
        <v>0</v>
      </c>
      <c r="O113" s="1289">
        <v>0</v>
      </c>
      <c r="P113" s="1290">
        <v>0</v>
      </c>
      <c r="Q113" s="1291">
        <v>0</v>
      </c>
      <c r="R113" s="1290">
        <v>0</v>
      </c>
      <c r="S113" s="1290">
        <v>1467.4</v>
      </c>
      <c r="T113" s="1290">
        <v>3621106</v>
      </c>
      <c r="U113" s="1290">
        <v>0</v>
      </c>
      <c r="V113" s="1290">
        <v>0</v>
      </c>
      <c r="W113" s="1268">
        <v>0</v>
      </c>
      <c r="X113" s="1290">
        <v>283619</v>
      </c>
      <c r="Y113" s="1290">
        <v>0</v>
      </c>
    </row>
    <row r="114" spans="1:25" s="1292" customFormat="1">
      <c r="A114" s="1281">
        <v>103</v>
      </c>
      <c r="B114" s="1283" t="s">
        <v>1479</v>
      </c>
      <c r="C114" s="1268">
        <f t="shared" si="11"/>
        <v>2530667</v>
      </c>
      <c r="D114" s="1268">
        <f t="shared" si="12"/>
        <v>0</v>
      </c>
      <c r="E114" s="1289">
        <v>0</v>
      </c>
      <c r="F114" s="1289">
        <v>0</v>
      </c>
      <c r="G114" s="1289">
        <v>0</v>
      </c>
      <c r="H114" s="1289">
        <v>0</v>
      </c>
      <c r="I114" s="1289">
        <v>0</v>
      </c>
      <c r="J114" s="1289">
        <v>0</v>
      </c>
      <c r="K114" s="1278">
        <v>0</v>
      </c>
      <c r="L114" s="1289">
        <v>0</v>
      </c>
      <c r="M114" s="1278">
        <v>0</v>
      </c>
      <c r="N114" s="1289">
        <v>0</v>
      </c>
      <c r="O114" s="1289">
        <v>747.7</v>
      </c>
      <c r="P114" s="1290">
        <v>2346852</v>
      </c>
      <c r="Q114" s="1291">
        <v>0</v>
      </c>
      <c r="R114" s="1290">
        <v>0</v>
      </c>
      <c r="S114" s="1290">
        <v>0</v>
      </c>
      <c r="T114" s="1290">
        <v>0</v>
      </c>
      <c r="U114" s="1290">
        <v>0</v>
      </c>
      <c r="V114" s="1290">
        <v>0</v>
      </c>
      <c r="W114" s="1268">
        <v>0</v>
      </c>
      <c r="X114" s="1290">
        <v>183815</v>
      </c>
      <c r="Y114" s="1290">
        <v>0</v>
      </c>
    </row>
    <row r="115" spans="1:25" s="1292" customFormat="1">
      <c r="A115" s="1281">
        <v>104</v>
      </c>
      <c r="B115" s="1283" t="s">
        <v>1480</v>
      </c>
      <c r="C115" s="1268">
        <f t="shared" si="11"/>
        <v>2149900</v>
      </c>
      <c r="D115" s="1268">
        <f t="shared" si="12"/>
        <v>0</v>
      </c>
      <c r="E115" s="1289">
        <v>0</v>
      </c>
      <c r="F115" s="1289">
        <v>0</v>
      </c>
      <c r="G115" s="1289">
        <v>0</v>
      </c>
      <c r="H115" s="1289">
        <v>0</v>
      </c>
      <c r="I115" s="1289">
        <v>0</v>
      </c>
      <c r="J115" s="1289">
        <v>0</v>
      </c>
      <c r="K115" s="1278">
        <v>0</v>
      </c>
      <c r="L115" s="1289">
        <v>0</v>
      </c>
      <c r="M115" s="1278">
        <v>0</v>
      </c>
      <c r="N115" s="1289">
        <v>0</v>
      </c>
      <c r="O115" s="1289">
        <v>635.20000000000005</v>
      </c>
      <c r="P115" s="1290">
        <v>1993742</v>
      </c>
      <c r="Q115" s="1291">
        <v>0</v>
      </c>
      <c r="R115" s="1290">
        <v>0</v>
      </c>
      <c r="S115" s="1290">
        <v>0</v>
      </c>
      <c r="T115" s="1290">
        <v>0</v>
      </c>
      <c r="U115" s="1290">
        <v>0</v>
      </c>
      <c r="V115" s="1290">
        <v>0</v>
      </c>
      <c r="W115" s="1268">
        <v>0</v>
      </c>
      <c r="X115" s="1290">
        <v>156158</v>
      </c>
      <c r="Y115" s="1290">
        <v>0</v>
      </c>
    </row>
    <row r="116" spans="1:25" s="1292" customFormat="1">
      <c r="A116" s="1281">
        <v>105</v>
      </c>
      <c r="B116" s="1283" t="s">
        <v>1481</v>
      </c>
      <c r="C116" s="1268">
        <f t="shared" si="11"/>
        <v>2573245</v>
      </c>
      <c r="D116" s="1268">
        <f t="shared" si="12"/>
        <v>0</v>
      </c>
      <c r="E116" s="1289">
        <v>0</v>
      </c>
      <c r="F116" s="1289">
        <v>0</v>
      </c>
      <c r="G116" s="1289">
        <v>0</v>
      </c>
      <c r="H116" s="1289">
        <v>0</v>
      </c>
      <c r="I116" s="1289">
        <v>0</v>
      </c>
      <c r="J116" s="1289">
        <v>0</v>
      </c>
      <c r="K116" s="1278">
        <v>0</v>
      </c>
      <c r="L116" s="1289">
        <v>0</v>
      </c>
      <c r="M116" s="1278">
        <v>0</v>
      </c>
      <c r="N116" s="1289">
        <v>0</v>
      </c>
      <c r="O116" s="1289">
        <v>760.28</v>
      </c>
      <c r="P116" s="1290">
        <v>2386338</v>
      </c>
      <c r="Q116" s="1291">
        <v>0</v>
      </c>
      <c r="R116" s="1290">
        <v>0</v>
      </c>
      <c r="S116" s="1290">
        <v>0</v>
      </c>
      <c r="T116" s="1290">
        <v>0</v>
      </c>
      <c r="U116" s="1290">
        <v>0</v>
      </c>
      <c r="V116" s="1290">
        <v>0</v>
      </c>
      <c r="W116" s="1268">
        <v>0</v>
      </c>
      <c r="X116" s="1290">
        <v>186907</v>
      </c>
      <c r="Y116" s="1290">
        <v>0</v>
      </c>
    </row>
    <row r="117" spans="1:25" s="1292" customFormat="1">
      <c r="A117" s="1281">
        <v>106</v>
      </c>
      <c r="B117" s="1283" t="s">
        <v>1754</v>
      </c>
      <c r="C117" s="1268">
        <f t="shared" si="11"/>
        <v>1357023</v>
      </c>
      <c r="D117" s="1268">
        <f t="shared" si="12"/>
        <v>0</v>
      </c>
      <c r="E117" s="1289">
        <v>0</v>
      </c>
      <c r="F117" s="1289">
        <v>0</v>
      </c>
      <c r="G117" s="1289">
        <v>0</v>
      </c>
      <c r="H117" s="1289">
        <v>0</v>
      </c>
      <c r="I117" s="1289">
        <v>0</v>
      </c>
      <c r="J117" s="1289">
        <v>0</v>
      </c>
      <c r="K117" s="1278">
        <v>0</v>
      </c>
      <c r="L117" s="1289">
        <v>0</v>
      </c>
      <c r="M117" s="1278">
        <v>0</v>
      </c>
      <c r="N117" s="1289">
        <v>0</v>
      </c>
      <c r="O117" s="1289">
        <v>400.94</v>
      </c>
      <c r="P117" s="1290">
        <v>1258456</v>
      </c>
      <c r="Q117" s="1291">
        <v>0</v>
      </c>
      <c r="R117" s="1290">
        <v>0</v>
      </c>
      <c r="S117" s="1290">
        <v>0</v>
      </c>
      <c r="T117" s="1290">
        <v>0</v>
      </c>
      <c r="U117" s="1290">
        <v>0</v>
      </c>
      <c r="V117" s="1290">
        <v>0</v>
      </c>
      <c r="W117" s="1268">
        <v>0</v>
      </c>
      <c r="X117" s="1290">
        <v>98567</v>
      </c>
      <c r="Y117" s="1290">
        <v>0</v>
      </c>
    </row>
    <row r="118" spans="1:25" s="1292" customFormat="1">
      <c r="A118" s="1281">
        <v>107</v>
      </c>
      <c r="B118" s="1283" t="s">
        <v>1755</v>
      </c>
      <c r="C118" s="1268">
        <f t="shared" si="11"/>
        <v>1868266</v>
      </c>
      <c r="D118" s="1268">
        <f t="shared" si="12"/>
        <v>0</v>
      </c>
      <c r="E118" s="1289">
        <v>0</v>
      </c>
      <c r="F118" s="1289">
        <v>0</v>
      </c>
      <c r="G118" s="1289">
        <v>0</v>
      </c>
      <c r="H118" s="1289">
        <v>0</v>
      </c>
      <c r="I118" s="1289">
        <v>0</v>
      </c>
      <c r="J118" s="1289">
        <v>0</v>
      </c>
      <c r="K118" s="1278">
        <v>0</v>
      </c>
      <c r="L118" s="1289">
        <v>0</v>
      </c>
      <c r="M118" s="1278">
        <v>0</v>
      </c>
      <c r="N118" s="1289">
        <v>0</v>
      </c>
      <c r="O118" s="1289">
        <v>551.99</v>
      </c>
      <c r="P118" s="1290">
        <v>1732565</v>
      </c>
      <c r="Q118" s="1291">
        <v>0</v>
      </c>
      <c r="R118" s="1290">
        <v>0</v>
      </c>
      <c r="S118" s="1290">
        <v>0</v>
      </c>
      <c r="T118" s="1290">
        <v>0</v>
      </c>
      <c r="U118" s="1290">
        <v>0</v>
      </c>
      <c r="V118" s="1290">
        <v>0</v>
      </c>
      <c r="W118" s="1268">
        <v>0</v>
      </c>
      <c r="X118" s="1290">
        <v>135701</v>
      </c>
      <c r="Y118" s="1290">
        <v>0</v>
      </c>
    </row>
    <row r="119" spans="1:25" s="1292" customFormat="1">
      <c r="A119" s="1281">
        <v>108</v>
      </c>
      <c r="B119" s="1283" t="s">
        <v>1756</v>
      </c>
      <c r="C119" s="1268">
        <f t="shared" si="11"/>
        <v>1421533</v>
      </c>
      <c r="D119" s="1268">
        <f t="shared" si="12"/>
        <v>0</v>
      </c>
      <c r="E119" s="1289">
        <v>0</v>
      </c>
      <c r="F119" s="1289">
        <v>0</v>
      </c>
      <c r="G119" s="1289">
        <v>0</v>
      </c>
      <c r="H119" s="1289">
        <v>0</v>
      </c>
      <c r="I119" s="1289">
        <v>0</v>
      </c>
      <c r="J119" s="1289">
        <v>0</v>
      </c>
      <c r="K119" s="1278">
        <v>0</v>
      </c>
      <c r="L119" s="1289">
        <v>0</v>
      </c>
      <c r="M119" s="1278">
        <v>0</v>
      </c>
      <c r="N119" s="1289">
        <v>0</v>
      </c>
      <c r="O119" s="1289">
        <v>420</v>
      </c>
      <c r="P119" s="1290">
        <v>1318280</v>
      </c>
      <c r="Q119" s="1291">
        <v>0</v>
      </c>
      <c r="R119" s="1290">
        <v>0</v>
      </c>
      <c r="S119" s="1290">
        <v>0</v>
      </c>
      <c r="T119" s="1290">
        <v>0</v>
      </c>
      <c r="U119" s="1290">
        <v>0</v>
      </c>
      <c r="V119" s="1290">
        <v>0</v>
      </c>
      <c r="W119" s="1268">
        <v>0</v>
      </c>
      <c r="X119" s="1290">
        <v>103253</v>
      </c>
      <c r="Y119" s="1290">
        <v>0</v>
      </c>
    </row>
    <row r="120" spans="1:25" s="1292" customFormat="1">
      <c r="A120" s="1281">
        <v>109</v>
      </c>
      <c r="B120" s="1283" t="s">
        <v>1757</v>
      </c>
      <c r="C120" s="1268">
        <f t="shared" si="11"/>
        <v>2165164</v>
      </c>
      <c r="D120" s="1268">
        <f t="shared" si="12"/>
        <v>0</v>
      </c>
      <c r="E120" s="1289">
        <v>0</v>
      </c>
      <c r="F120" s="1289">
        <v>0</v>
      </c>
      <c r="G120" s="1289">
        <v>0</v>
      </c>
      <c r="H120" s="1289">
        <v>0</v>
      </c>
      <c r="I120" s="1289">
        <v>0</v>
      </c>
      <c r="J120" s="1289">
        <v>0</v>
      </c>
      <c r="K120" s="1278">
        <v>0</v>
      </c>
      <c r="L120" s="1289">
        <v>0</v>
      </c>
      <c r="M120" s="1278">
        <v>0</v>
      </c>
      <c r="N120" s="1289">
        <v>0</v>
      </c>
      <c r="O120" s="1289">
        <v>796.85</v>
      </c>
      <c r="P120" s="1290">
        <v>2007898</v>
      </c>
      <c r="Q120" s="1291">
        <v>0</v>
      </c>
      <c r="R120" s="1290">
        <v>0</v>
      </c>
      <c r="S120" s="1290">
        <v>0</v>
      </c>
      <c r="T120" s="1290">
        <v>0</v>
      </c>
      <c r="U120" s="1290">
        <v>0</v>
      </c>
      <c r="V120" s="1290">
        <v>0</v>
      </c>
      <c r="W120" s="1268">
        <v>0</v>
      </c>
      <c r="X120" s="1290">
        <v>157266</v>
      </c>
      <c r="Y120" s="1290">
        <v>0</v>
      </c>
    </row>
    <row r="121" spans="1:25" s="1292" customFormat="1">
      <c r="A121" s="1281">
        <v>110</v>
      </c>
      <c r="B121" s="1283" t="s">
        <v>1482</v>
      </c>
      <c r="C121" s="1268">
        <f t="shared" si="11"/>
        <v>6428277</v>
      </c>
      <c r="D121" s="1268">
        <f t="shared" si="12"/>
        <v>0</v>
      </c>
      <c r="E121" s="1289">
        <v>0</v>
      </c>
      <c r="F121" s="1289">
        <v>0</v>
      </c>
      <c r="G121" s="1289">
        <v>0</v>
      </c>
      <c r="H121" s="1289">
        <v>0</v>
      </c>
      <c r="I121" s="1289">
        <v>0</v>
      </c>
      <c r="J121" s="1289">
        <v>0</v>
      </c>
      <c r="K121" s="1278">
        <v>0</v>
      </c>
      <c r="L121" s="1289">
        <v>0</v>
      </c>
      <c r="M121" s="1278">
        <v>0</v>
      </c>
      <c r="N121" s="1289">
        <v>0</v>
      </c>
      <c r="O121" s="1289">
        <v>1316</v>
      </c>
      <c r="P121" s="1290">
        <v>5961360</v>
      </c>
      <c r="Q121" s="1291">
        <v>0</v>
      </c>
      <c r="R121" s="1290">
        <v>0</v>
      </c>
      <c r="S121" s="1290">
        <v>0</v>
      </c>
      <c r="T121" s="1290">
        <v>0</v>
      </c>
      <c r="U121" s="1290">
        <v>0</v>
      </c>
      <c r="V121" s="1290">
        <v>0</v>
      </c>
      <c r="W121" s="1268">
        <v>0</v>
      </c>
      <c r="X121" s="1290">
        <v>466917</v>
      </c>
      <c r="Y121" s="1290">
        <v>0</v>
      </c>
    </row>
    <row r="122" spans="1:25" s="1292" customFormat="1" ht="113.4">
      <c r="A122" s="1281">
        <v>111</v>
      </c>
      <c r="B122" s="1283" t="s">
        <v>2405</v>
      </c>
      <c r="C122" s="1268">
        <f t="shared" ref="C122:C128" si="13">D122+N122+P122+R122+T122+V122+X122</f>
        <v>1431686</v>
      </c>
      <c r="D122" s="1268">
        <f t="shared" ref="D122:D128" si="14">SUM(E122:J122)</f>
        <v>0</v>
      </c>
      <c r="E122" s="1289">
        <v>0</v>
      </c>
      <c r="F122" s="1289">
        <v>0</v>
      </c>
      <c r="G122" s="1289">
        <v>0</v>
      </c>
      <c r="H122" s="1289">
        <v>0</v>
      </c>
      <c r="I122" s="1289">
        <v>0</v>
      </c>
      <c r="J122" s="1289">
        <v>0</v>
      </c>
      <c r="K122" s="1278">
        <v>0</v>
      </c>
      <c r="L122" s="1289">
        <v>0</v>
      </c>
      <c r="M122" s="1278">
        <v>0</v>
      </c>
      <c r="N122" s="1289">
        <v>0</v>
      </c>
      <c r="O122" s="1289">
        <v>423</v>
      </c>
      <c r="P122" s="1290">
        <v>1327696</v>
      </c>
      <c r="Q122" s="1291">
        <v>0</v>
      </c>
      <c r="R122" s="1290">
        <v>0</v>
      </c>
      <c r="S122" s="1290">
        <v>0</v>
      </c>
      <c r="T122" s="1290">
        <v>0</v>
      </c>
      <c r="U122" s="1290">
        <v>0</v>
      </c>
      <c r="V122" s="1290">
        <v>0</v>
      </c>
      <c r="W122" s="1268">
        <v>0</v>
      </c>
      <c r="X122" s="1290">
        <v>103990</v>
      </c>
      <c r="Y122" s="1290">
        <v>0</v>
      </c>
    </row>
    <row r="123" spans="1:25" s="1292" customFormat="1" ht="75.599999999999994">
      <c r="A123" s="1281">
        <v>112</v>
      </c>
      <c r="B123" s="1283" t="s">
        <v>2406</v>
      </c>
      <c r="C123" s="1268">
        <f t="shared" si="13"/>
        <v>1569979</v>
      </c>
      <c r="D123" s="1268">
        <f t="shared" si="14"/>
        <v>0</v>
      </c>
      <c r="E123" s="1289">
        <v>0</v>
      </c>
      <c r="F123" s="1289">
        <v>0</v>
      </c>
      <c r="G123" s="1289">
        <v>0</v>
      </c>
      <c r="H123" s="1289">
        <v>0</v>
      </c>
      <c r="I123" s="1289">
        <v>0</v>
      </c>
      <c r="J123" s="1289">
        <v>0</v>
      </c>
      <c r="K123" s="1278">
        <v>0</v>
      </c>
      <c r="L123" s="1289">
        <v>0</v>
      </c>
      <c r="M123" s="1278">
        <v>0</v>
      </c>
      <c r="N123" s="1289">
        <v>0</v>
      </c>
      <c r="O123" s="1289">
        <v>0</v>
      </c>
      <c r="P123" s="1290">
        <v>0</v>
      </c>
      <c r="Q123" s="1291">
        <v>0</v>
      </c>
      <c r="R123" s="1290">
        <v>0</v>
      </c>
      <c r="S123" s="1290">
        <v>590</v>
      </c>
      <c r="T123" s="1290">
        <v>1455944</v>
      </c>
      <c r="U123" s="1290">
        <v>0</v>
      </c>
      <c r="V123" s="1290">
        <v>0</v>
      </c>
      <c r="W123" s="1268">
        <v>0</v>
      </c>
      <c r="X123" s="1290">
        <v>114035</v>
      </c>
      <c r="Y123" s="1290">
        <v>0</v>
      </c>
    </row>
    <row r="124" spans="1:25" s="1292" customFormat="1" ht="75.599999999999994">
      <c r="A124" s="1281">
        <v>113</v>
      </c>
      <c r="B124" s="1283" t="s">
        <v>2408</v>
      </c>
      <c r="C124" s="1268">
        <f t="shared" si="13"/>
        <v>711884</v>
      </c>
      <c r="D124" s="1268">
        <f t="shared" si="14"/>
        <v>660176</v>
      </c>
      <c r="E124" s="1289">
        <v>660176</v>
      </c>
      <c r="F124" s="1289">
        <v>0</v>
      </c>
      <c r="G124" s="1289">
        <v>0</v>
      </c>
      <c r="H124" s="1289">
        <v>0</v>
      </c>
      <c r="I124" s="1289">
        <v>0</v>
      </c>
      <c r="J124" s="1289">
        <v>0</v>
      </c>
      <c r="K124" s="1278">
        <v>0</v>
      </c>
      <c r="L124" s="1289">
        <v>0</v>
      </c>
      <c r="M124" s="1278">
        <v>0</v>
      </c>
      <c r="N124" s="1289">
        <v>0</v>
      </c>
      <c r="O124" s="1289">
        <v>0</v>
      </c>
      <c r="P124" s="1290">
        <v>0</v>
      </c>
      <c r="Q124" s="1291">
        <v>0</v>
      </c>
      <c r="R124" s="1290">
        <v>0</v>
      </c>
      <c r="S124" s="1290">
        <v>0</v>
      </c>
      <c r="T124" s="1290">
        <v>0</v>
      </c>
      <c r="U124" s="1290">
        <v>0</v>
      </c>
      <c r="V124" s="1290">
        <v>0</v>
      </c>
      <c r="W124" s="1268">
        <v>0</v>
      </c>
      <c r="X124" s="1290">
        <v>51708</v>
      </c>
      <c r="Y124" s="1290">
        <v>0</v>
      </c>
    </row>
    <row r="125" spans="1:25" s="1292" customFormat="1" ht="75.599999999999994">
      <c r="A125" s="1281">
        <v>114</v>
      </c>
      <c r="B125" s="1283" t="s">
        <v>2407</v>
      </c>
      <c r="C125" s="1268">
        <f t="shared" si="13"/>
        <v>1046105</v>
      </c>
      <c r="D125" s="1268">
        <f t="shared" si="14"/>
        <v>0</v>
      </c>
      <c r="E125" s="1289">
        <v>0</v>
      </c>
      <c r="F125" s="1289">
        <v>0</v>
      </c>
      <c r="G125" s="1289">
        <v>0</v>
      </c>
      <c r="H125" s="1289">
        <v>0</v>
      </c>
      <c r="I125" s="1289">
        <v>0</v>
      </c>
      <c r="J125" s="1289">
        <v>0</v>
      </c>
      <c r="K125" s="1278">
        <v>0</v>
      </c>
      <c r="L125" s="1289">
        <v>0</v>
      </c>
      <c r="M125" s="1278">
        <v>0</v>
      </c>
      <c r="N125" s="1289">
        <v>0</v>
      </c>
      <c r="O125" s="1289">
        <v>385</v>
      </c>
      <c r="P125" s="1290">
        <v>970121</v>
      </c>
      <c r="Q125" s="1291">
        <v>0</v>
      </c>
      <c r="R125" s="1290">
        <v>0</v>
      </c>
      <c r="S125" s="1290">
        <v>0</v>
      </c>
      <c r="T125" s="1290">
        <v>0</v>
      </c>
      <c r="U125" s="1290">
        <v>0</v>
      </c>
      <c r="V125" s="1290">
        <v>0</v>
      </c>
      <c r="W125" s="1268">
        <v>0</v>
      </c>
      <c r="X125" s="1290">
        <v>75984</v>
      </c>
      <c r="Y125" s="1290">
        <v>0</v>
      </c>
    </row>
    <row r="126" spans="1:25" s="1292" customFormat="1" ht="75.599999999999994">
      <c r="A126" s="1281">
        <v>115</v>
      </c>
      <c r="B126" s="1283" t="s">
        <v>2409</v>
      </c>
      <c r="C126" s="1268">
        <f t="shared" si="13"/>
        <v>2595990</v>
      </c>
      <c r="D126" s="1268">
        <f t="shared" si="14"/>
        <v>0</v>
      </c>
      <c r="E126" s="1289">
        <v>0</v>
      </c>
      <c r="F126" s="1289">
        <v>0</v>
      </c>
      <c r="G126" s="1289">
        <v>0</v>
      </c>
      <c r="H126" s="1289">
        <v>0</v>
      </c>
      <c r="I126" s="1289">
        <v>0</v>
      </c>
      <c r="J126" s="1289">
        <v>0</v>
      </c>
      <c r="K126" s="1278">
        <v>0</v>
      </c>
      <c r="L126" s="1289">
        <v>0</v>
      </c>
      <c r="M126" s="1278">
        <v>0</v>
      </c>
      <c r="N126" s="1289">
        <v>0</v>
      </c>
      <c r="O126" s="1289">
        <v>767</v>
      </c>
      <c r="P126" s="1290">
        <v>2407431</v>
      </c>
      <c r="Q126" s="1291">
        <v>0</v>
      </c>
      <c r="R126" s="1290">
        <v>0</v>
      </c>
      <c r="S126" s="1290">
        <v>0</v>
      </c>
      <c r="T126" s="1290">
        <v>0</v>
      </c>
      <c r="U126" s="1290">
        <v>0</v>
      </c>
      <c r="V126" s="1290">
        <v>0</v>
      </c>
      <c r="W126" s="1268">
        <v>0</v>
      </c>
      <c r="X126" s="1290">
        <v>188559</v>
      </c>
      <c r="Y126" s="1290">
        <v>0</v>
      </c>
    </row>
    <row r="127" spans="1:25" s="1292" customFormat="1" ht="75.599999999999994">
      <c r="A127" s="1281">
        <v>116</v>
      </c>
      <c r="B127" s="1283" t="s">
        <v>2411</v>
      </c>
      <c r="C127" s="1268">
        <f t="shared" si="13"/>
        <v>177137</v>
      </c>
      <c r="D127" s="1268">
        <f t="shared" si="14"/>
        <v>164271</v>
      </c>
      <c r="E127" s="1289">
        <v>0</v>
      </c>
      <c r="F127" s="1289">
        <v>0</v>
      </c>
      <c r="G127" s="1289">
        <v>0</v>
      </c>
      <c r="H127" s="1289">
        <v>0</v>
      </c>
      <c r="I127" s="1289">
        <v>0</v>
      </c>
      <c r="J127" s="1289">
        <v>164271</v>
      </c>
      <c r="K127" s="1278">
        <v>0</v>
      </c>
      <c r="L127" s="1289">
        <v>0</v>
      </c>
      <c r="M127" s="1278">
        <v>0</v>
      </c>
      <c r="N127" s="1289">
        <v>0</v>
      </c>
      <c r="O127" s="1289">
        <v>0</v>
      </c>
      <c r="P127" s="1290">
        <v>0</v>
      </c>
      <c r="Q127" s="1291">
        <v>0</v>
      </c>
      <c r="R127" s="1290">
        <v>0</v>
      </c>
      <c r="S127" s="1290">
        <v>0</v>
      </c>
      <c r="T127" s="1290">
        <v>0</v>
      </c>
      <c r="U127" s="1290">
        <v>0</v>
      </c>
      <c r="V127" s="1290">
        <v>0</v>
      </c>
      <c r="W127" s="1268">
        <v>0</v>
      </c>
      <c r="X127" s="1290">
        <v>12866</v>
      </c>
      <c r="Y127" s="1290">
        <v>0</v>
      </c>
    </row>
    <row r="128" spans="1:25" s="1292" customFormat="1" ht="75.599999999999994">
      <c r="A128" s="1281">
        <v>117</v>
      </c>
      <c r="B128" s="1283" t="s">
        <v>2410</v>
      </c>
      <c r="C128" s="1268">
        <f t="shared" si="13"/>
        <v>882028</v>
      </c>
      <c r="D128" s="1268">
        <f t="shared" si="14"/>
        <v>0</v>
      </c>
      <c r="E128" s="1289">
        <v>0</v>
      </c>
      <c r="F128" s="1289">
        <v>0</v>
      </c>
      <c r="G128" s="1289">
        <v>0</v>
      </c>
      <c r="H128" s="1289">
        <v>0</v>
      </c>
      <c r="I128" s="1289">
        <v>0</v>
      </c>
      <c r="J128" s="1289">
        <v>0</v>
      </c>
      <c r="K128" s="1278">
        <v>0</v>
      </c>
      <c r="L128" s="1289">
        <v>0</v>
      </c>
      <c r="M128" s="1278">
        <v>0</v>
      </c>
      <c r="N128" s="1289">
        <v>0</v>
      </c>
      <c r="O128" s="1289">
        <v>260.60000000000002</v>
      </c>
      <c r="P128" s="1290">
        <v>817962</v>
      </c>
      <c r="Q128" s="1291">
        <v>0</v>
      </c>
      <c r="R128" s="1290">
        <v>0</v>
      </c>
      <c r="S128" s="1290">
        <v>0</v>
      </c>
      <c r="T128" s="1290">
        <v>0</v>
      </c>
      <c r="U128" s="1290">
        <v>0</v>
      </c>
      <c r="V128" s="1290">
        <v>0</v>
      </c>
      <c r="W128" s="1268">
        <v>0</v>
      </c>
      <c r="X128" s="1290">
        <v>64066</v>
      </c>
      <c r="Y128" s="1290">
        <v>0</v>
      </c>
    </row>
    <row r="129" spans="1:25" s="1292" customFormat="1" ht="75.599999999999994">
      <c r="A129" s="1281"/>
      <c r="B129" s="1267" t="s">
        <v>1072</v>
      </c>
      <c r="C129" s="1268">
        <f>C130+C131+C132+C133+C134</f>
        <v>5981829</v>
      </c>
      <c r="D129" s="1268">
        <f t="shared" ref="D129:Y129" si="15">D130+D131+D132+D133+D134</f>
        <v>1147678</v>
      </c>
      <c r="E129" s="1268">
        <f t="shared" si="15"/>
        <v>0</v>
      </c>
      <c r="F129" s="1268">
        <f t="shared" si="15"/>
        <v>1147678</v>
      </c>
      <c r="G129" s="1268">
        <f t="shared" si="15"/>
        <v>0</v>
      </c>
      <c r="H129" s="1268">
        <f t="shared" si="15"/>
        <v>0</v>
      </c>
      <c r="I129" s="1268">
        <f t="shared" si="15"/>
        <v>0</v>
      </c>
      <c r="J129" s="1268">
        <f t="shared" si="15"/>
        <v>0</v>
      </c>
      <c r="K129" s="1278">
        <f t="shared" si="15"/>
        <v>0</v>
      </c>
      <c r="L129" s="1268">
        <f t="shared" si="15"/>
        <v>0</v>
      </c>
      <c r="M129" s="1278">
        <f t="shared" si="15"/>
        <v>0</v>
      </c>
      <c r="N129" s="1268">
        <f t="shared" si="15"/>
        <v>0</v>
      </c>
      <c r="O129" s="1268">
        <f t="shared" si="15"/>
        <v>474</v>
      </c>
      <c r="P129" s="1268">
        <f t="shared" si="15"/>
        <v>1487773</v>
      </c>
      <c r="Q129" s="1268">
        <f t="shared" si="15"/>
        <v>0</v>
      </c>
      <c r="R129" s="1268">
        <f t="shared" si="15"/>
        <v>0</v>
      </c>
      <c r="S129" s="1268">
        <f t="shared" si="15"/>
        <v>1180</v>
      </c>
      <c r="T129" s="1268">
        <f t="shared" si="15"/>
        <v>2911889</v>
      </c>
      <c r="U129" s="1268">
        <f t="shared" si="15"/>
        <v>0</v>
      </c>
      <c r="V129" s="1268">
        <f t="shared" si="15"/>
        <v>0</v>
      </c>
      <c r="W129" s="1268">
        <v>0</v>
      </c>
      <c r="X129" s="1268">
        <f t="shared" si="15"/>
        <v>434489</v>
      </c>
      <c r="Y129" s="1268">
        <f t="shared" si="15"/>
        <v>0</v>
      </c>
    </row>
    <row r="130" spans="1:25" s="1292" customFormat="1" ht="94.2" customHeight="1">
      <c r="A130" s="1281">
        <v>118</v>
      </c>
      <c r="B130" s="1277" t="s">
        <v>1308</v>
      </c>
      <c r="C130" s="1268">
        <f>D130+N130+P130+R130+T130+V130+X130</f>
        <v>1814258</v>
      </c>
      <c r="D130" s="1268">
        <f t="shared" ref="D130" si="16">SUM(E130:J130)</f>
        <v>0</v>
      </c>
      <c r="E130" s="1268">
        <v>0</v>
      </c>
      <c r="F130" s="1268">
        <v>0</v>
      </c>
      <c r="G130" s="1268">
        <v>0</v>
      </c>
      <c r="H130" s="1268">
        <v>0</v>
      </c>
      <c r="I130" s="1268">
        <v>0</v>
      </c>
      <c r="J130" s="1268">
        <v>0</v>
      </c>
      <c r="K130" s="1278">
        <v>0</v>
      </c>
      <c r="L130" s="1268">
        <v>0</v>
      </c>
      <c r="M130" s="1278">
        <v>0</v>
      </c>
      <c r="N130" s="1268">
        <v>0</v>
      </c>
      <c r="O130" s="1268">
        <v>0</v>
      </c>
      <c r="P130" s="1268">
        <v>0</v>
      </c>
      <c r="Q130" s="1293">
        <v>0</v>
      </c>
      <c r="R130" s="1268">
        <v>0</v>
      </c>
      <c r="S130" s="1293">
        <v>681.8</v>
      </c>
      <c r="T130" s="1268">
        <v>1682480</v>
      </c>
      <c r="U130" s="1293">
        <v>0</v>
      </c>
      <c r="V130" s="1268">
        <v>0</v>
      </c>
      <c r="W130" s="1268">
        <v>0</v>
      </c>
      <c r="X130" s="1268">
        <v>131778</v>
      </c>
      <c r="Y130" s="1268">
        <v>0</v>
      </c>
    </row>
    <row r="131" spans="1:25" s="1292" customFormat="1">
      <c r="A131" s="1281">
        <v>119</v>
      </c>
      <c r="B131" s="1277" t="s">
        <v>1309</v>
      </c>
      <c r="C131" s="1268">
        <f t="shared" ref="C131:C134" si="17">D131+N131+P131+R131+T131+V131+X131</f>
        <v>590924</v>
      </c>
      <c r="D131" s="1268">
        <f t="shared" ref="D131:D134" si="18">SUM(E131:J131)</f>
        <v>548002</v>
      </c>
      <c r="E131" s="1268">
        <v>0</v>
      </c>
      <c r="F131" s="1268">
        <v>548002</v>
      </c>
      <c r="G131" s="1268">
        <v>0</v>
      </c>
      <c r="H131" s="1268">
        <v>0</v>
      </c>
      <c r="I131" s="1268">
        <v>0</v>
      </c>
      <c r="J131" s="1268">
        <v>0</v>
      </c>
      <c r="K131" s="1278">
        <v>0</v>
      </c>
      <c r="L131" s="1268">
        <v>0</v>
      </c>
      <c r="M131" s="1278">
        <v>0</v>
      </c>
      <c r="N131" s="1268">
        <v>0</v>
      </c>
      <c r="O131" s="1268">
        <v>0</v>
      </c>
      <c r="P131" s="1268">
        <v>0</v>
      </c>
      <c r="Q131" s="1293">
        <v>0</v>
      </c>
      <c r="R131" s="1268">
        <v>0</v>
      </c>
      <c r="S131" s="1293">
        <v>0</v>
      </c>
      <c r="T131" s="1268">
        <v>0</v>
      </c>
      <c r="U131" s="1293">
        <v>0</v>
      </c>
      <c r="V131" s="1268">
        <v>0</v>
      </c>
      <c r="W131" s="1268">
        <v>0</v>
      </c>
      <c r="X131" s="1268">
        <v>42922</v>
      </c>
      <c r="Y131" s="1268">
        <v>0</v>
      </c>
    </row>
    <row r="132" spans="1:25" s="1292" customFormat="1">
      <c r="A132" s="1281">
        <v>120</v>
      </c>
      <c r="B132" s="1277" t="s">
        <v>1310</v>
      </c>
      <c r="C132" s="1268">
        <f t="shared" si="17"/>
        <v>646645</v>
      </c>
      <c r="D132" s="1268">
        <f t="shared" si="18"/>
        <v>599676</v>
      </c>
      <c r="E132" s="1268">
        <v>0</v>
      </c>
      <c r="F132" s="1268">
        <v>599676</v>
      </c>
      <c r="G132" s="1268">
        <v>0</v>
      </c>
      <c r="H132" s="1268">
        <v>0</v>
      </c>
      <c r="I132" s="1268">
        <v>0</v>
      </c>
      <c r="J132" s="1268">
        <v>0</v>
      </c>
      <c r="K132" s="1278">
        <v>0</v>
      </c>
      <c r="L132" s="1268">
        <v>0</v>
      </c>
      <c r="M132" s="1278">
        <v>0</v>
      </c>
      <c r="N132" s="1268">
        <v>0</v>
      </c>
      <c r="O132" s="1268">
        <v>0</v>
      </c>
      <c r="P132" s="1268">
        <v>0</v>
      </c>
      <c r="Q132" s="1293">
        <v>0</v>
      </c>
      <c r="R132" s="1268">
        <v>0</v>
      </c>
      <c r="S132" s="1293">
        <v>0</v>
      </c>
      <c r="T132" s="1268">
        <v>0</v>
      </c>
      <c r="U132" s="1293">
        <v>0</v>
      </c>
      <c r="V132" s="1268">
        <v>0</v>
      </c>
      <c r="W132" s="1268">
        <v>0</v>
      </c>
      <c r="X132" s="1268">
        <v>46969</v>
      </c>
      <c r="Y132" s="1268">
        <v>0</v>
      </c>
    </row>
    <row r="133" spans="1:25" s="1292" customFormat="1">
      <c r="A133" s="1281">
        <v>121</v>
      </c>
      <c r="B133" s="1277" t="s">
        <v>1311</v>
      </c>
      <c r="C133" s="1268">
        <f t="shared" si="17"/>
        <v>1604301</v>
      </c>
      <c r="D133" s="1268">
        <f t="shared" si="18"/>
        <v>0</v>
      </c>
      <c r="E133" s="1268">
        <v>0</v>
      </c>
      <c r="F133" s="1268">
        <v>0</v>
      </c>
      <c r="G133" s="1268">
        <v>0</v>
      </c>
      <c r="H133" s="1268">
        <v>0</v>
      </c>
      <c r="I133" s="1268">
        <v>0</v>
      </c>
      <c r="J133" s="1268">
        <v>0</v>
      </c>
      <c r="K133" s="1278">
        <v>0</v>
      </c>
      <c r="L133" s="1268">
        <v>0</v>
      </c>
      <c r="M133" s="1278">
        <v>0</v>
      </c>
      <c r="N133" s="1268">
        <v>0</v>
      </c>
      <c r="O133" s="1268">
        <v>474</v>
      </c>
      <c r="P133" s="1268">
        <v>1487773</v>
      </c>
      <c r="Q133" s="1293">
        <v>0</v>
      </c>
      <c r="R133" s="1268">
        <v>0</v>
      </c>
      <c r="S133" s="1293">
        <v>0</v>
      </c>
      <c r="T133" s="1268">
        <v>0</v>
      </c>
      <c r="U133" s="1293">
        <v>0</v>
      </c>
      <c r="V133" s="1268">
        <v>0</v>
      </c>
      <c r="W133" s="1268">
        <v>0</v>
      </c>
      <c r="X133" s="1268">
        <v>116528</v>
      </c>
      <c r="Y133" s="1268">
        <v>0</v>
      </c>
    </row>
    <row r="134" spans="1:25" s="1292" customFormat="1">
      <c r="A134" s="1281">
        <v>122</v>
      </c>
      <c r="B134" s="1277" t="s">
        <v>1763</v>
      </c>
      <c r="C134" s="1268">
        <f t="shared" si="17"/>
        <v>1325701</v>
      </c>
      <c r="D134" s="1268">
        <f t="shared" si="18"/>
        <v>0</v>
      </c>
      <c r="E134" s="1268">
        <v>0</v>
      </c>
      <c r="F134" s="1268">
        <v>0</v>
      </c>
      <c r="G134" s="1268">
        <v>0</v>
      </c>
      <c r="H134" s="1268">
        <v>0</v>
      </c>
      <c r="I134" s="1268">
        <v>0</v>
      </c>
      <c r="J134" s="1268">
        <v>0</v>
      </c>
      <c r="K134" s="1278">
        <v>0</v>
      </c>
      <c r="L134" s="1268">
        <v>0</v>
      </c>
      <c r="M134" s="1278">
        <v>0</v>
      </c>
      <c r="N134" s="1268">
        <v>0</v>
      </c>
      <c r="O134" s="1268">
        <v>0</v>
      </c>
      <c r="P134" s="1268">
        <v>0</v>
      </c>
      <c r="Q134" s="1293">
        <v>0</v>
      </c>
      <c r="R134" s="1268">
        <v>0</v>
      </c>
      <c r="S134" s="1293">
        <v>498.2</v>
      </c>
      <c r="T134" s="1268">
        <v>1229409</v>
      </c>
      <c r="U134" s="1293">
        <v>0</v>
      </c>
      <c r="V134" s="1268">
        <v>0</v>
      </c>
      <c r="W134" s="1268">
        <v>0</v>
      </c>
      <c r="X134" s="1268">
        <v>96292</v>
      </c>
      <c r="Y134" s="1268">
        <v>0</v>
      </c>
    </row>
    <row r="135" spans="1:25" s="1292" customFormat="1" ht="75.599999999999994">
      <c r="A135" s="1281"/>
      <c r="B135" s="1267" t="s">
        <v>1073</v>
      </c>
      <c r="C135" s="1268">
        <f>SUM(C136:C156)</f>
        <v>70617731.540000007</v>
      </c>
      <c r="D135" s="1268">
        <f t="shared" ref="D135:Y135" si="19">SUM(D136:D156)</f>
        <v>14258281.810000001</v>
      </c>
      <c r="E135" s="1268">
        <f t="shared" si="19"/>
        <v>0</v>
      </c>
      <c r="F135" s="1268">
        <f t="shared" si="19"/>
        <v>0</v>
      </c>
      <c r="G135" s="1268">
        <f t="shared" si="19"/>
        <v>0</v>
      </c>
      <c r="H135" s="1268">
        <f t="shared" si="19"/>
        <v>0</v>
      </c>
      <c r="I135" s="1268">
        <f t="shared" si="19"/>
        <v>8183022</v>
      </c>
      <c r="J135" s="1268">
        <f t="shared" si="19"/>
        <v>6075259.8100000005</v>
      </c>
      <c r="K135" s="1278">
        <f t="shared" si="19"/>
        <v>0</v>
      </c>
      <c r="L135" s="1268">
        <f t="shared" si="19"/>
        <v>0</v>
      </c>
      <c r="M135" s="1278">
        <f t="shared" si="19"/>
        <v>0</v>
      </c>
      <c r="N135" s="1268">
        <f t="shared" si="19"/>
        <v>0</v>
      </c>
      <c r="O135" s="1268">
        <f t="shared" si="19"/>
        <v>7020.2</v>
      </c>
      <c r="P135" s="1268">
        <f t="shared" si="19"/>
        <v>21516536.350000001</v>
      </c>
      <c r="Q135" s="1268">
        <f t="shared" si="19"/>
        <v>0</v>
      </c>
      <c r="R135" s="1268">
        <f t="shared" si="19"/>
        <v>0</v>
      </c>
      <c r="S135" s="1268">
        <f t="shared" si="19"/>
        <v>11949</v>
      </c>
      <c r="T135" s="1268">
        <f t="shared" si="19"/>
        <v>29713604.780000001</v>
      </c>
      <c r="U135" s="1268">
        <f t="shared" si="19"/>
        <v>0</v>
      </c>
      <c r="V135" s="1268">
        <f t="shared" si="19"/>
        <v>0</v>
      </c>
      <c r="W135" s="1268">
        <v>0</v>
      </c>
      <c r="X135" s="1268">
        <f t="shared" si="19"/>
        <v>5129308.5999999996</v>
      </c>
      <c r="Y135" s="1268">
        <f t="shared" si="19"/>
        <v>0</v>
      </c>
    </row>
    <row r="136" spans="1:25" s="1292" customFormat="1">
      <c r="A136" s="1281">
        <v>123</v>
      </c>
      <c r="B136" s="1294" t="s">
        <v>1621</v>
      </c>
      <c r="C136" s="1268">
        <f t="shared" ref="C136" si="20">D136+N136+P136+R136+T136+V136+X136</f>
        <v>6254362.6799999988</v>
      </c>
      <c r="D136" s="1268">
        <f t="shared" ref="D136" si="21">SUM(E136:J136)</f>
        <v>1540777.81</v>
      </c>
      <c r="E136" s="1268">
        <v>0</v>
      </c>
      <c r="F136" s="1268">
        <v>0</v>
      </c>
      <c r="G136" s="1268">
        <v>0</v>
      </c>
      <c r="H136" s="1268">
        <v>0</v>
      </c>
      <c r="I136" s="1268">
        <v>0</v>
      </c>
      <c r="J136" s="1268">
        <v>1540777.81</v>
      </c>
      <c r="K136" s="1278">
        <v>0</v>
      </c>
      <c r="L136" s="1268">
        <v>0</v>
      </c>
      <c r="M136" s="1278">
        <v>0</v>
      </c>
      <c r="N136" s="1293">
        <v>0</v>
      </c>
      <c r="O136" s="1268">
        <v>1357</v>
      </c>
      <c r="P136" s="1268">
        <v>4259300.3099999996</v>
      </c>
      <c r="Q136" s="1268">
        <v>0</v>
      </c>
      <c r="R136" s="1268">
        <v>0</v>
      </c>
      <c r="S136" s="1268">
        <v>0</v>
      </c>
      <c r="T136" s="1268">
        <v>0</v>
      </c>
      <c r="U136" s="1293">
        <v>0</v>
      </c>
      <c r="V136" s="1293">
        <v>0</v>
      </c>
      <c r="W136" s="1268">
        <v>0</v>
      </c>
      <c r="X136" s="1268">
        <v>454284.56</v>
      </c>
      <c r="Y136" s="1268">
        <v>0</v>
      </c>
    </row>
    <row r="137" spans="1:25" s="1292" customFormat="1">
      <c r="A137" s="1281">
        <v>124</v>
      </c>
      <c r="B137" s="1294" t="s">
        <v>1622</v>
      </c>
      <c r="C137" s="1268">
        <f t="shared" ref="C137:C156" si="22">D137+N137+P137+R137+T137+V137+X137</f>
        <v>3709524.0100000002</v>
      </c>
      <c r="D137" s="1268">
        <f t="shared" ref="D137:D156" si="23">SUM(E137:J137)</f>
        <v>0</v>
      </c>
      <c r="E137" s="1268">
        <v>0</v>
      </c>
      <c r="F137" s="1268">
        <v>0</v>
      </c>
      <c r="G137" s="1268">
        <v>0</v>
      </c>
      <c r="H137" s="1268">
        <v>0</v>
      </c>
      <c r="I137" s="1268">
        <v>0</v>
      </c>
      <c r="J137" s="1268">
        <v>0</v>
      </c>
      <c r="K137" s="1278">
        <v>0</v>
      </c>
      <c r="L137" s="1268">
        <v>0</v>
      </c>
      <c r="M137" s="1278">
        <v>0</v>
      </c>
      <c r="N137" s="1293">
        <v>0</v>
      </c>
      <c r="O137" s="1268">
        <v>1096</v>
      </c>
      <c r="P137" s="1268">
        <v>3440083.37</v>
      </c>
      <c r="Q137" s="1268">
        <v>0</v>
      </c>
      <c r="R137" s="1268">
        <v>0</v>
      </c>
      <c r="S137" s="1268">
        <v>0</v>
      </c>
      <c r="T137" s="1268">
        <v>0</v>
      </c>
      <c r="U137" s="1293">
        <v>0</v>
      </c>
      <c r="V137" s="1293">
        <v>0</v>
      </c>
      <c r="W137" s="1268">
        <v>0</v>
      </c>
      <c r="X137" s="1268">
        <v>269440.64000000001</v>
      </c>
      <c r="Y137" s="1268">
        <v>0</v>
      </c>
    </row>
    <row r="138" spans="1:25" s="1292" customFormat="1">
      <c r="A138" s="1281">
        <v>125</v>
      </c>
      <c r="B138" s="1294" t="s">
        <v>1623</v>
      </c>
      <c r="C138" s="1268">
        <f t="shared" si="22"/>
        <v>2903988.6900000004</v>
      </c>
      <c r="D138" s="1268">
        <f t="shared" si="23"/>
        <v>0</v>
      </c>
      <c r="E138" s="1268">
        <v>0</v>
      </c>
      <c r="F138" s="1268">
        <v>0</v>
      </c>
      <c r="G138" s="1268">
        <v>0</v>
      </c>
      <c r="H138" s="1268">
        <v>0</v>
      </c>
      <c r="I138" s="1268">
        <v>0</v>
      </c>
      <c r="J138" s="1268">
        <v>0</v>
      </c>
      <c r="K138" s="1278">
        <v>0</v>
      </c>
      <c r="L138" s="1268">
        <v>0</v>
      </c>
      <c r="M138" s="1278">
        <v>0</v>
      </c>
      <c r="N138" s="1293">
        <v>0</v>
      </c>
      <c r="O138" s="1268">
        <v>858</v>
      </c>
      <c r="P138" s="1268">
        <v>2693057.97</v>
      </c>
      <c r="Q138" s="1268">
        <v>0</v>
      </c>
      <c r="R138" s="1268">
        <v>0</v>
      </c>
      <c r="S138" s="1268">
        <v>0</v>
      </c>
      <c r="T138" s="1268">
        <v>0</v>
      </c>
      <c r="U138" s="1293">
        <v>0</v>
      </c>
      <c r="V138" s="1293">
        <v>0</v>
      </c>
      <c r="W138" s="1268">
        <v>0</v>
      </c>
      <c r="X138" s="1268">
        <v>210930.72</v>
      </c>
      <c r="Y138" s="1268">
        <v>0</v>
      </c>
    </row>
    <row r="139" spans="1:25" s="1292" customFormat="1">
      <c r="A139" s="1281">
        <v>126</v>
      </c>
      <c r="B139" s="1294" t="s">
        <v>1624</v>
      </c>
      <c r="C139" s="1268">
        <f t="shared" si="22"/>
        <v>1868300.41</v>
      </c>
      <c r="D139" s="1268">
        <f t="shared" si="23"/>
        <v>0</v>
      </c>
      <c r="E139" s="1268">
        <v>0</v>
      </c>
      <c r="F139" s="1268">
        <v>0</v>
      </c>
      <c r="G139" s="1268">
        <v>0</v>
      </c>
      <c r="H139" s="1268">
        <v>0</v>
      </c>
      <c r="I139" s="1268">
        <v>0</v>
      </c>
      <c r="J139" s="1268">
        <v>0</v>
      </c>
      <c r="K139" s="1278">
        <v>0</v>
      </c>
      <c r="L139" s="1268">
        <v>0</v>
      </c>
      <c r="M139" s="1278">
        <v>0</v>
      </c>
      <c r="N139" s="1293">
        <v>0</v>
      </c>
      <c r="O139" s="1268">
        <v>552</v>
      </c>
      <c r="P139" s="1268">
        <v>1732596.73</v>
      </c>
      <c r="Q139" s="1268">
        <v>0</v>
      </c>
      <c r="R139" s="1268">
        <v>0</v>
      </c>
      <c r="S139" s="1268">
        <v>0</v>
      </c>
      <c r="T139" s="1268">
        <v>0</v>
      </c>
      <c r="U139" s="1293">
        <v>0</v>
      </c>
      <c r="V139" s="1293">
        <v>0</v>
      </c>
      <c r="W139" s="1268">
        <v>0</v>
      </c>
      <c r="X139" s="1268">
        <v>135703.67999999999</v>
      </c>
      <c r="Y139" s="1268">
        <v>0</v>
      </c>
    </row>
    <row r="140" spans="1:25" s="1292" customFormat="1">
      <c r="A140" s="1281">
        <v>127</v>
      </c>
      <c r="B140" s="1294" t="s">
        <v>1625</v>
      </c>
      <c r="C140" s="1268">
        <f t="shared" si="22"/>
        <v>2903988.6900000004</v>
      </c>
      <c r="D140" s="1268">
        <f t="shared" si="23"/>
        <v>0</v>
      </c>
      <c r="E140" s="1268">
        <v>0</v>
      </c>
      <c r="F140" s="1268">
        <v>0</v>
      </c>
      <c r="G140" s="1268">
        <v>0</v>
      </c>
      <c r="H140" s="1268">
        <v>0</v>
      </c>
      <c r="I140" s="1268">
        <v>0</v>
      </c>
      <c r="J140" s="1268">
        <v>0</v>
      </c>
      <c r="K140" s="1278">
        <v>0</v>
      </c>
      <c r="L140" s="1268">
        <v>0</v>
      </c>
      <c r="M140" s="1278">
        <v>0</v>
      </c>
      <c r="N140" s="1293">
        <v>0</v>
      </c>
      <c r="O140" s="1268">
        <v>858</v>
      </c>
      <c r="P140" s="1268">
        <v>2693057.97</v>
      </c>
      <c r="Q140" s="1268">
        <v>0</v>
      </c>
      <c r="R140" s="1268">
        <v>0</v>
      </c>
      <c r="S140" s="1268">
        <v>0</v>
      </c>
      <c r="T140" s="1268">
        <v>0</v>
      </c>
      <c r="U140" s="1293">
        <v>0</v>
      </c>
      <c r="V140" s="1293">
        <v>0</v>
      </c>
      <c r="W140" s="1268">
        <v>0</v>
      </c>
      <c r="X140" s="1268">
        <v>210930.72</v>
      </c>
      <c r="Y140" s="1268">
        <v>0</v>
      </c>
    </row>
    <row r="141" spans="1:25" s="1292" customFormat="1" ht="54" customHeight="1">
      <c r="A141" s="1281">
        <v>128</v>
      </c>
      <c r="B141" s="1294" t="s">
        <v>1764</v>
      </c>
      <c r="C141" s="1268">
        <f t="shared" si="22"/>
        <v>3937669</v>
      </c>
      <c r="D141" s="1268">
        <f t="shared" si="23"/>
        <v>3651657</v>
      </c>
      <c r="E141" s="1268">
        <v>0</v>
      </c>
      <c r="F141" s="1268">
        <v>0</v>
      </c>
      <c r="G141" s="1268">
        <v>0</v>
      </c>
      <c r="H141" s="1268">
        <v>0</v>
      </c>
      <c r="I141" s="1268">
        <v>2237075</v>
      </c>
      <c r="J141" s="1268">
        <v>1414582</v>
      </c>
      <c r="K141" s="1278">
        <v>0</v>
      </c>
      <c r="L141" s="1268">
        <v>0</v>
      </c>
      <c r="M141" s="1278">
        <v>0</v>
      </c>
      <c r="N141" s="1293">
        <v>0</v>
      </c>
      <c r="O141" s="1268">
        <v>0</v>
      </c>
      <c r="P141" s="1268">
        <v>0</v>
      </c>
      <c r="Q141" s="1268">
        <v>0</v>
      </c>
      <c r="R141" s="1268">
        <v>0</v>
      </c>
      <c r="S141" s="1268">
        <v>0</v>
      </c>
      <c r="T141" s="1268">
        <v>0</v>
      </c>
      <c r="U141" s="1293">
        <v>0</v>
      </c>
      <c r="V141" s="1293">
        <v>0</v>
      </c>
      <c r="W141" s="1268">
        <v>0</v>
      </c>
      <c r="X141" s="1268">
        <v>286012</v>
      </c>
      <c r="Y141" s="1268">
        <v>0</v>
      </c>
    </row>
    <row r="142" spans="1:25" s="1292" customFormat="1" ht="46.8" customHeight="1">
      <c r="A142" s="1281">
        <v>129</v>
      </c>
      <c r="B142" s="1294" t="s">
        <v>1626</v>
      </c>
      <c r="C142" s="1268">
        <f t="shared" si="22"/>
        <v>3519584</v>
      </c>
      <c r="D142" s="1268">
        <f t="shared" si="23"/>
        <v>3263939</v>
      </c>
      <c r="E142" s="1268">
        <v>0</v>
      </c>
      <c r="F142" s="1268">
        <v>0</v>
      </c>
      <c r="G142" s="1268">
        <v>0</v>
      </c>
      <c r="H142" s="1268">
        <v>0</v>
      </c>
      <c r="I142" s="1268">
        <v>1999552</v>
      </c>
      <c r="J142" s="1268">
        <v>1264387</v>
      </c>
      <c r="K142" s="1278">
        <v>0</v>
      </c>
      <c r="L142" s="1268">
        <v>0</v>
      </c>
      <c r="M142" s="1278">
        <v>0</v>
      </c>
      <c r="N142" s="1293">
        <v>0</v>
      </c>
      <c r="O142" s="1268">
        <v>0</v>
      </c>
      <c r="P142" s="1268">
        <v>0</v>
      </c>
      <c r="Q142" s="1268">
        <v>0</v>
      </c>
      <c r="R142" s="1268">
        <v>0</v>
      </c>
      <c r="S142" s="1268">
        <v>0</v>
      </c>
      <c r="T142" s="1268">
        <v>0</v>
      </c>
      <c r="U142" s="1293">
        <v>0</v>
      </c>
      <c r="V142" s="1293">
        <v>0</v>
      </c>
      <c r="W142" s="1268">
        <v>0</v>
      </c>
      <c r="X142" s="1268">
        <v>255645</v>
      </c>
      <c r="Y142" s="1268">
        <v>0</v>
      </c>
    </row>
    <row r="143" spans="1:25" s="1292" customFormat="1">
      <c r="A143" s="1281">
        <v>130</v>
      </c>
      <c r="B143" s="1294" t="s">
        <v>1627</v>
      </c>
      <c r="C143" s="1268">
        <f t="shared" si="22"/>
        <v>2274801</v>
      </c>
      <c r="D143" s="1268">
        <f t="shared" si="23"/>
        <v>0</v>
      </c>
      <c r="E143" s="1268">
        <v>0</v>
      </c>
      <c r="F143" s="1268">
        <v>0</v>
      </c>
      <c r="G143" s="1268">
        <v>0</v>
      </c>
      <c r="H143" s="1268">
        <v>0</v>
      </c>
      <c r="I143" s="1268">
        <v>0</v>
      </c>
      <c r="J143" s="1268">
        <v>0</v>
      </c>
      <c r="K143" s="1278">
        <v>0</v>
      </c>
      <c r="L143" s="1268">
        <v>0</v>
      </c>
      <c r="M143" s="1278">
        <v>0</v>
      </c>
      <c r="N143" s="1293">
        <v>0</v>
      </c>
      <c r="O143" s="1268">
        <v>837.2</v>
      </c>
      <c r="P143" s="1268">
        <v>2109571</v>
      </c>
      <c r="Q143" s="1268">
        <v>0</v>
      </c>
      <c r="R143" s="1268">
        <v>0</v>
      </c>
      <c r="S143" s="1268">
        <v>0</v>
      </c>
      <c r="T143" s="1268">
        <v>0</v>
      </c>
      <c r="U143" s="1293">
        <v>0</v>
      </c>
      <c r="V143" s="1293">
        <v>0</v>
      </c>
      <c r="W143" s="1268">
        <v>0</v>
      </c>
      <c r="X143" s="1268">
        <v>165230</v>
      </c>
      <c r="Y143" s="1268">
        <v>0</v>
      </c>
    </row>
    <row r="144" spans="1:25" s="1292" customFormat="1">
      <c r="A144" s="1281">
        <v>131</v>
      </c>
      <c r="B144" s="1294" t="s">
        <v>1628</v>
      </c>
      <c r="C144" s="1268">
        <f t="shared" si="22"/>
        <v>2000844</v>
      </c>
      <c r="D144" s="1268">
        <f t="shared" si="23"/>
        <v>1855513</v>
      </c>
      <c r="E144" s="1268">
        <v>0</v>
      </c>
      <c r="F144" s="1268">
        <v>0</v>
      </c>
      <c r="G144" s="1268">
        <v>0</v>
      </c>
      <c r="H144" s="1268">
        <v>0</v>
      </c>
      <c r="I144" s="1268">
        <v>0</v>
      </c>
      <c r="J144" s="1268">
        <v>1855513</v>
      </c>
      <c r="K144" s="1278">
        <v>0</v>
      </c>
      <c r="L144" s="1268">
        <v>0</v>
      </c>
      <c r="M144" s="1278">
        <v>0</v>
      </c>
      <c r="N144" s="1293">
        <v>0</v>
      </c>
      <c r="O144" s="1268">
        <v>0</v>
      </c>
      <c r="P144" s="1268">
        <v>0</v>
      </c>
      <c r="Q144" s="1268">
        <v>0</v>
      </c>
      <c r="R144" s="1268">
        <v>0</v>
      </c>
      <c r="S144" s="1268">
        <v>0</v>
      </c>
      <c r="T144" s="1268">
        <v>0</v>
      </c>
      <c r="U144" s="1293">
        <v>0</v>
      </c>
      <c r="V144" s="1293">
        <v>0</v>
      </c>
      <c r="W144" s="1268">
        <v>0</v>
      </c>
      <c r="X144" s="1268">
        <v>145331</v>
      </c>
      <c r="Y144" s="1268">
        <v>0</v>
      </c>
    </row>
    <row r="145" spans="1:25" s="1292" customFormat="1" ht="75.599999999999994">
      <c r="A145" s="1281">
        <v>132</v>
      </c>
      <c r="B145" s="1294" t="s">
        <v>2413</v>
      </c>
      <c r="C145" s="1268">
        <f t="shared" si="22"/>
        <v>4255492</v>
      </c>
      <c r="D145" s="1268">
        <f t="shared" si="23"/>
        <v>3946395</v>
      </c>
      <c r="E145" s="1268">
        <v>0</v>
      </c>
      <c r="F145" s="1268">
        <v>0</v>
      </c>
      <c r="G145" s="1268">
        <v>0</v>
      </c>
      <c r="H145" s="1268">
        <v>0</v>
      </c>
      <c r="I145" s="1268">
        <v>3946395</v>
      </c>
      <c r="J145" s="1268">
        <v>0</v>
      </c>
      <c r="K145" s="1278">
        <v>0</v>
      </c>
      <c r="L145" s="1268">
        <v>0</v>
      </c>
      <c r="M145" s="1278">
        <v>0</v>
      </c>
      <c r="N145" s="1293">
        <v>0</v>
      </c>
      <c r="O145" s="1268">
        <v>0</v>
      </c>
      <c r="P145" s="1268">
        <v>0</v>
      </c>
      <c r="Q145" s="1268">
        <v>0</v>
      </c>
      <c r="R145" s="1268">
        <v>0</v>
      </c>
      <c r="S145" s="1268">
        <v>0</v>
      </c>
      <c r="T145" s="1268">
        <v>0</v>
      </c>
      <c r="U145" s="1293">
        <v>0</v>
      </c>
      <c r="V145" s="1293">
        <v>0</v>
      </c>
      <c r="W145" s="1268">
        <v>0</v>
      </c>
      <c r="X145" s="1268">
        <v>309097</v>
      </c>
      <c r="Y145" s="1268">
        <v>0</v>
      </c>
    </row>
    <row r="146" spans="1:25" s="1292" customFormat="1">
      <c r="A146" s="1281">
        <v>133</v>
      </c>
      <c r="B146" s="1294" t="s">
        <v>1765</v>
      </c>
      <c r="C146" s="1268">
        <f t="shared" si="22"/>
        <v>1245533</v>
      </c>
      <c r="D146" s="1268">
        <f t="shared" si="23"/>
        <v>0</v>
      </c>
      <c r="E146" s="1268">
        <v>0</v>
      </c>
      <c r="F146" s="1268">
        <v>0</v>
      </c>
      <c r="G146" s="1268">
        <v>0</v>
      </c>
      <c r="H146" s="1268">
        <v>0</v>
      </c>
      <c r="I146" s="1268">
        <v>0</v>
      </c>
      <c r="J146" s="1268">
        <v>0</v>
      </c>
      <c r="K146" s="1278">
        <v>0</v>
      </c>
      <c r="L146" s="1268">
        <v>0</v>
      </c>
      <c r="M146" s="1278">
        <v>0</v>
      </c>
      <c r="N146" s="1293">
        <v>0</v>
      </c>
      <c r="O146" s="1268">
        <v>368</v>
      </c>
      <c r="P146" s="1268">
        <v>1155064</v>
      </c>
      <c r="Q146" s="1268">
        <v>0</v>
      </c>
      <c r="R146" s="1268">
        <v>0</v>
      </c>
      <c r="S146" s="1268">
        <v>0</v>
      </c>
      <c r="T146" s="1268">
        <v>0</v>
      </c>
      <c r="U146" s="1293">
        <v>0</v>
      </c>
      <c r="V146" s="1293">
        <v>0</v>
      </c>
      <c r="W146" s="1268">
        <v>0</v>
      </c>
      <c r="X146" s="1268">
        <v>90469</v>
      </c>
      <c r="Y146" s="1268">
        <v>0</v>
      </c>
    </row>
    <row r="147" spans="1:25" s="1280" customFormat="1">
      <c r="A147" s="1281">
        <v>134</v>
      </c>
      <c r="B147" s="1294" t="s">
        <v>1128</v>
      </c>
      <c r="C147" s="1268">
        <f t="shared" si="22"/>
        <v>2910757</v>
      </c>
      <c r="D147" s="1268">
        <f t="shared" si="23"/>
        <v>0</v>
      </c>
      <c r="E147" s="1268">
        <v>0</v>
      </c>
      <c r="F147" s="1268">
        <v>0</v>
      </c>
      <c r="G147" s="1268">
        <v>0</v>
      </c>
      <c r="H147" s="1268">
        <v>0</v>
      </c>
      <c r="I147" s="1268">
        <v>0</v>
      </c>
      <c r="J147" s="1268">
        <v>0</v>
      </c>
      <c r="K147" s="1278">
        <v>0</v>
      </c>
      <c r="L147" s="1268">
        <v>0</v>
      </c>
      <c r="M147" s="1278">
        <v>0</v>
      </c>
      <c r="N147" s="1293">
        <v>0</v>
      </c>
      <c r="O147" s="1268">
        <v>860</v>
      </c>
      <c r="P147" s="1268">
        <v>2699335</v>
      </c>
      <c r="Q147" s="1268">
        <v>0</v>
      </c>
      <c r="R147" s="1268">
        <v>0</v>
      </c>
      <c r="S147" s="1268">
        <v>0</v>
      </c>
      <c r="T147" s="1268">
        <v>0</v>
      </c>
      <c r="U147" s="1293">
        <v>0</v>
      </c>
      <c r="V147" s="1293">
        <v>0</v>
      </c>
      <c r="W147" s="1268">
        <v>0</v>
      </c>
      <c r="X147" s="1268">
        <v>211422</v>
      </c>
      <c r="Y147" s="1268">
        <v>0</v>
      </c>
    </row>
    <row r="148" spans="1:25" s="1280" customFormat="1">
      <c r="A148" s="1281">
        <v>135</v>
      </c>
      <c r="B148" s="1294" t="s">
        <v>1766</v>
      </c>
      <c r="C148" s="1268">
        <f t="shared" si="22"/>
        <v>2014364</v>
      </c>
      <c r="D148" s="1268">
        <f t="shared" si="23"/>
        <v>0</v>
      </c>
      <c r="E148" s="1268">
        <v>0</v>
      </c>
      <c r="F148" s="1268">
        <v>0</v>
      </c>
      <c r="G148" s="1268">
        <v>0</v>
      </c>
      <c r="H148" s="1268">
        <v>0</v>
      </c>
      <c r="I148" s="1268">
        <v>0</v>
      </c>
      <c r="J148" s="1268">
        <v>0</v>
      </c>
      <c r="K148" s="1278">
        <v>0</v>
      </c>
      <c r="L148" s="1268">
        <v>0</v>
      </c>
      <c r="M148" s="1278">
        <v>0</v>
      </c>
      <c r="N148" s="1293">
        <v>0</v>
      </c>
      <c r="O148" s="1268">
        <v>0</v>
      </c>
      <c r="P148" s="1268">
        <v>0</v>
      </c>
      <c r="Q148" s="1268">
        <v>0</v>
      </c>
      <c r="R148" s="1268">
        <v>0</v>
      </c>
      <c r="S148" s="1268">
        <v>665</v>
      </c>
      <c r="T148" s="1268">
        <v>1868051</v>
      </c>
      <c r="U148" s="1293">
        <v>0</v>
      </c>
      <c r="V148" s="1293">
        <v>0</v>
      </c>
      <c r="W148" s="1268">
        <v>0</v>
      </c>
      <c r="X148" s="1268">
        <v>146313</v>
      </c>
      <c r="Y148" s="1268">
        <v>0</v>
      </c>
    </row>
    <row r="149" spans="1:25" s="1280" customFormat="1">
      <c r="A149" s="1281">
        <v>136</v>
      </c>
      <c r="B149" s="1294" t="s">
        <v>1630</v>
      </c>
      <c r="C149" s="1268">
        <f t="shared" si="22"/>
        <v>791997</v>
      </c>
      <c r="D149" s="1268">
        <f t="shared" si="23"/>
        <v>0</v>
      </c>
      <c r="E149" s="1268">
        <v>0</v>
      </c>
      <c r="F149" s="1268">
        <v>0</v>
      </c>
      <c r="G149" s="1268">
        <v>0</v>
      </c>
      <c r="H149" s="1268">
        <v>0</v>
      </c>
      <c r="I149" s="1268">
        <v>0</v>
      </c>
      <c r="J149" s="1268">
        <v>0</v>
      </c>
      <c r="K149" s="1278">
        <v>0</v>
      </c>
      <c r="L149" s="1268">
        <v>0</v>
      </c>
      <c r="M149" s="1278">
        <v>0</v>
      </c>
      <c r="N149" s="1293">
        <v>0</v>
      </c>
      <c r="O149" s="1268">
        <v>234</v>
      </c>
      <c r="P149" s="1268">
        <v>734470</v>
      </c>
      <c r="Q149" s="1268">
        <v>0</v>
      </c>
      <c r="R149" s="1268">
        <v>0</v>
      </c>
      <c r="S149" s="1268">
        <v>0</v>
      </c>
      <c r="T149" s="1268">
        <v>0</v>
      </c>
      <c r="U149" s="1293">
        <v>0</v>
      </c>
      <c r="V149" s="1293">
        <v>0</v>
      </c>
      <c r="W149" s="1268">
        <v>0</v>
      </c>
      <c r="X149" s="1268">
        <v>57527</v>
      </c>
      <c r="Y149" s="1268">
        <v>0</v>
      </c>
    </row>
    <row r="150" spans="1:25" s="1280" customFormat="1" ht="75.599999999999994">
      <c r="A150" s="1281">
        <v>137</v>
      </c>
      <c r="B150" s="1294" t="s">
        <v>2412</v>
      </c>
      <c r="C150" s="1268">
        <f t="shared" si="22"/>
        <v>1200103.06</v>
      </c>
      <c r="D150" s="1268">
        <f t="shared" si="23"/>
        <v>0</v>
      </c>
      <c r="E150" s="1268">
        <v>0</v>
      </c>
      <c r="F150" s="1268">
        <v>0</v>
      </c>
      <c r="G150" s="1268">
        <v>0</v>
      </c>
      <c r="H150" s="1268">
        <v>0</v>
      </c>
      <c r="I150" s="1268">
        <v>0</v>
      </c>
      <c r="J150" s="1268">
        <v>0</v>
      </c>
      <c r="K150" s="1278">
        <v>0</v>
      </c>
      <c r="L150" s="1268">
        <v>0</v>
      </c>
      <c r="M150" s="1278">
        <v>0</v>
      </c>
      <c r="N150" s="1293">
        <v>0</v>
      </c>
      <c r="O150" s="1268">
        <v>0</v>
      </c>
      <c r="P150" s="1268">
        <v>0</v>
      </c>
      <c r="Q150" s="1268">
        <v>0</v>
      </c>
      <c r="R150" s="1268">
        <v>0</v>
      </c>
      <c r="S150" s="1268">
        <v>451</v>
      </c>
      <c r="T150" s="1268">
        <v>1112933.78</v>
      </c>
      <c r="U150" s="1293">
        <v>0</v>
      </c>
      <c r="V150" s="1293">
        <v>0</v>
      </c>
      <c r="W150" s="1268">
        <v>0</v>
      </c>
      <c r="X150" s="1268">
        <v>87169.279999999999</v>
      </c>
      <c r="Y150" s="1268">
        <v>0</v>
      </c>
    </row>
    <row r="151" spans="1:25" s="1280" customFormat="1">
      <c r="A151" s="1281">
        <v>138</v>
      </c>
      <c r="B151" s="1294" t="s">
        <v>2017</v>
      </c>
      <c r="C151" s="1268">
        <f t="shared" si="22"/>
        <v>4257572</v>
      </c>
      <c r="D151" s="1268">
        <f t="shared" si="23"/>
        <v>0</v>
      </c>
      <c r="E151" s="1268">
        <v>0</v>
      </c>
      <c r="F151" s="1268">
        <v>0</v>
      </c>
      <c r="G151" s="1268">
        <v>0</v>
      </c>
      <c r="H151" s="1268">
        <v>0</v>
      </c>
      <c r="I151" s="1268">
        <v>0</v>
      </c>
      <c r="J151" s="1268">
        <v>0</v>
      </c>
      <c r="K151" s="1278">
        <v>0</v>
      </c>
      <c r="L151" s="1268">
        <v>0</v>
      </c>
      <c r="M151" s="1278">
        <v>0</v>
      </c>
      <c r="N151" s="1293">
        <v>0</v>
      </c>
      <c r="O151" s="1268">
        <v>0</v>
      </c>
      <c r="P151" s="1268">
        <v>0</v>
      </c>
      <c r="Q151" s="1268">
        <v>0</v>
      </c>
      <c r="R151" s="1268">
        <v>0</v>
      </c>
      <c r="S151" s="1268">
        <v>1600</v>
      </c>
      <c r="T151" s="1268">
        <v>3948324</v>
      </c>
      <c r="U151" s="1293">
        <v>0</v>
      </c>
      <c r="V151" s="1293">
        <v>0</v>
      </c>
      <c r="W151" s="1268">
        <v>0</v>
      </c>
      <c r="X151" s="1268">
        <v>309248</v>
      </c>
      <c r="Y151" s="1268">
        <v>0</v>
      </c>
    </row>
    <row r="152" spans="1:25" s="1280" customFormat="1">
      <c r="A152" s="1281">
        <v>139</v>
      </c>
      <c r="B152" s="1294" t="s">
        <v>990</v>
      </c>
      <c r="C152" s="1268">
        <f t="shared" si="22"/>
        <v>6854690</v>
      </c>
      <c r="D152" s="1268">
        <f t="shared" si="23"/>
        <v>0</v>
      </c>
      <c r="E152" s="1268">
        <v>0</v>
      </c>
      <c r="F152" s="1268">
        <v>0</v>
      </c>
      <c r="G152" s="1268">
        <v>0</v>
      </c>
      <c r="H152" s="1268">
        <v>0</v>
      </c>
      <c r="I152" s="1268">
        <v>0</v>
      </c>
      <c r="J152" s="1268">
        <v>0</v>
      </c>
      <c r="K152" s="1278">
        <v>0</v>
      </c>
      <c r="L152" s="1268">
        <v>0</v>
      </c>
      <c r="M152" s="1278">
        <v>0</v>
      </c>
      <c r="N152" s="1293">
        <v>0</v>
      </c>
      <c r="O152" s="1268">
        <v>0</v>
      </c>
      <c r="P152" s="1268">
        <v>0</v>
      </c>
      <c r="Q152" s="1268">
        <v>0</v>
      </c>
      <c r="R152" s="1268">
        <v>0</v>
      </c>
      <c r="S152" s="1268">
        <v>2576</v>
      </c>
      <c r="T152" s="1268">
        <v>6356801</v>
      </c>
      <c r="U152" s="1293">
        <v>0</v>
      </c>
      <c r="V152" s="1293">
        <v>0</v>
      </c>
      <c r="W152" s="1268">
        <v>0</v>
      </c>
      <c r="X152" s="1268">
        <v>497889</v>
      </c>
      <c r="Y152" s="1268">
        <v>0</v>
      </c>
    </row>
    <row r="153" spans="1:25" s="1280" customFormat="1">
      <c r="A153" s="1281">
        <v>140</v>
      </c>
      <c r="B153" s="1294" t="s">
        <v>892</v>
      </c>
      <c r="C153" s="1268">
        <f t="shared" ref="C153:C154" si="24">D153+N153+P153+R153+T153+V153+X153</f>
        <v>5577419</v>
      </c>
      <c r="D153" s="1268">
        <f t="shared" ref="D153:D154" si="25">SUM(E153:J153)</f>
        <v>0</v>
      </c>
      <c r="E153" s="1268">
        <v>0</v>
      </c>
      <c r="F153" s="1268">
        <v>0</v>
      </c>
      <c r="G153" s="1268">
        <v>0</v>
      </c>
      <c r="H153" s="1268">
        <v>0</v>
      </c>
      <c r="I153" s="1268">
        <v>0</v>
      </c>
      <c r="J153" s="1268">
        <v>0</v>
      </c>
      <c r="K153" s="1278">
        <v>0</v>
      </c>
      <c r="L153" s="1268">
        <v>0</v>
      </c>
      <c r="M153" s="1278">
        <v>0</v>
      </c>
      <c r="N153" s="1293">
        <v>0</v>
      </c>
      <c r="O153" s="1268">
        <v>0</v>
      </c>
      <c r="P153" s="1268">
        <v>0</v>
      </c>
      <c r="Q153" s="1268">
        <v>0</v>
      </c>
      <c r="R153" s="1268">
        <v>0</v>
      </c>
      <c r="S153" s="1268">
        <v>2096</v>
      </c>
      <c r="T153" s="1268">
        <v>5172304</v>
      </c>
      <c r="U153" s="1293">
        <v>0</v>
      </c>
      <c r="V153" s="1293">
        <v>0</v>
      </c>
      <c r="W153" s="1268">
        <v>0</v>
      </c>
      <c r="X153" s="1268">
        <v>405115</v>
      </c>
      <c r="Y153" s="1268">
        <v>0</v>
      </c>
    </row>
    <row r="154" spans="1:25" s="1280" customFormat="1">
      <c r="A154" s="1281">
        <v>141</v>
      </c>
      <c r="B154" s="1294" t="s">
        <v>1213</v>
      </c>
      <c r="C154" s="1268">
        <f t="shared" si="24"/>
        <v>1995737</v>
      </c>
      <c r="D154" s="1268">
        <f t="shared" si="25"/>
        <v>0</v>
      </c>
      <c r="E154" s="1268">
        <v>0</v>
      </c>
      <c r="F154" s="1268">
        <v>0</v>
      </c>
      <c r="G154" s="1268">
        <v>0</v>
      </c>
      <c r="H154" s="1268">
        <v>0</v>
      </c>
      <c r="I154" s="1268">
        <v>0</v>
      </c>
      <c r="J154" s="1268">
        <v>0</v>
      </c>
      <c r="K154" s="1278">
        <v>0</v>
      </c>
      <c r="L154" s="1268">
        <v>0</v>
      </c>
      <c r="M154" s="1278">
        <v>0</v>
      </c>
      <c r="N154" s="1293">
        <v>0</v>
      </c>
      <c r="O154" s="1268">
        <v>0</v>
      </c>
      <c r="P154" s="1268">
        <v>0</v>
      </c>
      <c r="Q154" s="1268">
        <v>0</v>
      </c>
      <c r="R154" s="1268">
        <v>0</v>
      </c>
      <c r="S154" s="1268">
        <v>750</v>
      </c>
      <c r="T154" s="1268">
        <v>1850777</v>
      </c>
      <c r="U154" s="1293">
        <v>0</v>
      </c>
      <c r="V154" s="1293">
        <v>0</v>
      </c>
      <c r="W154" s="1268">
        <v>0</v>
      </c>
      <c r="X154" s="1268">
        <v>144960</v>
      </c>
      <c r="Y154" s="1268">
        <v>0</v>
      </c>
    </row>
    <row r="155" spans="1:25" s="1280" customFormat="1">
      <c r="A155" s="1281">
        <v>142</v>
      </c>
      <c r="B155" s="1294" t="s">
        <v>894</v>
      </c>
      <c r="C155" s="1268">
        <f t="shared" si="22"/>
        <v>3531124</v>
      </c>
      <c r="D155" s="1268">
        <f t="shared" si="23"/>
        <v>0</v>
      </c>
      <c r="E155" s="1268">
        <v>0</v>
      </c>
      <c r="F155" s="1268">
        <v>0</v>
      </c>
      <c r="G155" s="1268">
        <v>0</v>
      </c>
      <c r="H155" s="1268">
        <v>0</v>
      </c>
      <c r="I155" s="1268">
        <v>0</v>
      </c>
      <c r="J155" s="1268">
        <v>0</v>
      </c>
      <c r="K155" s="1278">
        <v>0</v>
      </c>
      <c r="L155" s="1268">
        <v>0</v>
      </c>
      <c r="M155" s="1278">
        <v>0</v>
      </c>
      <c r="N155" s="1293">
        <v>0</v>
      </c>
      <c r="O155" s="1268">
        <v>0</v>
      </c>
      <c r="P155" s="1268">
        <v>0</v>
      </c>
      <c r="Q155" s="1268">
        <v>0</v>
      </c>
      <c r="R155" s="1268">
        <v>0</v>
      </c>
      <c r="S155" s="1268">
        <v>1327</v>
      </c>
      <c r="T155" s="1268">
        <v>3274641</v>
      </c>
      <c r="U155" s="1293">
        <v>0</v>
      </c>
      <c r="V155" s="1293">
        <v>0</v>
      </c>
      <c r="W155" s="1268">
        <v>0</v>
      </c>
      <c r="X155" s="1268">
        <v>256483</v>
      </c>
      <c r="Y155" s="1268">
        <v>0</v>
      </c>
    </row>
    <row r="156" spans="1:25" s="1280" customFormat="1" ht="75.599999999999994">
      <c r="A156" s="1281">
        <v>143</v>
      </c>
      <c r="B156" s="1294" t="s">
        <v>2414</v>
      </c>
      <c r="C156" s="1268">
        <f t="shared" si="22"/>
        <v>6609881</v>
      </c>
      <c r="D156" s="1268">
        <f t="shared" si="23"/>
        <v>0</v>
      </c>
      <c r="E156" s="1268">
        <v>0</v>
      </c>
      <c r="F156" s="1268">
        <v>0</v>
      </c>
      <c r="G156" s="1268">
        <v>0</v>
      </c>
      <c r="H156" s="1268">
        <v>0</v>
      </c>
      <c r="I156" s="1268">
        <v>0</v>
      </c>
      <c r="J156" s="1268">
        <v>0</v>
      </c>
      <c r="K156" s="1278">
        <v>0</v>
      </c>
      <c r="L156" s="1268">
        <v>0</v>
      </c>
      <c r="M156" s="1278">
        <v>0</v>
      </c>
      <c r="N156" s="1293">
        <v>0</v>
      </c>
      <c r="O156" s="1268">
        <v>0</v>
      </c>
      <c r="P156" s="1268">
        <v>0</v>
      </c>
      <c r="Q156" s="1268">
        <v>0</v>
      </c>
      <c r="R156" s="1268">
        <v>0</v>
      </c>
      <c r="S156" s="1268">
        <v>2484</v>
      </c>
      <c r="T156" s="1268">
        <v>6129773</v>
      </c>
      <c r="U156" s="1293">
        <v>0</v>
      </c>
      <c r="V156" s="1293">
        <v>0</v>
      </c>
      <c r="W156" s="1268">
        <v>0</v>
      </c>
      <c r="X156" s="1268">
        <v>480108</v>
      </c>
      <c r="Y156" s="1268">
        <v>0</v>
      </c>
    </row>
    <row r="157" spans="1:25" s="1280" customFormat="1" ht="75.599999999999994">
      <c r="A157" s="1281"/>
      <c r="B157" s="1294" t="s">
        <v>2600</v>
      </c>
      <c r="C157" s="1268">
        <f t="shared" ref="C157:Y157" si="26">SUM(C158:C167)</f>
        <v>16648847</v>
      </c>
      <c r="D157" s="1268">
        <f t="shared" si="26"/>
        <v>3069561</v>
      </c>
      <c r="E157" s="1268">
        <f t="shared" si="26"/>
        <v>0</v>
      </c>
      <c r="F157" s="1268">
        <f t="shared" si="26"/>
        <v>0</v>
      </c>
      <c r="G157" s="1268">
        <f t="shared" si="26"/>
        <v>0</v>
      </c>
      <c r="H157" s="1268">
        <f t="shared" si="26"/>
        <v>3069561</v>
      </c>
      <c r="I157" s="1268">
        <f t="shared" si="26"/>
        <v>0</v>
      </c>
      <c r="J157" s="1268">
        <f t="shared" si="26"/>
        <v>0</v>
      </c>
      <c r="K157" s="1278">
        <f t="shared" si="26"/>
        <v>0</v>
      </c>
      <c r="L157" s="1268">
        <f t="shared" si="26"/>
        <v>0</v>
      </c>
      <c r="M157" s="1278">
        <f t="shared" si="26"/>
        <v>0</v>
      </c>
      <c r="N157" s="1268">
        <f t="shared" si="26"/>
        <v>0</v>
      </c>
      <c r="O157" s="1268">
        <f t="shared" si="26"/>
        <v>4438.8</v>
      </c>
      <c r="P157" s="1268">
        <f t="shared" si="26"/>
        <v>12370000</v>
      </c>
      <c r="Q157" s="1268">
        <f t="shared" si="26"/>
        <v>0</v>
      </c>
      <c r="R157" s="1268">
        <f t="shared" si="26"/>
        <v>0</v>
      </c>
      <c r="S157" s="1268">
        <f t="shared" si="26"/>
        <v>0</v>
      </c>
      <c r="T157" s="1268">
        <f t="shared" si="26"/>
        <v>0</v>
      </c>
      <c r="U157" s="1268">
        <f t="shared" si="26"/>
        <v>0</v>
      </c>
      <c r="V157" s="1268">
        <f t="shared" si="26"/>
        <v>0</v>
      </c>
      <c r="W157" s="1268">
        <v>0</v>
      </c>
      <c r="X157" s="1268">
        <f t="shared" si="26"/>
        <v>1209286</v>
      </c>
      <c r="Y157" s="1268">
        <f t="shared" si="26"/>
        <v>0</v>
      </c>
    </row>
    <row r="158" spans="1:25" s="1280" customFormat="1">
      <c r="A158" s="1281">
        <v>144</v>
      </c>
      <c r="B158" s="1267" t="s">
        <v>2033</v>
      </c>
      <c r="C158" s="1268">
        <f t="shared" ref="C158" si="27">D158+N158+P158+R158+T158+V158+X158</f>
        <v>1090857</v>
      </c>
      <c r="D158" s="1268">
        <f t="shared" ref="D158" si="28">SUM(E158:J158)</f>
        <v>0</v>
      </c>
      <c r="E158" s="1289">
        <v>0</v>
      </c>
      <c r="F158" s="1289">
        <v>0</v>
      </c>
      <c r="G158" s="1289">
        <v>0</v>
      </c>
      <c r="H158" s="1289">
        <v>0</v>
      </c>
      <c r="I158" s="1289">
        <v>0</v>
      </c>
      <c r="J158" s="1289">
        <v>0</v>
      </c>
      <c r="K158" s="1278">
        <v>0</v>
      </c>
      <c r="L158" s="1289">
        <v>0</v>
      </c>
      <c r="M158" s="1278">
        <v>0</v>
      </c>
      <c r="N158" s="1289">
        <v>0</v>
      </c>
      <c r="O158" s="1289">
        <v>322.3</v>
      </c>
      <c r="P158" s="1289">
        <v>1011623</v>
      </c>
      <c r="Q158" s="1289">
        <v>0</v>
      </c>
      <c r="R158" s="1289">
        <v>0</v>
      </c>
      <c r="S158" s="1289">
        <v>0</v>
      </c>
      <c r="T158" s="1289">
        <v>0</v>
      </c>
      <c r="U158" s="1289">
        <v>0</v>
      </c>
      <c r="V158" s="1289">
        <v>0</v>
      </c>
      <c r="W158" s="1268">
        <v>0</v>
      </c>
      <c r="X158" s="1289">
        <v>79234</v>
      </c>
      <c r="Y158" s="1289">
        <v>0</v>
      </c>
    </row>
    <row r="159" spans="1:25" s="1280" customFormat="1" ht="75.599999999999994">
      <c r="A159" s="1281">
        <v>145</v>
      </c>
      <c r="B159" s="1267" t="s">
        <v>2415</v>
      </c>
      <c r="C159" s="1268">
        <f t="shared" ref="C159:C167" si="29">D159+N159+P159+R159+T159+V159+X159</f>
        <v>3203527</v>
      </c>
      <c r="D159" s="1268">
        <f t="shared" ref="D159:D167" si="30">SUM(E159:J159)</f>
        <v>0</v>
      </c>
      <c r="E159" s="1289">
        <v>0</v>
      </c>
      <c r="F159" s="1289">
        <v>0</v>
      </c>
      <c r="G159" s="1289">
        <v>0</v>
      </c>
      <c r="H159" s="1289">
        <v>0</v>
      </c>
      <c r="I159" s="1289">
        <v>0</v>
      </c>
      <c r="J159" s="1289">
        <v>0</v>
      </c>
      <c r="K159" s="1278">
        <v>0</v>
      </c>
      <c r="L159" s="1289">
        <v>0</v>
      </c>
      <c r="M159" s="1278">
        <v>0</v>
      </c>
      <c r="N159" s="1289">
        <v>0</v>
      </c>
      <c r="O159" s="1289">
        <v>946.5</v>
      </c>
      <c r="P159" s="1289">
        <v>2970839</v>
      </c>
      <c r="Q159" s="1289">
        <v>0</v>
      </c>
      <c r="R159" s="1289">
        <v>0</v>
      </c>
      <c r="S159" s="1289">
        <v>0</v>
      </c>
      <c r="T159" s="1289">
        <v>0</v>
      </c>
      <c r="U159" s="1289">
        <v>0</v>
      </c>
      <c r="V159" s="1289">
        <v>0</v>
      </c>
      <c r="W159" s="1268">
        <v>0</v>
      </c>
      <c r="X159" s="1289">
        <v>232688</v>
      </c>
      <c r="Y159" s="1289">
        <v>0</v>
      </c>
    </row>
    <row r="160" spans="1:25" s="1280" customFormat="1" ht="61.2" customHeight="1">
      <c r="A160" s="1281">
        <v>146</v>
      </c>
      <c r="B160" s="1267" t="s">
        <v>1984</v>
      </c>
      <c r="C160" s="1268">
        <f t="shared" si="29"/>
        <v>405299</v>
      </c>
      <c r="D160" s="1268">
        <f t="shared" si="30"/>
        <v>375860</v>
      </c>
      <c r="E160" s="1289">
        <v>0</v>
      </c>
      <c r="F160" s="1289">
        <v>0</v>
      </c>
      <c r="G160" s="1289">
        <v>0</v>
      </c>
      <c r="H160" s="1289">
        <v>375860</v>
      </c>
      <c r="I160" s="1289">
        <v>0</v>
      </c>
      <c r="J160" s="1289">
        <v>0</v>
      </c>
      <c r="K160" s="1278">
        <v>0</v>
      </c>
      <c r="L160" s="1289">
        <v>0</v>
      </c>
      <c r="M160" s="1278">
        <v>0</v>
      </c>
      <c r="N160" s="1289">
        <v>0</v>
      </c>
      <c r="O160" s="1289">
        <v>0</v>
      </c>
      <c r="P160" s="1289">
        <v>0</v>
      </c>
      <c r="Q160" s="1289">
        <v>0</v>
      </c>
      <c r="R160" s="1289">
        <v>0</v>
      </c>
      <c r="S160" s="1289">
        <v>0</v>
      </c>
      <c r="T160" s="1289">
        <v>0</v>
      </c>
      <c r="U160" s="1289">
        <v>0</v>
      </c>
      <c r="V160" s="1289">
        <v>0</v>
      </c>
      <c r="W160" s="1268">
        <v>0</v>
      </c>
      <c r="X160" s="1289">
        <v>29439</v>
      </c>
      <c r="Y160" s="1289">
        <v>0</v>
      </c>
    </row>
    <row r="161" spans="1:25" s="1280" customFormat="1" ht="49.2" customHeight="1">
      <c r="A161" s="1281">
        <v>147</v>
      </c>
      <c r="B161" s="1267" t="s">
        <v>1769</v>
      </c>
      <c r="C161" s="1268">
        <f t="shared" si="29"/>
        <v>2904682</v>
      </c>
      <c r="D161" s="1268">
        <f t="shared" si="30"/>
        <v>2693701</v>
      </c>
      <c r="E161" s="1289">
        <v>0</v>
      </c>
      <c r="F161" s="1289">
        <v>0</v>
      </c>
      <c r="G161" s="1289">
        <v>0</v>
      </c>
      <c r="H161" s="1289">
        <v>2693701</v>
      </c>
      <c r="I161" s="1289">
        <v>0</v>
      </c>
      <c r="J161" s="1289">
        <v>0</v>
      </c>
      <c r="K161" s="1278">
        <v>0</v>
      </c>
      <c r="L161" s="1289">
        <v>0</v>
      </c>
      <c r="M161" s="1278">
        <v>0</v>
      </c>
      <c r="N161" s="1289">
        <v>0</v>
      </c>
      <c r="O161" s="1289">
        <v>0</v>
      </c>
      <c r="P161" s="1289">
        <v>0</v>
      </c>
      <c r="Q161" s="1289">
        <v>0</v>
      </c>
      <c r="R161" s="1289">
        <v>0</v>
      </c>
      <c r="S161" s="1289">
        <v>0</v>
      </c>
      <c r="T161" s="1289">
        <v>0</v>
      </c>
      <c r="U161" s="1289">
        <v>0</v>
      </c>
      <c r="V161" s="1289">
        <v>0</v>
      </c>
      <c r="W161" s="1268">
        <v>0</v>
      </c>
      <c r="X161" s="1289">
        <v>210981</v>
      </c>
      <c r="Y161" s="1289">
        <v>0</v>
      </c>
    </row>
    <row r="162" spans="1:25" s="1280" customFormat="1">
      <c r="A162" s="1281">
        <v>148</v>
      </c>
      <c r="B162" s="1267" t="s">
        <v>1770</v>
      </c>
      <c r="C162" s="1268">
        <f t="shared" si="29"/>
        <v>1298799</v>
      </c>
      <c r="D162" s="1268">
        <f t="shared" si="30"/>
        <v>0</v>
      </c>
      <c r="E162" s="1289">
        <v>0</v>
      </c>
      <c r="F162" s="1289">
        <v>0</v>
      </c>
      <c r="G162" s="1289">
        <v>0</v>
      </c>
      <c r="H162" s="1289">
        <v>0</v>
      </c>
      <c r="I162" s="1289">
        <v>0</v>
      </c>
      <c r="J162" s="1289">
        <v>0</v>
      </c>
      <c r="K162" s="1278">
        <v>0</v>
      </c>
      <c r="L162" s="1289">
        <v>0</v>
      </c>
      <c r="M162" s="1278">
        <v>0</v>
      </c>
      <c r="N162" s="1289">
        <v>0</v>
      </c>
      <c r="O162" s="1289">
        <v>478</v>
      </c>
      <c r="P162" s="1289">
        <v>1204461</v>
      </c>
      <c r="Q162" s="1289">
        <v>0</v>
      </c>
      <c r="R162" s="1289">
        <v>0</v>
      </c>
      <c r="S162" s="1289">
        <v>0</v>
      </c>
      <c r="T162" s="1289">
        <v>0</v>
      </c>
      <c r="U162" s="1289">
        <v>0</v>
      </c>
      <c r="V162" s="1289">
        <v>0</v>
      </c>
      <c r="W162" s="1268">
        <v>0</v>
      </c>
      <c r="X162" s="1289">
        <v>94338</v>
      </c>
      <c r="Y162" s="1289">
        <v>0</v>
      </c>
    </row>
    <row r="163" spans="1:25" s="1280" customFormat="1">
      <c r="A163" s="1281">
        <v>149</v>
      </c>
      <c r="B163" s="1267" t="s">
        <v>1771</v>
      </c>
      <c r="C163" s="1268">
        <f t="shared" si="29"/>
        <v>1298799</v>
      </c>
      <c r="D163" s="1268">
        <f t="shared" si="30"/>
        <v>0</v>
      </c>
      <c r="E163" s="1289">
        <v>0</v>
      </c>
      <c r="F163" s="1289">
        <v>0</v>
      </c>
      <c r="G163" s="1289">
        <v>0</v>
      </c>
      <c r="H163" s="1289">
        <v>0</v>
      </c>
      <c r="I163" s="1289">
        <v>0</v>
      </c>
      <c r="J163" s="1289">
        <v>0</v>
      </c>
      <c r="K163" s="1278">
        <v>0</v>
      </c>
      <c r="L163" s="1289">
        <v>0</v>
      </c>
      <c r="M163" s="1278">
        <v>0</v>
      </c>
      <c r="N163" s="1289">
        <v>0</v>
      </c>
      <c r="O163" s="1289">
        <v>478</v>
      </c>
      <c r="P163" s="1289">
        <v>1204461</v>
      </c>
      <c r="Q163" s="1289">
        <v>0</v>
      </c>
      <c r="R163" s="1289">
        <v>0</v>
      </c>
      <c r="S163" s="1289">
        <v>0</v>
      </c>
      <c r="T163" s="1289">
        <v>0</v>
      </c>
      <c r="U163" s="1289">
        <v>0</v>
      </c>
      <c r="V163" s="1289">
        <v>0</v>
      </c>
      <c r="W163" s="1268">
        <v>0</v>
      </c>
      <c r="X163" s="1289">
        <v>94338</v>
      </c>
      <c r="Y163" s="1289">
        <v>0</v>
      </c>
    </row>
    <row r="164" spans="1:25" s="1280" customFormat="1" ht="46.8" customHeight="1">
      <c r="A164" s="1281">
        <v>150</v>
      </c>
      <c r="B164" s="1267" t="s">
        <v>1417</v>
      </c>
      <c r="C164" s="1268">
        <f t="shared" si="29"/>
        <v>1252608</v>
      </c>
      <c r="D164" s="1268">
        <f t="shared" si="30"/>
        <v>0</v>
      </c>
      <c r="E164" s="1289">
        <v>0</v>
      </c>
      <c r="F164" s="1289">
        <v>0</v>
      </c>
      <c r="G164" s="1289">
        <v>0</v>
      </c>
      <c r="H164" s="1289">
        <v>0</v>
      </c>
      <c r="I164" s="1289">
        <v>0</v>
      </c>
      <c r="J164" s="1289">
        <v>0</v>
      </c>
      <c r="K164" s="1278">
        <v>0</v>
      </c>
      <c r="L164" s="1289">
        <v>0</v>
      </c>
      <c r="M164" s="1278">
        <v>0</v>
      </c>
      <c r="N164" s="1289">
        <v>0</v>
      </c>
      <c r="O164" s="1289">
        <v>461</v>
      </c>
      <c r="P164" s="1289">
        <v>1161625</v>
      </c>
      <c r="Q164" s="1289">
        <v>0</v>
      </c>
      <c r="R164" s="1289">
        <v>0</v>
      </c>
      <c r="S164" s="1289">
        <v>0</v>
      </c>
      <c r="T164" s="1289">
        <v>0</v>
      </c>
      <c r="U164" s="1289">
        <v>0</v>
      </c>
      <c r="V164" s="1289">
        <v>0</v>
      </c>
      <c r="W164" s="1268">
        <v>0</v>
      </c>
      <c r="X164" s="1289">
        <v>90983</v>
      </c>
      <c r="Y164" s="1289">
        <v>0</v>
      </c>
    </row>
    <row r="165" spans="1:25" s="1280" customFormat="1">
      <c r="A165" s="1281">
        <v>151</v>
      </c>
      <c r="B165" s="1267" t="s">
        <v>1419</v>
      </c>
      <c r="C165" s="1268">
        <f t="shared" si="29"/>
        <v>1298799</v>
      </c>
      <c r="D165" s="1268">
        <f t="shared" si="30"/>
        <v>0</v>
      </c>
      <c r="E165" s="1289">
        <v>0</v>
      </c>
      <c r="F165" s="1289">
        <v>0</v>
      </c>
      <c r="G165" s="1289">
        <v>0</v>
      </c>
      <c r="H165" s="1289">
        <v>0</v>
      </c>
      <c r="I165" s="1289">
        <v>0</v>
      </c>
      <c r="J165" s="1289">
        <v>0</v>
      </c>
      <c r="K165" s="1278">
        <v>0</v>
      </c>
      <c r="L165" s="1289">
        <v>0</v>
      </c>
      <c r="M165" s="1278">
        <v>0</v>
      </c>
      <c r="N165" s="1289">
        <v>0</v>
      </c>
      <c r="O165" s="1289">
        <v>478</v>
      </c>
      <c r="P165" s="1289">
        <v>1204461</v>
      </c>
      <c r="Q165" s="1289">
        <v>0</v>
      </c>
      <c r="R165" s="1289">
        <v>0</v>
      </c>
      <c r="S165" s="1289">
        <v>0</v>
      </c>
      <c r="T165" s="1289">
        <v>0</v>
      </c>
      <c r="U165" s="1289">
        <v>0</v>
      </c>
      <c r="V165" s="1289">
        <v>0</v>
      </c>
      <c r="W165" s="1268">
        <v>0</v>
      </c>
      <c r="X165" s="1289">
        <v>94338</v>
      </c>
      <c r="Y165" s="1289">
        <v>0</v>
      </c>
    </row>
    <row r="166" spans="1:25" s="1280" customFormat="1">
      <c r="A166" s="1281">
        <v>152</v>
      </c>
      <c r="B166" s="1267" t="s">
        <v>1420</v>
      </c>
      <c r="C166" s="1268">
        <f t="shared" si="29"/>
        <v>2186115</v>
      </c>
      <c r="D166" s="1268">
        <f t="shared" si="30"/>
        <v>0</v>
      </c>
      <c r="E166" s="1289">
        <v>0</v>
      </c>
      <c r="F166" s="1289">
        <v>0</v>
      </c>
      <c r="G166" s="1289">
        <v>0</v>
      </c>
      <c r="H166" s="1289">
        <v>0</v>
      </c>
      <c r="I166" s="1289">
        <v>0</v>
      </c>
      <c r="J166" s="1289">
        <v>0</v>
      </c>
      <c r="K166" s="1278">
        <v>0</v>
      </c>
      <c r="L166" s="1289">
        <v>0</v>
      </c>
      <c r="M166" s="1278">
        <v>0</v>
      </c>
      <c r="N166" s="1289">
        <v>0</v>
      </c>
      <c r="O166" s="1289">
        <v>645.9</v>
      </c>
      <c r="P166" s="1289">
        <v>2027327</v>
      </c>
      <c r="Q166" s="1289">
        <v>0</v>
      </c>
      <c r="R166" s="1289">
        <v>0</v>
      </c>
      <c r="S166" s="1289">
        <v>0</v>
      </c>
      <c r="T166" s="1289">
        <v>0</v>
      </c>
      <c r="U166" s="1289">
        <v>0</v>
      </c>
      <c r="V166" s="1289">
        <v>0</v>
      </c>
      <c r="W166" s="1268">
        <v>0</v>
      </c>
      <c r="X166" s="1289">
        <v>158788</v>
      </c>
      <c r="Y166" s="1289">
        <v>0</v>
      </c>
    </row>
    <row r="167" spans="1:25" s="1280" customFormat="1">
      <c r="A167" s="1281">
        <v>153</v>
      </c>
      <c r="B167" s="1267" t="s">
        <v>1423</v>
      </c>
      <c r="C167" s="1268">
        <f t="shared" si="29"/>
        <v>1709362</v>
      </c>
      <c r="D167" s="1268">
        <f t="shared" si="30"/>
        <v>0</v>
      </c>
      <c r="E167" s="1289">
        <v>0</v>
      </c>
      <c r="F167" s="1289">
        <v>0</v>
      </c>
      <c r="G167" s="1289">
        <v>0</v>
      </c>
      <c r="H167" s="1289">
        <v>0</v>
      </c>
      <c r="I167" s="1289">
        <v>0</v>
      </c>
      <c r="J167" s="1289">
        <v>0</v>
      </c>
      <c r="K167" s="1278">
        <v>0</v>
      </c>
      <c r="L167" s="1289">
        <v>0</v>
      </c>
      <c r="M167" s="1278">
        <v>0</v>
      </c>
      <c r="N167" s="1289">
        <v>0</v>
      </c>
      <c r="O167" s="1289">
        <v>629.1</v>
      </c>
      <c r="P167" s="1289">
        <v>1585203</v>
      </c>
      <c r="Q167" s="1289">
        <v>0</v>
      </c>
      <c r="R167" s="1289">
        <v>0</v>
      </c>
      <c r="S167" s="1289">
        <v>0</v>
      </c>
      <c r="T167" s="1289">
        <v>0</v>
      </c>
      <c r="U167" s="1289">
        <v>0</v>
      </c>
      <c r="V167" s="1289">
        <v>0</v>
      </c>
      <c r="W167" s="1268">
        <v>0</v>
      </c>
      <c r="X167" s="1289">
        <v>124159</v>
      </c>
      <c r="Y167" s="1289">
        <v>0</v>
      </c>
    </row>
    <row r="168" spans="1:25" s="1280" customFormat="1" ht="75.599999999999994">
      <c r="A168" s="1281"/>
      <c r="B168" s="1267" t="s">
        <v>2601</v>
      </c>
      <c r="C168" s="1268">
        <f>C169+C170+C171</f>
        <v>10026071</v>
      </c>
      <c r="D168" s="1268">
        <f t="shared" ref="D168:Y168" si="31">D169+D170+D171</f>
        <v>0</v>
      </c>
      <c r="E168" s="1289">
        <f t="shared" si="31"/>
        <v>0</v>
      </c>
      <c r="F168" s="1289">
        <f t="shared" si="31"/>
        <v>0</v>
      </c>
      <c r="G168" s="1289">
        <f t="shared" si="31"/>
        <v>0</v>
      </c>
      <c r="H168" s="1289">
        <f t="shared" si="31"/>
        <v>0</v>
      </c>
      <c r="I168" s="1289">
        <f t="shared" si="31"/>
        <v>0</v>
      </c>
      <c r="J168" s="1289">
        <f t="shared" si="31"/>
        <v>0</v>
      </c>
      <c r="K168" s="1278">
        <f t="shared" si="31"/>
        <v>0</v>
      </c>
      <c r="L168" s="1289">
        <f t="shared" si="31"/>
        <v>0</v>
      </c>
      <c r="M168" s="1278">
        <f t="shared" si="31"/>
        <v>0</v>
      </c>
      <c r="N168" s="1289">
        <f t="shared" si="31"/>
        <v>0</v>
      </c>
      <c r="O168" s="1289">
        <f t="shared" si="31"/>
        <v>3262</v>
      </c>
      <c r="P168" s="1289">
        <f t="shared" si="31"/>
        <v>9297829</v>
      </c>
      <c r="Q168" s="1289">
        <f t="shared" si="31"/>
        <v>0</v>
      </c>
      <c r="R168" s="1289">
        <f t="shared" si="31"/>
        <v>0</v>
      </c>
      <c r="S168" s="1289">
        <f t="shared" si="31"/>
        <v>0</v>
      </c>
      <c r="T168" s="1289">
        <f t="shared" si="31"/>
        <v>0</v>
      </c>
      <c r="U168" s="1289">
        <f t="shared" si="31"/>
        <v>0</v>
      </c>
      <c r="V168" s="1289">
        <f t="shared" si="31"/>
        <v>0</v>
      </c>
      <c r="W168" s="1268">
        <v>0</v>
      </c>
      <c r="X168" s="1289">
        <f t="shared" si="31"/>
        <v>728242</v>
      </c>
      <c r="Y168" s="1289">
        <f t="shared" si="31"/>
        <v>0</v>
      </c>
    </row>
    <row r="169" spans="1:25" s="1280" customFormat="1">
      <c r="A169" s="1281">
        <v>154</v>
      </c>
      <c r="B169" s="1267" t="s">
        <v>736</v>
      </c>
      <c r="C169" s="1268">
        <f t="shared" ref="C169" si="32">D169+N169+P169+R169+T169+V169+X169</f>
        <v>3646194</v>
      </c>
      <c r="D169" s="1268">
        <f t="shared" ref="D169" si="33">SUM(E169:J169)</f>
        <v>0</v>
      </c>
      <c r="E169" s="1289">
        <v>0</v>
      </c>
      <c r="F169" s="1289">
        <v>0</v>
      </c>
      <c r="G169" s="1289">
        <v>0</v>
      </c>
      <c r="H169" s="1289">
        <v>0</v>
      </c>
      <c r="I169" s="1289">
        <v>0</v>
      </c>
      <c r="J169" s="1289">
        <v>0</v>
      </c>
      <c r="K169" s="1278">
        <v>0</v>
      </c>
      <c r="L169" s="1289">
        <v>0</v>
      </c>
      <c r="M169" s="1278">
        <v>0</v>
      </c>
      <c r="N169" s="1289">
        <v>0</v>
      </c>
      <c r="O169" s="1289">
        <v>914</v>
      </c>
      <c r="P169" s="1289">
        <v>3381353</v>
      </c>
      <c r="Q169" s="1289">
        <v>0</v>
      </c>
      <c r="R169" s="1289">
        <v>0</v>
      </c>
      <c r="S169" s="1289">
        <v>0</v>
      </c>
      <c r="T169" s="1289">
        <v>0</v>
      </c>
      <c r="U169" s="1289">
        <v>0</v>
      </c>
      <c r="V169" s="1289">
        <v>0</v>
      </c>
      <c r="W169" s="1268">
        <v>0</v>
      </c>
      <c r="X169" s="1289">
        <v>264841</v>
      </c>
      <c r="Y169" s="1289">
        <v>0</v>
      </c>
    </row>
    <row r="170" spans="1:25" s="1280" customFormat="1">
      <c r="A170" s="1281">
        <v>155</v>
      </c>
      <c r="B170" s="1267" t="s">
        <v>1520</v>
      </c>
      <c r="C170" s="1268">
        <f t="shared" ref="C170:C171" si="34">D170+N170+P170+R170+T170+V170+X170</f>
        <v>2662811</v>
      </c>
      <c r="D170" s="1268">
        <f t="shared" ref="D170:D171" si="35">SUM(E170:J170)</f>
        <v>0</v>
      </c>
      <c r="E170" s="1289">
        <v>0</v>
      </c>
      <c r="F170" s="1289">
        <v>0</v>
      </c>
      <c r="G170" s="1289">
        <v>0</v>
      </c>
      <c r="H170" s="1289">
        <v>0</v>
      </c>
      <c r="I170" s="1289">
        <v>0</v>
      </c>
      <c r="J170" s="1289">
        <v>0</v>
      </c>
      <c r="K170" s="1278">
        <v>0</v>
      </c>
      <c r="L170" s="1289">
        <v>0</v>
      </c>
      <c r="M170" s="1278">
        <v>0</v>
      </c>
      <c r="N170" s="1289">
        <v>0</v>
      </c>
      <c r="O170" s="1289">
        <v>980</v>
      </c>
      <c r="P170" s="1289">
        <v>2469398</v>
      </c>
      <c r="Q170" s="1289">
        <v>0</v>
      </c>
      <c r="R170" s="1289">
        <v>0</v>
      </c>
      <c r="S170" s="1289">
        <v>0</v>
      </c>
      <c r="T170" s="1289">
        <v>0</v>
      </c>
      <c r="U170" s="1289">
        <v>0</v>
      </c>
      <c r="V170" s="1289">
        <v>0</v>
      </c>
      <c r="W170" s="1268">
        <v>0</v>
      </c>
      <c r="X170" s="1289">
        <v>193413</v>
      </c>
      <c r="Y170" s="1289">
        <v>0</v>
      </c>
    </row>
    <row r="171" spans="1:25" s="1280" customFormat="1">
      <c r="A171" s="1281">
        <v>156</v>
      </c>
      <c r="B171" s="1267" t="s">
        <v>1521</v>
      </c>
      <c r="C171" s="1268">
        <f t="shared" si="34"/>
        <v>3717066</v>
      </c>
      <c r="D171" s="1268">
        <f t="shared" si="35"/>
        <v>0</v>
      </c>
      <c r="E171" s="1289">
        <v>0</v>
      </c>
      <c r="F171" s="1289">
        <v>0</v>
      </c>
      <c r="G171" s="1289">
        <v>0</v>
      </c>
      <c r="H171" s="1289">
        <v>0</v>
      </c>
      <c r="I171" s="1289">
        <v>0</v>
      </c>
      <c r="J171" s="1289">
        <v>0</v>
      </c>
      <c r="K171" s="1278">
        <v>0</v>
      </c>
      <c r="L171" s="1289">
        <v>0</v>
      </c>
      <c r="M171" s="1278">
        <v>0</v>
      </c>
      <c r="N171" s="1289">
        <v>0</v>
      </c>
      <c r="O171" s="1289">
        <v>1368</v>
      </c>
      <c r="P171" s="1289">
        <v>3447078</v>
      </c>
      <c r="Q171" s="1289">
        <v>0</v>
      </c>
      <c r="R171" s="1289">
        <v>0</v>
      </c>
      <c r="S171" s="1289">
        <v>0</v>
      </c>
      <c r="T171" s="1289">
        <v>0</v>
      </c>
      <c r="U171" s="1289">
        <v>0</v>
      </c>
      <c r="V171" s="1289">
        <v>0</v>
      </c>
      <c r="W171" s="1268">
        <v>0</v>
      </c>
      <c r="X171" s="1289">
        <v>269988</v>
      </c>
      <c r="Y171" s="1289">
        <v>0</v>
      </c>
    </row>
    <row r="172" spans="1:25" s="1280" customFormat="1" ht="75.599999999999994">
      <c r="A172" s="1281"/>
      <c r="B172" s="1277" t="s">
        <v>1681</v>
      </c>
      <c r="C172" s="1268">
        <f>C173+C174</f>
        <v>3858446</v>
      </c>
      <c r="D172" s="1268">
        <f t="shared" ref="D172:Y172" si="36">D173+D174</f>
        <v>0</v>
      </c>
      <c r="E172" s="1268">
        <f t="shared" si="36"/>
        <v>0</v>
      </c>
      <c r="F172" s="1268">
        <f t="shared" si="36"/>
        <v>0</v>
      </c>
      <c r="G172" s="1268">
        <f t="shared" si="36"/>
        <v>0</v>
      </c>
      <c r="H172" s="1268">
        <f t="shared" si="36"/>
        <v>0</v>
      </c>
      <c r="I172" s="1268">
        <f t="shared" si="36"/>
        <v>0</v>
      </c>
      <c r="J172" s="1268">
        <f t="shared" si="36"/>
        <v>0</v>
      </c>
      <c r="K172" s="1278">
        <f t="shared" si="36"/>
        <v>0</v>
      </c>
      <c r="L172" s="1268">
        <f t="shared" si="36"/>
        <v>0</v>
      </c>
      <c r="M172" s="1278">
        <f t="shared" si="36"/>
        <v>0</v>
      </c>
      <c r="N172" s="1268">
        <f t="shared" si="36"/>
        <v>0</v>
      </c>
      <c r="O172" s="1268">
        <f t="shared" si="36"/>
        <v>1140</v>
      </c>
      <c r="P172" s="1268">
        <f t="shared" si="36"/>
        <v>3578189</v>
      </c>
      <c r="Q172" s="1268">
        <f t="shared" si="36"/>
        <v>0</v>
      </c>
      <c r="R172" s="1268">
        <f t="shared" si="36"/>
        <v>0</v>
      </c>
      <c r="S172" s="1268">
        <f t="shared" si="36"/>
        <v>0</v>
      </c>
      <c r="T172" s="1268">
        <f t="shared" si="36"/>
        <v>0</v>
      </c>
      <c r="U172" s="1268">
        <f t="shared" si="36"/>
        <v>0</v>
      </c>
      <c r="V172" s="1268">
        <f t="shared" si="36"/>
        <v>0</v>
      </c>
      <c r="W172" s="1268">
        <v>0</v>
      </c>
      <c r="X172" s="1268">
        <f t="shared" si="36"/>
        <v>280257</v>
      </c>
      <c r="Y172" s="1268">
        <f t="shared" si="36"/>
        <v>0</v>
      </c>
    </row>
    <row r="173" spans="1:25" s="1280" customFormat="1">
      <c r="A173" s="1281">
        <v>157</v>
      </c>
      <c r="B173" s="1267" t="s">
        <v>623</v>
      </c>
      <c r="C173" s="1268">
        <f t="shared" ref="C173:C174" si="37">D173+N173+P173+R173+T173+V173+X173</f>
        <v>1895377</v>
      </c>
      <c r="D173" s="1268">
        <f t="shared" ref="D173:D174" si="38">SUM(E173:J173)</f>
        <v>0</v>
      </c>
      <c r="E173" s="1289">
        <v>0</v>
      </c>
      <c r="F173" s="1289">
        <v>0</v>
      </c>
      <c r="G173" s="1289">
        <v>0</v>
      </c>
      <c r="H173" s="1289">
        <v>0</v>
      </c>
      <c r="I173" s="1289">
        <v>0</v>
      </c>
      <c r="J173" s="1289">
        <v>0</v>
      </c>
      <c r="K173" s="1278">
        <v>0</v>
      </c>
      <c r="L173" s="1289">
        <v>0</v>
      </c>
      <c r="M173" s="1278">
        <v>0</v>
      </c>
      <c r="N173" s="1289">
        <v>0</v>
      </c>
      <c r="O173" s="1289">
        <v>560</v>
      </c>
      <c r="P173" s="1289">
        <v>1757707</v>
      </c>
      <c r="Q173" s="1289">
        <v>0</v>
      </c>
      <c r="R173" s="1289">
        <v>0</v>
      </c>
      <c r="S173" s="1289">
        <v>0</v>
      </c>
      <c r="T173" s="1289">
        <v>0</v>
      </c>
      <c r="U173" s="1289">
        <v>0</v>
      </c>
      <c r="V173" s="1289">
        <v>0</v>
      </c>
      <c r="W173" s="1268">
        <v>0</v>
      </c>
      <c r="X173" s="1289">
        <v>137670</v>
      </c>
      <c r="Y173" s="1289">
        <v>0</v>
      </c>
    </row>
    <row r="174" spans="1:25" s="1280" customFormat="1">
      <c r="A174" s="1281">
        <v>158</v>
      </c>
      <c r="B174" s="1267" t="s">
        <v>621</v>
      </c>
      <c r="C174" s="1268">
        <f t="shared" si="37"/>
        <v>1963069</v>
      </c>
      <c r="D174" s="1268">
        <f t="shared" si="38"/>
        <v>0</v>
      </c>
      <c r="E174" s="1289">
        <v>0</v>
      </c>
      <c r="F174" s="1289">
        <v>0</v>
      </c>
      <c r="G174" s="1289">
        <v>0</v>
      </c>
      <c r="H174" s="1289">
        <v>0</v>
      </c>
      <c r="I174" s="1289">
        <v>0</v>
      </c>
      <c r="J174" s="1289">
        <v>0</v>
      </c>
      <c r="K174" s="1278">
        <v>0</v>
      </c>
      <c r="L174" s="1289">
        <v>0</v>
      </c>
      <c r="M174" s="1278">
        <v>0</v>
      </c>
      <c r="N174" s="1289">
        <v>0</v>
      </c>
      <c r="O174" s="1289">
        <v>580</v>
      </c>
      <c r="P174" s="1289">
        <v>1820482</v>
      </c>
      <c r="Q174" s="1289">
        <v>0</v>
      </c>
      <c r="R174" s="1289">
        <v>0</v>
      </c>
      <c r="S174" s="1289">
        <v>0</v>
      </c>
      <c r="T174" s="1289">
        <v>0</v>
      </c>
      <c r="U174" s="1289">
        <v>0</v>
      </c>
      <c r="V174" s="1289">
        <v>0</v>
      </c>
      <c r="W174" s="1268">
        <v>0</v>
      </c>
      <c r="X174" s="1289">
        <v>142587</v>
      </c>
      <c r="Y174" s="1289">
        <v>0</v>
      </c>
    </row>
    <row r="175" spans="1:25" s="1280" customFormat="1">
      <c r="A175" s="1281"/>
      <c r="B175" s="1267" t="s">
        <v>41</v>
      </c>
      <c r="C175" s="1289">
        <f t="shared" ref="C175:J175" si="39">C176</f>
        <v>59684953.030000001</v>
      </c>
      <c r="D175" s="1289">
        <f t="shared" si="39"/>
        <v>14537803</v>
      </c>
      <c r="E175" s="1289">
        <f t="shared" si="39"/>
        <v>807039</v>
      </c>
      <c r="F175" s="1289">
        <f t="shared" si="39"/>
        <v>9111645</v>
      </c>
      <c r="G175" s="1289">
        <f t="shared" si="39"/>
        <v>388559</v>
      </c>
      <c r="H175" s="1289">
        <f t="shared" si="39"/>
        <v>2065518</v>
      </c>
      <c r="I175" s="1289">
        <f t="shared" si="39"/>
        <v>0</v>
      </c>
      <c r="J175" s="1289">
        <f t="shared" si="39"/>
        <v>2165042</v>
      </c>
      <c r="K175" s="1278">
        <v>0</v>
      </c>
      <c r="L175" s="1289">
        <v>0</v>
      </c>
      <c r="M175" s="1278">
        <f t="shared" ref="M175:V175" si="40">M176</f>
        <v>0</v>
      </c>
      <c r="N175" s="1289">
        <f t="shared" si="40"/>
        <v>0</v>
      </c>
      <c r="O175" s="1289">
        <f t="shared" si="40"/>
        <v>8133.37</v>
      </c>
      <c r="P175" s="1289">
        <f t="shared" si="40"/>
        <v>33429034.02</v>
      </c>
      <c r="Q175" s="1289">
        <f t="shared" si="40"/>
        <v>0</v>
      </c>
      <c r="R175" s="1289">
        <f t="shared" si="40"/>
        <v>0</v>
      </c>
      <c r="S175" s="1289">
        <f t="shared" si="40"/>
        <v>2313.2399999999998</v>
      </c>
      <c r="T175" s="1289">
        <f t="shared" si="40"/>
        <v>7382911</v>
      </c>
      <c r="U175" s="1289">
        <f t="shared" si="40"/>
        <v>0</v>
      </c>
      <c r="V175" s="1289">
        <f t="shared" si="40"/>
        <v>0</v>
      </c>
      <c r="W175" s="1268">
        <v>0</v>
      </c>
      <c r="X175" s="1289">
        <f t="shared" ref="X175" si="41">X176</f>
        <v>4335205.01</v>
      </c>
      <c r="Y175" s="1289">
        <v>0</v>
      </c>
    </row>
    <row r="176" spans="1:25" s="1280" customFormat="1" ht="94.2" customHeight="1">
      <c r="A176" s="1281"/>
      <c r="B176" s="1267" t="s">
        <v>1075</v>
      </c>
      <c r="C176" s="1289">
        <f>SUM(C177:C197)</f>
        <v>59684953.030000001</v>
      </c>
      <c r="D176" s="1289">
        <f t="shared" ref="D176:Y176" si="42">SUM(D177:D197)</f>
        <v>14537803</v>
      </c>
      <c r="E176" s="1289">
        <f t="shared" si="42"/>
        <v>807039</v>
      </c>
      <c r="F176" s="1289">
        <f t="shared" si="42"/>
        <v>9111645</v>
      </c>
      <c r="G176" s="1289">
        <f t="shared" si="42"/>
        <v>388559</v>
      </c>
      <c r="H176" s="1289">
        <f t="shared" si="42"/>
        <v>2065518</v>
      </c>
      <c r="I176" s="1289">
        <f t="shared" si="42"/>
        <v>0</v>
      </c>
      <c r="J176" s="1289">
        <f t="shared" si="42"/>
        <v>2165042</v>
      </c>
      <c r="K176" s="1278">
        <f t="shared" si="42"/>
        <v>0</v>
      </c>
      <c r="L176" s="1289">
        <f t="shared" si="42"/>
        <v>0</v>
      </c>
      <c r="M176" s="1278">
        <f t="shared" si="42"/>
        <v>0</v>
      </c>
      <c r="N176" s="1289">
        <f t="shared" si="42"/>
        <v>0</v>
      </c>
      <c r="O176" s="1289">
        <f t="shared" si="42"/>
        <v>8133.37</v>
      </c>
      <c r="P176" s="1289">
        <f t="shared" si="42"/>
        <v>33429034.02</v>
      </c>
      <c r="Q176" s="1289">
        <f t="shared" si="42"/>
        <v>0</v>
      </c>
      <c r="R176" s="1289">
        <f t="shared" si="42"/>
        <v>0</v>
      </c>
      <c r="S176" s="1289">
        <f t="shared" si="42"/>
        <v>2313.2399999999998</v>
      </c>
      <c r="T176" s="1289">
        <f t="shared" si="42"/>
        <v>7382911</v>
      </c>
      <c r="U176" s="1289">
        <f t="shared" si="42"/>
        <v>0</v>
      </c>
      <c r="V176" s="1289">
        <f t="shared" si="42"/>
        <v>0</v>
      </c>
      <c r="W176" s="1268">
        <v>0</v>
      </c>
      <c r="X176" s="1289">
        <f t="shared" si="42"/>
        <v>4335205.01</v>
      </c>
      <c r="Y176" s="1289">
        <f t="shared" si="42"/>
        <v>0</v>
      </c>
    </row>
    <row r="177" spans="1:25" s="1280" customFormat="1">
      <c r="A177" s="1295">
        <v>159</v>
      </c>
      <c r="B177" s="1296" t="s">
        <v>2416</v>
      </c>
      <c r="C177" s="1268">
        <f>D177+N177+P177+R177+T177+V177+X177</f>
        <v>6088711</v>
      </c>
      <c r="D177" s="1268">
        <f t="shared" ref="D177" si="43">SUM(E177:J177)</f>
        <v>5646459</v>
      </c>
      <c r="E177" s="1268">
        <v>0</v>
      </c>
      <c r="F177" s="1268">
        <v>5646459</v>
      </c>
      <c r="G177" s="1268">
        <v>0</v>
      </c>
      <c r="H177" s="1268">
        <v>0</v>
      </c>
      <c r="I177" s="1268">
        <v>0</v>
      </c>
      <c r="J177" s="1268">
        <v>0</v>
      </c>
      <c r="K177" s="1278">
        <v>0</v>
      </c>
      <c r="L177" s="1268">
        <v>0</v>
      </c>
      <c r="M177" s="1278">
        <v>0</v>
      </c>
      <c r="N177" s="1268">
        <v>0</v>
      </c>
      <c r="O177" s="1268">
        <v>0</v>
      </c>
      <c r="P177" s="1268">
        <v>0</v>
      </c>
      <c r="Q177" s="1268">
        <v>0</v>
      </c>
      <c r="R177" s="1268">
        <v>0</v>
      </c>
      <c r="S177" s="1268">
        <v>0</v>
      </c>
      <c r="T177" s="1268">
        <v>0</v>
      </c>
      <c r="U177" s="1268">
        <v>0</v>
      </c>
      <c r="V177" s="1268">
        <v>0</v>
      </c>
      <c r="W177" s="1268">
        <v>0</v>
      </c>
      <c r="X177" s="1268">
        <v>442252</v>
      </c>
      <c r="Y177" s="1268">
        <v>0</v>
      </c>
    </row>
    <row r="178" spans="1:25" s="1280" customFormat="1">
      <c r="A178" s="1295">
        <v>160</v>
      </c>
      <c r="B178" s="1267" t="s">
        <v>1774</v>
      </c>
      <c r="C178" s="1268">
        <f t="shared" ref="C178:C197" si="44">D178+N178+P178+R178+T178+V178+X178</f>
        <v>1409239</v>
      </c>
      <c r="D178" s="1268">
        <f t="shared" ref="D178:D197" si="45">SUM(E178:J178)</f>
        <v>1306879</v>
      </c>
      <c r="E178" s="1268">
        <v>0</v>
      </c>
      <c r="F178" s="1268">
        <v>941396</v>
      </c>
      <c r="G178" s="1268">
        <v>0</v>
      </c>
      <c r="H178" s="1268">
        <v>0</v>
      </c>
      <c r="I178" s="1268">
        <v>0</v>
      </c>
      <c r="J178" s="1268">
        <v>365483</v>
      </c>
      <c r="K178" s="1278">
        <v>0</v>
      </c>
      <c r="L178" s="1268">
        <v>0</v>
      </c>
      <c r="M178" s="1278">
        <v>0</v>
      </c>
      <c r="N178" s="1268">
        <v>0</v>
      </c>
      <c r="O178" s="1268">
        <v>0</v>
      </c>
      <c r="P178" s="1268">
        <v>0</v>
      </c>
      <c r="Q178" s="1268">
        <v>0</v>
      </c>
      <c r="R178" s="1268">
        <v>0</v>
      </c>
      <c r="S178" s="1268">
        <v>0</v>
      </c>
      <c r="T178" s="1268">
        <v>0</v>
      </c>
      <c r="U178" s="1268">
        <v>0</v>
      </c>
      <c r="V178" s="1268">
        <v>0</v>
      </c>
      <c r="W178" s="1268">
        <v>0</v>
      </c>
      <c r="X178" s="1268">
        <v>102360</v>
      </c>
      <c r="Y178" s="1268">
        <v>0</v>
      </c>
    </row>
    <row r="179" spans="1:25" s="1280" customFormat="1">
      <c r="A179" s="1295">
        <v>161</v>
      </c>
      <c r="B179" s="1267" t="s">
        <v>1775</v>
      </c>
      <c r="C179" s="1268">
        <f t="shared" si="44"/>
        <v>5448928</v>
      </c>
      <c r="D179" s="1268">
        <f t="shared" si="45"/>
        <v>5053146</v>
      </c>
      <c r="E179" s="1268">
        <v>0</v>
      </c>
      <c r="F179" s="1268">
        <v>2523790</v>
      </c>
      <c r="G179" s="1268">
        <v>0</v>
      </c>
      <c r="H179" s="1268">
        <v>1549532</v>
      </c>
      <c r="I179" s="1268">
        <v>0</v>
      </c>
      <c r="J179" s="1268">
        <v>979824</v>
      </c>
      <c r="K179" s="1278">
        <v>0</v>
      </c>
      <c r="L179" s="1268">
        <v>0</v>
      </c>
      <c r="M179" s="1278">
        <v>0</v>
      </c>
      <c r="N179" s="1268">
        <v>0</v>
      </c>
      <c r="O179" s="1268">
        <v>0</v>
      </c>
      <c r="P179" s="1268">
        <v>0</v>
      </c>
      <c r="Q179" s="1268">
        <v>0</v>
      </c>
      <c r="R179" s="1268">
        <v>0</v>
      </c>
      <c r="S179" s="1268">
        <v>0</v>
      </c>
      <c r="T179" s="1268">
        <v>0</v>
      </c>
      <c r="U179" s="1268">
        <v>0</v>
      </c>
      <c r="V179" s="1268">
        <v>0</v>
      </c>
      <c r="W179" s="1268">
        <v>0</v>
      </c>
      <c r="X179" s="1268">
        <v>395782</v>
      </c>
      <c r="Y179" s="1268">
        <v>0</v>
      </c>
    </row>
    <row r="180" spans="1:25" s="1280" customFormat="1">
      <c r="A180" s="1295">
        <v>162</v>
      </c>
      <c r="B180" s="1267" t="s">
        <v>1776</v>
      </c>
      <c r="C180" s="1268">
        <f t="shared" si="44"/>
        <v>3721587</v>
      </c>
      <c r="D180" s="1268">
        <f t="shared" si="45"/>
        <v>0</v>
      </c>
      <c r="E180" s="1268">
        <v>0</v>
      </c>
      <c r="F180" s="1268">
        <v>0</v>
      </c>
      <c r="G180" s="1268">
        <v>0</v>
      </c>
      <c r="H180" s="1268">
        <v>0</v>
      </c>
      <c r="I180" s="1268">
        <v>0</v>
      </c>
      <c r="J180" s="1268">
        <v>0</v>
      </c>
      <c r="K180" s="1278">
        <v>0</v>
      </c>
      <c r="L180" s="1268">
        <v>0</v>
      </c>
      <c r="M180" s="1278">
        <v>0</v>
      </c>
      <c r="N180" s="1268">
        <v>0</v>
      </c>
      <c r="O180" s="1268">
        <v>0</v>
      </c>
      <c r="P180" s="1268">
        <v>0</v>
      </c>
      <c r="Q180" s="1268">
        <v>0</v>
      </c>
      <c r="R180" s="1268">
        <v>0</v>
      </c>
      <c r="S180" s="1268">
        <v>720</v>
      </c>
      <c r="T180" s="1268">
        <v>3451270</v>
      </c>
      <c r="U180" s="1268">
        <v>0</v>
      </c>
      <c r="V180" s="1268">
        <v>0</v>
      </c>
      <c r="W180" s="1268">
        <v>0</v>
      </c>
      <c r="X180" s="1268">
        <v>270317</v>
      </c>
      <c r="Y180" s="1268">
        <v>0</v>
      </c>
    </row>
    <row r="181" spans="1:25" s="1280" customFormat="1">
      <c r="A181" s="1295">
        <v>163</v>
      </c>
      <c r="B181" s="1267" t="s">
        <v>1777</v>
      </c>
      <c r="C181" s="1268">
        <f t="shared" si="44"/>
        <v>1608909.71</v>
      </c>
      <c r="D181" s="1268">
        <f t="shared" si="45"/>
        <v>0</v>
      </c>
      <c r="E181" s="1268">
        <v>0</v>
      </c>
      <c r="F181" s="1268">
        <v>0</v>
      </c>
      <c r="G181" s="1268">
        <v>0</v>
      </c>
      <c r="H181" s="1268">
        <v>0</v>
      </c>
      <c r="I181" s="1268">
        <v>0</v>
      </c>
      <c r="J181" s="1268">
        <v>0</v>
      </c>
      <c r="K181" s="1278">
        <v>0</v>
      </c>
      <c r="L181" s="1268">
        <v>0</v>
      </c>
      <c r="M181" s="1278">
        <v>0</v>
      </c>
      <c r="N181" s="1268">
        <v>0</v>
      </c>
      <c r="O181" s="1268">
        <v>0</v>
      </c>
      <c r="P181" s="1268">
        <v>0</v>
      </c>
      <c r="Q181" s="1268">
        <v>0</v>
      </c>
      <c r="R181" s="1268">
        <v>0</v>
      </c>
      <c r="S181" s="1268">
        <v>604.63</v>
      </c>
      <c r="T181" s="1268">
        <v>1492047</v>
      </c>
      <c r="U181" s="1268">
        <v>0</v>
      </c>
      <c r="V181" s="1268">
        <v>0</v>
      </c>
      <c r="W181" s="1268">
        <v>0</v>
      </c>
      <c r="X181" s="1268">
        <v>116862.71</v>
      </c>
      <c r="Y181" s="1268">
        <v>0</v>
      </c>
    </row>
    <row r="182" spans="1:25" s="1280" customFormat="1">
      <c r="A182" s="1295">
        <v>164</v>
      </c>
      <c r="B182" s="1267" t="s">
        <v>1778</v>
      </c>
      <c r="C182" s="1268">
        <f t="shared" si="44"/>
        <v>3430773</v>
      </c>
      <c r="D182" s="1268">
        <f t="shared" si="45"/>
        <v>0</v>
      </c>
      <c r="E182" s="1268">
        <v>0</v>
      </c>
      <c r="F182" s="1268">
        <v>0</v>
      </c>
      <c r="G182" s="1268">
        <v>0</v>
      </c>
      <c r="H182" s="1268">
        <v>0</v>
      </c>
      <c r="I182" s="1268">
        <v>0</v>
      </c>
      <c r="J182" s="1268">
        <v>0</v>
      </c>
      <c r="K182" s="1278">
        <v>0</v>
      </c>
      <c r="L182" s="1268">
        <v>0</v>
      </c>
      <c r="M182" s="1278">
        <v>0</v>
      </c>
      <c r="N182" s="1268">
        <v>0</v>
      </c>
      <c r="O182" s="1268">
        <v>860</v>
      </c>
      <c r="P182" s="1268">
        <v>3181579</v>
      </c>
      <c r="Q182" s="1268">
        <v>0</v>
      </c>
      <c r="R182" s="1268">
        <v>0</v>
      </c>
      <c r="S182" s="1268">
        <v>0</v>
      </c>
      <c r="T182" s="1268">
        <v>0</v>
      </c>
      <c r="U182" s="1268">
        <v>0</v>
      </c>
      <c r="V182" s="1268">
        <v>0</v>
      </c>
      <c r="W182" s="1268">
        <v>0</v>
      </c>
      <c r="X182" s="1268">
        <v>249194</v>
      </c>
      <c r="Y182" s="1268">
        <v>0</v>
      </c>
    </row>
    <row r="183" spans="1:25" s="1280" customFormat="1">
      <c r="A183" s="1295">
        <v>165</v>
      </c>
      <c r="B183" s="1267" t="s">
        <v>1779</v>
      </c>
      <c r="C183" s="1268">
        <f t="shared" si="44"/>
        <v>3167481</v>
      </c>
      <c r="D183" s="1268">
        <f t="shared" si="45"/>
        <v>0</v>
      </c>
      <c r="E183" s="1268">
        <v>0</v>
      </c>
      <c r="F183" s="1268">
        <v>0</v>
      </c>
      <c r="G183" s="1268">
        <v>0</v>
      </c>
      <c r="H183" s="1268">
        <v>0</v>
      </c>
      <c r="I183" s="1268">
        <v>0</v>
      </c>
      <c r="J183" s="1268">
        <v>0</v>
      </c>
      <c r="K183" s="1278">
        <v>0</v>
      </c>
      <c r="L183" s="1268">
        <v>0</v>
      </c>
      <c r="M183" s="1278">
        <v>0</v>
      </c>
      <c r="N183" s="1268">
        <v>0</v>
      </c>
      <c r="O183" s="1268">
        <v>794</v>
      </c>
      <c r="P183" s="1268">
        <v>2937412</v>
      </c>
      <c r="Q183" s="1268">
        <v>0</v>
      </c>
      <c r="R183" s="1268">
        <v>0</v>
      </c>
      <c r="S183" s="1268">
        <v>0</v>
      </c>
      <c r="T183" s="1268">
        <v>0</v>
      </c>
      <c r="U183" s="1268">
        <v>0</v>
      </c>
      <c r="V183" s="1268">
        <v>0</v>
      </c>
      <c r="W183" s="1268">
        <v>0</v>
      </c>
      <c r="X183" s="1268">
        <v>230069</v>
      </c>
      <c r="Y183" s="1268">
        <v>0</v>
      </c>
    </row>
    <row r="184" spans="1:25" s="1292" customFormat="1" ht="42" customHeight="1">
      <c r="A184" s="1295">
        <v>166</v>
      </c>
      <c r="B184" s="1267" t="s">
        <v>1780</v>
      </c>
      <c r="C184" s="1268">
        <f t="shared" si="44"/>
        <v>288691</v>
      </c>
      <c r="D184" s="1268">
        <f t="shared" si="45"/>
        <v>267722</v>
      </c>
      <c r="E184" s="1268">
        <v>267722</v>
      </c>
      <c r="F184" s="1268">
        <v>0</v>
      </c>
      <c r="G184" s="1268">
        <v>0</v>
      </c>
      <c r="H184" s="1268">
        <v>0</v>
      </c>
      <c r="I184" s="1268">
        <v>0</v>
      </c>
      <c r="J184" s="1268">
        <v>0</v>
      </c>
      <c r="K184" s="1278">
        <v>0</v>
      </c>
      <c r="L184" s="1268">
        <v>0</v>
      </c>
      <c r="M184" s="1278">
        <v>0</v>
      </c>
      <c r="N184" s="1268">
        <v>0</v>
      </c>
      <c r="O184" s="1268">
        <v>0</v>
      </c>
      <c r="P184" s="1268">
        <v>0</v>
      </c>
      <c r="Q184" s="1268">
        <v>0</v>
      </c>
      <c r="R184" s="1268">
        <v>0</v>
      </c>
      <c r="S184" s="1268">
        <v>0</v>
      </c>
      <c r="T184" s="1268">
        <v>0</v>
      </c>
      <c r="U184" s="1268">
        <v>0</v>
      </c>
      <c r="V184" s="1268">
        <v>0</v>
      </c>
      <c r="W184" s="1268">
        <v>0</v>
      </c>
      <c r="X184" s="1268">
        <v>20969</v>
      </c>
      <c r="Y184" s="1268">
        <v>0</v>
      </c>
    </row>
    <row r="185" spans="1:25" s="1292" customFormat="1">
      <c r="A185" s="1295">
        <v>167</v>
      </c>
      <c r="B185" s="1267" t="s">
        <v>1781</v>
      </c>
      <c r="C185" s="1268">
        <f t="shared" si="44"/>
        <v>2556724</v>
      </c>
      <c r="D185" s="1268">
        <f t="shared" si="45"/>
        <v>0</v>
      </c>
      <c r="E185" s="1268">
        <v>0</v>
      </c>
      <c r="F185" s="1268">
        <v>0</v>
      </c>
      <c r="G185" s="1268">
        <v>0</v>
      </c>
      <c r="H185" s="1268">
        <v>0</v>
      </c>
      <c r="I185" s="1268">
        <v>0</v>
      </c>
      <c r="J185" s="1268">
        <v>0</v>
      </c>
      <c r="K185" s="1278">
        <v>0</v>
      </c>
      <c r="L185" s="1268">
        <v>0</v>
      </c>
      <c r="M185" s="1278">
        <v>0</v>
      </c>
      <c r="N185" s="1268">
        <v>0</v>
      </c>
      <c r="O185" s="1268">
        <v>640.9</v>
      </c>
      <c r="P185" s="1268">
        <v>2371017</v>
      </c>
      <c r="Q185" s="1268">
        <v>0</v>
      </c>
      <c r="R185" s="1268">
        <v>0</v>
      </c>
      <c r="S185" s="1268">
        <v>0</v>
      </c>
      <c r="T185" s="1268">
        <v>0</v>
      </c>
      <c r="U185" s="1268">
        <v>0</v>
      </c>
      <c r="V185" s="1268">
        <v>0</v>
      </c>
      <c r="W185" s="1268">
        <v>0</v>
      </c>
      <c r="X185" s="1268">
        <v>185707</v>
      </c>
      <c r="Y185" s="1268">
        <v>0</v>
      </c>
    </row>
    <row r="186" spans="1:25" s="1292" customFormat="1">
      <c r="A186" s="1295">
        <v>168</v>
      </c>
      <c r="B186" s="1267" t="s">
        <v>1985</v>
      </c>
      <c r="C186" s="1268">
        <f t="shared" si="44"/>
        <v>3718399.32</v>
      </c>
      <c r="D186" s="1268">
        <f t="shared" si="45"/>
        <v>0</v>
      </c>
      <c r="E186" s="1268">
        <v>0</v>
      </c>
      <c r="F186" s="1268">
        <v>0</v>
      </c>
      <c r="G186" s="1268">
        <v>0</v>
      </c>
      <c r="H186" s="1268">
        <v>0</v>
      </c>
      <c r="I186" s="1268">
        <v>0</v>
      </c>
      <c r="J186" s="1268">
        <v>0</v>
      </c>
      <c r="K186" s="1278">
        <v>0</v>
      </c>
      <c r="L186" s="1268">
        <v>0</v>
      </c>
      <c r="M186" s="1278">
        <v>0</v>
      </c>
      <c r="N186" s="1268">
        <v>0</v>
      </c>
      <c r="O186" s="1268">
        <v>932.1</v>
      </c>
      <c r="P186" s="1268">
        <v>3448314.02</v>
      </c>
      <c r="Q186" s="1268">
        <v>0</v>
      </c>
      <c r="R186" s="1268">
        <v>0</v>
      </c>
      <c r="S186" s="1268">
        <v>0</v>
      </c>
      <c r="T186" s="1268">
        <v>0</v>
      </c>
      <c r="U186" s="1268">
        <v>0</v>
      </c>
      <c r="V186" s="1268">
        <v>0</v>
      </c>
      <c r="W186" s="1268">
        <v>0</v>
      </c>
      <c r="X186" s="1268">
        <v>270085.3</v>
      </c>
      <c r="Y186" s="1268">
        <v>0</v>
      </c>
    </row>
    <row r="187" spans="1:25" s="1292" customFormat="1">
      <c r="A187" s="1295">
        <v>169</v>
      </c>
      <c r="B187" s="1267" t="s">
        <v>1782</v>
      </c>
      <c r="C187" s="1268">
        <f t="shared" si="44"/>
        <v>4112925</v>
      </c>
      <c r="D187" s="1268">
        <f t="shared" si="45"/>
        <v>0</v>
      </c>
      <c r="E187" s="1268">
        <v>0</v>
      </c>
      <c r="F187" s="1268">
        <v>0</v>
      </c>
      <c r="G187" s="1268">
        <v>0</v>
      </c>
      <c r="H187" s="1268">
        <v>0</v>
      </c>
      <c r="I187" s="1268">
        <v>0</v>
      </c>
      <c r="J187" s="1268">
        <v>0</v>
      </c>
      <c r="K187" s="1278">
        <v>0</v>
      </c>
      <c r="L187" s="1268">
        <v>0</v>
      </c>
      <c r="M187" s="1278">
        <v>0</v>
      </c>
      <c r="N187" s="1268">
        <v>0</v>
      </c>
      <c r="O187" s="1268">
        <v>842</v>
      </c>
      <c r="P187" s="1268">
        <v>3814183</v>
      </c>
      <c r="Q187" s="1268">
        <v>0</v>
      </c>
      <c r="R187" s="1268">
        <v>0</v>
      </c>
      <c r="S187" s="1268">
        <v>0</v>
      </c>
      <c r="T187" s="1268">
        <v>0</v>
      </c>
      <c r="U187" s="1268">
        <v>0</v>
      </c>
      <c r="V187" s="1268">
        <v>0</v>
      </c>
      <c r="W187" s="1268">
        <v>0</v>
      </c>
      <c r="X187" s="1268">
        <v>298742</v>
      </c>
      <c r="Y187" s="1268">
        <v>0</v>
      </c>
    </row>
    <row r="188" spans="1:25" s="1292" customFormat="1" ht="33" customHeight="1">
      <c r="A188" s="1295">
        <v>170</v>
      </c>
      <c r="B188" s="1267" t="s">
        <v>1783</v>
      </c>
      <c r="C188" s="1268">
        <f t="shared" si="44"/>
        <v>5963960</v>
      </c>
      <c r="D188" s="1268">
        <f t="shared" si="45"/>
        <v>0</v>
      </c>
      <c r="E188" s="1268">
        <v>0</v>
      </c>
      <c r="F188" s="1268">
        <v>0</v>
      </c>
      <c r="G188" s="1268">
        <v>0</v>
      </c>
      <c r="H188" s="1268">
        <v>0</v>
      </c>
      <c r="I188" s="1268">
        <v>0</v>
      </c>
      <c r="J188" s="1268">
        <v>0</v>
      </c>
      <c r="K188" s="1278">
        <v>0</v>
      </c>
      <c r="L188" s="1268">
        <v>0</v>
      </c>
      <c r="M188" s="1278">
        <v>0</v>
      </c>
      <c r="N188" s="1268">
        <v>0</v>
      </c>
      <c r="O188" s="1268">
        <v>1495</v>
      </c>
      <c r="P188" s="1268">
        <v>5530769</v>
      </c>
      <c r="Q188" s="1268">
        <v>0</v>
      </c>
      <c r="R188" s="1268">
        <v>0</v>
      </c>
      <c r="S188" s="1268">
        <v>0</v>
      </c>
      <c r="T188" s="1268">
        <v>0</v>
      </c>
      <c r="U188" s="1268">
        <v>0</v>
      </c>
      <c r="V188" s="1268">
        <v>0</v>
      </c>
      <c r="W188" s="1268">
        <v>0</v>
      </c>
      <c r="X188" s="1268">
        <v>433191</v>
      </c>
      <c r="Y188" s="1268">
        <v>0</v>
      </c>
    </row>
    <row r="189" spans="1:25" s="1292" customFormat="1" ht="39.6" customHeight="1">
      <c r="A189" s="1295">
        <v>171</v>
      </c>
      <c r="B189" s="1267" t="s">
        <v>1382</v>
      </c>
      <c r="C189" s="1268">
        <f t="shared" si="44"/>
        <v>1445225</v>
      </c>
      <c r="D189" s="1268">
        <f t="shared" si="45"/>
        <v>0</v>
      </c>
      <c r="E189" s="1268">
        <v>0</v>
      </c>
      <c r="F189" s="1268">
        <v>0</v>
      </c>
      <c r="G189" s="1268">
        <v>0</v>
      </c>
      <c r="H189" s="1268">
        <v>0</v>
      </c>
      <c r="I189" s="1268">
        <v>0</v>
      </c>
      <c r="J189" s="1268">
        <v>0</v>
      </c>
      <c r="K189" s="1278">
        <v>0</v>
      </c>
      <c r="L189" s="1268">
        <v>0</v>
      </c>
      <c r="M189" s="1278">
        <v>0</v>
      </c>
      <c r="N189" s="1268">
        <v>0</v>
      </c>
      <c r="O189" s="1268">
        <v>350</v>
      </c>
      <c r="P189" s="1268">
        <v>1340251</v>
      </c>
      <c r="Q189" s="1268">
        <v>0</v>
      </c>
      <c r="R189" s="1268">
        <v>0</v>
      </c>
      <c r="S189" s="1268">
        <v>0</v>
      </c>
      <c r="T189" s="1268">
        <v>0</v>
      </c>
      <c r="U189" s="1268">
        <v>0</v>
      </c>
      <c r="V189" s="1268">
        <v>0</v>
      </c>
      <c r="W189" s="1268">
        <v>0</v>
      </c>
      <c r="X189" s="1268">
        <v>104974</v>
      </c>
      <c r="Y189" s="1268">
        <v>0</v>
      </c>
    </row>
    <row r="190" spans="1:25" s="1292" customFormat="1">
      <c r="A190" s="1295">
        <v>172</v>
      </c>
      <c r="B190" s="1297" t="s">
        <v>1046</v>
      </c>
      <c r="C190" s="1268">
        <f t="shared" si="44"/>
        <v>3937076</v>
      </c>
      <c r="D190" s="1268">
        <f t="shared" si="45"/>
        <v>0</v>
      </c>
      <c r="E190" s="1268">
        <v>0</v>
      </c>
      <c r="F190" s="1268">
        <v>0</v>
      </c>
      <c r="G190" s="1268">
        <v>0</v>
      </c>
      <c r="H190" s="1268">
        <v>0</v>
      </c>
      <c r="I190" s="1268">
        <v>0</v>
      </c>
      <c r="J190" s="1268">
        <v>0</v>
      </c>
      <c r="K190" s="1278">
        <v>0</v>
      </c>
      <c r="L190" s="1268">
        <v>0</v>
      </c>
      <c r="M190" s="1278">
        <v>0</v>
      </c>
      <c r="N190" s="1268">
        <v>0</v>
      </c>
      <c r="O190" s="1268">
        <v>640</v>
      </c>
      <c r="P190" s="1268">
        <v>3651107</v>
      </c>
      <c r="Q190" s="1268">
        <v>0</v>
      </c>
      <c r="R190" s="1268">
        <v>0</v>
      </c>
      <c r="S190" s="1268">
        <v>0</v>
      </c>
      <c r="T190" s="1268">
        <v>0</v>
      </c>
      <c r="U190" s="1268">
        <v>0</v>
      </c>
      <c r="V190" s="1268">
        <v>0</v>
      </c>
      <c r="W190" s="1268">
        <v>0</v>
      </c>
      <c r="X190" s="1268">
        <v>285969</v>
      </c>
      <c r="Y190" s="1268">
        <v>0</v>
      </c>
    </row>
    <row r="191" spans="1:25" s="1292" customFormat="1">
      <c r="A191" s="1295">
        <v>173</v>
      </c>
      <c r="B191" s="1297" t="s">
        <v>1784</v>
      </c>
      <c r="C191" s="1268">
        <f t="shared" si="44"/>
        <v>1860239</v>
      </c>
      <c r="D191" s="1268">
        <f t="shared" si="45"/>
        <v>0</v>
      </c>
      <c r="E191" s="1268">
        <v>0</v>
      </c>
      <c r="F191" s="1268">
        <v>0</v>
      </c>
      <c r="G191" s="1268">
        <v>0</v>
      </c>
      <c r="H191" s="1268">
        <v>0</v>
      </c>
      <c r="I191" s="1268">
        <v>0</v>
      </c>
      <c r="J191" s="1268">
        <v>0</v>
      </c>
      <c r="K191" s="1278">
        <v>0</v>
      </c>
      <c r="L191" s="1268">
        <v>0</v>
      </c>
      <c r="M191" s="1278">
        <v>0</v>
      </c>
      <c r="N191" s="1268">
        <v>0</v>
      </c>
      <c r="O191" s="1268">
        <v>0</v>
      </c>
      <c r="P191" s="1268">
        <v>0</v>
      </c>
      <c r="Q191" s="1268">
        <v>0</v>
      </c>
      <c r="R191" s="1268">
        <v>0</v>
      </c>
      <c r="S191" s="1268">
        <v>699.08</v>
      </c>
      <c r="T191" s="1268">
        <v>1725121</v>
      </c>
      <c r="U191" s="1268">
        <v>0</v>
      </c>
      <c r="V191" s="1268">
        <v>0</v>
      </c>
      <c r="W191" s="1268">
        <v>0</v>
      </c>
      <c r="X191" s="1268">
        <v>135118</v>
      </c>
      <c r="Y191" s="1268">
        <v>0</v>
      </c>
    </row>
    <row r="192" spans="1:25" s="1280" customFormat="1">
      <c r="A192" s="1295">
        <v>174</v>
      </c>
      <c r="B192" s="1297" t="s">
        <v>1047</v>
      </c>
      <c r="C192" s="1268">
        <f t="shared" si="44"/>
        <v>3321602</v>
      </c>
      <c r="D192" s="1268">
        <f t="shared" si="45"/>
        <v>0</v>
      </c>
      <c r="E192" s="1268">
        <v>0</v>
      </c>
      <c r="F192" s="1268">
        <v>0</v>
      </c>
      <c r="G192" s="1268">
        <v>0</v>
      </c>
      <c r="H192" s="1268">
        <v>0</v>
      </c>
      <c r="I192" s="1268">
        <v>0</v>
      </c>
      <c r="J192" s="1268">
        <v>0</v>
      </c>
      <c r="K192" s="1278">
        <v>0</v>
      </c>
      <c r="L192" s="1268">
        <v>0</v>
      </c>
      <c r="M192" s="1278">
        <v>0</v>
      </c>
      <c r="N192" s="1268">
        <v>0</v>
      </c>
      <c r="O192" s="1268">
        <v>680</v>
      </c>
      <c r="P192" s="1268">
        <v>3080338</v>
      </c>
      <c r="Q192" s="1268">
        <v>0</v>
      </c>
      <c r="R192" s="1268">
        <v>0</v>
      </c>
      <c r="S192" s="1268">
        <v>0</v>
      </c>
      <c r="T192" s="1268">
        <v>0</v>
      </c>
      <c r="U192" s="1268">
        <v>0</v>
      </c>
      <c r="V192" s="1268">
        <v>0</v>
      </c>
      <c r="W192" s="1268">
        <v>0</v>
      </c>
      <c r="X192" s="1268">
        <v>241264</v>
      </c>
      <c r="Y192" s="1268">
        <v>0</v>
      </c>
    </row>
    <row r="193" spans="1:25" s="1280" customFormat="1" ht="37.200000000000003" customHeight="1">
      <c r="A193" s="1295">
        <v>175</v>
      </c>
      <c r="B193" s="1267" t="s">
        <v>1048</v>
      </c>
      <c r="C193" s="1268">
        <f t="shared" si="44"/>
        <v>3272755</v>
      </c>
      <c r="D193" s="1268">
        <f t="shared" si="45"/>
        <v>0</v>
      </c>
      <c r="E193" s="1268">
        <v>0</v>
      </c>
      <c r="F193" s="1268">
        <v>0</v>
      </c>
      <c r="G193" s="1268">
        <v>0</v>
      </c>
      <c r="H193" s="1268">
        <v>0</v>
      </c>
      <c r="I193" s="1268">
        <v>0</v>
      </c>
      <c r="J193" s="1268">
        <v>0</v>
      </c>
      <c r="K193" s="1278">
        <v>0</v>
      </c>
      <c r="L193" s="1268">
        <v>0</v>
      </c>
      <c r="M193" s="1278">
        <v>0</v>
      </c>
      <c r="N193" s="1268">
        <v>0</v>
      </c>
      <c r="O193" s="1268">
        <v>670</v>
      </c>
      <c r="P193" s="1268">
        <v>3035039</v>
      </c>
      <c r="Q193" s="1268">
        <v>0</v>
      </c>
      <c r="R193" s="1268">
        <v>0</v>
      </c>
      <c r="S193" s="1268">
        <v>0</v>
      </c>
      <c r="T193" s="1268">
        <v>0</v>
      </c>
      <c r="U193" s="1268">
        <v>0</v>
      </c>
      <c r="V193" s="1268">
        <v>0</v>
      </c>
      <c r="W193" s="1268">
        <v>0</v>
      </c>
      <c r="X193" s="1268">
        <v>237716</v>
      </c>
      <c r="Y193" s="1268">
        <v>0</v>
      </c>
    </row>
    <row r="194" spans="1:25" s="1280" customFormat="1">
      <c r="A194" s="1295">
        <v>176</v>
      </c>
      <c r="B194" s="1267" t="s">
        <v>1785</v>
      </c>
      <c r="C194" s="1268">
        <f t="shared" si="44"/>
        <v>1993959</v>
      </c>
      <c r="D194" s="1268">
        <f t="shared" si="45"/>
        <v>95631</v>
      </c>
      <c r="E194" s="1268">
        <v>95631</v>
      </c>
      <c r="F194" s="1268">
        <v>0</v>
      </c>
      <c r="G194" s="1268">
        <v>0</v>
      </c>
      <c r="H194" s="1268">
        <v>0</v>
      </c>
      <c r="I194" s="1268">
        <v>0</v>
      </c>
      <c r="J194" s="1268">
        <v>0</v>
      </c>
      <c r="K194" s="1278">
        <v>0</v>
      </c>
      <c r="L194" s="1268">
        <v>0</v>
      </c>
      <c r="M194" s="1278">
        <v>0</v>
      </c>
      <c r="N194" s="1268">
        <v>0</v>
      </c>
      <c r="O194" s="1268">
        <v>229.37</v>
      </c>
      <c r="P194" s="1268">
        <v>1039025</v>
      </c>
      <c r="Q194" s="1268">
        <v>0</v>
      </c>
      <c r="R194" s="1268">
        <v>0</v>
      </c>
      <c r="S194" s="1268">
        <v>289.52999999999997</v>
      </c>
      <c r="T194" s="1268">
        <v>714473</v>
      </c>
      <c r="U194" s="1268">
        <v>0</v>
      </c>
      <c r="V194" s="1268">
        <v>0</v>
      </c>
      <c r="W194" s="1268">
        <v>0</v>
      </c>
      <c r="X194" s="1268">
        <v>144830</v>
      </c>
      <c r="Y194" s="1268">
        <v>0</v>
      </c>
    </row>
    <row r="195" spans="1:25" s="1280" customFormat="1">
      <c r="A195" s="1295">
        <v>177</v>
      </c>
      <c r="B195" s="1267" t="s">
        <v>1786</v>
      </c>
      <c r="C195" s="1268">
        <f t="shared" si="44"/>
        <v>1386668</v>
      </c>
      <c r="D195" s="1268">
        <f t="shared" si="45"/>
        <v>1285948</v>
      </c>
      <c r="E195" s="1268">
        <v>443686</v>
      </c>
      <c r="F195" s="1268">
        <v>0</v>
      </c>
      <c r="G195" s="1268">
        <v>0</v>
      </c>
      <c r="H195" s="1268">
        <v>515986</v>
      </c>
      <c r="I195" s="1268">
        <v>0</v>
      </c>
      <c r="J195" s="1268">
        <v>326276</v>
      </c>
      <c r="K195" s="1278">
        <v>0</v>
      </c>
      <c r="L195" s="1268">
        <v>0</v>
      </c>
      <c r="M195" s="1278">
        <v>0</v>
      </c>
      <c r="N195" s="1268">
        <v>0</v>
      </c>
      <c r="O195" s="1268">
        <v>0</v>
      </c>
      <c r="P195" s="1268">
        <v>0</v>
      </c>
      <c r="Q195" s="1268">
        <v>0</v>
      </c>
      <c r="R195" s="1268">
        <v>0</v>
      </c>
      <c r="S195" s="1268">
        <v>0</v>
      </c>
      <c r="T195" s="1268">
        <v>0</v>
      </c>
      <c r="U195" s="1268">
        <v>0</v>
      </c>
      <c r="V195" s="1268">
        <v>0</v>
      </c>
      <c r="W195" s="1268">
        <v>0</v>
      </c>
      <c r="X195" s="1268">
        <v>100720</v>
      </c>
      <c r="Y195" s="1268">
        <v>0</v>
      </c>
    </row>
    <row r="196" spans="1:25" s="1280" customFormat="1">
      <c r="A196" s="1295">
        <v>178</v>
      </c>
      <c r="B196" s="1267" t="s">
        <v>1787</v>
      </c>
      <c r="C196" s="1268">
        <f t="shared" si="44"/>
        <v>418992</v>
      </c>
      <c r="D196" s="1268">
        <f t="shared" si="45"/>
        <v>388559</v>
      </c>
      <c r="E196" s="1268">
        <v>0</v>
      </c>
      <c r="F196" s="1268">
        <v>0</v>
      </c>
      <c r="G196" s="1268">
        <v>388559</v>
      </c>
      <c r="H196" s="1268">
        <v>0</v>
      </c>
      <c r="I196" s="1268">
        <v>0</v>
      </c>
      <c r="J196" s="1268">
        <v>0</v>
      </c>
      <c r="K196" s="1278">
        <v>0</v>
      </c>
      <c r="L196" s="1268">
        <v>0</v>
      </c>
      <c r="M196" s="1278">
        <v>0</v>
      </c>
      <c r="N196" s="1268">
        <v>0</v>
      </c>
      <c r="O196" s="1268">
        <v>0</v>
      </c>
      <c r="P196" s="1268">
        <v>0</v>
      </c>
      <c r="Q196" s="1268">
        <v>0</v>
      </c>
      <c r="R196" s="1268">
        <v>0</v>
      </c>
      <c r="S196" s="1268">
        <v>0</v>
      </c>
      <c r="T196" s="1268">
        <v>0</v>
      </c>
      <c r="U196" s="1268">
        <v>0</v>
      </c>
      <c r="V196" s="1268">
        <v>0</v>
      </c>
      <c r="W196" s="1268">
        <v>0</v>
      </c>
      <c r="X196" s="1268">
        <v>30433</v>
      </c>
      <c r="Y196" s="1268">
        <v>0</v>
      </c>
    </row>
    <row r="197" spans="1:25" s="1280" customFormat="1">
      <c r="A197" s="1295">
        <v>179</v>
      </c>
      <c r="B197" s="1267" t="s">
        <v>1788</v>
      </c>
      <c r="C197" s="1268">
        <f t="shared" si="44"/>
        <v>532109</v>
      </c>
      <c r="D197" s="1268">
        <f t="shared" si="45"/>
        <v>493459</v>
      </c>
      <c r="E197" s="1268">
        <v>0</v>
      </c>
      <c r="F197" s="1268">
        <v>0</v>
      </c>
      <c r="G197" s="1268">
        <v>0</v>
      </c>
      <c r="H197" s="1268">
        <v>0</v>
      </c>
      <c r="I197" s="1268">
        <v>0</v>
      </c>
      <c r="J197" s="1268">
        <v>493459</v>
      </c>
      <c r="K197" s="1278">
        <v>0</v>
      </c>
      <c r="L197" s="1268">
        <v>0</v>
      </c>
      <c r="M197" s="1278">
        <v>0</v>
      </c>
      <c r="N197" s="1268">
        <v>0</v>
      </c>
      <c r="O197" s="1268">
        <v>0</v>
      </c>
      <c r="P197" s="1268">
        <v>0</v>
      </c>
      <c r="Q197" s="1268">
        <v>0</v>
      </c>
      <c r="R197" s="1268">
        <v>0</v>
      </c>
      <c r="S197" s="1268">
        <v>0</v>
      </c>
      <c r="T197" s="1268">
        <v>0</v>
      </c>
      <c r="U197" s="1268">
        <v>0</v>
      </c>
      <c r="V197" s="1268">
        <v>0</v>
      </c>
      <c r="W197" s="1268">
        <v>0</v>
      </c>
      <c r="X197" s="1268">
        <v>38650</v>
      </c>
      <c r="Y197" s="1268">
        <v>0</v>
      </c>
    </row>
    <row r="198" spans="1:25" s="1280" customFormat="1">
      <c r="A198" s="1281"/>
      <c r="B198" s="1267" t="s">
        <v>68</v>
      </c>
      <c r="C198" s="1268">
        <f>C199</f>
        <v>1104658</v>
      </c>
      <c r="D198" s="1268">
        <f t="shared" ref="D198:Y198" si="46">D199</f>
        <v>1024421</v>
      </c>
      <c r="E198" s="1268">
        <f t="shared" si="46"/>
        <v>826283</v>
      </c>
      <c r="F198" s="1268">
        <f t="shared" si="46"/>
        <v>0</v>
      </c>
      <c r="G198" s="1268">
        <f t="shared" si="46"/>
        <v>0</v>
      </c>
      <c r="H198" s="1268">
        <f t="shared" si="46"/>
        <v>0</v>
      </c>
      <c r="I198" s="1268">
        <f t="shared" si="46"/>
        <v>0</v>
      </c>
      <c r="J198" s="1268">
        <f t="shared" si="46"/>
        <v>198138</v>
      </c>
      <c r="K198" s="1278">
        <f t="shared" si="46"/>
        <v>0</v>
      </c>
      <c r="L198" s="1268">
        <f t="shared" si="46"/>
        <v>0</v>
      </c>
      <c r="M198" s="1278">
        <f t="shared" si="46"/>
        <v>0</v>
      </c>
      <c r="N198" s="1268">
        <f t="shared" si="46"/>
        <v>0</v>
      </c>
      <c r="O198" s="1268">
        <f t="shared" si="46"/>
        <v>0</v>
      </c>
      <c r="P198" s="1268">
        <f t="shared" si="46"/>
        <v>0</v>
      </c>
      <c r="Q198" s="1268">
        <f t="shared" si="46"/>
        <v>0</v>
      </c>
      <c r="R198" s="1268">
        <f t="shared" si="46"/>
        <v>0</v>
      </c>
      <c r="S198" s="1268">
        <f t="shared" si="46"/>
        <v>0</v>
      </c>
      <c r="T198" s="1268">
        <f t="shared" si="46"/>
        <v>0</v>
      </c>
      <c r="U198" s="1268">
        <f t="shared" si="46"/>
        <v>0</v>
      </c>
      <c r="V198" s="1268">
        <f t="shared" si="46"/>
        <v>0</v>
      </c>
      <c r="W198" s="1268">
        <v>0</v>
      </c>
      <c r="X198" s="1268">
        <f t="shared" si="46"/>
        <v>80237</v>
      </c>
      <c r="Y198" s="1268">
        <f t="shared" si="46"/>
        <v>0</v>
      </c>
    </row>
    <row r="199" spans="1:25" s="1280" customFormat="1" ht="96.6" customHeight="1">
      <c r="A199" s="1281"/>
      <c r="B199" s="1267" t="s">
        <v>1076</v>
      </c>
      <c r="C199" s="1289">
        <f>SUM(C200:C203)</f>
        <v>1104658</v>
      </c>
      <c r="D199" s="1289">
        <f t="shared" ref="D199:Y199" si="47">SUM(D200:D203)</f>
        <v>1024421</v>
      </c>
      <c r="E199" s="1289">
        <f t="shared" si="47"/>
        <v>826283</v>
      </c>
      <c r="F199" s="1289">
        <f t="shared" si="47"/>
        <v>0</v>
      </c>
      <c r="G199" s="1289">
        <f t="shared" si="47"/>
        <v>0</v>
      </c>
      <c r="H199" s="1289">
        <f t="shared" si="47"/>
        <v>0</v>
      </c>
      <c r="I199" s="1289">
        <f t="shared" si="47"/>
        <v>0</v>
      </c>
      <c r="J199" s="1289">
        <f t="shared" si="47"/>
        <v>198138</v>
      </c>
      <c r="K199" s="1278">
        <f t="shared" si="47"/>
        <v>0</v>
      </c>
      <c r="L199" s="1289">
        <f t="shared" si="47"/>
        <v>0</v>
      </c>
      <c r="M199" s="1278">
        <f t="shared" si="47"/>
        <v>0</v>
      </c>
      <c r="N199" s="1289">
        <f t="shared" si="47"/>
        <v>0</v>
      </c>
      <c r="O199" s="1289">
        <f t="shared" si="47"/>
        <v>0</v>
      </c>
      <c r="P199" s="1289">
        <f t="shared" si="47"/>
        <v>0</v>
      </c>
      <c r="Q199" s="1289">
        <f t="shared" si="47"/>
        <v>0</v>
      </c>
      <c r="R199" s="1289">
        <f t="shared" si="47"/>
        <v>0</v>
      </c>
      <c r="S199" s="1289">
        <f t="shared" si="47"/>
        <v>0</v>
      </c>
      <c r="T199" s="1289">
        <f t="shared" si="47"/>
        <v>0</v>
      </c>
      <c r="U199" s="1289">
        <f t="shared" si="47"/>
        <v>0</v>
      </c>
      <c r="V199" s="1289">
        <f t="shared" si="47"/>
        <v>0</v>
      </c>
      <c r="W199" s="1268">
        <v>0</v>
      </c>
      <c r="X199" s="1289">
        <f t="shared" si="47"/>
        <v>80237</v>
      </c>
      <c r="Y199" s="1289">
        <f t="shared" si="47"/>
        <v>0</v>
      </c>
    </row>
    <row r="200" spans="1:25" s="1280" customFormat="1">
      <c r="A200" s="1281">
        <v>180</v>
      </c>
      <c r="B200" s="1298" t="s">
        <v>1568</v>
      </c>
      <c r="C200" s="1268">
        <f t="shared" ref="C200" si="48">D200+N200+P200+R200+T200+V200+X200</f>
        <v>213657</v>
      </c>
      <c r="D200" s="1268">
        <f t="shared" ref="D200" si="49">SUM(E200:J200)</f>
        <v>198138</v>
      </c>
      <c r="E200" s="1268">
        <v>0</v>
      </c>
      <c r="F200" s="1268">
        <v>0</v>
      </c>
      <c r="G200" s="1268">
        <v>0</v>
      </c>
      <c r="H200" s="1268">
        <v>0</v>
      </c>
      <c r="I200" s="1268">
        <v>0</v>
      </c>
      <c r="J200" s="1268">
        <v>198138</v>
      </c>
      <c r="K200" s="1278">
        <v>0</v>
      </c>
      <c r="L200" s="1268">
        <v>0</v>
      </c>
      <c r="M200" s="1278">
        <v>0</v>
      </c>
      <c r="N200" s="1268">
        <v>0</v>
      </c>
      <c r="O200" s="1268">
        <v>0</v>
      </c>
      <c r="P200" s="1268">
        <v>0</v>
      </c>
      <c r="Q200" s="1268">
        <v>0</v>
      </c>
      <c r="R200" s="1268">
        <v>0</v>
      </c>
      <c r="S200" s="1268">
        <v>0</v>
      </c>
      <c r="T200" s="1268">
        <v>0</v>
      </c>
      <c r="U200" s="1268">
        <v>0</v>
      </c>
      <c r="V200" s="1268">
        <v>0</v>
      </c>
      <c r="W200" s="1268">
        <v>0</v>
      </c>
      <c r="X200" s="1268">
        <v>15519</v>
      </c>
      <c r="Y200" s="1268">
        <v>0</v>
      </c>
    </row>
    <row r="201" spans="1:25" s="1280" customFormat="1">
      <c r="A201" s="1281">
        <v>181</v>
      </c>
      <c r="B201" s="1298" t="s">
        <v>1569</v>
      </c>
      <c r="C201" s="1268">
        <f t="shared" ref="C201:C203" si="50">D201+N201+P201+R201+T201+V201+X201</f>
        <v>364086</v>
      </c>
      <c r="D201" s="1268">
        <f t="shared" ref="D201:D203" si="51">SUM(E201:J201)</f>
        <v>337641</v>
      </c>
      <c r="E201" s="1268">
        <v>337641</v>
      </c>
      <c r="F201" s="1268">
        <v>0</v>
      </c>
      <c r="G201" s="1268">
        <v>0</v>
      </c>
      <c r="H201" s="1268">
        <v>0</v>
      </c>
      <c r="I201" s="1268">
        <v>0</v>
      </c>
      <c r="J201" s="1268">
        <v>0</v>
      </c>
      <c r="K201" s="1278">
        <v>0</v>
      </c>
      <c r="L201" s="1268">
        <v>0</v>
      </c>
      <c r="M201" s="1278">
        <v>0</v>
      </c>
      <c r="N201" s="1268">
        <v>0</v>
      </c>
      <c r="O201" s="1268">
        <v>0</v>
      </c>
      <c r="P201" s="1268">
        <v>0</v>
      </c>
      <c r="Q201" s="1268">
        <v>0</v>
      </c>
      <c r="R201" s="1268">
        <v>0</v>
      </c>
      <c r="S201" s="1268">
        <v>0</v>
      </c>
      <c r="T201" s="1268">
        <v>0</v>
      </c>
      <c r="U201" s="1268">
        <v>0</v>
      </c>
      <c r="V201" s="1268">
        <v>0</v>
      </c>
      <c r="W201" s="1268">
        <v>0</v>
      </c>
      <c r="X201" s="1268">
        <v>26445</v>
      </c>
      <c r="Y201" s="1268">
        <v>0</v>
      </c>
    </row>
    <row r="202" spans="1:25" s="1280" customFormat="1">
      <c r="A202" s="1281">
        <v>182</v>
      </c>
      <c r="B202" s="1298" t="s">
        <v>895</v>
      </c>
      <c r="C202" s="1268">
        <f t="shared" si="50"/>
        <v>171289</v>
      </c>
      <c r="D202" s="1268">
        <f t="shared" si="51"/>
        <v>158847</v>
      </c>
      <c r="E202" s="1268">
        <v>158847</v>
      </c>
      <c r="F202" s="1268">
        <v>0</v>
      </c>
      <c r="G202" s="1268">
        <v>0</v>
      </c>
      <c r="H202" s="1268">
        <v>0</v>
      </c>
      <c r="I202" s="1268">
        <v>0</v>
      </c>
      <c r="J202" s="1268">
        <v>0</v>
      </c>
      <c r="K202" s="1278">
        <v>0</v>
      </c>
      <c r="L202" s="1268">
        <v>0</v>
      </c>
      <c r="M202" s="1278">
        <v>0</v>
      </c>
      <c r="N202" s="1268">
        <v>0</v>
      </c>
      <c r="O202" s="1268">
        <v>0</v>
      </c>
      <c r="P202" s="1268">
        <v>0</v>
      </c>
      <c r="Q202" s="1268">
        <v>0</v>
      </c>
      <c r="R202" s="1268">
        <v>0</v>
      </c>
      <c r="S202" s="1268">
        <v>0</v>
      </c>
      <c r="T202" s="1268">
        <v>0</v>
      </c>
      <c r="U202" s="1268">
        <v>0</v>
      </c>
      <c r="V202" s="1268">
        <v>0</v>
      </c>
      <c r="W202" s="1268">
        <v>0</v>
      </c>
      <c r="X202" s="1268">
        <v>12442</v>
      </c>
      <c r="Y202" s="1268">
        <v>0</v>
      </c>
    </row>
    <row r="203" spans="1:25" s="1299" customFormat="1">
      <c r="A203" s="1281">
        <v>183</v>
      </c>
      <c r="B203" s="1298" t="s">
        <v>1570</v>
      </c>
      <c r="C203" s="1268">
        <f t="shared" si="50"/>
        <v>355626</v>
      </c>
      <c r="D203" s="1268">
        <f t="shared" si="51"/>
        <v>329795</v>
      </c>
      <c r="E203" s="1268">
        <v>329795</v>
      </c>
      <c r="F203" s="1268">
        <v>0</v>
      </c>
      <c r="G203" s="1268">
        <v>0</v>
      </c>
      <c r="H203" s="1268">
        <v>0</v>
      </c>
      <c r="I203" s="1268">
        <v>0</v>
      </c>
      <c r="J203" s="1268">
        <v>0</v>
      </c>
      <c r="K203" s="1278">
        <v>0</v>
      </c>
      <c r="L203" s="1268">
        <v>0</v>
      </c>
      <c r="M203" s="1278">
        <v>0</v>
      </c>
      <c r="N203" s="1268">
        <v>0</v>
      </c>
      <c r="O203" s="1268">
        <v>0</v>
      </c>
      <c r="P203" s="1268">
        <v>0</v>
      </c>
      <c r="Q203" s="1268">
        <v>0</v>
      </c>
      <c r="R203" s="1268">
        <v>0</v>
      </c>
      <c r="S203" s="1268">
        <v>0</v>
      </c>
      <c r="T203" s="1268">
        <v>0</v>
      </c>
      <c r="U203" s="1268">
        <v>0</v>
      </c>
      <c r="V203" s="1268">
        <v>0</v>
      </c>
      <c r="W203" s="1268">
        <v>0</v>
      </c>
      <c r="X203" s="1268">
        <v>25831</v>
      </c>
      <c r="Y203" s="1268">
        <v>0</v>
      </c>
    </row>
    <row r="204" spans="1:25" s="1299" customFormat="1">
      <c r="A204" s="1281"/>
      <c r="B204" s="1267" t="s">
        <v>43</v>
      </c>
      <c r="C204" s="1268">
        <f>C205+C213</f>
        <v>18118762</v>
      </c>
      <c r="D204" s="1268">
        <f t="shared" ref="D204:Y204" si="52">D205+D213</f>
        <v>0</v>
      </c>
      <c r="E204" s="1268">
        <f t="shared" si="52"/>
        <v>0</v>
      </c>
      <c r="F204" s="1268">
        <f t="shared" si="52"/>
        <v>0</v>
      </c>
      <c r="G204" s="1268">
        <f t="shared" si="52"/>
        <v>0</v>
      </c>
      <c r="H204" s="1268">
        <f t="shared" si="52"/>
        <v>0</v>
      </c>
      <c r="I204" s="1268">
        <f t="shared" si="52"/>
        <v>0</v>
      </c>
      <c r="J204" s="1268">
        <f t="shared" si="52"/>
        <v>0</v>
      </c>
      <c r="K204" s="1278">
        <f t="shared" si="52"/>
        <v>0</v>
      </c>
      <c r="L204" s="1268">
        <f t="shared" si="52"/>
        <v>0</v>
      </c>
      <c r="M204" s="1278">
        <f t="shared" si="52"/>
        <v>0</v>
      </c>
      <c r="N204" s="1268">
        <f t="shared" si="52"/>
        <v>0</v>
      </c>
      <c r="O204" s="1268">
        <f t="shared" si="52"/>
        <v>5235.04</v>
      </c>
      <c r="P204" s="1268">
        <f t="shared" si="52"/>
        <v>16802708</v>
      </c>
      <c r="Q204" s="1268">
        <f t="shared" si="52"/>
        <v>0</v>
      </c>
      <c r="R204" s="1268">
        <f t="shared" si="52"/>
        <v>0</v>
      </c>
      <c r="S204" s="1268">
        <f t="shared" si="52"/>
        <v>0</v>
      </c>
      <c r="T204" s="1268">
        <f t="shared" si="52"/>
        <v>0</v>
      </c>
      <c r="U204" s="1268">
        <f t="shared" si="52"/>
        <v>0</v>
      </c>
      <c r="V204" s="1268">
        <f t="shared" si="52"/>
        <v>0</v>
      </c>
      <c r="W204" s="1268">
        <v>0</v>
      </c>
      <c r="X204" s="1268">
        <f t="shared" si="52"/>
        <v>1316054</v>
      </c>
      <c r="Y204" s="1268">
        <f t="shared" si="52"/>
        <v>0</v>
      </c>
    </row>
    <row r="205" spans="1:25" s="1299" customFormat="1" ht="125.4" customHeight="1">
      <c r="A205" s="1281"/>
      <c r="B205" s="1277" t="s">
        <v>2602</v>
      </c>
      <c r="C205" s="1289">
        <f>SUM(C206:C212)</f>
        <v>15785038</v>
      </c>
      <c r="D205" s="1289">
        <f t="shared" ref="D205:Y205" si="53">SUM(D206:D212)</f>
        <v>0</v>
      </c>
      <c r="E205" s="1289">
        <f t="shared" si="53"/>
        <v>0</v>
      </c>
      <c r="F205" s="1289">
        <f t="shared" si="53"/>
        <v>0</v>
      </c>
      <c r="G205" s="1289">
        <f t="shared" si="53"/>
        <v>0</v>
      </c>
      <c r="H205" s="1289">
        <f t="shared" si="53"/>
        <v>0</v>
      </c>
      <c r="I205" s="1289">
        <f t="shared" si="53"/>
        <v>0</v>
      </c>
      <c r="J205" s="1289">
        <f t="shared" si="53"/>
        <v>0</v>
      </c>
      <c r="K205" s="1278">
        <f t="shared" si="53"/>
        <v>0</v>
      </c>
      <c r="L205" s="1289">
        <f t="shared" si="53"/>
        <v>0</v>
      </c>
      <c r="M205" s="1278">
        <f t="shared" si="53"/>
        <v>0</v>
      </c>
      <c r="N205" s="1289">
        <f t="shared" si="53"/>
        <v>0</v>
      </c>
      <c r="O205" s="1289">
        <f t="shared" si="53"/>
        <v>4650.04</v>
      </c>
      <c r="P205" s="1289">
        <f t="shared" si="53"/>
        <v>14638494</v>
      </c>
      <c r="Q205" s="1289">
        <f t="shared" si="53"/>
        <v>0</v>
      </c>
      <c r="R205" s="1289">
        <f t="shared" si="53"/>
        <v>0</v>
      </c>
      <c r="S205" s="1289">
        <f t="shared" si="53"/>
        <v>0</v>
      </c>
      <c r="T205" s="1289">
        <f t="shared" si="53"/>
        <v>0</v>
      </c>
      <c r="U205" s="1289">
        <f t="shared" si="53"/>
        <v>0</v>
      </c>
      <c r="V205" s="1289">
        <f t="shared" si="53"/>
        <v>0</v>
      </c>
      <c r="W205" s="1268">
        <v>0</v>
      </c>
      <c r="X205" s="1289">
        <f t="shared" si="53"/>
        <v>1146544</v>
      </c>
      <c r="Y205" s="1289">
        <f t="shared" si="53"/>
        <v>0</v>
      </c>
    </row>
    <row r="206" spans="1:25" s="1299" customFormat="1">
      <c r="A206" s="1281">
        <v>184</v>
      </c>
      <c r="B206" s="1277" t="s">
        <v>1530</v>
      </c>
      <c r="C206" s="1268">
        <f t="shared" ref="C206" si="54">D206+N206+P206+R206+T206+V206+X206</f>
        <v>3889225</v>
      </c>
      <c r="D206" s="1268">
        <f t="shared" ref="D206" si="55">SUM(E206:J206)</f>
        <v>0</v>
      </c>
      <c r="E206" s="1268">
        <v>0</v>
      </c>
      <c r="F206" s="1268">
        <v>0</v>
      </c>
      <c r="G206" s="1268">
        <v>0</v>
      </c>
      <c r="H206" s="1268">
        <v>0</v>
      </c>
      <c r="I206" s="1268">
        <v>0</v>
      </c>
      <c r="J206" s="1268">
        <v>0</v>
      </c>
      <c r="K206" s="1278">
        <v>0</v>
      </c>
      <c r="L206" s="1268">
        <v>0</v>
      </c>
      <c r="M206" s="1278">
        <v>0</v>
      </c>
      <c r="N206" s="1268">
        <v>0</v>
      </c>
      <c r="O206" s="1268">
        <v>1431.36</v>
      </c>
      <c r="P206" s="1268">
        <v>3606732</v>
      </c>
      <c r="Q206" s="1268">
        <v>0</v>
      </c>
      <c r="R206" s="1268">
        <v>0</v>
      </c>
      <c r="S206" s="1268">
        <v>0</v>
      </c>
      <c r="T206" s="1268">
        <v>0</v>
      </c>
      <c r="U206" s="1268">
        <v>0</v>
      </c>
      <c r="V206" s="1268">
        <v>0</v>
      </c>
      <c r="W206" s="1268">
        <v>0</v>
      </c>
      <c r="X206" s="1268">
        <v>282493</v>
      </c>
      <c r="Y206" s="1268">
        <v>0</v>
      </c>
    </row>
    <row r="207" spans="1:25" s="1299" customFormat="1">
      <c r="A207" s="1281">
        <v>185</v>
      </c>
      <c r="B207" s="1277" t="s">
        <v>1531</v>
      </c>
      <c r="C207" s="1268">
        <f t="shared" ref="C207:C212" si="56">D207+N207+P207+R207+T207+V207+X207</f>
        <v>2926049</v>
      </c>
      <c r="D207" s="1268">
        <f t="shared" ref="D207:D212" si="57">SUM(E207:J207)</f>
        <v>0</v>
      </c>
      <c r="E207" s="1268">
        <v>0</v>
      </c>
      <c r="F207" s="1268">
        <v>0</v>
      </c>
      <c r="G207" s="1268">
        <v>0</v>
      </c>
      <c r="H207" s="1268">
        <v>0</v>
      </c>
      <c r="I207" s="1268">
        <v>0</v>
      </c>
      <c r="J207" s="1268">
        <v>0</v>
      </c>
      <c r="K207" s="1278">
        <v>0</v>
      </c>
      <c r="L207" s="1268">
        <v>0</v>
      </c>
      <c r="M207" s="1278">
        <v>0</v>
      </c>
      <c r="N207" s="1268">
        <v>0</v>
      </c>
      <c r="O207" s="1268">
        <v>1076.8800000000001</v>
      </c>
      <c r="P207" s="1268">
        <v>2713516</v>
      </c>
      <c r="Q207" s="1268">
        <v>0</v>
      </c>
      <c r="R207" s="1268">
        <v>0</v>
      </c>
      <c r="S207" s="1268">
        <v>0</v>
      </c>
      <c r="T207" s="1268">
        <v>0</v>
      </c>
      <c r="U207" s="1268">
        <v>0</v>
      </c>
      <c r="V207" s="1268">
        <v>0</v>
      </c>
      <c r="W207" s="1268">
        <v>0</v>
      </c>
      <c r="X207" s="1268">
        <v>212533</v>
      </c>
      <c r="Y207" s="1268">
        <v>0</v>
      </c>
    </row>
    <row r="208" spans="1:25" s="1299" customFormat="1">
      <c r="A208" s="1281">
        <v>186</v>
      </c>
      <c r="B208" s="1277" t="s">
        <v>1789</v>
      </c>
      <c r="C208" s="1268">
        <f t="shared" si="56"/>
        <v>1421533</v>
      </c>
      <c r="D208" s="1268">
        <f t="shared" si="57"/>
        <v>0</v>
      </c>
      <c r="E208" s="1268">
        <v>0</v>
      </c>
      <c r="F208" s="1268">
        <v>0</v>
      </c>
      <c r="G208" s="1268">
        <v>0</v>
      </c>
      <c r="H208" s="1268">
        <v>0</v>
      </c>
      <c r="I208" s="1268">
        <v>0</v>
      </c>
      <c r="J208" s="1268">
        <v>0</v>
      </c>
      <c r="K208" s="1278">
        <v>0</v>
      </c>
      <c r="L208" s="1268">
        <v>0</v>
      </c>
      <c r="M208" s="1278">
        <v>0</v>
      </c>
      <c r="N208" s="1268">
        <v>0</v>
      </c>
      <c r="O208" s="1268">
        <v>420</v>
      </c>
      <c r="P208" s="1268">
        <v>1318280</v>
      </c>
      <c r="Q208" s="1268">
        <v>0</v>
      </c>
      <c r="R208" s="1268">
        <v>0</v>
      </c>
      <c r="S208" s="1268">
        <v>0</v>
      </c>
      <c r="T208" s="1268">
        <v>0</v>
      </c>
      <c r="U208" s="1268">
        <v>0</v>
      </c>
      <c r="V208" s="1268">
        <v>0</v>
      </c>
      <c r="W208" s="1268">
        <v>0</v>
      </c>
      <c r="X208" s="1268">
        <v>103253</v>
      </c>
      <c r="Y208" s="1268">
        <v>0</v>
      </c>
    </row>
    <row r="209" spans="1:25" s="1299" customFormat="1">
      <c r="A209" s="1281">
        <v>187</v>
      </c>
      <c r="B209" s="1277" t="s">
        <v>1532</v>
      </c>
      <c r="C209" s="1268">
        <f t="shared" si="56"/>
        <v>2661679</v>
      </c>
      <c r="D209" s="1268">
        <f t="shared" si="57"/>
        <v>0</v>
      </c>
      <c r="E209" s="1268">
        <v>0</v>
      </c>
      <c r="F209" s="1268">
        <v>0</v>
      </c>
      <c r="G209" s="1268">
        <v>0</v>
      </c>
      <c r="H209" s="1268">
        <v>0</v>
      </c>
      <c r="I209" s="1268">
        <v>0</v>
      </c>
      <c r="J209" s="1268">
        <v>0</v>
      </c>
      <c r="K209" s="1278">
        <v>0</v>
      </c>
      <c r="L209" s="1268">
        <v>0</v>
      </c>
      <c r="M209" s="1278">
        <v>0</v>
      </c>
      <c r="N209" s="1268">
        <v>0</v>
      </c>
      <c r="O209" s="1268">
        <v>544.9</v>
      </c>
      <c r="P209" s="1268">
        <v>2468348</v>
      </c>
      <c r="Q209" s="1268">
        <v>0</v>
      </c>
      <c r="R209" s="1268">
        <v>0</v>
      </c>
      <c r="S209" s="1268">
        <v>0</v>
      </c>
      <c r="T209" s="1268">
        <v>0</v>
      </c>
      <c r="U209" s="1268">
        <v>0</v>
      </c>
      <c r="V209" s="1268">
        <v>0</v>
      </c>
      <c r="W209" s="1268">
        <v>0</v>
      </c>
      <c r="X209" s="1268">
        <v>193331</v>
      </c>
      <c r="Y209" s="1268">
        <v>0</v>
      </c>
    </row>
    <row r="210" spans="1:25" s="1299" customFormat="1" ht="51.6" customHeight="1">
      <c r="A210" s="1281">
        <v>188</v>
      </c>
      <c r="B210" s="1300" t="s">
        <v>1790</v>
      </c>
      <c r="C210" s="1268">
        <f t="shared" si="56"/>
        <v>1945469</v>
      </c>
      <c r="D210" s="1268">
        <f t="shared" si="57"/>
        <v>0</v>
      </c>
      <c r="E210" s="1268">
        <v>0</v>
      </c>
      <c r="F210" s="1268">
        <v>0</v>
      </c>
      <c r="G210" s="1268">
        <v>0</v>
      </c>
      <c r="H210" s="1268">
        <v>0</v>
      </c>
      <c r="I210" s="1268">
        <v>0</v>
      </c>
      <c r="J210" s="1268">
        <v>0</v>
      </c>
      <c r="K210" s="1278">
        <v>0</v>
      </c>
      <c r="L210" s="1268">
        <v>0</v>
      </c>
      <c r="M210" s="1278">
        <v>0</v>
      </c>
      <c r="N210" s="1268">
        <v>0</v>
      </c>
      <c r="O210" s="1268">
        <v>574.79999999999995</v>
      </c>
      <c r="P210" s="1268">
        <v>1804160</v>
      </c>
      <c r="Q210" s="1268">
        <v>0</v>
      </c>
      <c r="R210" s="1268">
        <v>0</v>
      </c>
      <c r="S210" s="1268">
        <v>0</v>
      </c>
      <c r="T210" s="1268">
        <v>0</v>
      </c>
      <c r="U210" s="1268">
        <v>0</v>
      </c>
      <c r="V210" s="1268">
        <v>0</v>
      </c>
      <c r="W210" s="1268">
        <v>0</v>
      </c>
      <c r="X210" s="1268">
        <v>141309</v>
      </c>
      <c r="Y210" s="1268">
        <v>0</v>
      </c>
    </row>
    <row r="211" spans="1:25" s="1299" customFormat="1">
      <c r="A211" s="1281">
        <v>189</v>
      </c>
      <c r="B211" s="1277" t="s">
        <v>1533</v>
      </c>
      <c r="C211" s="1268">
        <f t="shared" si="56"/>
        <v>1461994</v>
      </c>
      <c r="D211" s="1268">
        <f t="shared" si="57"/>
        <v>0</v>
      </c>
      <c r="E211" s="1268">
        <v>0</v>
      </c>
      <c r="F211" s="1268">
        <v>0</v>
      </c>
      <c r="G211" s="1268">
        <v>0</v>
      </c>
      <c r="H211" s="1268">
        <v>0</v>
      </c>
      <c r="I211" s="1268">
        <v>0</v>
      </c>
      <c r="J211" s="1268">
        <v>0</v>
      </c>
      <c r="K211" s="1278">
        <v>0</v>
      </c>
      <c r="L211" s="1268">
        <v>0</v>
      </c>
      <c r="M211" s="1278">
        <v>0</v>
      </c>
      <c r="N211" s="1268">
        <v>0</v>
      </c>
      <c r="O211" s="1268">
        <v>299.3</v>
      </c>
      <c r="P211" s="1268">
        <v>1355802</v>
      </c>
      <c r="Q211" s="1268">
        <v>0</v>
      </c>
      <c r="R211" s="1268">
        <v>0</v>
      </c>
      <c r="S211" s="1268">
        <v>0</v>
      </c>
      <c r="T211" s="1268">
        <v>0</v>
      </c>
      <c r="U211" s="1268">
        <v>0</v>
      </c>
      <c r="V211" s="1268">
        <v>0</v>
      </c>
      <c r="W211" s="1268">
        <v>0</v>
      </c>
      <c r="X211" s="1268">
        <v>106192</v>
      </c>
      <c r="Y211" s="1268">
        <v>0</v>
      </c>
    </row>
    <row r="212" spans="1:25" s="1299" customFormat="1">
      <c r="A212" s="1281">
        <v>190</v>
      </c>
      <c r="B212" s="1277" t="s">
        <v>1534</v>
      </c>
      <c r="C212" s="1268">
        <f t="shared" si="56"/>
        <v>1479089</v>
      </c>
      <c r="D212" s="1268">
        <f t="shared" si="57"/>
        <v>0</v>
      </c>
      <c r="E212" s="1268">
        <v>0</v>
      </c>
      <c r="F212" s="1268">
        <v>0</v>
      </c>
      <c r="G212" s="1268">
        <v>0</v>
      </c>
      <c r="H212" s="1268">
        <v>0</v>
      </c>
      <c r="I212" s="1268">
        <v>0</v>
      </c>
      <c r="J212" s="1268">
        <v>0</v>
      </c>
      <c r="K212" s="1278">
        <v>0</v>
      </c>
      <c r="L212" s="1268">
        <v>0</v>
      </c>
      <c r="M212" s="1278">
        <v>0</v>
      </c>
      <c r="N212" s="1268">
        <v>0</v>
      </c>
      <c r="O212" s="1268">
        <v>302.8</v>
      </c>
      <c r="P212" s="1268">
        <v>1371656</v>
      </c>
      <c r="Q212" s="1268">
        <v>0</v>
      </c>
      <c r="R212" s="1268">
        <v>0</v>
      </c>
      <c r="S212" s="1268">
        <v>0</v>
      </c>
      <c r="T212" s="1268">
        <v>0</v>
      </c>
      <c r="U212" s="1268">
        <v>0</v>
      </c>
      <c r="V212" s="1268">
        <v>0</v>
      </c>
      <c r="W212" s="1268">
        <v>0</v>
      </c>
      <c r="X212" s="1268">
        <v>107433</v>
      </c>
      <c r="Y212" s="1268">
        <v>0</v>
      </c>
    </row>
    <row r="213" spans="1:25" s="1299" customFormat="1" ht="113.4">
      <c r="A213" s="1281"/>
      <c r="B213" s="1277" t="s">
        <v>2024</v>
      </c>
      <c r="C213" s="1268">
        <f>C214</f>
        <v>2333724</v>
      </c>
      <c r="D213" s="1268">
        <f t="shared" ref="D213:Y213" si="58">D214</f>
        <v>0</v>
      </c>
      <c r="E213" s="1268">
        <f t="shared" si="58"/>
        <v>0</v>
      </c>
      <c r="F213" s="1268">
        <f t="shared" si="58"/>
        <v>0</v>
      </c>
      <c r="G213" s="1268">
        <f t="shared" si="58"/>
        <v>0</v>
      </c>
      <c r="H213" s="1268">
        <f t="shared" si="58"/>
        <v>0</v>
      </c>
      <c r="I213" s="1268">
        <f t="shared" si="58"/>
        <v>0</v>
      </c>
      <c r="J213" s="1268">
        <f t="shared" si="58"/>
        <v>0</v>
      </c>
      <c r="K213" s="1278">
        <f t="shared" si="58"/>
        <v>0</v>
      </c>
      <c r="L213" s="1268">
        <f t="shared" si="58"/>
        <v>0</v>
      </c>
      <c r="M213" s="1278">
        <f t="shared" si="58"/>
        <v>0</v>
      </c>
      <c r="N213" s="1268">
        <f t="shared" si="58"/>
        <v>0</v>
      </c>
      <c r="O213" s="1268">
        <f t="shared" si="58"/>
        <v>585</v>
      </c>
      <c r="P213" s="1268">
        <f t="shared" si="58"/>
        <v>2164214</v>
      </c>
      <c r="Q213" s="1268">
        <f t="shared" si="58"/>
        <v>0</v>
      </c>
      <c r="R213" s="1268">
        <f t="shared" si="58"/>
        <v>0</v>
      </c>
      <c r="S213" s="1268">
        <f t="shared" si="58"/>
        <v>0</v>
      </c>
      <c r="T213" s="1268">
        <f t="shared" si="58"/>
        <v>0</v>
      </c>
      <c r="U213" s="1268">
        <f t="shared" si="58"/>
        <v>0</v>
      </c>
      <c r="V213" s="1268">
        <f t="shared" si="58"/>
        <v>0</v>
      </c>
      <c r="W213" s="1268">
        <v>0</v>
      </c>
      <c r="X213" s="1268">
        <f t="shared" si="58"/>
        <v>169510</v>
      </c>
      <c r="Y213" s="1268">
        <f t="shared" si="58"/>
        <v>0</v>
      </c>
    </row>
    <row r="214" spans="1:25" s="1299" customFormat="1" ht="75.599999999999994">
      <c r="A214" s="1281">
        <v>191</v>
      </c>
      <c r="B214" s="1277" t="s">
        <v>2417</v>
      </c>
      <c r="C214" s="1268">
        <f t="shared" ref="C214" si="59">D214+N214+P214+R214+T214+V214+X214</f>
        <v>2333724</v>
      </c>
      <c r="D214" s="1268">
        <f t="shared" ref="D214" si="60">SUM(E214:J214)</f>
        <v>0</v>
      </c>
      <c r="E214" s="1268">
        <v>0</v>
      </c>
      <c r="F214" s="1268">
        <v>0</v>
      </c>
      <c r="G214" s="1268">
        <v>0</v>
      </c>
      <c r="H214" s="1268">
        <v>0</v>
      </c>
      <c r="I214" s="1268">
        <v>0</v>
      </c>
      <c r="J214" s="1268">
        <v>0</v>
      </c>
      <c r="K214" s="1278">
        <v>0</v>
      </c>
      <c r="L214" s="1268">
        <v>0</v>
      </c>
      <c r="M214" s="1278">
        <v>0</v>
      </c>
      <c r="N214" s="1268">
        <v>0</v>
      </c>
      <c r="O214" s="1268">
        <v>585</v>
      </c>
      <c r="P214" s="1268">
        <v>2164214</v>
      </c>
      <c r="Q214" s="1268">
        <v>0</v>
      </c>
      <c r="R214" s="1268">
        <v>0</v>
      </c>
      <c r="S214" s="1268">
        <v>0</v>
      </c>
      <c r="T214" s="1268">
        <v>0</v>
      </c>
      <c r="U214" s="1268">
        <v>0</v>
      </c>
      <c r="V214" s="1268">
        <v>0</v>
      </c>
      <c r="W214" s="1268">
        <v>0</v>
      </c>
      <c r="X214" s="1268">
        <v>169510</v>
      </c>
      <c r="Y214" s="1268">
        <v>0</v>
      </c>
    </row>
    <row r="215" spans="1:25" s="1299" customFormat="1" ht="75.599999999999994">
      <c r="A215" s="1281"/>
      <c r="B215" s="1277" t="s">
        <v>1588</v>
      </c>
      <c r="C215" s="1268">
        <f>C216+C217</f>
        <v>3350144</v>
      </c>
      <c r="D215" s="1268">
        <f t="shared" ref="D215:Y215" si="61">D216+D217</f>
        <v>0</v>
      </c>
      <c r="E215" s="1268">
        <f t="shared" si="61"/>
        <v>0</v>
      </c>
      <c r="F215" s="1268">
        <f t="shared" si="61"/>
        <v>0</v>
      </c>
      <c r="G215" s="1268">
        <f t="shared" si="61"/>
        <v>0</v>
      </c>
      <c r="H215" s="1268">
        <f t="shared" si="61"/>
        <v>0</v>
      </c>
      <c r="I215" s="1268">
        <f t="shared" si="61"/>
        <v>0</v>
      </c>
      <c r="J215" s="1268">
        <f t="shared" si="61"/>
        <v>0</v>
      </c>
      <c r="K215" s="1278">
        <f t="shared" si="61"/>
        <v>0</v>
      </c>
      <c r="L215" s="1268">
        <f t="shared" si="61"/>
        <v>0</v>
      </c>
      <c r="M215" s="1278">
        <f t="shared" si="61"/>
        <v>0</v>
      </c>
      <c r="N215" s="1268">
        <f t="shared" si="61"/>
        <v>0</v>
      </c>
      <c r="O215" s="1268">
        <f t="shared" si="61"/>
        <v>1118</v>
      </c>
      <c r="P215" s="1268">
        <f t="shared" si="61"/>
        <v>3106807</v>
      </c>
      <c r="Q215" s="1268">
        <f t="shared" si="61"/>
        <v>0</v>
      </c>
      <c r="R215" s="1268">
        <f t="shared" si="61"/>
        <v>0</v>
      </c>
      <c r="S215" s="1268">
        <f t="shared" si="61"/>
        <v>0</v>
      </c>
      <c r="T215" s="1268">
        <f t="shared" si="61"/>
        <v>0</v>
      </c>
      <c r="U215" s="1268">
        <f t="shared" si="61"/>
        <v>0</v>
      </c>
      <c r="V215" s="1268">
        <f t="shared" si="61"/>
        <v>0</v>
      </c>
      <c r="W215" s="1268">
        <v>0</v>
      </c>
      <c r="X215" s="1268">
        <f t="shared" si="61"/>
        <v>243337</v>
      </c>
      <c r="Y215" s="1268">
        <f t="shared" si="61"/>
        <v>0</v>
      </c>
    </row>
    <row r="216" spans="1:25" s="1280" customFormat="1">
      <c r="A216" s="1281">
        <v>192</v>
      </c>
      <c r="B216" s="1267" t="s">
        <v>1290</v>
      </c>
      <c r="C216" s="1268">
        <f t="shared" ref="C216:C217" si="62">D216+N216+P216+R216+T216+V216+X216</f>
        <v>1583994</v>
      </c>
      <c r="D216" s="1268">
        <f t="shared" ref="D216:D217" si="63">SUM(E216:J216)</f>
        <v>0</v>
      </c>
      <c r="E216" s="1268">
        <v>0</v>
      </c>
      <c r="F216" s="1268">
        <v>0</v>
      </c>
      <c r="G216" s="1268">
        <v>0</v>
      </c>
      <c r="H216" s="1268">
        <v>0</v>
      </c>
      <c r="I216" s="1268">
        <v>0</v>
      </c>
      <c r="J216" s="1268">
        <v>0</v>
      </c>
      <c r="K216" s="1278">
        <v>0</v>
      </c>
      <c r="L216" s="1268">
        <v>0</v>
      </c>
      <c r="M216" s="1278">
        <v>0</v>
      </c>
      <c r="N216" s="1268">
        <v>0</v>
      </c>
      <c r="O216" s="1268">
        <v>468</v>
      </c>
      <c r="P216" s="1268">
        <v>1468941</v>
      </c>
      <c r="Q216" s="1268">
        <v>0</v>
      </c>
      <c r="R216" s="1268">
        <v>0</v>
      </c>
      <c r="S216" s="1268">
        <v>0</v>
      </c>
      <c r="T216" s="1268">
        <v>0</v>
      </c>
      <c r="U216" s="1268">
        <v>0</v>
      </c>
      <c r="V216" s="1268">
        <v>0</v>
      </c>
      <c r="W216" s="1268">
        <v>0</v>
      </c>
      <c r="X216" s="1268">
        <v>115053</v>
      </c>
      <c r="Y216" s="1268">
        <v>0</v>
      </c>
    </row>
    <row r="217" spans="1:25" s="1280" customFormat="1">
      <c r="A217" s="1281">
        <v>193</v>
      </c>
      <c r="B217" s="1267" t="s">
        <v>1291</v>
      </c>
      <c r="C217" s="1268">
        <f t="shared" si="62"/>
        <v>1766150</v>
      </c>
      <c r="D217" s="1268">
        <f t="shared" si="63"/>
        <v>0</v>
      </c>
      <c r="E217" s="1268">
        <v>0</v>
      </c>
      <c r="F217" s="1268">
        <v>0</v>
      </c>
      <c r="G217" s="1268">
        <v>0</v>
      </c>
      <c r="H217" s="1268">
        <v>0</v>
      </c>
      <c r="I217" s="1268">
        <v>0</v>
      </c>
      <c r="J217" s="1268">
        <v>0</v>
      </c>
      <c r="K217" s="1278">
        <v>0</v>
      </c>
      <c r="L217" s="1268">
        <v>0</v>
      </c>
      <c r="M217" s="1278">
        <v>0</v>
      </c>
      <c r="N217" s="1268">
        <v>0</v>
      </c>
      <c r="O217" s="1268">
        <v>650</v>
      </c>
      <c r="P217" s="1268">
        <v>1637866</v>
      </c>
      <c r="Q217" s="1268">
        <v>0</v>
      </c>
      <c r="R217" s="1268">
        <v>0</v>
      </c>
      <c r="S217" s="1268">
        <v>0</v>
      </c>
      <c r="T217" s="1268">
        <v>0</v>
      </c>
      <c r="U217" s="1268">
        <v>0</v>
      </c>
      <c r="V217" s="1268">
        <v>0</v>
      </c>
      <c r="W217" s="1268">
        <v>0</v>
      </c>
      <c r="X217" s="1268">
        <v>128284</v>
      </c>
      <c r="Y217" s="1268">
        <v>0</v>
      </c>
    </row>
    <row r="218" spans="1:25" s="1280" customFormat="1">
      <c r="A218" s="1281"/>
      <c r="B218" s="1277" t="s">
        <v>46</v>
      </c>
      <c r="C218" s="1268">
        <f>C219</f>
        <v>1688916</v>
      </c>
      <c r="D218" s="1268">
        <f t="shared" ref="D218:Y218" si="64">D219</f>
        <v>0</v>
      </c>
      <c r="E218" s="1268">
        <f t="shared" si="64"/>
        <v>0</v>
      </c>
      <c r="F218" s="1268">
        <f t="shared" si="64"/>
        <v>0</v>
      </c>
      <c r="G218" s="1268">
        <f t="shared" si="64"/>
        <v>0</v>
      </c>
      <c r="H218" s="1268">
        <f t="shared" si="64"/>
        <v>0</v>
      </c>
      <c r="I218" s="1268">
        <f t="shared" si="64"/>
        <v>0</v>
      </c>
      <c r="J218" s="1268">
        <f t="shared" si="64"/>
        <v>0</v>
      </c>
      <c r="K218" s="1278">
        <f t="shared" si="64"/>
        <v>0</v>
      </c>
      <c r="L218" s="1268">
        <f t="shared" si="64"/>
        <v>0</v>
      </c>
      <c r="M218" s="1278">
        <f t="shared" si="64"/>
        <v>0</v>
      </c>
      <c r="N218" s="1268">
        <f t="shared" si="64"/>
        <v>0</v>
      </c>
      <c r="O218" s="1268">
        <f t="shared" si="64"/>
        <v>499</v>
      </c>
      <c r="P218" s="1268">
        <f t="shared" si="64"/>
        <v>1566242</v>
      </c>
      <c r="Q218" s="1268">
        <f t="shared" si="64"/>
        <v>0</v>
      </c>
      <c r="R218" s="1268">
        <f t="shared" si="64"/>
        <v>0</v>
      </c>
      <c r="S218" s="1268">
        <f t="shared" si="64"/>
        <v>0</v>
      </c>
      <c r="T218" s="1268">
        <f t="shared" si="64"/>
        <v>0</v>
      </c>
      <c r="U218" s="1268">
        <f t="shared" si="64"/>
        <v>0</v>
      </c>
      <c r="V218" s="1268">
        <f t="shared" si="64"/>
        <v>0</v>
      </c>
      <c r="W218" s="1268">
        <v>0</v>
      </c>
      <c r="X218" s="1268">
        <f t="shared" si="64"/>
        <v>122674</v>
      </c>
      <c r="Y218" s="1268">
        <f t="shared" si="64"/>
        <v>0</v>
      </c>
    </row>
    <row r="219" spans="1:25" s="1280" customFormat="1" ht="123" customHeight="1">
      <c r="A219" s="1281"/>
      <c r="B219" s="1277" t="s">
        <v>2419</v>
      </c>
      <c r="C219" s="1268">
        <f>C220</f>
        <v>1688916</v>
      </c>
      <c r="D219" s="1268">
        <f t="shared" ref="D219:Y219" si="65">D220</f>
        <v>0</v>
      </c>
      <c r="E219" s="1268">
        <f t="shared" si="65"/>
        <v>0</v>
      </c>
      <c r="F219" s="1268">
        <f t="shared" si="65"/>
        <v>0</v>
      </c>
      <c r="G219" s="1268">
        <f t="shared" si="65"/>
        <v>0</v>
      </c>
      <c r="H219" s="1268">
        <f t="shared" si="65"/>
        <v>0</v>
      </c>
      <c r="I219" s="1268">
        <f t="shared" si="65"/>
        <v>0</v>
      </c>
      <c r="J219" s="1268">
        <f t="shared" si="65"/>
        <v>0</v>
      </c>
      <c r="K219" s="1278">
        <f t="shared" si="65"/>
        <v>0</v>
      </c>
      <c r="L219" s="1268">
        <f t="shared" si="65"/>
        <v>0</v>
      </c>
      <c r="M219" s="1278">
        <f t="shared" si="65"/>
        <v>0</v>
      </c>
      <c r="N219" s="1268">
        <f t="shared" si="65"/>
        <v>0</v>
      </c>
      <c r="O219" s="1268">
        <f t="shared" si="65"/>
        <v>499</v>
      </c>
      <c r="P219" s="1268">
        <f t="shared" si="65"/>
        <v>1566242</v>
      </c>
      <c r="Q219" s="1268">
        <f t="shared" si="65"/>
        <v>0</v>
      </c>
      <c r="R219" s="1268">
        <f t="shared" si="65"/>
        <v>0</v>
      </c>
      <c r="S219" s="1268">
        <f t="shared" si="65"/>
        <v>0</v>
      </c>
      <c r="T219" s="1268">
        <f t="shared" si="65"/>
        <v>0</v>
      </c>
      <c r="U219" s="1268">
        <f t="shared" si="65"/>
        <v>0</v>
      </c>
      <c r="V219" s="1268">
        <f t="shared" si="65"/>
        <v>0</v>
      </c>
      <c r="W219" s="1268">
        <v>0</v>
      </c>
      <c r="X219" s="1268">
        <f t="shared" si="65"/>
        <v>122674</v>
      </c>
      <c r="Y219" s="1268">
        <f t="shared" si="65"/>
        <v>0</v>
      </c>
    </row>
    <row r="220" spans="1:25" s="1280" customFormat="1" ht="75.599999999999994">
      <c r="A220" s="1281">
        <v>194</v>
      </c>
      <c r="B220" s="1277" t="s">
        <v>2418</v>
      </c>
      <c r="C220" s="1268">
        <f>D220+N220+P220+R220+T220+V220+X220</f>
        <v>1688916</v>
      </c>
      <c r="D220" s="1268">
        <f>SUM(E220:J220)</f>
        <v>0</v>
      </c>
      <c r="E220" s="1268">
        <v>0</v>
      </c>
      <c r="F220" s="1268">
        <v>0</v>
      </c>
      <c r="G220" s="1268">
        <v>0</v>
      </c>
      <c r="H220" s="1268">
        <v>0</v>
      </c>
      <c r="I220" s="1268">
        <v>0</v>
      </c>
      <c r="J220" s="1268">
        <v>0</v>
      </c>
      <c r="K220" s="1278">
        <v>0</v>
      </c>
      <c r="L220" s="1268">
        <v>0</v>
      </c>
      <c r="M220" s="1278">
        <v>0</v>
      </c>
      <c r="N220" s="1268">
        <v>0</v>
      </c>
      <c r="O220" s="1268">
        <v>499</v>
      </c>
      <c r="P220" s="1268">
        <v>1566242</v>
      </c>
      <c r="Q220" s="1268">
        <v>0</v>
      </c>
      <c r="R220" s="1268">
        <v>0</v>
      </c>
      <c r="S220" s="1268">
        <v>0</v>
      </c>
      <c r="T220" s="1268">
        <v>0</v>
      </c>
      <c r="U220" s="1268">
        <v>0</v>
      </c>
      <c r="V220" s="1268">
        <v>0</v>
      </c>
      <c r="W220" s="1268">
        <v>0</v>
      </c>
      <c r="X220" s="1268">
        <v>122674</v>
      </c>
      <c r="Y220" s="1268">
        <v>0</v>
      </c>
    </row>
    <row r="221" spans="1:25" s="1280" customFormat="1" ht="75.599999999999994">
      <c r="A221" s="1281"/>
      <c r="B221" s="1277" t="s">
        <v>2012</v>
      </c>
      <c r="C221" s="1268">
        <f>C222+C223+C224</f>
        <v>6549572</v>
      </c>
      <c r="D221" s="1268">
        <f t="shared" ref="D221:Y221" si="66">D222+D223+D224</f>
        <v>0</v>
      </c>
      <c r="E221" s="1268">
        <f t="shared" si="66"/>
        <v>0</v>
      </c>
      <c r="F221" s="1268">
        <f t="shared" si="66"/>
        <v>0</v>
      </c>
      <c r="G221" s="1268">
        <f t="shared" si="66"/>
        <v>0</v>
      </c>
      <c r="H221" s="1268">
        <f t="shared" si="66"/>
        <v>0</v>
      </c>
      <c r="I221" s="1268">
        <f t="shared" si="66"/>
        <v>0</v>
      </c>
      <c r="J221" s="1268">
        <f t="shared" si="66"/>
        <v>0</v>
      </c>
      <c r="K221" s="1278">
        <f t="shared" si="66"/>
        <v>0</v>
      </c>
      <c r="L221" s="1268">
        <f t="shared" si="66"/>
        <v>0</v>
      </c>
      <c r="M221" s="1278">
        <f t="shared" si="66"/>
        <v>0</v>
      </c>
      <c r="N221" s="1268">
        <f t="shared" si="66"/>
        <v>0</v>
      </c>
      <c r="O221" s="1268">
        <f t="shared" si="66"/>
        <v>1650</v>
      </c>
      <c r="P221" s="1268">
        <f t="shared" si="66"/>
        <v>5178958</v>
      </c>
      <c r="Q221" s="1268">
        <f t="shared" si="66"/>
        <v>0</v>
      </c>
      <c r="R221" s="1268">
        <f t="shared" si="66"/>
        <v>0</v>
      </c>
      <c r="S221" s="1268">
        <f t="shared" si="66"/>
        <v>362.64</v>
      </c>
      <c r="T221" s="1268">
        <f t="shared" si="66"/>
        <v>894887</v>
      </c>
      <c r="U221" s="1268">
        <f t="shared" si="66"/>
        <v>0</v>
      </c>
      <c r="V221" s="1268">
        <f t="shared" si="66"/>
        <v>0</v>
      </c>
      <c r="W221" s="1268">
        <v>0</v>
      </c>
      <c r="X221" s="1268">
        <f t="shared" si="66"/>
        <v>475727</v>
      </c>
      <c r="Y221" s="1268">
        <f t="shared" si="66"/>
        <v>0</v>
      </c>
    </row>
    <row r="222" spans="1:25" s="1280" customFormat="1">
      <c r="A222" s="1281">
        <v>195</v>
      </c>
      <c r="B222" s="1267" t="s">
        <v>1258</v>
      </c>
      <c r="C222" s="1268">
        <f>D222+N222+P222+R222+T222+V222+X222</f>
        <v>1556917</v>
      </c>
      <c r="D222" s="1268">
        <f>SUM(E222:J222)</f>
        <v>0</v>
      </c>
      <c r="E222" s="1268">
        <v>0</v>
      </c>
      <c r="F222" s="1268">
        <v>0</v>
      </c>
      <c r="G222" s="1268">
        <v>0</v>
      </c>
      <c r="H222" s="1268">
        <v>0</v>
      </c>
      <c r="I222" s="1268">
        <v>0</v>
      </c>
      <c r="J222" s="1268">
        <v>0</v>
      </c>
      <c r="K222" s="1278">
        <v>0</v>
      </c>
      <c r="L222" s="1268">
        <v>0</v>
      </c>
      <c r="M222" s="1278">
        <v>0</v>
      </c>
      <c r="N222" s="1268">
        <v>0</v>
      </c>
      <c r="O222" s="1268">
        <v>460</v>
      </c>
      <c r="P222" s="1268">
        <v>1443831</v>
      </c>
      <c r="Q222" s="1268">
        <v>0</v>
      </c>
      <c r="R222" s="1268">
        <v>0</v>
      </c>
      <c r="S222" s="1268">
        <v>0</v>
      </c>
      <c r="T222" s="1268">
        <v>0</v>
      </c>
      <c r="U222" s="1268">
        <v>0</v>
      </c>
      <c r="V222" s="1268">
        <v>0</v>
      </c>
      <c r="W222" s="1268">
        <v>0</v>
      </c>
      <c r="X222" s="1268">
        <v>113086</v>
      </c>
      <c r="Y222" s="1268">
        <v>0</v>
      </c>
    </row>
    <row r="223" spans="1:25" s="1280" customFormat="1">
      <c r="A223" s="1281">
        <v>196</v>
      </c>
      <c r="B223" s="1267" t="s">
        <v>1259</v>
      </c>
      <c r="C223" s="1268">
        <f>D223+N223+P223+R223+T223+V223+X223</f>
        <v>2944604</v>
      </c>
      <c r="D223" s="1268">
        <f>SUM(E223:J223)</f>
        <v>0</v>
      </c>
      <c r="E223" s="1268">
        <v>0</v>
      </c>
      <c r="F223" s="1268">
        <v>0</v>
      </c>
      <c r="G223" s="1268">
        <v>0</v>
      </c>
      <c r="H223" s="1268">
        <v>0</v>
      </c>
      <c r="I223" s="1268">
        <v>0</v>
      </c>
      <c r="J223" s="1268">
        <v>0</v>
      </c>
      <c r="K223" s="1278">
        <v>0</v>
      </c>
      <c r="L223" s="1268">
        <v>0</v>
      </c>
      <c r="M223" s="1278">
        <v>0</v>
      </c>
      <c r="N223" s="1268">
        <v>0</v>
      </c>
      <c r="O223" s="1268">
        <v>870</v>
      </c>
      <c r="P223" s="1268">
        <v>2730723</v>
      </c>
      <c r="Q223" s="1268">
        <v>0</v>
      </c>
      <c r="R223" s="1268">
        <v>0</v>
      </c>
      <c r="S223" s="1268">
        <v>0</v>
      </c>
      <c r="T223" s="1268">
        <v>0</v>
      </c>
      <c r="U223" s="1268">
        <v>0</v>
      </c>
      <c r="V223" s="1268">
        <v>0</v>
      </c>
      <c r="W223" s="1268">
        <v>0</v>
      </c>
      <c r="X223" s="1268">
        <v>213881</v>
      </c>
      <c r="Y223" s="1268">
        <v>0</v>
      </c>
    </row>
    <row r="224" spans="1:25" s="1280" customFormat="1">
      <c r="A224" s="1281">
        <v>197</v>
      </c>
      <c r="B224" s="1267" t="s">
        <v>1260</v>
      </c>
      <c r="C224" s="1268">
        <f>D224+N224+P224+R224+T224+V224+X224</f>
        <v>2048051</v>
      </c>
      <c r="D224" s="1268">
        <f>SUM(E224:J224)</f>
        <v>0</v>
      </c>
      <c r="E224" s="1268">
        <v>0</v>
      </c>
      <c r="F224" s="1268">
        <v>0</v>
      </c>
      <c r="G224" s="1268">
        <v>0</v>
      </c>
      <c r="H224" s="1268">
        <v>0</v>
      </c>
      <c r="I224" s="1268">
        <v>0</v>
      </c>
      <c r="J224" s="1268">
        <v>0</v>
      </c>
      <c r="K224" s="1278">
        <v>0</v>
      </c>
      <c r="L224" s="1268">
        <v>0</v>
      </c>
      <c r="M224" s="1278">
        <v>0</v>
      </c>
      <c r="N224" s="1268">
        <v>0</v>
      </c>
      <c r="O224" s="1268">
        <v>320</v>
      </c>
      <c r="P224" s="1268">
        <v>1004404</v>
      </c>
      <c r="Q224" s="1268">
        <v>0</v>
      </c>
      <c r="R224" s="1268">
        <v>0</v>
      </c>
      <c r="S224" s="1268">
        <v>362.64</v>
      </c>
      <c r="T224" s="1268">
        <v>894887</v>
      </c>
      <c r="U224" s="1268">
        <v>0</v>
      </c>
      <c r="V224" s="1268">
        <v>0</v>
      </c>
      <c r="W224" s="1268">
        <v>0</v>
      </c>
      <c r="X224" s="1268">
        <v>148760</v>
      </c>
      <c r="Y224" s="1268">
        <v>0</v>
      </c>
    </row>
    <row r="225" spans="1:25" s="1280" customFormat="1">
      <c r="A225" s="1281"/>
      <c r="B225" s="1267" t="s">
        <v>48</v>
      </c>
      <c r="C225" s="1268">
        <f>C226</f>
        <v>831360</v>
      </c>
      <c r="D225" s="1268">
        <f t="shared" ref="D225:Y225" si="67">D226</f>
        <v>0</v>
      </c>
      <c r="E225" s="1268">
        <f t="shared" si="67"/>
        <v>0</v>
      </c>
      <c r="F225" s="1268">
        <f t="shared" si="67"/>
        <v>0</v>
      </c>
      <c r="G225" s="1268">
        <f t="shared" si="67"/>
        <v>0</v>
      </c>
      <c r="H225" s="1268">
        <f t="shared" si="67"/>
        <v>0</v>
      </c>
      <c r="I225" s="1268">
        <f t="shared" si="67"/>
        <v>0</v>
      </c>
      <c r="J225" s="1268">
        <f t="shared" si="67"/>
        <v>0</v>
      </c>
      <c r="K225" s="1278">
        <f t="shared" si="67"/>
        <v>0</v>
      </c>
      <c r="L225" s="1268">
        <f t="shared" si="67"/>
        <v>0</v>
      </c>
      <c r="M225" s="1278">
        <f t="shared" si="67"/>
        <v>0</v>
      </c>
      <c r="N225" s="1268">
        <f t="shared" si="67"/>
        <v>0</v>
      </c>
      <c r="O225" s="1268">
        <f t="shared" si="67"/>
        <v>245.63</v>
      </c>
      <c r="P225" s="1268">
        <f t="shared" si="67"/>
        <v>770974</v>
      </c>
      <c r="Q225" s="1268">
        <f t="shared" si="67"/>
        <v>0</v>
      </c>
      <c r="R225" s="1268">
        <f t="shared" si="67"/>
        <v>0</v>
      </c>
      <c r="S225" s="1268">
        <f t="shared" si="67"/>
        <v>0</v>
      </c>
      <c r="T225" s="1268">
        <f t="shared" si="67"/>
        <v>0</v>
      </c>
      <c r="U225" s="1268">
        <f t="shared" si="67"/>
        <v>0</v>
      </c>
      <c r="V225" s="1268">
        <f t="shared" si="67"/>
        <v>0</v>
      </c>
      <c r="W225" s="1268">
        <v>0</v>
      </c>
      <c r="X225" s="1268">
        <f t="shared" si="67"/>
        <v>60386</v>
      </c>
      <c r="Y225" s="1268">
        <f t="shared" si="67"/>
        <v>0</v>
      </c>
    </row>
    <row r="226" spans="1:25" s="1280" customFormat="1" ht="135" customHeight="1">
      <c r="A226" s="1281"/>
      <c r="B226" s="1277" t="s">
        <v>1139</v>
      </c>
      <c r="C226" s="1268">
        <f>C227</f>
        <v>831360</v>
      </c>
      <c r="D226" s="1268">
        <f t="shared" ref="D226:Y226" si="68">D227</f>
        <v>0</v>
      </c>
      <c r="E226" s="1268">
        <f t="shared" si="68"/>
        <v>0</v>
      </c>
      <c r="F226" s="1268">
        <f t="shared" si="68"/>
        <v>0</v>
      </c>
      <c r="G226" s="1268">
        <f t="shared" si="68"/>
        <v>0</v>
      </c>
      <c r="H226" s="1268">
        <f t="shared" si="68"/>
        <v>0</v>
      </c>
      <c r="I226" s="1268">
        <f t="shared" si="68"/>
        <v>0</v>
      </c>
      <c r="J226" s="1268">
        <f t="shared" si="68"/>
        <v>0</v>
      </c>
      <c r="K226" s="1278">
        <f t="shared" si="68"/>
        <v>0</v>
      </c>
      <c r="L226" s="1268">
        <f t="shared" si="68"/>
        <v>0</v>
      </c>
      <c r="M226" s="1278">
        <f t="shared" si="68"/>
        <v>0</v>
      </c>
      <c r="N226" s="1268">
        <f t="shared" si="68"/>
        <v>0</v>
      </c>
      <c r="O226" s="1268">
        <f t="shared" si="68"/>
        <v>245.63</v>
      </c>
      <c r="P226" s="1268">
        <f t="shared" si="68"/>
        <v>770974</v>
      </c>
      <c r="Q226" s="1268">
        <f t="shared" si="68"/>
        <v>0</v>
      </c>
      <c r="R226" s="1268">
        <f t="shared" si="68"/>
        <v>0</v>
      </c>
      <c r="S226" s="1268">
        <f t="shared" si="68"/>
        <v>0</v>
      </c>
      <c r="T226" s="1268">
        <f t="shared" si="68"/>
        <v>0</v>
      </c>
      <c r="U226" s="1268">
        <f t="shared" si="68"/>
        <v>0</v>
      </c>
      <c r="V226" s="1268">
        <f t="shared" si="68"/>
        <v>0</v>
      </c>
      <c r="W226" s="1268">
        <v>0</v>
      </c>
      <c r="X226" s="1268">
        <f t="shared" si="68"/>
        <v>60386</v>
      </c>
      <c r="Y226" s="1268">
        <f t="shared" si="68"/>
        <v>0</v>
      </c>
    </row>
    <row r="227" spans="1:25" s="1280" customFormat="1" ht="76.2">
      <c r="A227" s="1281">
        <v>198</v>
      </c>
      <c r="B227" s="1277" t="s">
        <v>2603</v>
      </c>
      <c r="C227" s="1268">
        <f>D227+N227+P227+R227+T227+V227+X227</f>
        <v>831360</v>
      </c>
      <c r="D227" s="1268">
        <f>SUM(E227:J227)</f>
        <v>0</v>
      </c>
      <c r="E227" s="1268">
        <v>0</v>
      </c>
      <c r="F227" s="1268">
        <v>0</v>
      </c>
      <c r="G227" s="1268">
        <v>0</v>
      </c>
      <c r="H227" s="1268">
        <v>0</v>
      </c>
      <c r="I227" s="1268">
        <v>0</v>
      </c>
      <c r="J227" s="1268">
        <v>0</v>
      </c>
      <c r="K227" s="1278">
        <v>0</v>
      </c>
      <c r="L227" s="1268">
        <v>0</v>
      </c>
      <c r="M227" s="1278">
        <v>0</v>
      </c>
      <c r="N227" s="1268">
        <v>0</v>
      </c>
      <c r="O227" s="1268">
        <v>245.63</v>
      </c>
      <c r="P227" s="1268">
        <v>770974</v>
      </c>
      <c r="Q227" s="1268">
        <v>0</v>
      </c>
      <c r="R227" s="1268">
        <v>0</v>
      </c>
      <c r="S227" s="1268">
        <v>0</v>
      </c>
      <c r="T227" s="1268">
        <v>0</v>
      </c>
      <c r="U227" s="1268">
        <v>0</v>
      </c>
      <c r="V227" s="1268">
        <v>0</v>
      </c>
      <c r="W227" s="1268">
        <v>0</v>
      </c>
      <c r="X227" s="1268">
        <v>60386</v>
      </c>
      <c r="Y227" s="1268">
        <v>0</v>
      </c>
    </row>
    <row r="228" spans="1:25" s="1280" customFormat="1">
      <c r="A228" s="1281"/>
      <c r="B228" s="1277" t="s">
        <v>49</v>
      </c>
      <c r="C228" s="1268">
        <f t="shared" ref="C228:Y228" si="69">C237+C243+C231+C247+C249+C251+C234+C229+C240</f>
        <v>30992161</v>
      </c>
      <c r="D228" s="1268">
        <f t="shared" si="69"/>
        <v>966812</v>
      </c>
      <c r="E228" s="1268">
        <f t="shared" si="69"/>
        <v>0</v>
      </c>
      <c r="F228" s="1268">
        <f t="shared" si="69"/>
        <v>0</v>
      </c>
      <c r="G228" s="1268">
        <f t="shared" si="69"/>
        <v>0</v>
      </c>
      <c r="H228" s="1268">
        <f t="shared" si="69"/>
        <v>0</v>
      </c>
      <c r="I228" s="1268">
        <f t="shared" si="69"/>
        <v>0</v>
      </c>
      <c r="J228" s="1268">
        <f t="shared" si="69"/>
        <v>966812</v>
      </c>
      <c r="K228" s="1278">
        <f t="shared" si="69"/>
        <v>0</v>
      </c>
      <c r="L228" s="1268">
        <f t="shared" si="69"/>
        <v>0</v>
      </c>
      <c r="M228" s="1278">
        <f t="shared" si="69"/>
        <v>0</v>
      </c>
      <c r="N228" s="1268">
        <f t="shared" si="69"/>
        <v>0</v>
      </c>
      <c r="O228" s="1268">
        <f t="shared" si="69"/>
        <v>9226.27</v>
      </c>
      <c r="P228" s="1268">
        <f t="shared" si="69"/>
        <v>27774237</v>
      </c>
      <c r="Q228" s="1268">
        <f t="shared" si="69"/>
        <v>0</v>
      </c>
      <c r="R228" s="1268">
        <f t="shared" si="69"/>
        <v>0</v>
      </c>
      <c r="S228" s="1268">
        <f t="shared" si="69"/>
        <v>0</v>
      </c>
      <c r="T228" s="1268">
        <f t="shared" si="69"/>
        <v>0</v>
      </c>
      <c r="U228" s="1268">
        <f t="shared" si="69"/>
        <v>0</v>
      </c>
      <c r="V228" s="1268">
        <f t="shared" si="69"/>
        <v>0</v>
      </c>
      <c r="W228" s="1268">
        <v>0</v>
      </c>
      <c r="X228" s="1268">
        <f t="shared" si="69"/>
        <v>2251112</v>
      </c>
      <c r="Y228" s="1268">
        <f t="shared" si="69"/>
        <v>0</v>
      </c>
    </row>
    <row r="229" spans="1:25" s="1280" customFormat="1" ht="125.4" customHeight="1">
      <c r="A229" s="1281"/>
      <c r="B229" s="1277" t="s">
        <v>2420</v>
      </c>
      <c r="C229" s="1268">
        <f>C230</f>
        <v>3012296</v>
      </c>
      <c r="D229" s="1268">
        <f t="shared" ref="D229:Y229" si="70">D230</f>
        <v>0</v>
      </c>
      <c r="E229" s="1268">
        <f t="shared" si="70"/>
        <v>0</v>
      </c>
      <c r="F229" s="1268">
        <f t="shared" si="70"/>
        <v>0</v>
      </c>
      <c r="G229" s="1268">
        <f t="shared" si="70"/>
        <v>0</v>
      </c>
      <c r="H229" s="1268">
        <f t="shared" si="70"/>
        <v>0</v>
      </c>
      <c r="I229" s="1268">
        <f t="shared" si="70"/>
        <v>0</v>
      </c>
      <c r="J229" s="1268">
        <f t="shared" si="70"/>
        <v>0</v>
      </c>
      <c r="K229" s="1278">
        <f t="shared" si="70"/>
        <v>0</v>
      </c>
      <c r="L229" s="1268">
        <f t="shared" si="70"/>
        <v>0</v>
      </c>
      <c r="M229" s="1278">
        <f t="shared" si="70"/>
        <v>0</v>
      </c>
      <c r="N229" s="1268">
        <f t="shared" si="70"/>
        <v>0</v>
      </c>
      <c r="O229" s="1268">
        <f t="shared" si="70"/>
        <v>873</v>
      </c>
      <c r="P229" s="1268">
        <f t="shared" si="70"/>
        <v>2793498</v>
      </c>
      <c r="Q229" s="1268">
        <f t="shared" si="70"/>
        <v>0</v>
      </c>
      <c r="R229" s="1268">
        <f t="shared" si="70"/>
        <v>0</v>
      </c>
      <c r="S229" s="1268">
        <f t="shared" si="70"/>
        <v>0</v>
      </c>
      <c r="T229" s="1268">
        <f t="shared" si="70"/>
        <v>0</v>
      </c>
      <c r="U229" s="1268">
        <f t="shared" si="70"/>
        <v>0</v>
      </c>
      <c r="V229" s="1268">
        <f t="shared" si="70"/>
        <v>0</v>
      </c>
      <c r="W229" s="1268">
        <v>0</v>
      </c>
      <c r="X229" s="1268">
        <f t="shared" si="70"/>
        <v>218798</v>
      </c>
      <c r="Y229" s="1268">
        <f t="shared" si="70"/>
        <v>0</v>
      </c>
    </row>
    <row r="230" spans="1:25" s="1280" customFormat="1">
      <c r="A230" s="1281">
        <v>199</v>
      </c>
      <c r="B230" s="1277" t="s">
        <v>1791</v>
      </c>
      <c r="C230" s="1268">
        <f>D230+N230+P230+R230+T230+V230+X230</f>
        <v>3012296</v>
      </c>
      <c r="D230" s="1268">
        <f>SUM(E230:J230)</f>
        <v>0</v>
      </c>
      <c r="E230" s="1268">
        <v>0</v>
      </c>
      <c r="F230" s="1268">
        <v>0</v>
      </c>
      <c r="G230" s="1268">
        <v>0</v>
      </c>
      <c r="H230" s="1268">
        <v>0</v>
      </c>
      <c r="I230" s="1268">
        <v>0</v>
      </c>
      <c r="J230" s="1268">
        <v>0</v>
      </c>
      <c r="K230" s="1278">
        <v>0</v>
      </c>
      <c r="L230" s="1268">
        <v>0</v>
      </c>
      <c r="M230" s="1278">
        <v>0</v>
      </c>
      <c r="N230" s="1268">
        <v>0</v>
      </c>
      <c r="O230" s="1268">
        <v>873</v>
      </c>
      <c r="P230" s="1268">
        <v>2793498</v>
      </c>
      <c r="Q230" s="1268">
        <v>0</v>
      </c>
      <c r="R230" s="1268">
        <v>0</v>
      </c>
      <c r="S230" s="1268">
        <v>0</v>
      </c>
      <c r="T230" s="1268">
        <v>0</v>
      </c>
      <c r="U230" s="1268">
        <v>0</v>
      </c>
      <c r="V230" s="1268">
        <v>0</v>
      </c>
      <c r="W230" s="1268">
        <v>0</v>
      </c>
      <c r="X230" s="1268">
        <v>218798</v>
      </c>
      <c r="Y230" s="1268">
        <v>0</v>
      </c>
    </row>
    <row r="231" spans="1:25" s="1280" customFormat="1" ht="113.4">
      <c r="A231" s="1281"/>
      <c r="B231" s="1277" t="s">
        <v>1165</v>
      </c>
      <c r="C231" s="1268">
        <f>C232+C233</f>
        <v>3043212</v>
      </c>
      <c r="D231" s="1268">
        <f t="shared" ref="D231:Y231" si="71">D232+D233</f>
        <v>0</v>
      </c>
      <c r="E231" s="1268">
        <f t="shared" si="71"/>
        <v>0</v>
      </c>
      <c r="F231" s="1268">
        <f t="shared" si="71"/>
        <v>0</v>
      </c>
      <c r="G231" s="1268">
        <f t="shared" si="71"/>
        <v>0</v>
      </c>
      <c r="H231" s="1268">
        <f t="shared" si="71"/>
        <v>0</v>
      </c>
      <c r="I231" s="1268">
        <f t="shared" si="71"/>
        <v>0</v>
      </c>
      <c r="J231" s="1268">
        <f t="shared" si="71"/>
        <v>0</v>
      </c>
      <c r="K231" s="1278">
        <f t="shared" si="71"/>
        <v>0</v>
      </c>
      <c r="L231" s="1268">
        <f t="shared" si="71"/>
        <v>0</v>
      </c>
      <c r="M231" s="1278">
        <f t="shared" si="71"/>
        <v>0</v>
      </c>
      <c r="N231" s="1268">
        <f t="shared" si="71"/>
        <v>0</v>
      </c>
      <c r="O231" s="1268">
        <f t="shared" si="71"/>
        <v>1120</v>
      </c>
      <c r="P231" s="1268">
        <f t="shared" si="71"/>
        <v>2822169</v>
      </c>
      <c r="Q231" s="1268">
        <f t="shared" si="71"/>
        <v>0</v>
      </c>
      <c r="R231" s="1268">
        <f t="shared" si="71"/>
        <v>0</v>
      </c>
      <c r="S231" s="1268">
        <f t="shared" si="71"/>
        <v>0</v>
      </c>
      <c r="T231" s="1268">
        <f t="shared" si="71"/>
        <v>0</v>
      </c>
      <c r="U231" s="1268">
        <f t="shared" si="71"/>
        <v>0</v>
      </c>
      <c r="V231" s="1268">
        <f t="shared" si="71"/>
        <v>0</v>
      </c>
      <c r="W231" s="1268">
        <v>0</v>
      </c>
      <c r="X231" s="1268">
        <f t="shared" si="71"/>
        <v>221043</v>
      </c>
      <c r="Y231" s="1268">
        <f t="shared" si="71"/>
        <v>0</v>
      </c>
    </row>
    <row r="232" spans="1:25" s="1280" customFormat="1">
      <c r="A232" s="1281">
        <v>200</v>
      </c>
      <c r="B232" s="1277" t="s">
        <v>1319</v>
      </c>
      <c r="C232" s="1268">
        <f>D232+N232+P232+R232+T232+V232+X232</f>
        <v>1032519</v>
      </c>
      <c r="D232" s="1268">
        <f>SUM(E232:J232)</f>
        <v>0</v>
      </c>
      <c r="E232" s="1268">
        <v>0</v>
      </c>
      <c r="F232" s="1268">
        <v>0</v>
      </c>
      <c r="G232" s="1268">
        <v>0</v>
      </c>
      <c r="H232" s="1268">
        <v>0</v>
      </c>
      <c r="I232" s="1268">
        <v>0</v>
      </c>
      <c r="J232" s="1268">
        <v>0</v>
      </c>
      <c r="K232" s="1278">
        <v>0</v>
      </c>
      <c r="L232" s="1268">
        <v>0</v>
      </c>
      <c r="M232" s="1278">
        <v>0</v>
      </c>
      <c r="N232" s="1268">
        <v>0</v>
      </c>
      <c r="O232" s="1268">
        <v>380</v>
      </c>
      <c r="P232" s="1268">
        <v>957522</v>
      </c>
      <c r="Q232" s="1268">
        <v>0</v>
      </c>
      <c r="R232" s="1268">
        <v>0</v>
      </c>
      <c r="S232" s="1268">
        <v>0</v>
      </c>
      <c r="T232" s="1268">
        <v>0</v>
      </c>
      <c r="U232" s="1268">
        <v>0</v>
      </c>
      <c r="V232" s="1268">
        <v>0</v>
      </c>
      <c r="W232" s="1268">
        <v>0</v>
      </c>
      <c r="X232" s="1268">
        <v>74997</v>
      </c>
      <c r="Y232" s="1268">
        <v>0</v>
      </c>
    </row>
    <row r="233" spans="1:25" s="1280" customFormat="1">
      <c r="A233" s="1281">
        <v>201</v>
      </c>
      <c r="B233" s="1277" t="s">
        <v>1320</v>
      </c>
      <c r="C233" s="1268">
        <f>D233+N233+P233+R233+T233+V233+X233</f>
        <v>2010693</v>
      </c>
      <c r="D233" s="1268">
        <f>SUM(E233:J233)</f>
        <v>0</v>
      </c>
      <c r="E233" s="1268">
        <v>0</v>
      </c>
      <c r="F233" s="1268">
        <v>0</v>
      </c>
      <c r="G233" s="1268">
        <v>0</v>
      </c>
      <c r="H233" s="1268">
        <v>0</v>
      </c>
      <c r="I233" s="1268">
        <v>0</v>
      </c>
      <c r="J233" s="1268">
        <v>0</v>
      </c>
      <c r="K233" s="1278">
        <v>0</v>
      </c>
      <c r="L233" s="1268">
        <v>0</v>
      </c>
      <c r="M233" s="1278">
        <v>0</v>
      </c>
      <c r="N233" s="1268">
        <v>0</v>
      </c>
      <c r="O233" s="1268">
        <v>740</v>
      </c>
      <c r="P233" s="1268">
        <v>1864647</v>
      </c>
      <c r="Q233" s="1268">
        <v>0</v>
      </c>
      <c r="R233" s="1268">
        <v>0</v>
      </c>
      <c r="S233" s="1268">
        <v>0</v>
      </c>
      <c r="T233" s="1268">
        <v>0</v>
      </c>
      <c r="U233" s="1268">
        <v>0</v>
      </c>
      <c r="V233" s="1268">
        <v>0</v>
      </c>
      <c r="W233" s="1268">
        <v>0</v>
      </c>
      <c r="X233" s="1268">
        <v>146046</v>
      </c>
      <c r="Y233" s="1268">
        <v>0</v>
      </c>
    </row>
    <row r="234" spans="1:25" s="1280" customFormat="1" ht="113.4">
      <c r="A234" s="1281"/>
      <c r="B234" s="1277" t="s">
        <v>1510</v>
      </c>
      <c r="C234" s="1268">
        <f>C235+C236</f>
        <v>5123904</v>
      </c>
      <c r="D234" s="1268">
        <f t="shared" ref="D234:Y234" si="72">D235+D236</f>
        <v>0</v>
      </c>
      <c r="E234" s="1268">
        <f t="shared" si="72"/>
        <v>0</v>
      </c>
      <c r="F234" s="1268">
        <f t="shared" si="72"/>
        <v>0</v>
      </c>
      <c r="G234" s="1268">
        <f t="shared" si="72"/>
        <v>0</v>
      </c>
      <c r="H234" s="1268">
        <f t="shared" si="72"/>
        <v>0</v>
      </c>
      <c r="I234" s="1268">
        <f t="shared" si="72"/>
        <v>0</v>
      </c>
      <c r="J234" s="1268">
        <f t="shared" si="72"/>
        <v>0</v>
      </c>
      <c r="K234" s="1278">
        <f t="shared" si="72"/>
        <v>0</v>
      </c>
      <c r="L234" s="1268">
        <f t="shared" si="72"/>
        <v>0</v>
      </c>
      <c r="M234" s="1278">
        <f t="shared" si="72"/>
        <v>0</v>
      </c>
      <c r="N234" s="1268">
        <f t="shared" si="72"/>
        <v>0</v>
      </c>
      <c r="O234" s="1268">
        <f t="shared" si="72"/>
        <v>1751.1000000000001</v>
      </c>
      <c r="P234" s="1268">
        <f t="shared" si="72"/>
        <v>4751730</v>
      </c>
      <c r="Q234" s="1268">
        <f t="shared" si="72"/>
        <v>0</v>
      </c>
      <c r="R234" s="1268">
        <f t="shared" si="72"/>
        <v>0</v>
      </c>
      <c r="S234" s="1268">
        <f t="shared" si="72"/>
        <v>0</v>
      </c>
      <c r="T234" s="1268">
        <f t="shared" si="72"/>
        <v>0</v>
      </c>
      <c r="U234" s="1268">
        <f t="shared" si="72"/>
        <v>0</v>
      </c>
      <c r="V234" s="1268">
        <f t="shared" si="72"/>
        <v>0</v>
      </c>
      <c r="W234" s="1268">
        <v>0</v>
      </c>
      <c r="X234" s="1268">
        <f t="shared" si="72"/>
        <v>372174</v>
      </c>
      <c r="Y234" s="1268">
        <f t="shared" si="72"/>
        <v>0</v>
      </c>
    </row>
    <row r="235" spans="1:25" s="1280" customFormat="1" ht="123" customHeight="1">
      <c r="A235" s="1281">
        <v>202</v>
      </c>
      <c r="B235" s="1277" t="s">
        <v>2605</v>
      </c>
      <c r="C235" s="1268">
        <f>D235+N235+P235+R235+T235+V235+X235</f>
        <v>1855440</v>
      </c>
      <c r="D235" s="1268">
        <f>SUM(E235:J235)</f>
        <v>0</v>
      </c>
      <c r="E235" s="1268">
        <v>0</v>
      </c>
      <c r="F235" s="1268">
        <v>0</v>
      </c>
      <c r="G235" s="1268">
        <v>0</v>
      </c>
      <c r="H235" s="1268">
        <v>0</v>
      </c>
      <c r="I235" s="1268">
        <v>0</v>
      </c>
      <c r="J235" s="1268">
        <v>0</v>
      </c>
      <c r="K235" s="1278">
        <v>0</v>
      </c>
      <c r="L235" s="1268">
        <v>0</v>
      </c>
      <c r="M235" s="1278">
        <v>0</v>
      </c>
      <c r="N235" s="1268">
        <v>0</v>
      </c>
      <c r="O235" s="1268">
        <v>548.20000000000005</v>
      </c>
      <c r="P235" s="1268">
        <v>1720670</v>
      </c>
      <c r="Q235" s="1268">
        <v>0</v>
      </c>
      <c r="R235" s="1268">
        <v>0</v>
      </c>
      <c r="S235" s="1268">
        <v>0</v>
      </c>
      <c r="T235" s="1268">
        <v>0</v>
      </c>
      <c r="U235" s="1268">
        <v>0</v>
      </c>
      <c r="V235" s="1268"/>
      <c r="W235" s="1268">
        <v>0</v>
      </c>
      <c r="X235" s="1268">
        <v>134770</v>
      </c>
      <c r="Y235" s="1268">
        <v>0</v>
      </c>
    </row>
    <row r="236" spans="1:25" s="1280" customFormat="1">
      <c r="A236" s="1281">
        <v>203</v>
      </c>
      <c r="B236" s="1277" t="s">
        <v>1793</v>
      </c>
      <c r="C236" s="1268">
        <f>D236+N236+P236+R236+T236+V236+X236</f>
        <v>3268464</v>
      </c>
      <c r="D236" s="1268">
        <f>SUM(E236:J236)</f>
        <v>0</v>
      </c>
      <c r="E236" s="1268">
        <v>0</v>
      </c>
      <c r="F236" s="1268">
        <v>0</v>
      </c>
      <c r="G236" s="1268">
        <v>0</v>
      </c>
      <c r="H236" s="1268">
        <v>0</v>
      </c>
      <c r="I236" s="1268">
        <v>0</v>
      </c>
      <c r="J236" s="1268">
        <v>0</v>
      </c>
      <c r="K236" s="1278">
        <v>0</v>
      </c>
      <c r="L236" s="1268">
        <v>0</v>
      </c>
      <c r="M236" s="1278">
        <v>0</v>
      </c>
      <c r="N236" s="1268">
        <v>0</v>
      </c>
      <c r="O236" s="1268">
        <v>1202.9000000000001</v>
      </c>
      <c r="P236" s="1268">
        <v>3031060</v>
      </c>
      <c r="Q236" s="1268">
        <v>0</v>
      </c>
      <c r="R236" s="1268">
        <v>0</v>
      </c>
      <c r="S236" s="1268">
        <v>0</v>
      </c>
      <c r="T236" s="1268">
        <v>0</v>
      </c>
      <c r="U236" s="1268">
        <v>0</v>
      </c>
      <c r="V236" s="1268">
        <v>0</v>
      </c>
      <c r="W236" s="1268">
        <v>0</v>
      </c>
      <c r="X236" s="1268">
        <v>237404</v>
      </c>
      <c r="Y236" s="1268">
        <v>0</v>
      </c>
    </row>
    <row r="237" spans="1:25" s="1280" customFormat="1" ht="113.4">
      <c r="A237" s="1281"/>
      <c r="B237" s="1277" t="s">
        <v>1181</v>
      </c>
      <c r="C237" s="1268">
        <f>C238+C239</f>
        <v>3393794</v>
      </c>
      <c r="D237" s="1268">
        <f t="shared" ref="D237:Y237" si="73">D238+D239</f>
        <v>232071</v>
      </c>
      <c r="E237" s="1268">
        <f t="shared" si="73"/>
        <v>0</v>
      </c>
      <c r="F237" s="1268">
        <f t="shared" si="73"/>
        <v>0</v>
      </c>
      <c r="G237" s="1268">
        <f t="shared" si="73"/>
        <v>0</v>
      </c>
      <c r="H237" s="1268">
        <f t="shared" si="73"/>
        <v>0</v>
      </c>
      <c r="I237" s="1268">
        <f t="shared" si="73"/>
        <v>0</v>
      </c>
      <c r="J237" s="1268">
        <f t="shared" si="73"/>
        <v>232071</v>
      </c>
      <c r="K237" s="1278">
        <f t="shared" si="73"/>
        <v>0</v>
      </c>
      <c r="L237" s="1268">
        <f t="shared" si="73"/>
        <v>0</v>
      </c>
      <c r="M237" s="1278">
        <f t="shared" si="73"/>
        <v>0</v>
      </c>
      <c r="N237" s="1268">
        <f t="shared" si="73"/>
        <v>0</v>
      </c>
      <c r="O237" s="1268">
        <f t="shared" si="73"/>
        <v>788</v>
      </c>
      <c r="P237" s="1268">
        <f t="shared" si="73"/>
        <v>2915215</v>
      </c>
      <c r="Q237" s="1268">
        <f t="shared" si="73"/>
        <v>0</v>
      </c>
      <c r="R237" s="1268">
        <f t="shared" si="73"/>
        <v>0</v>
      </c>
      <c r="S237" s="1268">
        <f t="shared" si="73"/>
        <v>0</v>
      </c>
      <c r="T237" s="1268">
        <f t="shared" si="73"/>
        <v>0</v>
      </c>
      <c r="U237" s="1268">
        <f t="shared" si="73"/>
        <v>0</v>
      </c>
      <c r="V237" s="1268">
        <f t="shared" si="73"/>
        <v>0</v>
      </c>
      <c r="W237" s="1268">
        <v>0</v>
      </c>
      <c r="X237" s="1268">
        <f t="shared" si="73"/>
        <v>246508</v>
      </c>
      <c r="Y237" s="1268">
        <f t="shared" si="73"/>
        <v>0</v>
      </c>
    </row>
    <row r="238" spans="1:25" s="1280" customFormat="1" ht="75.599999999999994">
      <c r="A238" s="1281">
        <v>204</v>
      </c>
      <c r="B238" s="1277" t="s">
        <v>2421</v>
      </c>
      <c r="C238" s="1268">
        <f>D238+N238+P238+R238+T238+V238+X238</f>
        <v>250248</v>
      </c>
      <c r="D238" s="1268">
        <f>SUM(E238:J238)</f>
        <v>232071</v>
      </c>
      <c r="E238" s="1268">
        <v>0</v>
      </c>
      <c r="F238" s="1268">
        <v>0</v>
      </c>
      <c r="G238" s="1268">
        <v>0</v>
      </c>
      <c r="H238" s="1268">
        <v>0</v>
      </c>
      <c r="I238" s="1268">
        <v>0</v>
      </c>
      <c r="J238" s="1268">
        <v>232071</v>
      </c>
      <c r="K238" s="1278">
        <v>0</v>
      </c>
      <c r="L238" s="1268">
        <v>0</v>
      </c>
      <c r="M238" s="1278">
        <v>0</v>
      </c>
      <c r="N238" s="1268">
        <v>0</v>
      </c>
      <c r="O238" s="1268">
        <v>0</v>
      </c>
      <c r="P238" s="1268">
        <v>0</v>
      </c>
      <c r="Q238" s="1268">
        <v>0</v>
      </c>
      <c r="R238" s="1268">
        <v>0</v>
      </c>
      <c r="S238" s="1268">
        <v>0</v>
      </c>
      <c r="T238" s="1268">
        <v>0</v>
      </c>
      <c r="U238" s="1268">
        <v>0</v>
      </c>
      <c r="V238" s="1268">
        <v>0</v>
      </c>
      <c r="W238" s="1268">
        <v>0</v>
      </c>
      <c r="X238" s="1268">
        <v>18177</v>
      </c>
      <c r="Y238" s="1268">
        <v>0</v>
      </c>
    </row>
    <row r="239" spans="1:25" s="1280" customFormat="1" ht="75.599999999999994">
      <c r="A239" s="1281">
        <v>205</v>
      </c>
      <c r="B239" s="1277" t="s">
        <v>2604</v>
      </c>
      <c r="C239" s="1268">
        <f>D239+N239+P239+R239+T239+V239+X239</f>
        <v>3143546</v>
      </c>
      <c r="D239" s="1268">
        <f>SUM(E239:J239)</f>
        <v>0</v>
      </c>
      <c r="E239" s="1268">
        <v>0</v>
      </c>
      <c r="F239" s="1268">
        <v>0</v>
      </c>
      <c r="G239" s="1268">
        <v>0</v>
      </c>
      <c r="H239" s="1268">
        <v>0</v>
      </c>
      <c r="I239" s="1268">
        <v>0</v>
      </c>
      <c r="J239" s="1268">
        <v>0</v>
      </c>
      <c r="K239" s="1278">
        <v>0</v>
      </c>
      <c r="L239" s="1268">
        <v>0</v>
      </c>
      <c r="M239" s="1278">
        <v>0</v>
      </c>
      <c r="N239" s="1268">
        <v>0</v>
      </c>
      <c r="O239" s="1268">
        <v>788</v>
      </c>
      <c r="P239" s="1268">
        <v>2915215</v>
      </c>
      <c r="Q239" s="1268">
        <v>0</v>
      </c>
      <c r="R239" s="1268">
        <v>0</v>
      </c>
      <c r="S239" s="1268">
        <v>0</v>
      </c>
      <c r="T239" s="1268">
        <v>0</v>
      </c>
      <c r="U239" s="1268">
        <v>0</v>
      </c>
      <c r="V239" s="1268">
        <v>0</v>
      </c>
      <c r="W239" s="1268">
        <v>0</v>
      </c>
      <c r="X239" s="1268">
        <v>228331</v>
      </c>
      <c r="Y239" s="1268">
        <v>0</v>
      </c>
    </row>
    <row r="240" spans="1:25" s="1301" customFormat="1" ht="113.4">
      <c r="A240" s="1281"/>
      <c r="B240" s="1277" t="s">
        <v>1563</v>
      </c>
      <c r="C240" s="1268">
        <f>C241+C242</f>
        <v>3357505</v>
      </c>
      <c r="D240" s="1268">
        <f t="shared" ref="D240:Y240" si="74">D241+D242</f>
        <v>0</v>
      </c>
      <c r="E240" s="1268">
        <f t="shared" si="74"/>
        <v>0</v>
      </c>
      <c r="F240" s="1268">
        <f t="shared" si="74"/>
        <v>0</v>
      </c>
      <c r="G240" s="1268">
        <f t="shared" si="74"/>
        <v>0</v>
      </c>
      <c r="H240" s="1268">
        <f t="shared" si="74"/>
        <v>0</v>
      </c>
      <c r="I240" s="1268">
        <f t="shared" si="74"/>
        <v>0</v>
      </c>
      <c r="J240" s="1268">
        <f t="shared" si="74"/>
        <v>0</v>
      </c>
      <c r="K240" s="1278">
        <f t="shared" si="74"/>
        <v>0</v>
      </c>
      <c r="L240" s="1268">
        <f t="shared" si="74"/>
        <v>0</v>
      </c>
      <c r="M240" s="1278">
        <f t="shared" si="74"/>
        <v>0</v>
      </c>
      <c r="N240" s="1268">
        <f t="shared" si="74"/>
        <v>0</v>
      </c>
      <c r="O240" s="1268">
        <f t="shared" si="74"/>
        <v>1235.27</v>
      </c>
      <c r="P240" s="1268">
        <f t="shared" si="74"/>
        <v>3113633</v>
      </c>
      <c r="Q240" s="1268">
        <f t="shared" si="74"/>
        <v>0</v>
      </c>
      <c r="R240" s="1268">
        <f t="shared" si="74"/>
        <v>0</v>
      </c>
      <c r="S240" s="1268">
        <f t="shared" si="74"/>
        <v>0</v>
      </c>
      <c r="T240" s="1268">
        <f t="shared" si="74"/>
        <v>0</v>
      </c>
      <c r="U240" s="1268">
        <f t="shared" si="74"/>
        <v>0</v>
      </c>
      <c r="V240" s="1268">
        <f t="shared" si="74"/>
        <v>0</v>
      </c>
      <c r="W240" s="1268">
        <v>0</v>
      </c>
      <c r="X240" s="1268">
        <f t="shared" si="74"/>
        <v>243872</v>
      </c>
      <c r="Y240" s="1268">
        <f t="shared" si="74"/>
        <v>0</v>
      </c>
    </row>
    <row r="241" spans="1:25" s="1301" customFormat="1" ht="75.599999999999994">
      <c r="A241" s="1281">
        <v>206</v>
      </c>
      <c r="B241" s="1277" t="s">
        <v>2422</v>
      </c>
      <c r="C241" s="1268">
        <f>D241+N241+P241+R241+T241+V241+X241</f>
        <v>1686347</v>
      </c>
      <c r="D241" s="1268">
        <f>SUM(E241:J241)</f>
        <v>0</v>
      </c>
      <c r="E241" s="1268">
        <v>0</v>
      </c>
      <c r="F241" s="1268">
        <v>0</v>
      </c>
      <c r="G241" s="1268">
        <v>0</v>
      </c>
      <c r="H241" s="1268">
        <v>0</v>
      </c>
      <c r="I241" s="1268">
        <v>0</v>
      </c>
      <c r="J241" s="1268">
        <v>0</v>
      </c>
      <c r="K241" s="1278">
        <v>0</v>
      </c>
      <c r="L241" s="1268">
        <v>0</v>
      </c>
      <c r="M241" s="1278">
        <v>0</v>
      </c>
      <c r="N241" s="1268">
        <v>0</v>
      </c>
      <c r="O241" s="1268">
        <v>620.23</v>
      </c>
      <c r="P241" s="1268">
        <v>1563859</v>
      </c>
      <c r="Q241" s="1268">
        <v>0</v>
      </c>
      <c r="R241" s="1268">
        <v>0</v>
      </c>
      <c r="S241" s="1268">
        <v>0</v>
      </c>
      <c r="T241" s="1268">
        <v>0</v>
      </c>
      <c r="U241" s="1268">
        <v>0</v>
      </c>
      <c r="V241" s="1268">
        <v>0</v>
      </c>
      <c r="W241" s="1268">
        <v>0</v>
      </c>
      <c r="X241" s="1268">
        <v>122488</v>
      </c>
      <c r="Y241" s="1268">
        <v>0</v>
      </c>
    </row>
    <row r="242" spans="1:25" s="1301" customFormat="1" ht="38.4">
      <c r="A242" s="1281">
        <v>207</v>
      </c>
      <c r="B242" s="1277" t="s">
        <v>1565</v>
      </c>
      <c r="C242" s="1268">
        <f>D242+N242+P242+R242+T242+V242+X242</f>
        <v>1671158</v>
      </c>
      <c r="D242" s="1268">
        <f>SUM(E242:J242)</f>
        <v>0</v>
      </c>
      <c r="E242" s="1268">
        <v>0</v>
      </c>
      <c r="F242" s="1268">
        <v>0</v>
      </c>
      <c r="G242" s="1268">
        <v>0</v>
      </c>
      <c r="H242" s="1268">
        <v>0</v>
      </c>
      <c r="I242" s="1268">
        <v>0</v>
      </c>
      <c r="J242" s="1268">
        <v>0</v>
      </c>
      <c r="K242" s="1278">
        <v>0</v>
      </c>
      <c r="L242" s="1268">
        <v>0</v>
      </c>
      <c r="M242" s="1278">
        <v>0</v>
      </c>
      <c r="N242" s="1268">
        <v>0</v>
      </c>
      <c r="O242" s="1268">
        <v>615.04</v>
      </c>
      <c r="P242" s="1268">
        <v>1549774</v>
      </c>
      <c r="Q242" s="1268">
        <v>0</v>
      </c>
      <c r="R242" s="1268">
        <v>0</v>
      </c>
      <c r="S242" s="1268">
        <v>0</v>
      </c>
      <c r="T242" s="1268">
        <v>0</v>
      </c>
      <c r="U242" s="1268">
        <v>0</v>
      </c>
      <c r="V242" s="1268">
        <v>0</v>
      </c>
      <c r="W242" s="1268">
        <v>0</v>
      </c>
      <c r="X242" s="1268">
        <v>121384</v>
      </c>
      <c r="Y242" s="1268">
        <v>0</v>
      </c>
    </row>
    <row r="243" spans="1:25" s="1301" customFormat="1" ht="75.599999999999994">
      <c r="A243" s="1281"/>
      <c r="B243" s="1277" t="s">
        <v>1079</v>
      </c>
      <c r="C243" s="1268">
        <f>C244+C245+C246</f>
        <v>5771424</v>
      </c>
      <c r="D243" s="1268">
        <f t="shared" ref="D243:Y243" si="75">D244+D245+D246</f>
        <v>0</v>
      </c>
      <c r="E243" s="1268">
        <f t="shared" si="75"/>
        <v>0</v>
      </c>
      <c r="F243" s="1268">
        <f t="shared" si="75"/>
        <v>0</v>
      </c>
      <c r="G243" s="1268">
        <f t="shared" si="75"/>
        <v>0</v>
      </c>
      <c r="H243" s="1268">
        <f t="shared" si="75"/>
        <v>0</v>
      </c>
      <c r="I243" s="1268">
        <f t="shared" si="75"/>
        <v>0</v>
      </c>
      <c r="J243" s="1268">
        <f t="shared" si="75"/>
        <v>0</v>
      </c>
      <c r="K243" s="1278">
        <f t="shared" si="75"/>
        <v>0</v>
      </c>
      <c r="L243" s="1268">
        <f t="shared" si="75"/>
        <v>0</v>
      </c>
      <c r="M243" s="1278">
        <f t="shared" si="75"/>
        <v>0</v>
      </c>
      <c r="N243" s="1268">
        <f t="shared" si="75"/>
        <v>0</v>
      </c>
      <c r="O243" s="1268">
        <f t="shared" si="75"/>
        <v>1705.1999999999998</v>
      </c>
      <c r="P243" s="1268">
        <f t="shared" si="75"/>
        <v>5352217</v>
      </c>
      <c r="Q243" s="1268">
        <f t="shared" si="75"/>
        <v>0</v>
      </c>
      <c r="R243" s="1268">
        <f t="shared" si="75"/>
        <v>0</v>
      </c>
      <c r="S243" s="1268">
        <f t="shared" si="75"/>
        <v>0</v>
      </c>
      <c r="T243" s="1268">
        <f t="shared" si="75"/>
        <v>0</v>
      </c>
      <c r="U243" s="1268">
        <f t="shared" si="75"/>
        <v>0</v>
      </c>
      <c r="V243" s="1268">
        <f t="shared" si="75"/>
        <v>0</v>
      </c>
      <c r="W243" s="1268">
        <v>0</v>
      </c>
      <c r="X243" s="1268">
        <f t="shared" si="75"/>
        <v>419207</v>
      </c>
      <c r="Y243" s="1268">
        <f t="shared" si="75"/>
        <v>0</v>
      </c>
    </row>
    <row r="244" spans="1:25" s="1301" customFormat="1" ht="38.4">
      <c r="A244" s="1281">
        <v>208</v>
      </c>
      <c r="B244" s="1277" t="s">
        <v>1252</v>
      </c>
      <c r="C244" s="1268">
        <f>D244+N244+P244+R244+T244+V244+X244</f>
        <v>1823624</v>
      </c>
      <c r="D244" s="1268">
        <f>SUM(E244:J244)</f>
        <v>0</v>
      </c>
      <c r="E244" s="1268">
        <v>0</v>
      </c>
      <c r="F244" s="1268">
        <v>0</v>
      </c>
      <c r="G244" s="1268">
        <v>0</v>
      </c>
      <c r="H244" s="1268">
        <v>0</v>
      </c>
      <c r="I244" s="1268">
        <v>0</v>
      </c>
      <c r="J244" s="1268">
        <v>0</v>
      </c>
      <c r="K244" s="1278">
        <v>0</v>
      </c>
      <c r="L244" s="1268">
        <v>0</v>
      </c>
      <c r="M244" s="1278">
        <v>0</v>
      </c>
      <c r="N244" s="1268">
        <v>0</v>
      </c>
      <c r="O244" s="1268">
        <v>538.79999999999995</v>
      </c>
      <c r="P244" s="1268">
        <v>1691165</v>
      </c>
      <c r="Q244" s="1268">
        <v>0</v>
      </c>
      <c r="R244" s="1268">
        <v>0</v>
      </c>
      <c r="S244" s="1268">
        <v>0</v>
      </c>
      <c r="T244" s="1268">
        <v>0</v>
      </c>
      <c r="U244" s="1268">
        <v>0</v>
      </c>
      <c r="V244" s="1268">
        <v>0</v>
      </c>
      <c r="W244" s="1268">
        <v>0</v>
      </c>
      <c r="X244" s="1268">
        <v>132459</v>
      </c>
      <c r="Y244" s="1268">
        <v>0</v>
      </c>
    </row>
    <row r="245" spans="1:25" s="1301" customFormat="1" ht="38.4">
      <c r="A245" s="1281">
        <v>209</v>
      </c>
      <c r="B245" s="1277" t="s">
        <v>1253</v>
      </c>
      <c r="C245" s="1268">
        <f>D245+N245+P245+R245+T245+V245+X245</f>
        <v>1829039</v>
      </c>
      <c r="D245" s="1268">
        <f>SUM(E245:J245)</f>
        <v>0</v>
      </c>
      <c r="E245" s="1268">
        <v>0</v>
      </c>
      <c r="F245" s="1268">
        <v>0</v>
      </c>
      <c r="G245" s="1268">
        <v>0</v>
      </c>
      <c r="H245" s="1268">
        <v>0</v>
      </c>
      <c r="I245" s="1268">
        <v>0</v>
      </c>
      <c r="J245" s="1268">
        <v>0</v>
      </c>
      <c r="K245" s="1278">
        <v>0</v>
      </c>
      <c r="L245" s="1268">
        <v>0</v>
      </c>
      <c r="M245" s="1278">
        <v>0</v>
      </c>
      <c r="N245" s="1268">
        <v>0</v>
      </c>
      <c r="O245" s="1268">
        <v>540.4</v>
      </c>
      <c r="P245" s="1268">
        <v>1696187</v>
      </c>
      <c r="Q245" s="1268">
        <v>0</v>
      </c>
      <c r="R245" s="1268">
        <v>0</v>
      </c>
      <c r="S245" s="1268">
        <v>0</v>
      </c>
      <c r="T245" s="1268">
        <v>0</v>
      </c>
      <c r="U245" s="1268">
        <v>0</v>
      </c>
      <c r="V245" s="1268">
        <v>0</v>
      </c>
      <c r="W245" s="1268">
        <v>0</v>
      </c>
      <c r="X245" s="1268">
        <v>132852</v>
      </c>
      <c r="Y245" s="1268">
        <v>0</v>
      </c>
    </row>
    <row r="246" spans="1:25" s="1301" customFormat="1" ht="38.4">
      <c r="A246" s="1281">
        <v>210</v>
      </c>
      <c r="B246" s="1277" t="s">
        <v>1796</v>
      </c>
      <c r="C246" s="1268">
        <f>D246+N246+P246+R246+T246+V246+X246</f>
        <v>2118761</v>
      </c>
      <c r="D246" s="1268">
        <f>SUM(E246:J246)</f>
        <v>0</v>
      </c>
      <c r="E246" s="1268">
        <v>0</v>
      </c>
      <c r="F246" s="1268">
        <v>0</v>
      </c>
      <c r="G246" s="1268">
        <v>0</v>
      </c>
      <c r="H246" s="1268">
        <v>0</v>
      </c>
      <c r="I246" s="1268">
        <v>0</v>
      </c>
      <c r="J246" s="1268">
        <v>0</v>
      </c>
      <c r="K246" s="1278">
        <v>0</v>
      </c>
      <c r="L246" s="1268">
        <v>0</v>
      </c>
      <c r="M246" s="1278">
        <v>0</v>
      </c>
      <c r="N246" s="1268">
        <v>0</v>
      </c>
      <c r="O246" s="1268">
        <v>626</v>
      </c>
      <c r="P246" s="1268">
        <v>1964865</v>
      </c>
      <c r="Q246" s="1268">
        <v>0</v>
      </c>
      <c r="R246" s="1268">
        <v>0</v>
      </c>
      <c r="S246" s="1268">
        <v>0</v>
      </c>
      <c r="T246" s="1268">
        <v>0</v>
      </c>
      <c r="U246" s="1268">
        <v>0</v>
      </c>
      <c r="V246" s="1268">
        <v>0</v>
      </c>
      <c r="W246" s="1268">
        <v>0</v>
      </c>
      <c r="X246" s="1268">
        <v>153896</v>
      </c>
      <c r="Y246" s="1268">
        <v>0</v>
      </c>
    </row>
    <row r="247" spans="1:25" s="1301" customFormat="1" ht="125.4" customHeight="1">
      <c r="A247" s="1281"/>
      <c r="B247" s="1277" t="s">
        <v>1384</v>
      </c>
      <c r="C247" s="1268">
        <f>C248</f>
        <v>2788912</v>
      </c>
      <c r="D247" s="1268">
        <f t="shared" ref="D247:Y247" si="76">D248</f>
        <v>0</v>
      </c>
      <c r="E247" s="1268">
        <f t="shared" si="76"/>
        <v>0</v>
      </c>
      <c r="F247" s="1268">
        <f t="shared" si="76"/>
        <v>0</v>
      </c>
      <c r="G247" s="1268">
        <f t="shared" si="76"/>
        <v>0</v>
      </c>
      <c r="H247" s="1268">
        <f t="shared" si="76"/>
        <v>0</v>
      </c>
      <c r="I247" s="1268">
        <f t="shared" si="76"/>
        <v>0</v>
      </c>
      <c r="J247" s="1268">
        <f t="shared" si="76"/>
        <v>0</v>
      </c>
      <c r="K247" s="1278">
        <f t="shared" si="76"/>
        <v>0</v>
      </c>
      <c r="L247" s="1268">
        <f t="shared" si="76"/>
        <v>0</v>
      </c>
      <c r="M247" s="1278">
        <f t="shared" si="76"/>
        <v>0</v>
      </c>
      <c r="N247" s="1268">
        <f t="shared" si="76"/>
        <v>0</v>
      </c>
      <c r="O247" s="1268">
        <f t="shared" si="76"/>
        <v>824</v>
      </c>
      <c r="P247" s="1268">
        <f t="shared" si="76"/>
        <v>2586340</v>
      </c>
      <c r="Q247" s="1268">
        <f t="shared" si="76"/>
        <v>0</v>
      </c>
      <c r="R247" s="1268">
        <f t="shared" si="76"/>
        <v>0</v>
      </c>
      <c r="S247" s="1268">
        <f t="shared" si="76"/>
        <v>0</v>
      </c>
      <c r="T247" s="1268">
        <f t="shared" si="76"/>
        <v>0</v>
      </c>
      <c r="U247" s="1268">
        <f t="shared" si="76"/>
        <v>0</v>
      </c>
      <c r="V247" s="1268">
        <f t="shared" si="76"/>
        <v>0</v>
      </c>
      <c r="W247" s="1268">
        <v>0</v>
      </c>
      <c r="X247" s="1268">
        <f t="shared" si="76"/>
        <v>202572</v>
      </c>
      <c r="Y247" s="1268">
        <f t="shared" si="76"/>
        <v>0</v>
      </c>
    </row>
    <row r="248" spans="1:25" s="1301" customFormat="1" ht="38.4">
      <c r="A248" s="1281">
        <v>211</v>
      </c>
      <c r="B248" s="1277" t="s">
        <v>1385</v>
      </c>
      <c r="C248" s="1268">
        <f>D248+N248+P248+R248+T248+V248+X248</f>
        <v>2788912</v>
      </c>
      <c r="D248" s="1268">
        <f>SUM(E248:J248)</f>
        <v>0</v>
      </c>
      <c r="E248" s="1268">
        <v>0</v>
      </c>
      <c r="F248" s="1268">
        <v>0</v>
      </c>
      <c r="G248" s="1268">
        <v>0</v>
      </c>
      <c r="H248" s="1268">
        <v>0</v>
      </c>
      <c r="I248" s="1268">
        <v>0</v>
      </c>
      <c r="J248" s="1268">
        <v>0</v>
      </c>
      <c r="K248" s="1278">
        <v>0</v>
      </c>
      <c r="L248" s="1268">
        <v>0</v>
      </c>
      <c r="M248" s="1278">
        <v>0</v>
      </c>
      <c r="N248" s="1268">
        <v>0</v>
      </c>
      <c r="O248" s="1268">
        <v>824</v>
      </c>
      <c r="P248" s="1268">
        <v>2586340</v>
      </c>
      <c r="Q248" s="1268">
        <v>0</v>
      </c>
      <c r="R248" s="1268">
        <v>0</v>
      </c>
      <c r="S248" s="1268">
        <v>0</v>
      </c>
      <c r="T248" s="1268">
        <v>0</v>
      </c>
      <c r="U248" s="1268">
        <v>0</v>
      </c>
      <c r="V248" s="1268">
        <v>0</v>
      </c>
      <c r="W248" s="1268">
        <v>0</v>
      </c>
      <c r="X248" s="1268">
        <v>202572</v>
      </c>
      <c r="Y248" s="1268">
        <v>0</v>
      </c>
    </row>
    <row r="249" spans="1:25" s="1301" customFormat="1" ht="113.4">
      <c r="A249" s="1281"/>
      <c r="B249" s="1277" t="s">
        <v>1168</v>
      </c>
      <c r="C249" s="1268">
        <f>C250</f>
        <v>1723365</v>
      </c>
      <c r="D249" s="1268">
        <f t="shared" ref="D249:Y249" si="77">D250</f>
        <v>0</v>
      </c>
      <c r="E249" s="1268">
        <f t="shared" si="77"/>
        <v>0</v>
      </c>
      <c r="F249" s="1268">
        <f t="shared" si="77"/>
        <v>0</v>
      </c>
      <c r="G249" s="1268">
        <f t="shared" si="77"/>
        <v>0</v>
      </c>
      <c r="H249" s="1268">
        <f t="shared" si="77"/>
        <v>0</v>
      </c>
      <c r="I249" s="1268">
        <f t="shared" si="77"/>
        <v>0</v>
      </c>
      <c r="J249" s="1268">
        <f t="shared" si="77"/>
        <v>0</v>
      </c>
      <c r="K249" s="1278">
        <f t="shared" si="77"/>
        <v>0</v>
      </c>
      <c r="L249" s="1268">
        <f t="shared" si="77"/>
        <v>0</v>
      </c>
      <c r="M249" s="1278">
        <f t="shared" si="77"/>
        <v>0</v>
      </c>
      <c r="N249" s="1268">
        <f t="shared" si="77"/>
        <v>0</v>
      </c>
      <c r="O249" s="1268">
        <f t="shared" si="77"/>
        <v>432</v>
      </c>
      <c r="P249" s="1268">
        <f t="shared" si="77"/>
        <v>1598189</v>
      </c>
      <c r="Q249" s="1268">
        <f t="shared" si="77"/>
        <v>0</v>
      </c>
      <c r="R249" s="1268">
        <f t="shared" si="77"/>
        <v>0</v>
      </c>
      <c r="S249" s="1268">
        <f t="shared" si="77"/>
        <v>0</v>
      </c>
      <c r="T249" s="1268">
        <f t="shared" si="77"/>
        <v>0</v>
      </c>
      <c r="U249" s="1268">
        <f t="shared" si="77"/>
        <v>0</v>
      </c>
      <c r="V249" s="1268">
        <f t="shared" si="77"/>
        <v>0</v>
      </c>
      <c r="W249" s="1268">
        <v>0</v>
      </c>
      <c r="X249" s="1268">
        <f t="shared" si="77"/>
        <v>125176</v>
      </c>
      <c r="Y249" s="1268">
        <f t="shared" si="77"/>
        <v>0</v>
      </c>
    </row>
    <row r="250" spans="1:25" s="1299" customFormat="1" ht="75.599999999999994">
      <c r="A250" s="1281">
        <v>212</v>
      </c>
      <c r="B250" s="1277" t="s">
        <v>2423</v>
      </c>
      <c r="C250" s="1268">
        <f>D250+N250+P250+R250+T250+V250+X250</f>
        <v>1723365</v>
      </c>
      <c r="D250" s="1268">
        <f>SUM(E250:J250)</f>
        <v>0</v>
      </c>
      <c r="E250" s="1268">
        <v>0</v>
      </c>
      <c r="F250" s="1268">
        <v>0</v>
      </c>
      <c r="G250" s="1268">
        <v>0</v>
      </c>
      <c r="H250" s="1268">
        <v>0</v>
      </c>
      <c r="I250" s="1268">
        <v>0</v>
      </c>
      <c r="J250" s="1268">
        <v>0</v>
      </c>
      <c r="K250" s="1278">
        <v>0</v>
      </c>
      <c r="L250" s="1268">
        <v>0</v>
      </c>
      <c r="M250" s="1278">
        <v>0</v>
      </c>
      <c r="N250" s="1268">
        <v>0</v>
      </c>
      <c r="O250" s="1268">
        <v>432</v>
      </c>
      <c r="P250" s="1268">
        <v>1598189</v>
      </c>
      <c r="Q250" s="1268">
        <v>0</v>
      </c>
      <c r="R250" s="1268">
        <v>0</v>
      </c>
      <c r="S250" s="1268">
        <v>0</v>
      </c>
      <c r="T250" s="1268">
        <v>0</v>
      </c>
      <c r="U250" s="1268">
        <v>0</v>
      </c>
      <c r="V250" s="1268">
        <v>0</v>
      </c>
      <c r="W250" s="1268">
        <v>0</v>
      </c>
      <c r="X250" s="1268">
        <v>125176</v>
      </c>
      <c r="Y250" s="1268">
        <v>0</v>
      </c>
    </row>
    <row r="251" spans="1:25" s="1301" customFormat="1" ht="113.4">
      <c r="A251" s="1281"/>
      <c r="B251" s="1277" t="s">
        <v>1194</v>
      </c>
      <c r="C251" s="1268">
        <f>C252+C253</f>
        <v>2777749</v>
      </c>
      <c r="D251" s="1268">
        <f t="shared" ref="D251:Y251" si="78">D252+D253</f>
        <v>734741</v>
      </c>
      <c r="E251" s="1268">
        <f t="shared" si="78"/>
        <v>0</v>
      </c>
      <c r="F251" s="1268">
        <f t="shared" si="78"/>
        <v>0</v>
      </c>
      <c r="G251" s="1268">
        <f t="shared" si="78"/>
        <v>0</v>
      </c>
      <c r="H251" s="1268">
        <f t="shared" si="78"/>
        <v>0</v>
      </c>
      <c r="I251" s="1268">
        <f t="shared" si="78"/>
        <v>0</v>
      </c>
      <c r="J251" s="1268">
        <f t="shared" si="78"/>
        <v>734741</v>
      </c>
      <c r="K251" s="1278">
        <f t="shared" si="78"/>
        <v>0</v>
      </c>
      <c r="L251" s="1268">
        <f t="shared" si="78"/>
        <v>0</v>
      </c>
      <c r="M251" s="1278">
        <f t="shared" si="78"/>
        <v>0</v>
      </c>
      <c r="N251" s="1268">
        <f t="shared" si="78"/>
        <v>0</v>
      </c>
      <c r="O251" s="1268">
        <f t="shared" si="78"/>
        <v>497.7</v>
      </c>
      <c r="P251" s="1268">
        <f t="shared" si="78"/>
        <v>1841246</v>
      </c>
      <c r="Q251" s="1268">
        <f t="shared" si="78"/>
        <v>0</v>
      </c>
      <c r="R251" s="1268">
        <f t="shared" si="78"/>
        <v>0</v>
      </c>
      <c r="S251" s="1268">
        <f t="shared" si="78"/>
        <v>0</v>
      </c>
      <c r="T251" s="1268">
        <f t="shared" si="78"/>
        <v>0</v>
      </c>
      <c r="U251" s="1268">
        <f t="shared" si="78"/>
        <v>0</v>
      </c>
      <c r="V251" s="1268">
        <f t="shared" si="78"/>
        <v>0</v>
      </c>
      <c r="W251" s="1268">
        <v>0</v>
      </c>
      <c r="X251" s="1268">
        <f t="shared" si="78"/>
        <v>201762</v>
      </c>
      <c r="Y251" s="1268">
        <f t="shared" si="78"/>
        <v>0</v>
      </c>
    </row>
    <row r="252" spans="1:25" s="1280" customFormat="1">
      <c r="A252" s="1281">
        <v>213</v>
      </c>
      <c r="B252" s="1267" t="s">
        <v>1797</v>
      </c>
      <c r="C252" s="1268">
        <f>D252+N252+P252+R252+T252+V252+X252</f>
        <v>1985460</v>
      </c>
      <c r="D252" s="1268">
        <f>SUM(E252:J252)</f>
        <v>0</v>
      </c>
      <c r="E252" s="1268">
        <v>0</v>
      </c>
      <c r="F252" s="1268">
        <v>0</v>
      </c>
      <c r="G252" s="1268">
        <v>0</v>
      </c>
      <c r="H252" s="1268">
        <v>0</v>
      </c>
      <c r="I252" s="1268">
        <v>0</v>
      </c>
      <c r="J252" s="1268">
        <v>0</v>
      </c>
      <c r="K252" s="1278">
        <v>0</v>
      </c>
      <c r="L252" s="1268">
        <v>0</v>
      </c>
      <c r="M252" s="1278">
        <v>0</v>
      </c>
      <c r="N252" s="1268">
        <v>0</v>
      </c>
      <c r="O252" s="1268">
        <v>497.7</v>
      </c>
      <c r="P252" s="1268">
        <v>1841246</v>
      </c>
      <c r="Q252" s="1268">
        <v>0</v>
      </c>
      <c r="R252" s="1268">
        <v>0</v>
      </c>
      <c r="S252" s="1268">
        <v>0</v>
      </c>
      <c r="T252" s="1268">
        <v>0</v>
      </c>
      <c r="U252" s="1268">
        <v>0</v>
      </c>
      <c r="V252" s="1268">
        <v>0</v>
      </c>
      <c r="W252" s="1268">
        <v>0</v>
      </c>
      <c r="X252" s="1268">
        <v>144214</v>
      </c>
      <c r="Y252" s="1268">
        <v>0</v>
      </c>
    </row>
    <row r="253" spans="1:25" s="1280" customFormat="1">
      <c r="A253" s="1281">
        <v>214</v>
      </c>
      <c r="B253" s="1267" t="s">
        <v>1798</v>
      </c>
      <c r="C253" s="1268">
        <f>D253+N253+P253+R253+T253+V253+X253</f>
        <v>792289</v>
      </c>
      <c r="D253" s="1268">
        <f>SUM(E253:J253)</f>
        <v>734741</v>
      </c>
      <c r="E253" s="1268">
        <v>0</v>
      </c>
      <c r="F253" s="1268">
        <v>0</v>
      </c>
      <c r="G253" s="1268">
        <v>0</v>
      </c>
      <c r="H253" s="1268">
        <v>0</v>
      </c>
      <c r="I253" s="1268">
        <v>0</v>
      </c>
      <c r="J253" s="1268">
        <v>734741</v>
      </c>
      <c r="K253" s="1278">
        <v>0</v>
      </c>
      <c r="L253" s="1268">
        <v>0</v>
      </c>
      <c r="M253" s="1278">
        <v>0</v>
      </c>
      <c r="N253" s="1268">
        <v>0</v>
      </c>
      <c r="O253" s="1268">
        <v>0</v>
      </c>
      <c r="P253" s="1268">
        <v>0</v>
      </c>
      <c r="Q253" s="1268">
        <v>0</v>
      </c>
      <c r="R253" s="1268">
        <v>0</v>
      </c>
      <c r="S253" s="1268">
        <v>0</v>
      </c>
      <c r="T253" s="1268">
        <v>0</v>
      </c>
      <c r="U253" s="1268">
        <v>0</v>
      </c>
      <c r="V253" s="1268">
        <v>0</v>
      </c>
      <c r="W253" s="1268">
        <v>0</v>
      </c>
      <c r="X253" s="1268">
        <v>57548</v>
      </c>
      <c r="Y253" s="1268">
        <v>0</v>
      </c>
    </row>
    <row r="254" spans="1:25" s="1280" customFormat="1">
      <c r="A254" s="1281"/>
      <c r="B254" s="1277" t="s">
        <v>50</v>
      </c>
      <c r="C254" s="1268">
        <f t="shared" ref="C254:J254" si="79">C255</f>
        <v>23576771</v>
      </c>
      <c r="D254" s="1268">
        <f t="shared" si="79"/>
        <v>0</v>
      </c>
      <c r="E254" s="1268">
        <f t="shared" si="79"/>
        <v>0</v>
      </c>
      <c r="F254" s="1268">
        <f t="shared" si="79"/>
        <v>0</v>
      </c>
      <c r="G254" s="1268">
        <f t="shared" si="79"/>
        <v>0</v>
      </c>
      <c r="H254" s="1268">
        <f t="shared" si="79"/>
        <v>0</v>
      </c>
      <c r="I254" s="1268">
        <f t="shared" si="79"/>
        <v>0</v>
      </c>
      <c r="J254" s="1268">
        <f t="shared" si="79"/>
        <v>0</v>
      </c>
      <c r="K254" s="1278">
        <v>0</v>
      </c>
      <c r="L254" s="1268">
        <v>0</v>
      </c>
      <c r="M254" s="1278">
        <f t="shared" ref="M254:V254" si="80">M255</f>
        <v>0</v>
      </c>
      <c r="N254" s="1268">
        <f t="shared" si="80"/>
        <v>0</v>
      </c>
      <c r="O254" s="1268">
        <f t="shared" si="80"/>
        <v>8556.4</v>
      </c>
      <c r="P254" s="1268">
        <f t="shared" si="80"/>
        <v>21864276</v>
      </c>
      <c r="Q254" s="1268">
        <f t="shared" si="80"/>
        <v>0</v>
      </c>
      <c r="R254" s="1268">
        <f t="shared" si="80"/>
        <v>0</v>
      </c>
      <c r="S254" s="1268">
        <f t="shared" si="80"/>
        <v>0</v>
      </c>
      <c r="T254" s="1268">
        <f t="shared" si="80"/>
        <v>0</v>
      </c>
      <c r="U254" s="1268">
        <f t="shared" si="80"/>
        <v>0</v>
      </c>
      <c r="V254" s="1268">
        <f t="shared" si="80"/>
        <v>0</v>
      </c>
      <c r="W254" s="1268">
        <v>0</v>
      </c>
      <c r="X254" s="1268">
        <f t="shared" ref="X254" si="81">X255</f>
        <v>1712495</v>
      </c>
      <c r="Y254" s="1268">
        <v>0</v>
      </c>
    </row>
    <row r="255" spans="1:25" s="1280" customFormat="1" ht="113.4">
      <c r="A255" s="1281"/>
      <c r="B255" s="1277" t="s">
        <v>1081</v>
      </c>
      <c r="C255" s="1289">
        <f>SUM(C256:C263)</f>
        <v>23576771</v>
      </c>
      <c r="D255" s="1289">
        <f t="shared" ref="D255:Y255" si="82">SUM(D256:D263)</f>
        <v>0</v>
      </c>
      <c r="E255" s="1289">
        <f t="shared" si="82"/>
        <v>0</v>
      </c>
      <c r="F255" s="1289">
        <f t="shared" si="82"/>
        <v>0</v>
      </c>
      <c r="G255" s="1289">
        <f t="shared" si="82"/>
        <v>0</v>
      </c>
      <c r="H255" s="1289">
        <f t="shared" si="82"/>
        <v>0</v>
      </c>
      <c r="I255" s="1289">
        <f t="shared" si="82"/>
        <v>0</v>
      </c>
      <c r="J255" s="1289">
        <f t="shared" si="82"/>
        <v>0</v>
      </c>
      <c r="K255" s="1278">
        <f t="shared" si="82"/>
        <v>0</v>
      </c>
      <c r="L255" s="1289">
        <f t="shared" si="82"/>
        <v>0</v>
      </c>
      <c r="M255" s="1278">
        <f t="shared" si="82"/>
        <v>0</v>
      </c>
      <c r="N255" s="1289">
        <f t="shared" si="82"/>
        <v>0</v>
      </c>
      <c r="O255" s="1289">
        <f t="shared" si="82"/>
        <v>8556.4</v>
      </c>
      <c r="P255" s="1289">
        <f t="shared" si="82"/>
        <v>21864276</v>
      </c>
      <c r="Q255" s="1289">
        <f t="shared" si="82"/>
        <v>0</v>
      </c>
      <c r="R255" s="1289">
        <f t="shared" si="82"/>
        <v>0</v>
      </c>
      <c r="S255" s="1289">
        <f t="shared" si="82"/>
        <v>0</v>
      </c>
      <c r="T255" s="1289">
        <f t="shared" si="82"/>
        <v>0</v>
      </c>
      <c r="U255" s="1289">
        <f t="shared" si="82"/>
        <v>0</v>
      </c>
      <c r="V255" s="1289">
        <f t="shared" si="82"/>
        <v>0</v>
      </c>
      <c r="W255" s="1268">
        <v>0</v>
      </c>
      <c r="X255" s="1289">
        <f t="shared" si="82"/>
        <v>1712495</v>
      </c>
      <c r="Y255" s="1289">
        <f t="shared" si="82"/>
        <v>0</v>
      </c>
    </row>
    <row r="256" spans="1:25" s="1280" customFormat="1">
      <c r="A256" s="1281">
        <v>215</v>
      </c>
      <c r="B256" s="1267" t="s">
        <v>1367</v>
      </c>
      <c r="C256" s="1268">
        <f t="shared" ref="C256:C261" si="83">D256+N256+P256+R256+T256+V256+X256</f>
        <v>4293103</v>
      </c>
      <c r="D256" s="1268">
        <f t="shared" ref="D256:D261" si="84">SUM(E256:J256)</f>
        <v>0</v>
      </c>
      <c r="E256" s="1268">
        <f>([1]база!E260-(([1]база!E260*8)/110.14))</f>
        <v>0</v>
      </c>
      <c r="F256" s="1268">
        <f>([1]база!F260-(([1]база!F260*8)/110.14))</f>
        <v>0</v>
      </c>
      <c r="G256" s="1268">
        <f>([1]база!G260-(([1]база!G260*8)/110.14))</f>
        <v>0</v>
      </c>
      <c r="H256" s="1268">
        <f>([1]база!H260-(([1]база!H260*8)/110.14))</f>
        <v>0</v>
      </c>
      <c r="I256" s="1268">
        <f>([1]база!I260-(([1]база!I260*8)/110.14))</f>
        <v>0</v>
      </c>
      <c r="J256" s="1268">
        <f>([1]база!J260-(([1]база!J260*8)/110.14))</f>
        <v>0</v>
      </c>
      <c r="K256" s="1278">
        <v>0</v>
      </c>
      <c r="L256" s="1268">
        <v>0</v>
      </c>
      <c r="M256" s="1278">
        <v>0</v>
      </c>
      <c r="N256" s="1268">
        <f>([1]база!L260-([1]база!L260*8)/110.14)</f>
        <v>0</v>
      </c>
      <c r="O256" s="1268">
        <v>1580</v>
      </c>
      <c r="P256" s="1289">
        <v>3981274</v>
      </c>
      <c r="Q256" s="1268">
        <v>0</v>
      </c>
      <c r="R256" s="1268">
        <v>0</v>
      </c>
      <c r="S256" s="1268">
        <v>0</v>
      </c>
      <c r="T256" s="1268">
        <v>0</v>
      </c>
      <c r="U256" s="1268">
        <v>0</v>
      </c>
      <c r="V256" s="1268">
        <v>0</v>
      </c>
      <c r="W256" s="1268">
        <v>0</v>
      </c>
      <c r="X256" s="1268">
        <v>311829</v>
      </c>
      <c r="Y256" s="1268">
        <v>0</v>
      </c>
    </row>
    <row r="257" spans="1:25" s="1280" customFormat="1">
      <c r="A257" s="1281">
        <v>216</v>
      </c>
      <c r="B257" s="1267" t="s">
        <v>1368</v>
      </c>
      <c r="C257" s="1268">
        <f t="shared" si="83"/>
        <v>3619249</v>
      </c>
      <c r="D257" s="1268">
        <f t="shared" si="84"/>
        <v>0</v>
      </c>
      <c r="E257" s="1268">
        <f>([1]база!E261-(([1]база!E261*8)/110.14))</f>
        <v>0</v>
      </c>
      <c r="F257" s="1268">
        <f>([1]база!F261-(([1]база!F261*8)/110.14))</f>
        <v>0</v>
      </c>
      <c r="G257" s="1268">
        <f>([1]база!G261-(([1]база!G261*8)/110.14))</f>
        <v>0</v>
      </c>
      <c r="H257" s="1268">
        <f>([1]база!H261-(([1]база!H261*8)/110.14))</f>
        <v>0</v>
      </c>
      <c r="I257" s="1268">
        <f>([1]база!I261-(([1]база!I261*8)/110.14))</f>
        <v>0</v>
      </c>
      <c r="J257" s="1268">
        <f>([1]база!J261-(([1]база!J261*8)/110.14))</f>
        <v>0</v>
      </c>
      <c r="K257" s="1278">
        <v>0</v>
      </c>
      <c r="L257" s="1268">
        <v>0</v>
      </c>
      <c r="M257" s="1278">
        <v>0</v>
      </c>
      <c r="N257" s="1268">
        <f>([1]база!L261-([1]база!L261*8)/110.14)</f>
        <v>0</v>
      </c>
      <c r="O257" s="1268">
        <v>1332</v>
      </c>
      <c r="P257" s="1289">
        <v>3356365</v>
      </c>
      <c r="Q257" s="1268">
        <v>0</v>
      </c>
      <c r="R257" s="1268">
        <v>0</v>
      </c>
      <c r="S257" s="1268">
        <v>0</v>
      </c>
      <c r="T257" s="1268">
        <v>0</v>
      </c>
      <c r="U257" s="1268">
        <v>0</v>
      </c>
      <c r="V257" s="1268">
        <v>0</v>
      </c>
      <c r="W257" s="1268">
        <v>0</v>
      </c>
      <c r="X257" s="1268">
        <v>262884</v>
      </c>
      <c r="Y257" s="1268">
        <v>0</v>
      </c>
    </row>
    <row r="258" spans="1:25" s="1280" customFormat="1">
      <c r="A258" s="1281">
        <v>217</v>
      </c>
      <c r="B258" s="1267" t="s">
        <v>1369</v>
      </c>
      <c r="C258" s="1268">
        <f t="shared" si="83"/>
        <v>3260585</v>
      </c>
      <c r="D258" s="1268">
        <f t="shared" si="84"/>
        <v>0</v>
      </c>
      <c r="E258" s="1268">
        <f>([1]база!E263-(([1]база!E263*8)/110.14))</f>
        <v>0</v>
      </c>
      <c r="F258" s="1268">
        <f>([1]база!F263-(([1]база!F263*8)/110.14))</f>
        <v>0</v>
      </c>
      <c r="G258" s="1268">
        <f>([1]база!G263-(([1]база!G263*8)/110.14))</f>
        <v>0</v>
      </c>
      <c r="H258" s="1268">
        <f>([1]база!H263-(([1]база!H263*8)/110.14))</f>
        <v>0</v>
      </c>
      <c r="I258" s="1268">
        <f>([1]база!I263-(([1]база!I263*8)/110.14))</f>
        <v>0</v>
      </c>
      <c r="J258" s="1268">
        <f>([1]база!J263-(([1]база!J263*8)/110.14))</f>
        <v>0</v>
      </c>
      <c r="K258" s="1278">
        <v>0</v>
      </c>
      <c r="L258" s="1268">
        <v>0</v>
      </c>
      <c r="M258" s="1278">
        <v>0</v>
      </c>
      <c r="N258" s="1268">
        <f>([1]база!L263-([1]база!L263*8)/110.14)</f>
        <v>0</v>
      </c>
      <c r="O258" s="1268">
        <v>1200</v>
      </c>
      <c r="P258" s="1289">
        <v>3023753</v>
      </c>
      <c r="Q258" s="1268">
        <v>0</v>
      </c>
      <c r="R258" s="1268">
        <v>0</v>
      </c>
      <c r="S258" s="1268">
        <v>0</v>
      </c>
      <c r="T258" s="1268">
        <v>0</v>
      </c>
      <c r="U258" s="1268">
        <v>0</v>
      </c>
      <c r="V258" s="1268">
        <v>0</v>
      </c>
      <c r="W258" s="1268">
        <v>0</v>
      </c>
      <c r="X258" s="1268">
        <v>236832</v>
      </c>
      <c r="Y258" s="1268">
        <v>0</v>
      </c>
    </row>
    <row r="259" spans="1:25" s="1280" customFormat="1">
      <c r="A259" s="1281">
        <v>218</v>
      </c>
      <c r="B259" s="1267" t="s">
        <v>1370</v>
      </c>
      <c r="C259" s="1268">
        <f t="shared" si="83"/>
        <v>2253607</v>
      </c>
      <c r="D259" s="1268">
        <f t="shared" si="84"/>
        <v>0</v>
      </c>
      <c r="E259" s="1268">
        <f>([1]база!E264-(([1]база!E264*8)/110.14))</f>
        <v>0</v>
      </c>
      <c r="F259" s="1268">
        <f>([1]база!F264-(([1]база!F264*8)/110.14))</f>
        <v>0</v>
      </c>
      <c r="G259" s="1268">
        <f>([1]база!G264-(([1]база!G264*8)/110.14))</f>
        <v>0</v>
      </c>
      <c r="H259" s="1268">
        <f>([1]база!H264-(([1]база!H264*8)/110.14))</f>
        <v>0</v>
      </c>
      <c r="I259" s="1268">
        <f>([1]база!I264-(([1]база!I264*8)/110.14))</f>
        <v>0</v>
      </c>
      <c r="J259" s="1268">
        <f>([1]база!J264-(([1]база!J264*8)/110.14))</f>
        <v>0</v>
      </c>
      <c r="K259" s="1278">
        <v>0</v>
      </c>
      <c r="L259" s="1268">
        <v>0</v>
      </c>
      <c r="M259" s="1278">
        <v>0</v>
      </c>
      <c r="N259" s="1268">
        <f>([1]база!L264-([1]база!L264*8)/110.14)</f>
        <v>0</v>
      </c>
      <c r="O259" s="1268">
        <v>829.4</v>
      </c>
      <c r="P259" s="1289">
        <v>2089917</v>
      </c>
      <c r="Q259" s="1268">
        <v>0</v>
      </c>
      <c r="R259" s="1268">
        <v>0</v>
      </c>
      <c r="S259" s="1268">
        <v>0</v>
      </c>
      <c r="T259" s="1268">
        <v>0</v>
      </c>
      <c r="U259" s="1268">
        <v>0</v>
      </c>
      <c r="V259" s="1268">
        <v>0</v>
      </c>
      <c r="W259" s="1268">
        <v>0</v>
      </c>
      <c r="X259" s="1268">
        <v>163690</v>
      </c>
      <c r="Y259" s="1268">
        <v>0</v>
      </c>
    </row>
    <row r="260" spans="1:25" s="1280" customFormat="1">
      <c r="A260" s="1281">
        <v>219</v>
      </c>
      <c r="B260" s="1267" t="s">
        <v>1366</v>
      </c>
      <c r="C260" s="1268">
        <f t="shared" si="83"/>
        <v>3380139</v>
      </c>
      <c r="D260" s="1268">
        <f t="shared" si="84"/>
        <v>0</v>
      </c>
      <c r="E260" s="1268">
        <f>([1]база!E267-(([1]база!E267*8)/110.14))</f>
        <v>0</v>
      </c>
      <c r="F260" s="1268">
        <f>([1]база!F267-(([1]база!F267*8)/110.14))</f>
        <v>0</v>
      </c>
      <c r="G260" s="1268">
        <f>([1]база!G267-(([1]база!G267*8)/110.14))</f>
        <v>0</v>
      </c>
      <c r="H260" s="1268">
        <f>([1]база!H267-(([1]база!H267*8)/110.14))</f>
        <v>0</v>
      </c>
      <c r="I260" s="1268">
        <f>([1]база!I267-(([1]база!I267*8)/110.14))</f>
        <v>0</v>
      </c>
      <c r="J260" s="1268">
        <f>([1]база!J267-(([1]база!J267*8)/110.14))</f>
        <v>0</v>
      </c>
      <c r="K260" s="1278">
        <v>0</v>
      </c>
      <c r="L260" s="1268">
        <v>0</v>
      </c>
      <c r="M260" s="1278">
        <v>0</v>
      </c>
      <c r="N260" s="1268">
        <f>([1]база!L267-([1]база!L267*8)/110.14)</f>
        <v>0</v>
      </c>
      <c r="O260" s="1268">
        <v>1244</v>
      </c>
      <c r="P260" s="1289">
        <v>3134623</v>
      </c>
      <c r="Q260" s="1268">
        <v>0</v>
      </c>
      <c r="R260" s="1268">
        <v>0</v>
      </c>
      <c r="S260" s="1268">
        <v>0</v>
      </c>
      <c r="T260" s="1268">
        <v>0</v>
      </c>
      <c r="U260" s="1268">
        <v>0</v>
      </c>
      <c r="V260" s="1268">
        <v>0</v>
      </c>
      <c r="W260" s="1268">
        <v>0</v>
      </c>
      <c r="X260" s="1268">
        <v>245516</v>
      </c>
      <c r="Y260" s="1268">
        <v>0</v>
      </c>
    </row>
    <row r="261" spans="1:25" s="1280" customFormat="1">
      <c r="A261" s="1281">
        <v>220</v>
      </c>
      <c r="B261" s="1267" t="s">
        <v>1371</v>
      </c>
      <c r="C261" s="1268">
        <f t="shared" si="83"/>
        <v>2119380</v>
      </c>
      <c r="D261" s="1268">
        <f t="shared" si="84"/>
        <v>0</v>
      </c>
      <c r="E261" s="1268">
        <f>([1]база!E268-(([1]база!E268*8)/110.14))</f>
        <v>0</v>
      </c>
      <c r="F261" s="1268">
        <f>([1]база!F268-(([1]база!F268*8)/110.14))</f>
        <v>0</v>
      </c>
      <c r="G261" s="1268">
        <f>([1]база!G268-(([1]база!G268*8)/110.14))</f>
        <v>0</v>
      </c>
      <c r="H261" s="1268">
        <f>([1]база!H268-(([1]база!H268*8)/110.14))</f>
        <v>0</v>
      </c>
      <c r="I261" s="1268">
        <f>([1]база!I268-(([1]база!I268*8)/110.14))</f>
        <v>0</v>
      </c>
      <c r="J261" s="1268">
        <f>([1]база!J268-(([1]база!J268*8)/110.14))</f>
        <v>0</v>
      </c>
      <c r="K261" s="1278">
        <v>0</v>
      </c>
      <c r="L261" s="1268">
        <v>0</v>
      </c>
      <c r="M261" s="1278">
        <v>0</v>
      </c>
      <c r="N261" s="1268">
        <f>([1]база!L268-([1]база!L268*8)/110.14)</f>
        <v>0</v>
      </c>
      <c r="O261" s="1268">
        <v>780</v>
      </c>
      <c r="P261" s="1289">
        <v>1965439</v>
      </c>
      <c r="Q261" s="1268">
        <v>0</v>
      </c>
      <c r="R261" s="1268">
        <v>0</v>
      </c>
      <c r="S261" s="1268">
        <v>0</v>
      </c>
      <c r="T261" s="1268">
        <v>0</v>
      </c>
      <c r="U261" s="1268">
        <v>0</v>
      </c>
      <c r="V261" s="1268">
        <v>0</v>
      </c>
      <c r="W261" s="1268">
        <v>0</v>
      </c>
      <c r="X261" s="1268">
        <v>153941</v>
      </c>
      <c r="Y261" s="1268">
        <v>0</v>
      </c>
    </row>
    <row r="262" spans="1:25" s="1280" customFormat="1">
      <c r="A262" s="1281">
        <v>221</v>
      </c>
      <c r="B262" s="1267" t="s">
        <v>1372</v>
      </c>
      <c r="C262" s="1268">
        <f t="shared" ref="C262:C263" si="85">D262+N262+P262+R262+T262+V262+X262</f>
        <v>2988869</v>
      </c>
      <c r="D262" s="1268">
        <f t="shared" ref="D262:D263" si="86">SUM(E262:J262)</f>
        <v>0</v>
      </c>
      <c r="E262" s="1268">
        <v>0</v>
      </c>
      <c r="F262" s="1268">
        <v>0</v>
      </c>
      <c r="G262" s="1268">
        <v>0</v>
      </c>
      <c r="H262" s="1268">
        <v>0</v>
      </c>
      <c r="I262" s="1268">
        <v>0</v>
      </c>
      <c r="J262" s="1268">
        <v>0</v>
      </c>
      <c r="K262" s="1278">
        <v>0</v>
      </c>
      <c r="L262" s="1268">
        <v>0</v>
      </c>
      <c r="M262" s="1278">
        <v>0</v>
      </c>
      <c r="N262" s="1268">
        <v>0</v>
      </c>
      <c r="O262" s="1268">
        <v>1100</v>
      </c>
      <c r="P262" s="1302">
        <v>2771773</v>
      </c>
      <c r="Q262" s="1268">
        <v>0</v>
      </c>
      <c r="R262" s="1268">
        <v>0</v>
      </c>
      <c r="S262" s="1268">
        <v>0</v>
      </c>
      <c r="T262" s="1268">
        <v>0</v>
      </c>
      <c r="U262" s="1268">
        <v>0</v>
      </c>
      <c r="V262" s="1268">
        <v>0</v>
      </c>
      <c r="W262" s="1268">
        <v>0</v>
      </c>
      <c r="X262" s="1268">
        <v>217096</v>
      </c>
      <c r="Y262" s="1268">
        <v>0</v>
      </c>
    </row>
    <row r="263" spans="1:25" s="1280" customFormat="1">
      <c r="A263" s="1281">
        <v>222</v>
      </c>
      <c r="B263" s="1267" t="s">
        <v>1373</v>
      </c>
      <c r="C263" s="1268">
        <f t="shared" si="85"/>
        <v>1661839</v>
      </c>
      <c r="D263" s="1268">
        <f t="shared" si="86"/>
        <v>0</v>
      </c>
      <c r="E263" s="1268">
        <v>0</v>
      </c>
      <c r="F263" s="1268">
        <v>0</v>
      </c>
      <c r="G263" s="1268">
        <v>0</v>
      </c>
      <c r="H263" s="1268">
        <v>0</v>
      </c>
      <c r="I263" s="1268">
        <v>0</v>
      </c>
      <c r="J263" s="1268">
        <v>0</v>
      </c>
      <c r="K263" s="1278">
        <v>0</v>
      </c>
      <c r="L263" s="1268">
        <v>0</v>
      </c>
      <c r="M263" s="1278">
        <v>0</v>
      </c>
      <c r="N263" s="1268">
        <v>0</v>
      </c>
      <c r="O263" s="1303">
        <v>491</v>
      </c>
      <c r="P263" s="1268">
        <v>1541132</v>
      </c>
      <c r="Q263" s="1268">
        <v>0</v>
      </c>
      <c r="R263" s="1268">
        <v>0</v>
      </c>
      <c r="S263" s="1268">
        <v>0</v>
      </c>
      <c r="T263" s="1268">
        <v>0</v>
      </c>
      <c r="U263" s="1268">
        <v>0</v>
      </c>
      <c r="V263" s="1268">
        <v>0</v>
      </c>
      <c r="W263" s="1268">
        <v>0</v>
      </c>
      <c r="X263" s="1268">
        <v>120707</v>
      </c>
      <c r="Y263" s="1268">
        <v>0</v>
      </c>
    </row>
    <row r="264" spans="1:25" s="1280" customFormat="1" ht="113.4">
      <c r="A264" s="1281"/>
      <c r="B264" s="1277" t="s">
        <v>1221</v>
      </c>
      <c r="C264" s="1289">
        <f>SUM(C265:C272)</f>
        <v>13183897</v>
      </c>
      <c r="D264" s="1289">
        <f t="shared" ref="D264:Y264" si="87">SUM(D265:D272)</f>
        <v>1820108</v>
      </c>
      <c r="E264" s="1289">
        <f t="shared" si="87"/>
        <v>0</v>
      </c>
      <c r="F264" s="1289">
        <f t="shared" si="87"/>
        <v>0</v>
      </c>
      <c r="G264" s="1289">
        <f t="shared" si="87"/>
        <v>0</v>
      </c>
      <c r="H264" s="1289">
        <f t="shared" si="87"/>
        <v>0</v>
      </c>
      <c r="I264" s="1289">
        <f t="shared" si="87"/>
        <v>1820108</v>
      </c>
      <c r="J264" s="1289">
        <f t="shared" si="87"/>
        <v>0</v>
      </c>
      <c r="K264" s="1278">
        <f t="shared" si="87"/>
        <v>0</v>
      </c>
      <c r="L264" s="1289">
        <f t="shared" si="87"/>
        <v>0</v>
      </c>
      <c r="M264" s="1278">
        <f t="shared" si="87"/>
        <v>0</v>
      </c>
      <c r="N264" s="1289">
        <f t="shared" si="87"/>
        <v>0</v>
      </c>
      <c r="O264" s="1289">
        <f t="shared" si="87"/>
        <v>3911.4350000000004</v>
      </c>
      <c r="P264" s="1289">
        <f t="shared" si="87"/>
        <v>10406179</v>
      </c>
      <c r="Q264" s="1289">
        <f t="shared" si="87"/>
        <v>0</v>
      </c>
      <c r="R264" s="1289">
        <f t="shared" si="87"/>
        <v>0</v>
      </c>
      <c r="S264" s="1289">
        <f t="shared" si="87"/>
        <v>0</v>
      </c>
      <c r="T264" s="1289">
        <f t="shared" si="87"/>
        <v>0</v>
      </c>
      <c r="U264" s="1289">
        <f t="shared" si="87"/>
        <v>0</v>
      </c>
      <c r="V264" s="1289">
        <f t="shared" si="87"/>
        <v>0</v>
      </c>
      <c r="W264" s="1268">
        <v>0</v>
      </c>
      <c r="X264" s="1289">
        <f t="shared" si="87"/>
        <v>957610</v>
      </c>
      <c r="Y264" s="1289">
        <f t="shared" si="87"/>
        <v>0</v>
      </c>
    </row>
    <row r="265" spans="1:25" s="1280" customFormat="1" ht="75.599999999999994">
      <c r="A265" s="1281">
        <v>223</v>
      </c>
      <c r="B265" s="1277" t="s">
        <v>2606</v>
      </c>
      <c r="C265" s="1268">
        <f>D265+N265+P265+R265+T265+V265+X265</f>
        <v>685130</v>
      </c>
      <c r="D265" s="1268">
        <f>SUM(E265:J265)</f>
        <v>0</v>
      </c>
      <c r="E265" s="1268">
        <v>0</v>
      </c>
      <c r="F265" s="1268">
        <v>0</v>
      </c>
      <c r="G265" s="1268">
        <v>0</v>
      </c>
      <c r="H265" s="1268">
        <v>0</v>
      </c>
      <c r="I265" s="1268">
        <v>0</v>
      </c>
      <c r="J265" s="1268">
        <v>0</v>
      </c>
      <c r="K265" s="1278">
        <v>0</v>
      </c>
      <c r="L265" s="1268">
        <v>0</v>
      </c>
      <c r="M265" s="1278">
        <v>0</v>
      </c>
      <c r="N265" s="1268">
        <v>0</v>
      </c>
      <c r="O265" s="1289">
        <v>252.01499999999999</v>
      </c>
      <c r="P265" s="1289">
        <v>635366</v>
      </c>
      <c r="Q265" s="1268">
        <v>0</v>
      </c>
      <c r="R265" s="1268">
        <v>0</v>
      </c>
      <c r="S265" s="1268">
        <v>0</v>
      </c>
      <c r="T265" s="1268">
        <v>0</v>
      </c>
      <c r="U265" s="1268">
        <v>0</v>
      </c>
      <c r="V265" s="1268">
        <v>0</v>
      </c>
      <c r="W265" s="1268">
        <v>0</v>
      </c>
      <c r="X265" s="1304">
        <v>49764</v>
      </c>
      <c r="Y265" s="1304"/>
    </row>
    <row r="266" spans="1:25" s="1280" customFormat="1">
      <c r="A266" s="1281">
        <v>224</v>
      </c>
      <c r="B266" s="1277" t="s">
        <v>1799</v>
      </c>
      <c r="C266" s="1268">
        <f t="shared" ref="C266:C272" si="88">D266+N266+P266+R266+T266+V266+X266</f>
        <v>1294611</v>
      </c>
      <c r="D266" s="1268">
        <f t="shared" ref="D266:D272" si="89">SUM(E266:J266)</f>
        <v>0</v>
      </c>
      <c r="E266" s="1268">
        <v>0</v>
      </c>
      <c r="F266" s="1268">
        <v>0</v>
      </c>
      <c r="G266" s="1268">
        <v>0</v>
      </c>
      <c r="H266" s="1268">
        <v>0</v>
      </c>
      <c r="I266" s="1268">
        <v>0</v>
      </c>
      <c r="J266" s="1268">
        <v>0</v>
      </c>
      <c r="K266" s="1278">
        <v>0</v>
      </c>
      <c r="L266" s="1268">
        <v>0</v>
      </c>
      <c r="M266" s="1278">
        <v>0</v>
      </c>
      <c r="N266" s="1268">
        <v>0</v>
      </c>
      <c r="O266" s="1268">
        <v>382.5</v>
      </c>
      <c r="P266" s="1268">
        <v>1200577</v>
      </c>
      <c r="Q266" s="1268">
        <v>0</v>
      </c>
      <c r="R266" s="1268">
        <v>0</v>
      </c>
      <c r="S266" s="1268">
        <v>0</v>
      </c>
      <c r="T266" s="1268">
        <v>0</v>
      </c>
      <c r="U266" s="1268">
        <v>0</v>
      </c>
      <c r="V266" s="1268">
        <v>0</v>
      </c>
      <c r="W266" s="1268">
        <v>0</v>
      </c>
      <c r="X266" s="1268">
        <v>94034</v>
      </c>
      <c r="Y266" s="1268">
        <v>0</v>
      </c>
    </row>
    <row r="267" spans="1:25" s="1280" customFormat="1" ht="75.599999999999994">
      <c r="A267" s="1281">
        <v>225</v>
      </c>
      <c r="B267" s="1280" t="s">
        <v>2424</v>
      </c>
      <c r="C267" s="1268">
        <f t="shared" si="88"/>
        <v>2416147</v>
      </c>
      <c r="D267" s="1268">
        <f t="shared" si="89"/>
        <v>0</v>
      </c>
      <c r="E267" s="1268">
        <v>0</v>
      </c>
      <c r="F267" s="1268">
        <v>0</v>
      </c>
      <c r="G267" s="1268">
        <v>0</v>
      </c>
      <c r="H267" s="1268">
        <v>0</v>
      </c>
      <c r="I267" s="1268">
        <v>0</v>
      </c>
      <c r="J267" s="1268">
        <v>0</v>
      </c>
      <c r="K267" s="1278">
        <v>0</v>
      </c>
      <c r="L267" s="1268">
        <v>0</v>
      </c>
      <c r="M267" s="1278">
        <v>0</v>
      </c>
      <c r="N267" s="1268">
        <v>0</v>
      </c>
      <c r="O267" s="1268">
        <v>889.22</v>
      </c>
      <c r="P267" s="1268">
        <v>2240651</v>
      </c>
      <c r="Q267" s="1268">
        <v>0</v>
      </c>
      <c r="R267" s="1268">
        <v>0</v>
      </c>
      <c r="S267" s="1268">
        <v>0</v>
      </c>
      <c r="T267" s="1268">
        <v>0</v>
      </c>
      <c r="U267" s="1268">
        <v>0</v>
      </c>
      <c r="V267" s="1268">
        <v>0</v>
      </c>
      <c r="W267" s="1268">
        <v>0</v>
      </c>
      <c r="X267" s="1268">
        <v>175496</v>
      </c>
      <c r="Y267" s="1268">
        <v>0</v>
      </c>
    </row>
    <row r="268" spans="1:25" s="1280" customFormat="1">
      <c r="A268" s="1281">
        <v>226</v>
      </c>
      <c r="B268" s="1277" t="s">
        <v>1800</v>
      </c>
      <c r="C268" s="1268">
        <f t="shared" si="88"/>
        <v>981535</v>
      </c>
      <c r="D268" s="1268">
        <f t="shared" si="89"/>
        <v>0</v>
      </c>
      <c r="E268" s="1268">
        <v>0</v>
      </c>
      <c r="F268" s="1268">
        <v>0</v>
      </c>
      <c r="G268" s="1268">
        <v>0</v>
      </c>
      <c r="H268" s="1268">
        <v>0</v>
      </c>
      <c r="I268" s="1268">
        <v>0</v>
      </c>
      <c r="J268" s="1268">
        <v>0</v>
      </c>
      <c r="K268" s="1278">
        <v>0</v>
      </c>
      <c r="L268" s="1268">
        <v>0</v>
      </c>
      <c r="M268" s="1278">
        <v>0</v>
      </c>
      <c r="N268" s="1268">
        <v>0</v>
      </c>
      <c r="O268" s="1268">
        <v>290</v>
      </c>
      <c r="P268" s="1268">
        <v>910241</v>
      </c>
      <c r="Q268" s="1268">
        <v>0</v>
      </c>
      <c r="R268" s="1268">
        <v>0</v>
      </c>
      <c r="S268" s="1268">
        <v>0</v>
      </c>
      <c r="T268" s="1268">
        <v>0</v>
      </c>
      <c r="U268" s="1268">
        <v>0</v>
      </c>
      <c r="V268" s="1268">
        <v>0</v>
      </c>
      <c r="W268" s="1268">
        <v>0</v>
      </c>
      <c r="X268" s="1268">
        <v>71294</v>
      </c>
      <c r="Y268" s="1268">
        <v>0</v>
      </c>
    </row>
    <row r="269" spans="1:25" s="1280" customFormat="1" ht="75.599999999999994">
      <c r="A269" s="1281">
        <v>227</v>
      </c>
      <c r="B269" s="1277" t="s">
        <v>1801</v>
      </c>
      <c r="C269" s="1268">
        <f t="shared" si="88"/>
        <v>3253520</v>
      </c>
      <c r="D269" s="1268">
        <f t="shared" si="89"/>
        <v>0</v>
      </c>
      <c r="E269" s="1268">
        <v>0</v>
      </c>
      <c r="F269" s="1268">
        <v>0</v>
      </c>
      <c r="G269" s="1268">
        <v>0</v>
      </c>
      <c r="H269" s="1268">
        <v>0</v>
      </c>
      <c r="I269" s="1268">
        <v>0</v>
      </c>
      <c r="J269" s="1268">
        <v>0</v>
      </c>
      <c r="K269" s="1278">
        <v>0</v>
      </c>
      <c r="L269" s="1268">
        <v>0</v>
      </c>
      <c r="M269" s="1278">
        <v>0</v>
      </c>
      <c r="N269" s="1268">
        <v>0</v>
      </c>
      <c r="O269" s="1268">
        <v>1197.4000000000001</v>
      </c>
      <c r="P269" s="1268">
        <v>3017201</v>
      </c>
      <c r="Q269" s="1268">
        <v>0</v>
      </c>
      <c r="R269" s="1268">
        <v>0</v>
      </c>
      <c r="S269" s="1268">
        <v>0</v>
      </c>
      <c r="T269" s="1268">
        <v>0</v>
      </c>
      <c r="U269" s="1268">
        <v>0</v>
      </c>
      <c r="V269" s="1268">
        <v>0</v>
      </c>
      <c r="W269" s="1268">
        <v>0</v>
      </c>
      <c r="X269" s="1268">
        <v>236319</v>
      </c>
      <c r="Y269" s="1268">
        <v>0</v>
      </c>
    </row>
    <row r="270" spans="1:25" s="1280" customFormat="1">
      <c r="A270" s="1281">
        <v>228</v>
      </c>
      <c r="B270" s="1277" t="s">
        <v>1802</v>
      </c>
      <c r="C270" s="1268">
        <f t="shared" si="88"/>
        <v>730396</v>
      </c>
      <c r="D270" s="1268">
        <f t="shared" si="89"/>
        <v>0</v>
      </c>
      <c r="E270" s="1268">
        <v>0</v>
      </c>
      <c r="F270" s="1268">
        <v>0</v>
      </c>
      <c r="G270" s="1268">
        <v>0</v>
      </c>
      <c r="H270" s="1268">
        <v>0</v>
      </c>
      <c r="I270" s="1268">
        <v>0</v>
      </c>
      <c r="J270" s="1268">
        <v>0</v>
      </c>
      <c r="K270" s="1278">
        <v>0</v>
      </c>
      <c r="L270" s="1268">
        <v>0</v>
      </c>
      <c r="M270" s="1278">
        <v>0</v>
      </c>
      <c r="N270" s="1268">
        <v>0</v>
      </c>
      <c r="O270" s="1268">
        <v>215.8</v>
      </c>
      <c r="P270" s="1268">
        <v>677344</v>
      </c>
      <c r="Q270" s="1268">
        <v>0</v>
      </c>
      <c r="R270" s="1268">
        <v>0</v>
      </c>
      <c r="S270" s="1268">
        <v>0</v>
      </c>
      <c r="T270" s="1268">
        <v>0</v>
      </c>
      <c r="U270" s="1268">
        <v>0</v>
      </c>
      <c r="V270" s="1268">
        <v>0</v>
      </c>
      <c r="W270" s="1268">
        <v>0</v>
      </c>
      <c r="X270" s="1268">
        <v>53052</v>
      </c>
      <c r="Y270" s="1268">
        <v>0</v>
      </c>
    </row>
    <row r="271" spans="1:25" s="1280" customFormat="1" ht="75.599999999999994">
      <c r="A271" s="1281">
        <v>229</v>
      </c>
      <c r="B271" s="1277" t="s">
        <v>2607</v>
      </c>
      <c r="C271" s="1268">
        <f t="shared" si="88"/>
        <v>1962666</v>
      </c>
      <c r="D271" s="1268">
        <f t="shared" si="89"/>
        <v>1820108</v>
      </c>
      <c r="E271" s="1268">
        <v>0</v>
      </c>
      <c r="F271" s="1268">
        <v>0</v>
      </c>
      <c r="G271" s="1268">
        <v>0</v>
      </c>
      <c r="H271" s="1268">
        <v>0</v>
      </c>
      <c r="I271" s="1268">
        <v>1820108</v>
      </c>
      <c r="J271" s="1268">
        <v>0</v>
      </c>
      <c r="K271" s="1278">
        <v>0</v>
      </c>
      <c r="L271" s="1268">
        <v>0</v>
      </c>
      <c r="M271" s="1278">
        <v>0</v>
      </c>
      <c r="N271" s="1268">
        <v>0</v>
      </c>
      <c r="O271" s="1268">
        <v>0</v>
      </c>
      <c r="P271" s="1268">
        <v>0</v>
      </c>
      <c r="Q271" s="1268">
        <v>0</v>
      </c>
      <c r="R271" s="1268">
        <v>0</v>
      </c>
      <c r="S271" s="1268">
        <v>0</v>
      </c>
      <c r="T271" s="1268">
        <v>0</v>
      </c>
      <c r="U271" s="1268">
        <v>0</v>
      </c>
      <c r="V271" s="1268">
        <v>0</v>
      </c>
      <c r="W271" s="1268">
        <v>0</v>
      </c>
      <c r="X271" s="1268">
        <v>142558</v>
      </c>
      <c r="Y271" s="1268">
        <v>0</v>
      </c>
    </row>
    <row r="272" spans="1:25" s="1280" customFormat="1">
      <c r="A272" s="1281">
        <v>230</v>
      </c>
      <c r="B272" s="1277" t="s">
        <v>429</v>
      </c>
      <c r="C272" s="1268">
        <f t="shared" si="88"/>
        <v>1859892</v>
      </c>
      <c r="D272" s="1268">
        <f t="shared" si="89"/>
        <v>0</v>
      </c>
      <c r="E272" s="1268">
        <v>0</v>
      </c>
      <c r="F272" s="1268">
        <v>0</v>
      </c>
      <c r="G272" s="1268">
        <v>0</v>
      </c>
      <c r="H272" s="1268">
        <v>0</v>
      </c>
      <c r="I272" s="1268">
        <v>0</v>
      </c>
      <c r="J272" s="1268">
        <v>0</v>
      </c>
      <c r="K272" s="1278">
        <v>0</v>
      </c>
      <c r="L272" s="1268">
        <v>0</v>
      </c>
      <c r="M272" s="1278">
        <v>0</v>
      </c>
      <c r="N272" s="1268">
        <v>0</v>
      </c>
      <c r="O272" s="1268">
        <v>684.5</v>
      </c>
      <c r="P272" s="1268">
        <v>1724799</v>
      </c>
      <c r="Q272" s="1268">
        <v>0</v>
      </c>
      <c r="R272" s="1268">
        <v>0</v>
      </c>
      <c r="S272" s="1268">
        <v>0</v>
      </c>
      <c r="T272" s="1268">
        <v>0</v>
      </c>
      <c r="U272" s="1268">
        <v>0</v>
      </c>
      <c r="V272" s="1268">
        <v>0</v>
      </c>
      <c r="W272" s="1268">
        <v>0</v>
      </c>
      <c r="X272" s="1268">
        <v>135093</v>
      </c>
      <c r="Y272" s="1268">
        <v>0</v>
      </c>
    </row>
    <row r="273" spans="1:25" s="1280" customFormat="1">
      <c r="A273" s="1281"/>
      <c r="B273" s="1277" t="s">
        <v>52</v>
      </c>
      <c r="C273" s="1268">
        <f>C274+C278+C280</f>
        <v>11240406</v>
      </c>
      <c r="D273" s="1268">
        <f t="shared" ref="D273:Y273" si="90">D274+D278+D280</f>
        <v>3073897</v>
      </c>
      <c r="E273" s="1268">
        <f t="shared" si="90"/>
        <v>548338</v>
      </c>
      <c r="F273" s="1268">
        <f t="shared" si="90"/>
        <v>1038633</v>
      </c>
      <c r="G273" s="1268">
        <f t="shared" si="90"/>
        <v>446001</v>
      </c>
      <c r="H273" s="1268">
        <f t="shared" si="90"/>
        <v>637691</v>
      </c>
      <c r="I273" s="1268">
        <f t="shared" si="90"/>
        <v>0</v>
      </c>
      <c r="J273" s="1268">
        <f t="shared" si="90"/>
        <v>403234</v>
      </c>
      <c r="K273" s="1278">
        <f t="shared" si="90"/>
        <v>1</v>
      </c>
      <c r="L273" s="1268">
        <f t="shared" si="90"/>
        <v>17817</v>
      </c>
      <c r="M273" s="1278">
        <f t="shared" si="90"/>
        <v>0</v>
      </c>
      <c r="N273" s="1268">
        <f t="shared" si="90"/>
        <v>0</v>
      </c>
      <c r="O273" s="1268">
        <f t="shared" si="90"/>
        <v>2237.9499999999998</v>
      </c>
      <c r="P273" s="1268">
        <f t="shared" si="90"/>
        <v>7332246</v>
      </c>
      <c r="Q273" s="1268">
        <f t="shared" si="90"/>
        <v>0</v>
      </c>
      <c r="R273" s="1268">
        <f t="shared" si="90"/>
        <v>0</v>
      </c>
      <c r="S273" s="1268">
        <f t="shared" si="90"/>
        <v>0</v>
      </c>
      <c r="T273" s="1268">
        <f t="shared" si="90"/>
        <v>0</v>
      </c>
      <c r="U273" s="1268">
        <f t="shared" si="90"/>
        <v>0</v>
      </c>
      <c r="V273" s="1268">
        <f t="shared" si="90"/>
        <v>0</v>
      </c>
      <c r="W273" s="1268">
        <v>0</v>
      </c>
      <c r="X273" s="1268">
        <f t="shared" si="90"/>
        <v>816446</v>
      </c>
      <c r="Y273" s="1268">
        <f t="shared" si="90"/>
        <v>0</v>
      </c>
    </row>
    <row r="274" spans="1:25" s="1280" customFormat="1" ht="113.4">
      <c r="A274" s="1281"/>
      <c r="B274" s="1277" t="s">
        <v>1082</v>
      </c>
      <c r="C274" s="1268">
        <f>C275+C276+C277</f>
        <v>6219510</v>
      </c>
      <c r="D274" s="1268">
        <f t="shared" ref="D274:Y274" si="91">D275+D276+D277</f>
        <v>3073897</v>
      </c>
      <c r="E274" s="1268">
        <f t="shared" si="91"/>
        <v>548338</v>
      </c>
      <c r="F274" s="1268">
        <f t="shared" si="91"/>
        <v>1038633</v>
      </c>
      <c r="G274" s="1268">
        <f t="shared" si="91"/>
        <v>446001</v>
      </c>
      <c r="H274" s="1268">
        <f t="shared" si="91"/>
        <v>637691</v>
      </c>
      <c r="I274" s="1268">
        <f t="shared" si="91"/>
        <v>0</v>
      </c>
      <c r="J274" s="1268">
        <f t="shared" si="91"/>
        <v>403234</v>
      </c>
      <c r="K274" s="1278">
        <f t="shared" si="91"/>
        <v>1</v>
      </c>
      <c r="L274" s="1268">
        <f t="shared" si="91"/>
        <v>17817</v>
      </c>
      <c r="M274" s="1278">
        <f t="shared" si="91"/>
        <v>0</v>
      </c>
      <c r="N274" s="1268">
        <f t="shared" si="91"/>
        <v>0</v>
      </c>
      <c r="O274" s="1268">
        <f t="shared" si="91"/>
        <v>723.35</v>
      </c>
      <c r="P274" s="1268">
        <f t="shared" si="91"/>
        <v>2676042</v>
      </c>
      <c r="Q274" s="1268">
        <f t="shared" si="91"/>
        <v>0</v>
      </c>
      <c r="R274" s="1268">
        <f t="shared" si="91"/>
        <v>0</v>
      </c>
      <c r="S274" s="1268">
        <f t="shared" si="91"/>
        <v>0</v>
      </c>
      <c r="T274" s="1268">
        <f t="shared" si="91"/>
        <v>0</v>
      </c>
      <c r="U274" s="1268">
        <f t="shared" si="91"/>
        <v>0</v>
      </c>
      <c r="V274" s="1268">
        <f t="shared" si="91"/>
        <v>0</v>
      </c>
      <c r="W274" s="1268">
        <v>0</v>
      </c>
      <c r="X274" s="1268">
        <f t="shared" si="91"/>
        <v>451754</v>
      </c>
      <c r="Y274" s="1268">
        <f t="shared" si="91"/>
        <v>0</v>
      </c>
    </row>
    <row r="275" spans="1:25" s="1280" customFormat="1" ht="75.599999999999994">
      <c r="A275" s="1281">
        <v>231</v>
      </c>
      <c r="B275" s="1305" t="s">
        <v>2608</v>
      </c>
      <c r="C275" s="1268">
        <f>D275+N275+P275+R275+T275+V275+X275</f>
        <v>1480020</v>
      </c>
      <c r="D275" s="1268">
        <f>SUM(E275:J275)</f>
        <v>0</v>
      </c>
      <c r="E275" s="1289">
        <v>0</v>
      </c>
      <c r="F275" s="1289">
        <v>0</v>
      </c>
      <c r="G275" s="1289">
        <v>0</v>
      </c>
      <c r="H275" s="1289">
        <v>0</v>
      </c>
      <c r="I275" s="1289">
        <v>0</v>
      </c>
      <c r="J275" s="1289">
        <v>0</v>
      </c>
      <c r="K275" s="1278">
        <v>0</v>
      </c>
      <c r="L275" s="1289">
        <v>0</v>
      </c>
      <c r="M275" s="1278">
        <v>0</v>
      </c>
      <c r="N275" s="1289">
        <v>0</v>
      </c>
      <c r="O275" s="1289">
        <v>371</v>
      </c>
      <c r="P275" s="1289">
        <f>1480020-X275</f>
        <v>1372519</v>
      </c>
      <c r="Q275" s="1289">
        <v>0</v>
      </c>
      <c r="R275" s="1289">
        <v>0</v>
      </c>
      <c r="S275" s="1289">
        <v>0</v>
      </c>
      <c r="T275" s="1289">
        <v>0</v>
      </c>
      <c r="U275" s="1289">
        <v>0</v>
      </c>
      <c r="V275" s="1289">
        <v>0</v>
      </c>
      <c r="W275" s="1268">
        <v>0</v>
      </c>
      <c r="X275" s="1289">
        <v>107501</v>
      </c>
      <c r="Y275" s="1289">
        <v>0</v>
      </c>
    </row>
    <row r="276" spans="1:25" s="1280" customFormat="1" ht="75.599999999999994">
      <c r="A276" s="1281">
        <v>232</v>
      </c>
      <c r="B276" s="1305" t="s">
        <v>2609</v>
      </c>
      <c r="C276" s="1268">
        <f>D276+N276+P276+R276+T276+V276+X276</f>
        <v>1405620</v>
      </c>
      <c r="D276" s="1268">
        <f>SUM(E276:J276)</f>
        <v>0</v>
      </c>
      <c r="E276" s="1289">
        <v>0</v>
      </c>
      <c r="F276" s="1289">
        <v>0</v>
      </c>
      <c r="G276" s="1289">
        <v>0</v>
      </c>
      <c r="H276" s="1289">
        <v>0</v>
      </c>
      <c r="I276" s="1289">
        <v>0</v>
      </c>
      <c r="J276" s="1289">
        <v>0</v>
      </c>
      <c r="K276" s="1278">
        <v>0</v>
      </c>
      <c r="L276" s="1289">
        <v>0</v>
      </c>
      <c r="M276" s="1278">
        <v>0</v>
      </c>
      <c r="N276" s="1289">
        <v>0</v>
      </c>
      <c r="O276" s="1289">
        <v>352.35</v>
      </c>
      <c r="P276" s="1289">
        <v>1303523</v>
      </c>
      <c r="Q276" s="1289">
        <v>0</v>
      </c>
      <c r="R276" s="1289">
        <v>0</v>
      </c>
      <c r="S276" s="1289">
        <v>0</v>
      </c>
      <c r="T276" s="1289">
        <v>0</v>
      </c>
      <c r="U276" s="1289">
        <v>0</v>
      </c>
      <c r="V276" s="1289">
        <v>0</v>
      </c>
      <c r="W276" s="1268">
        <v>0</v>
      </c>
      <c r="X276" s="1289">
        <v>102097</v>
      </c>
      <c r="Y276" s="1289">
        <v>0</v>
      </c>
    </row>
    <row r="277" spans="1:25" s="1280" customFormat="1" ht="75.599999999999994">
      <c r="A277" s="1281">
        <v>233</v>
      </c>
      <c r="B277" s="1305" t="s">
        <v>2610</v>
      </c>
      <c r="C277" s="1268">
        <f>D277+N277+P277+R277+T277+V277+X277+L277</f>
        <v>3333870</v>
      </c>
      <c r="D277" s="1268">
        <f>SUM(E277:J277)</f>
        <v>3073897</v>
      </c>
      <c r="E277" s="1289">
        <v>548338</v>
      </c>
      <c r="F277" s="1289">
        <v>1038633</v>
      </c>
      <c r="G277" s="1289">
        <v>446001</v>
      </c>
      <c r="H277" s="1289">
        <v>637691</v>
      </c>
      <c r="I277" s="1289">
        <v>0</v>
      </c>
      <c r="J277" s="1289">
        <v>403234</v>
      </c>
      <c r="K277" s="1278">
        <v>1</v>
      </c>
      <c r="L277" s="1289">
        <v>17817</v>
      </c>
      <c r="M277" s="1278">
        <v>0</v>
      </c>
      <c r="N277" s="1289">
        <v>0</v>
      </c>
      <c r="O277" s="1289">
        <v>0</v>
      </c>
      <c r="P277" s="1289">
        <v>0</v>
      </c>
      <c r="Q277" s="1289">
        <v>0</v>
      </c>
      <c r="R277" s="1289">
        <v>0</v>
      </c>
      <c r="S277" s="1289">
        <v>0</v>
      </c>
      <c r="T277" s="1289">
        <v>0</v>
      </c>
      <c r="U277" s="1289">
        <v>0</v>
      </c>
      <c r="V277" s="1289">
        <v>0</v>
      </c>
      <c r="W277" s="1268">
        <v>0</v>
      </c>
      <c r="X277" s="1289">
        <f>42948+81350+49946+31583+34933+1396</f>
        <v>242156</v>
      </c>
      <c r="Y277" s="1289">
        <v>0</v>
      </c>
    </row>
    <row r="278" spans="1:25" s="1280" customFormat="1" ht="113.4">
      <c r="A278" s="1281"/>
      <c r="B278" s="1277" t="s">
        <v>1104</v>
      </c>
      <c r="C278" s="1268">
        <f>C279</f>
        <v>1531880</v>
      </c>
      <c r="D278" s="1268">
        <f t="shared" ref="D278:Y278" si="92">D279</f>
        <v>0</v>
      </c>
      <c r="E278" s="1268">
        <f t="shared" si="92"/>
        <v>0</v>
      </c>
      <c r="F278" s="1268">
        <f t="shared" si="92"/>
        <v>0</v>
      </c>
      <c r="G278" s="1268">
        <f t="shared" si="92"/>
        <v>0</v>
      </c>
      <c r="H278" s="1268">
        <f t="shared" si="92"/>
        <v>0</v>
      </c>
      <c r="I278" s="1268">
        <f t="shared" si="92"/>
        <v>0</v>
      </c>
      <c r="J278" s="1268">
        <f t="shared" si="92"/>
        <v>0</v>
      </c>
      <c r="K278" s="1278">
        <f t="shared" si="92"/>
        <v>0</v>
      </c>
      <c r="L278" s="1268">
        <f t="shared" si="92"/>
        <v>0</v>
      </c>
      <c r="M278" s="1278">
        <f t="shared" si="92"/>
        <v>0</v>
      </c>
      <c r="N278" s="1268">
        <f t="shared" si="92"/>
        <v>0</v>
      </c>
      <c r="O278" s="1268">
        <f t="shared" si="92"/>
        <v>640</v>
      </c>
      <c r="P278" s="1268">
        <f t="shared" si="92"/>
        <v>1420612</v>
      </c>
      <c r="Q278" s="1268">
        <f t="shared" si="92"/>
        <v>0</v>
      </c>
      <c r="R278" s="1268">
        <f t="shared" si="92"/>
        <v>0</v>
      </c>
      <c r="S278" s="1268">
        <f t="shared" si="92"/>
        <v>0</v>
      </c>
      <c r="T278" s="1268">
        <f t="shared" si="92"/>
        <v>0</v>
      </c>
      <c r="U278" s="1268">
        <f t="shared" si="92"/>
        <v>0</v>
      </c>
      <c r="V278" s="1268">
        <f t="shared" si="92"/>
        <v>0</v>
      </c>
      <c r="W278" s="1268">
        <v>0</v>
      </c>
      <c r="X278" s="1268">
        <f t="shared" si="92"/>
        <v>111268</v>
      </c>
      <c r="Y278" s="1268">
        <f t="shared" si="92"/>
        <v>0</v>
      </c>
    </row>
    <row r="279" spans="1:25" s="1280" customFormat="1" ht="75.599999999999994">
      <c r="A279" s="1281">
        <v>234</v>
      </c>
      <c r="B279" s="1305" t="s">
        <v>2611</v>
      </c>
      <c r="C279" s="1268">
        <f>D279+N279+P279+R279+T279+V279+X279+L279</f>
        <v>1531880</v>
      </c>
      <c r="D279" s="1268">
        <f>SUM(E279:J279)</f>
        <v>0</v>
      </c>
      <c r="E279" s="1289">
        <v>0</v>
      </c>
      <c r="F279" s="1289">
        <v>0</v>
      </c>
      <c r="G279" s="1289">
        <v>0</v>
      </c>
      <c r="H279" s="1289">
        <v>0</v>
      </c>
      <c r="I279" s="1289">
        <v>0</v>
      </c>
      <c r="J279" s="1289">
        <v>0</v>
      </c>
      <c r="K279" s="1278">
        <v>0</v>
      </c>
      <c r="L279" s="1289">
        <v>0</v>
      </c>
      <c r="M279" s="1278">
        <v>0</v>
      </c>
      <c r="N279" s="1289">
        <v>0</v>
      </c>
      <c r="O279" s="1289">
        <v>640</v>
      </c>
      <c r="P279" s="1289">
        <v>1420612</v>
      </c>
      <c r="Q279" s="1289">
        <v>0</v>
      </c>
      <c r="R279" s="1289">
        <v>0</v>
      </c>
      <c r="S279" s="1289">
        <v>0</v>
      </c>
      <c r="T279" s="1289">
        <v>0</v>
      </c>
      <c r="U279" s="1289">
        <v>0</v>
      </c>
      <c r="V279" s="1289">
        <v>0</v>
      </c>
      <c r="W279" s="1268">
        <v>0</v>
      </c>
      <c r="X279" s="1289">
        <v>111268</v>
      </c>
      <c r="Y279" s="1289">
        <v>0</v>
      </c>
    </row>
    <row r="280" spans="1:25" s="1280" customFormat="1" ht="75.599999999999994">
      <c r="A280" s="1281"/>
      <c r="B280" s="1277" t="s">
        <v>1512</v>
      </c>
      <c r="C280" s="1289">
        <f>C281</f>
        <v>3489016</v>
      </c>
      <c r="D280" s="1289">
        <f t="shared" ref="D280:Y280" si="93">D281</f>
        <v>0</v>
      </c>
      <c r="E280" s="1289">
        <f t="shared" si="93"/>
        <v>0</v>
      </c>
      <c r="F280" s="1289">
        <f t="shared" si="93"/>
        <v>0</v>
      </c>
      <c r="G280" s="1289">
        <f t="shared" si="93"/>
        <v>0</v>
      </c>
      <c r="H280" s="1289">
        <f t="shared" si="93"/>
        <v>0</v>
      </c>
      <c r="I280" s="1289">
        <f t="shared" si="93"/>
        <v>0</v>
      </c>
      <c r="J280" s="1289">
        <f t="shared" si="93"/>
        <v>0</v>
      </c>
      <c r="K280" s="1278">
        <f t="shared" si="93"/>
        <v>0</v>
      </c>
      <c r="L280" s="1289">
        <f t="shared" si="93"/>
        <v>0</v>
      </c>
      <c r="M280" s="1278">
        <f t="shared" si="93"/>
        <v>0</v>
      </c>
      <c r="N280" s="1289">
        <f t="shared" si="93"/>
        <v>0</v>
      </c>
      <c r="O280" s="1289">
        <f t="shared" si="93"/>
        <v>874.6</v>
      </c>
      <c r="P280" s="1289">
        <f t="shared" si="93"/>
        <v>3235592</v>
      </c>
      <c r="Q280" s="1289">
        <f t="shared" si="93"/>
        <v>0</v>
      </c>
      <c r="R280" s="1289">
        <f t="shared" si="93"/>
        <v>0</v>
      </c>
      <c r="S280" s="1289">
        <f t="shared" si="93"/>
        <v>0</v>
      </c>
      <c r="T280" s="1289">
        <f t="shared" si="93"/>
        <v>0</v>
      </c>
      <c r="U280" s="1289">
        <f t="shared" si="93"/>
        <v>0</v>
      </c>
      <c r="V280" s="1289">
        <f t="shared" si="93"/>
        <v>0</v>
      </c>
      <c r="W280" s="1268">
        <v>0</v>
      </c>
      <c r="X280" s="1289">
        <f t="shared" si="93"/>
        <v>253424</v>
      </c>
      <c r="Y280" s="1289">
        <f t="shared" si="93"/>
        <v>0</v>
      </c>
    </row>
    <row r="281" spans="1:25" s="1280" customFormat="1" ht="75.599999999999994">
      <c r="A281" s="1281">
        <v>235</v>
      </c>
      <c r="B281" s="1267" t="s">
        <v>2612</v>
      </c>
      <c r="C281" s="1289">
        <f t="shared" ref="C281" si="94">D281+N281+P281+R281+T281+V281+X281</f>
        <v>3489016</v>
      </c>
      <c r="D281" s="1289">
        <f t="shared" ref="D281" si="95">SUM(E281:J281)</f>
        <v>0</v>
      </c>
      <c r="E281" s="1289">
        <v>0</v>
      </c>
      <c r="F281" s="1289">
        <v>0</v>
      </c>
      <c r="G281" s="1289">
        <v>0</v>
      </c>
      <c r="H281" s="1289">
        <v>0</v>
      </c>
      <c r="I281" s="1289">
        <v>0</v>
      </c>
      <c r="J281" s="1289">
        <v>0</v>
      </c>
      <c r="K281" s="1278">
        <v>0</v>
      </c>
      <c r="L281" s="1289">
        <v>0</v>
      </c>
      <c r="M281" s="1278">
        <v>0</v>
      </c>
      <c r="N281" s="1289">
        <v>0</v>
      </c>
      <c r="O281" s="1289">
        <v>874.6</v>
      </c>
      <c r="P281" s="1289">
        <v>3235592</v>
      </c>
      <c r="Q281" s="1289">
        <v>0</v>
      </c>
      <c r="R281" s="1289">
        <v>0</v>
      </c>
      <c r="S281" s="1289">
        <v>0</v>
      </c>
      <c r="T281" s="1289">
        <v>0</v>
      </c>
      <c r="U281" s="1289">
        <v>0</v>
      </c>
      <c r="V281" s="1289">
        <v>0</v>
      </c>
      <c r="W281" s="1268">
        <v>0</v>
      </c>
      <c r="X281" s="1289">
        <v>253424</v>
      </c>
      <c r="Y281" s="1289">
        <v>0</v>
      </c>
    </row>
    <row r="282" spans="1:25" s="1280" customFormat="1">
      <c r="A282" s="1281"/>
      <c r="B282" s="1277" t="s">
        <v>53</v>
      </c>
      <c r="C282" s="1268">
        <f>C283+C290+C293+C295+C297+C299</f>
        <v>96297423</v>
      </c>
      <c r="D282" s="1268">
        <f t="shared" ref="D282:Y282" si="96">D283+D290+D293+D295+D297+D299</f>
        <v>6498341</v>
      </c>
      <c r="E282" s="1268">
        <f t="shared" si="96"/>
        <v>2643855</v>
      </c>
      <c r="F282" s="1268">
        <f t="shared" si="96"/>
        <v>3854486</v>
      </c>
      <c r="G282" s="1268">
        <f t="shared" si="96"/>
        <v>0</v>
      </c>
      <c r="H282" s="1268">
        <f t="shared" si="96"/>
        <v>0</v>
      </c>
      <c r="I282" s="1268">
        <f t="shared" si="96"/>
        <v>0</v>
      </c>
      <c r="J282" s="1268">
        <f t="shared" si="96"/>
        <v>0</v>
      </c>
      <c r="K282" s="1278">
        <f t="shared" si="96"/>
        <v>0</v>
      </c>
      <c r="L282" s="1268">
        <f t="shared" si="96"/>
        <v>0</v>
      </c>
      <c r="M282" s="1278">
        <f t="shared" si="96"/>
        <v>9</v>
      </c>
      <c r="N282" s="1268">
        <f t="shared" si="96"/>
        <v>20294199</v>
      </c>
      <c r="O282" s="1268">
        <f t="shared" si="96"/>
        <v>6798.8</v>
      </c>
      <c r="P282" s="1268">
        <f t="shared" si="96"/>
        <v>20330542</v>
      </c>
      <c r="Q282" s="1268">
        <f t="shared" si="96"/>
        <v>0</v>
      </c>
      <c r="R282" s="1268">
        <f t="shared" si="96"/>
        <v>0</v>
      </c>
      <c r="S282" s="1268">
        <f t="shared" si="96"/>
        <v>8787.9500000000007</v>
      </c>
      <c r="T282" s="1268">
        <f t="shared" si="96"/>
        <v>42124186</v>
      </c>
      <c r="U282" s="1268">
        <f t="shared" si="96"/>
        <v>0</v>
      </c>
      <c r="V282" s="1268">
        <v>0</v>
      </c>
      <c r="W282" s="1268">
        <v>0</v>
      </c>
      <c r="X282" s="1268">
        <f t="shared" si="96"/>
        <v>7050155</v>
      </c>
      <c r="Y282" s="1268">
        <f t="shared" si="96"/>
        <v>0</v>
      </c>
    </row>
    <row r="283" spans="1:25" s="1280" customFormat="1" ht="113.4">
      <c r="A283" s="1281"/>
      <c r="B283" s="1277" t="s">
        <v>1083</v>
      </c>
      <c r="C283" s="1289">
        <f>SUM(C284:C289)</f>
        <v>71463619</v>
      </c>
      <c r="D283" s="1289">
        <f t="shared" ref="D283:Y283" si="97">SUM(D284:D289)</f>
        <v>3854486</v>
      </c>
      <c r="E283" s="1289">
        <f t="shared" si="97"/>
        <v>0</v>
      </c>
      <c r="F283" s="1289">
        <f t="shared" si="97"/>
        <v>3854486</v>
      </c>
      <c r="G283" s="1289">
        <f t="shared" si="97"/>
        <v>0</v>
      </c>
      <c r="H283" s="1289">
        <f t="shared" si="97"/>
        <v>0</v>
      </c>
      <c r="I283" s="1289">
        <f t="shared" si="97"/>
        <v>0</v>
      </c>
      <c r="J283" s="1289">
        <f t="shared" si="97"/>
        <v>0</v>
      </c>
      <c r="K283" s="1278">
        <f t="shared" si="97"/>
        <v>0</v>
      </c>
      <c r="L283" s="1289">
        <f t="shared" si="97"/>
        <v>0</v>
      </c>
      <c r="M283" s="1278">
        <f t="shared" si="97"/>
        <v>9</v>
      </c>
      <c r="N283" s="1289">
        <f t="shared" si="97"/>
        <v>20294199</v>
      </c>
      <c r="O283" s="1289">
        <f t="shared" si="97"/>
        <v>0</v>
      </c>
      <c r="P283" s="1289">
        <f t="shared" si="97"/>
        <v>0</v>
      </c>
      <c r="Q283" s="1289">
        <f t="shared" si="97"/>
        <v>0</v>
      </c>
      <c r="R283" s="1289">
        <f t="shared" si="97"/>
        <v>0</v>
      </c>
      <c r="S283" s="1289">
        <f t="shared" si="97"/>
        <v>8787.9500000000007</v>
      </c>
      <c r="T283" s="1289">
        <f t="shared" si="97"/>
        <v>42124186</v>
      </c>
      <c r="U283" s="1289">
        <f t="shared" si="97"/>
        <v>0</v>
      </c>
      <c r="V283" s="1289">
        <f t="shared" si="97"/>
        <v>0</v>
      </c>
      <c r="W283" s="1268">
        <v>0</v>
      </c>
      <c r="X283" s="1289">
        <f t="shared" si="97"/>
        <v>5190748</v>
      </c>
      <c r="Y283" s="1289">
        <f t="shared" si="97"/>
        <v>0</v>
      </c>
    </row>
    <row r="284" spans="1:25" s="1280" customFormat="1">
      <c r="A284" s="1306">
        <v>236</v>
      </c>
      <c r="B284" s="1300" t="s">
        <v>1439</v>
      </c>
      <c r="C284" s="1289">
        <f t="shared" ref="C284" si="98">D284+N284+P284+R284+T284+V284+X284</f>
        <v>22347352</v>
      </c>
      <c r="D284" s="1289">
        <f t="shared" ref="D284" si="99">SUM(E284:J284)</f>
        <v>0</v>
      </c>
      <c r="E284" s="1307">
        <v>0</v>
      </c>
      <c r="F284" s="1307">
        <v>0</v>
      </c>
      <c r="G284" s="1307">
        <v>0</v>
      </c>
      <c r="H284" s="1307">
        <v>0</v>
      </c>
      <c r="I284" s="1307">
        <v>0</v>
      </c>
      <c r="J284" s="1307">
        <v>0</v>
      </c>
      <c r="K284" s="1308">
        <v>0</v>
      </c>
      <c r="L284" s="1307">
        <v>0</v>
      </c>
      <c r="M284" s="1308">
        <v>0</v>
      </c>
      <c r="N284" s="1307">
        <v>0</v>
      </c>
      <c r="O284" s="1307">
        <v>0</v>
      </c>
      <c r="P284" s="1307">
        <v>0</v>
      </c>
      <c r="Q284" s="1307">
        <v>0</v>
      </c>
      <c r="R284" s="1307">
        <v>0</v>
      </c>
      <c r="S284" s="1307">
        <v>4323.5</v>
      </c>
      <c r="T284" s="1307">
        <v>20724156</v>
      </c>
      <c r="U284" s="1307">
        <f t="shared" ref="U284:V288" si="100">SUM(U285:U322)</f>
        <v>0</v>
      </c>
      <c r="V284" s="1307">
        <f t="shared" si="100"/>
        <v>0</v>
      </c>
      <c r="W284" s="1268">
        <v>0</v>
      </c>
      <c r="X284" s="1307">
        <v>1623196</v>
      </c>
      <c r="Y284" s="1307">
        <f>SUM(Y285:Y322)</f>
        <v>0</v>
      </c>
    </row>
    <row r="285" spans="1:25" s="1280" customFormat="1">
      <c r="A285" s="1281">
        <v>237</v>
      </c>
      <c r="B285" s="1277" t="s">
        <v>1440</v>
      </c>
      <c r="C285" s="1289">
        <f t="shared" ref="C285:C289" si="101">D285+N285+P285+R285+T285+V285+X285</f>
        <v>7294573</v>
      </c>
      <c r="D285" s="1289">
        <f t="shared" ref="D285:D289" si="102">SUM(E285:J285)</f>
        <v>0</v>
      </c>
      <c r="E285" s="1289">
        <v>0</v>
      </c>
      <c r="F285" s="1289">
        <v>0</v>
      </c>
      <c r="G285" s="1289">
        <v>0</v>
      </c>
      <c r="H285" s="1289">
        <v>0</v>
      </c>
      <c r="I285" s="1289">
        <v>0</v>
      </c>
      <c r="J285" s="1289">
        <v>0</v>
      </c>
      <c r="K285" s="1278">
        <v>0</v>
      </c>
      <c r="L285" s="1289">
        <v>0</v>
      </c>
      <c r="M285" s="1278">
        <v>3</v>
      </c>
      <c r="N285" s="1289">
        <f>6764733</f>
        <v>6764733</v>
      </c>
      <c r="O285" s="1289">
        <v>0</v>
      </c>
      <c r="P285" s="1289">
        <v>0</v>
      </c>
      <c r="Q285" s="1289">
        <v>0</v>
      </c>
      <c r="R285" s="1289">
        <v>0</v>
      </c>
      <c r="S285" s="1289">
        <v>0</v>
      </c>
      <c r="T285" s="1289">
        <v>0</v>
      </c>
      <c r="U285" s="1289">
        <f t="shared" si="100"/>
        <v>0</v>
      </c>
      <c r="V285" s="1289">
        <f t="shared" si="100"/>
        <v>0</v>
      </c>
      <c r="W285" s="1268">
        <v>0</v>
      </c>
      <c r="X285" s="1289">
        <v>529840</v>
      </c>
      <c r="Y285" s="1289">
        <f>SUM(Y286:Y323)</f>
        <v>0</v>
      </c>
    </row>
    <row r="286" spans="1:25" s="1280" customFormat="1" ht="56.4" customHeight="1">
      <c r="A286" s="1306">
        <v>238</v>
      </c>
      <c r="B286" s="1277" t="s">
        <v>1806</v>
      </c>
      <c r="C286" s="1289">
        <f t="shared" si="101"/>
        <v>4863049</v>
      </c>
      <c r="D286" s="1289">
        <f t="shared" si="102"/>
        <v>0</v>
      </c>
      <c r="E286" s="1289">
        <v>0</v>
      </c>
      <c r="F286" s="1289">
        <v>0</v>
      </c>
      <c r="G286" s="1289">
        <v>0</v>
      </c>
      <c r="H286" s="1289">
        <v>0</v>
      </c>
      <c r="I286" s="1289">
        <v>0</v>
      </c>
      <c r="J286" s="1289">
        <v>0</v>
      </c>
      <c r="K286" s="1278">
        <v>0</v>
      </c>
      <c r="L286" s="1289">
        <v>0</v>
      </c>
      <c r="M286" s="1278">
        <v>2</v>
      </c>
      <c r="N286" s="1289">
        <v>4509822</v>
      </c>
      <c r="O286" s="1289">
        <v>0</v>
      </c>
      <c r="P286" s="1289">
        <v>0</v>
      </c>
      <c r="Q286" s="1289">
        <v>0</v>
      </c>
      <c r="R286" s="1289">
        <v>0</v>
      </c>
      <c r="S286" s="1289">
        <v>0</v>
      </c>
      <c r="T286" s="1289">
        <v>0</v>
      </c>
      <c r="U286" s="1289">
        <f t="shared" si="100"/>
        <v>0</v>
      </c>
      <c r="V286" s="1289">
        <f t="shared" si="100"/>
        <v>0</v>
      </c>
      <c r="W286" s="1268">
        <v>0</v>
      </c>
      <c r="X286" s="1289">
        <v>353227</v>
      </c>
      <c r="Y286" s="1289">
        <f>SUM(Y287:Y324)</f>
        <v>0</v>
      </c>
    </row>
    <row r="287" spans="1:25" s="1280" customFormat="1" ht="75.599999999999994">
      <c r="A287" s="1281">
        <v>239</v>
      </c>
      <c r="B287" s="1277" t="s">
        <v>2425</v>
      </c>
      <c r="C287" s="1289">
        <f t="shared" si="101"/>
        <v>4863049</v>
      </c>
      <c r="D287" s="1289">
        <f t="shared" si="102"/>
        <v>0</v>
      </c>
      <c r="E287" s="1289">
        <v>0</v>
      </c>
      <c r="F287" s="1289">
        <v>0</v>
      </c>
      <c r="G287" s="1289">
        <v>0</v>
      </c>
      <c r="H287" s="1289">
        <v>0</v>
      </c>
      <c r="I287" s="1289">
        <v>0</v>
      </c>
      <c r="J287" s="1289">
        <v>0</v>
      </c>
      <c r="K287" s="1278">
        <v>0</v>
      </c>
      <c r="L287" s="1289">
        <v>0</v>
      </c>
      <c r="M287" s="1278">
        <v>2</v>
      </c>
      <c r="N287" s="1289">
        <v>4509822</v>
      </c>
      <c r="O287" s="1289">
        <v>0</v>
      </c>
      <c r="P287" s="1289">
        <v>0</v>
      </c>
      <c r="Q287" s="1289">
        <v>0</v>
      </c>
      <c r="R287" s="1289">
        <v>0</v>
      </c>
      <c r="S287" s="1289">
        <v>0</v>
      </c>
      <c r="T287" s="1289">
        <v>0</v>
      </c>
      <c r="U287" s="1289">
        <f t="shared" si="100"/>
        <v>0</v>
      </c>
      <c r="V287" s="1289">
        <f t="shared" si="100"/>
        <v>0</v>
      </c>
      <c r="W287" s="1268">
        <v>0</v>
      </c>
      <c r="X287" s="1289">
        <v>353227</v>
      </c>
      <c r="Y287" s="1289">
        <f>SUM(Y288:Y325)</f>
        <v>0</v>
      </c>
    </row>
    <row r="288" spans="1:25" s="1280" customFormat="1">
      <c r="A288" s="1306">
        <v>240</v>
      </c>
      <c r="B288" s="1277" t="s">
        <v>1808</v>
      </c>
      <c r="C288" s="1289">
        <f t="shared" si="101"/>
        <v>20465026</v>
      </c>
      <c r="D288" s="1289">
        <f t="shared" si="102"/>
        <v>0</v>
      </c>
      <c r="E288" s="1289">
        <v>0</v>
      </c>
      <c r="F288" s="1289">
        <v>0</v>
      </c>
      <c r="G288" s="1289">
        <v>0</v>
      </c>
      <c r="H288" s="1289">
        <v>0</v>
      </c>
      <c r="I288" s="1289">
        <v>0</v>
      </c>
      <c r="J288" s="1289">
        <v>0</v>
      </c>
      <c r="K288" s="1278">
        <v>0</v>
      </c>
      <c r="L288" s="1289">
        <v>0</v>
      </c>
      <c r="M288" s="1278">
        <v>2</v>
      </c>
      <c r="N288" s="1289">
        <v>4509822</v>
      </c>
      <c r="O288" s="1289">
        <v>0</v>
      </c>
      <c r="P288" s="1289">
        <v>0</v>
      </c>
      <c r="Q288" s="1289">
        <v>0</v>
      </c>
      <c r="R288" s="1289">
        <v>0</v>
      </c>
      <c r="S288" s="1289">
        <v>3018.45</v>
      </c>
      <c r="T288" s="1289">
        <v>14468730</v>
      </c>
      <c r="U288" s="1289">
        <f t="shared" si="100"/>
        <v>0</v>
      </c>
      <c r="V288" s="1289">
        <f t="shared" si="100"/>
        <v>0</v>
      </c>
      <c r="W288" s="1268">
        <v>0</v>
      </c>
      <c r="X288" s="1289">
        <f>353227+1133247</f>
        <v>1486474</v>
      </c>
      <c r="Y288" s="1289">
        <f>SUM(Y289:Y326)</f>
        <v>0</v>
      </c>
    </row>
    <row r="289" spans="1:25" s="1280" customFormat="1" ht="75.599999999999994">
      <c r="A289" s="1281">
        <v>241</v>
      </c>
      <c r="B289" s="1277" t="s">
        <v>2426</v>
      </c>
      <c r="C289" s="1289">
        <f t="shared" si="101"/>
        <v>11630570</v>
      </c>
      <c r="D289" s="1289">
        <f t="shared" si="102"/>
        <v>3854486</v>
      </c>
      <c r="E289" s="1289">
        <v>0</v>
      </c>
      <c r="F289" s="1289">
        <v>3854486</v>
      </c>
      <c r="G289" s="1289">
        <v>0</v>
      </c>
      <c r="H289" s="1289">
        <v>0</v>
      </c>
      <c r="I289" s="1289">
        <v>0</v>
      </c>
      <c r="J289" s="1289">
        <v>0</v>
      </c>
      <c r="K289" s="1278">
        <v>0</v>
      </c>
      <c r="L289" s="1289">
        <v>0</v>
      </c>
      <c r="M289" s="1278">
        <v>0</v>
      </c>
      <c r="N289" s="1289">
        <v>0</v>
      </c>
      <c r="O289" s="1289">
        <v>0</v>
      </c>
      <c r="P289" s="1289">
        <v>0</v>
      </c>
      <c r="Q289" s="1289">
        <v>0</v>
      </c>
      <c r="R289" s="1289">
        <v>0</v>
      </c>
      <c r="S289" s="1289">
        <v>1446</v>
      </c>
      <c r="T289" s="1289">
        <v>6931300</v>
      </c>
      <c r="U289" s="1289">
        <f t="shared" ref="U289:V289" si="103">SUM(U322:U327)</f>
        <v>0</v>
      </c>
      <c r="V289" s="1289">
        <f t="shared" si="103"/>
        <v>0</v>
      </c>
      <c r="W289" s="1268">
        <v>0</v>
      </c>
      <c r="X289" s="1289">
        <f>542886+301898</f>
        <v>844784</v>
      </c>
      <c r="Y289" s="1289">
        <f>SUM(Y322:Y327)</f>
        <v>0</v>
      </c>
    </row>
    <row r="290" spans="1:25" s="1280" customFormat="1" ht="75.599999999999994">
      <c r="A290" s="1281"/>
      <c r="B290" s="1267" t="s">
        <v>1084</v>
      </c>
      <c r="C290" s="1289">
        <f>C291+C292</f>
        <v>5964228</v>
      </c>
      <c r="D290" s="1289">
        <f t="shared" ref="D290:Y290" si="104">D291+D292</f>
        <v>0</v>
      </c>
      <c r="E290" s="1289">
        <f t="shared" si="104"/>
        <v>0</v>
      </c>
      <c r="F290" s="1289">
        <f t="shared" si="104"/>
        <v>0</v>
      </c>
      <c r="G290" s="1289">
        <f t="shared" si="104"/>
        <v>0</v>
      </c>
      <c r="H290" s="1289">
        <f t="shared" si="104"/>
        <v>0</v>
      </c>
      <c r="I290" s="1289">
        <f t="shared" si="104"/>
        <v>0</v>
      </c>
      <c r="J290" s="1289">
        <f t="shared" si="104"/>
        <v>0</v>
      </c>
      <c r="K290" s="1278">
        <f t="shared" si="104"/>
        <v>0</v>
      </c>
      <c r="L290" s="1289">
        <f t="shared" si="104"/>
        <v>0</v>
      </c>
      <c r="M290" s="1278">
        <f t="shared" si="104"/>
        <v>0</v>
      </c>
      <c r="N290" s="1289">
        <f t="shared" si="104"/>
        <v>0</v>
      </c>
      <c r="O290" s="1289">
        <f t="shared" si="104"/>
        <v>1221</v>
      </c>
      <c r="P290" s="1289">
        <f t="shared" si="104"/>
        <v>5531018</v>
      </c>
      <c r="Q290" s="1289">
        <f t="shared" si="104"/>
        <v>0</v>
      </c>
      <c r="R290" s="1289">
        <f t="shared" si="104"/>
        <v>0</v>
      </c>
      <c r="S290" s="1289">
        <f t="shared" si="104"/>
        <v>0</v>
      </c>
      <c r="T290" s="1289">
        <f t="shared" si="104"/>
        <v>0</v>
      </c>
      <c r="U290" s="1289">
        <f t="shared" si="104"/>
        <v>0</v>
      </c>
      <c r="V290" s="1289">
        <f t="shared" si="104"/>
        <v>0</v>
      </c>
      <c r="W290" s="1268">
        <v>0</v>
      </c>
      <c r="X290" s="1289">
        <f t="shared" si="104"/>
        <v>433210</v>
      </c>
      <c r="Y290" s="1289">
        <f t="shared" si="104"/>
        <v>0</v>
      </c>
    </row>
    <row r="291" spans="1:25" s="1280" customFormat="1" ht="75.599999999999994">
      <c r="A291" s="1281">
        <v>242</v>
      </c>
      <c r="B291" s="1277" t="s">
        <v>2427</v>
      </c>
      <c r="C291" s="1289">
        <f t="shared" ref="C291:C292" si="105">D291+N291+P291+R291+T291+V291+X291</f>
        <v>2823361</v>
      </c>
      <c r="D291" s="1289">
        <f t="shared" ref="D291:D292" si="106">SUM(E291:J291)</f>
        <v>0</v>
      </c>
      <c r="E291" s="1289">
        <v>0</v>
      </c>
      <c r="F291" s="1289">
        <v>0</v>
      </c>
      <c r="G291" s="1289">
        <v>0</v>
      </c>
      <c r="H291" s="1289">
        <v>0</v>
      </c>
      <c r="I291" s="1289">
        <v>0</v>
      </c>
      <c r="J291" s="1289">
        <v>0</v>
      </c>
      <c r="K291" s="1278">
        <v>0</v>
      </c>
      <c r="L291" s="1289">
        <v>0</v>
      </c>
      <c r="M291" s="1278">
        <v>0</v>
      </c>
      <c r="N291" s="1289">
        <v>0</v>
      </c>
      <c r="O291" s="1289">
        <v>578</v>
      </c>
      <c r="P291" s="1289">
        <v>2618287</v>
      </c>
      <c r="Q291" s="1289">
        <v>0</v>
      </c>
      <c r="R291" s="1289">
        <v>0</v>
      </c>
      <c r="S291" s="1289">
        <v>0</v>
      </c>
      <c r="T291" s="1289">
        <v>0</v>
      </c>
      <c r="U291" s="1289">
        <v>0</v>
      </c>
      <c r="V291" s="1289">
        <v>0</v>
      </c>
      <c r="W291" s="1268">
        <v>0</v>
      </c>
      <c r="X291" s="1289">
        <v>205074</v>
      </c>
      <c r="Y291" s="1289">
        <v>0</v>
      </c>
    </row>
    <row r="292" spans="1:25" s="1280" customFormat="1" ht="75.599999999999994">
      <c r="A292" s="1281">
        <v>243</v>
      </c>
      <c r="B292" s="1277" t="s">
        <v>1509</v>
      </c>
      <c r="C292" s="1289">
        <f t="shared" si="105"/>
        <v>3140867</v>
      </c>
      <c r="D292" s="1289">
        <f t="shared" si="106"/>
        <v>0</v>
      </c>
      <c r="E292" s="1289">
        <v>0</v>
      </c>
      <c r="F292" s="1289">
        <v>0</v>
      </c>
      <c r="G292" s="1289">
        <v>0</v>
      </c>
      <c r="H292" s="1289">
        <v>0</v>
      </c>
      <c r="I292" s="1289">
        <v>0</v>
      </c>
      <c r="J292" s="1289">
        <v>0</v>
      </c>
      <c r="K292" s="1278">
        <v>0</v>
      </c>
      <c r="L292" s="1289">
        <v>0</v>
      </c>
      <c r="M292" s="1278">
        <v>0</v>
      </c>
      <c r="N292" s="1289">
        <v>0</v>
      </c>
      <c r="O292" s="1289">
        <v>643</v>
      </c>
      <c r="P292" s="1289">
        <v>2912731</v>
      </c>
      <c r="Q292" s="1289">
        <v>0</v>
      </c>
      <c r="R292" s="1289">
        <v>0</v>
      </c>
      <c r="S292" s="1289">
        <v>0</v>
      </c>
      <c r="T292" s="1289">
        <v>0</v>
      </c>
      <c r="U292" s="1289">
        <v>0</v>
      </c>
      <c r="V292" s="1289">
        <v>0</v>
      </c>
      <c r="W292" s="1268">
        <v>0</v>
      </c>
      <c r="X292" s="1289">
        <v>228136</v>
      </c>
      <c r="Y292" s="1289">
        <v>0</v>
      </c>
    </row>
    <row r="293" spans="1:25" s="1280" customFormat="1" ht="75.599999999999994">
      <c r="A293" s="1281"/>
      <c r="B293" s="1267" t="s">
        <v>1086</v>
      </c>
      <c r="C293" s="1268">
        <f>C294</f>
        <v>1668609</v>
      </c>
      <c r="D293" s="1268">
        <f t="shared" ref="D293:Y293" si="107">D294</f>
        <v>0</v>
      </c>
      <c r="E293" s="1268">
        <f t="shared" si="107"/>
        <v>0</v>
      </c>
      <c r="F293" s="1268">
        <f t="shared" si="107"/>
        <v>0</v>
      </c>
      <c r="G293" s="1268">
        <f t="shared" si="107"/>
        <v>0</v>
      </c>
      <c r="H293" s="1268">
        <f t="shared" si="107"/>
        <v>0</v>
      </c>
      <c r="I293" s="1268">
        <f t="shared" si="107"/>
        <v>0</v>
      </c>
      <c r="J293" s="1268">
        <f t="shared" si="107"/>
        <v>0</v>
      </c>
      <c r="K293" s="1278">
        <v>0</v>
      </c>
      <c r="L293" s="1268">
        <v>0</v>
      </c>
      <c r="M293" s="1278">
        <f t="shared" si="107"/>
        <v>0</v>
      </c>
      <c r="N293" s="1268">
        <f t="shared" si="107"/>
        <v>0</v>
      </c>
      <c r="O293" s="1268">
        <f t="shared" si="107"/>
        <v>493</v>
      </c>
      <c r="P293" s="1268">
        <f t="shared" si="107"/>
        <v>1547410</v>
      </c>
      <c r="Q293" s="1268">
        <f t="shared" si="107"/>
        <v>0</v>
      </c>
      <c r="R293" s="1268">
        <f t="shared" si="107"/>
        <v>0</v>
      </c>
      <c r="S293" s="1268">
        <f t="shared" si="107"/>
        <v>0</v>
      </c>
      <c r="T293" s="1268">
        <f t="shared" si="107"/>
        <v>0</v>
      </c>
      <c r="U293" s="1268">
        <f t="shared" si="107"/>
        <v>0</v>
      </c>
      <c r="V293" s="1268">
        <f t="shared" si="107"/>
        <v>0</v>
      </c>
      <c r="W293" s="1268">
        <v>0</v>
      </c>
      <c r="X293" s="1268">
        <f t="shared" si="107"/>
        <v>121199</v>
      </c>
      <c r="Y293" s="1268">
        <f t="shared" si="107"/>
        <v>0</v>
      </c>
    </row>
    <row r="294" spans="1:25" s="1280" customFormat="1" ht="49.2" customHeight="1">
      <c r="A294" s="1281">
        <v>244</v>
      </c>
      <c r="B294" s="1267" t="s">
        <v>1541</v>
      </c>
      <c r="C294" s="1268">
        <f>D294+N294+P294+R294+T294+V294+X294</f>
        <v>1668609</v>
      </c>
      <c r="D294" s="1268">
        <f>SUM(E294:J294)</f>
        <v>0</v>
      </c>
      <c r="E294" s="1268">
        <f>([1]база!E316-(([1]база!E316*8)/110.14))</f>
        <v>0</v>
      </c>
      <c r="F294" s="1268">
        <f>([1]база!F316-(([1]база!F316*8)/110.14))</f>
        <v>0</v>
      </c>
      <c r="G294" s="1268">
        <f>([1]база!G316-(([1]база!G316*8)/110.14))</f>
        <v>0</v>
      </c>
      <c r="H294" s="1268">
        <f>([1]база!H316-(([1]база!H316*8)/110.14))</f>
        <v>0</v>
      </c>
      <c r="I294" s="1268">
        <f>([1]база!I316-(([1]база!I316*8)/110.14))</f>
        <v>0</v>
      </c>
      <c r="J294" s="1268">
        <f>([1]база!J316-(([1]база!J316*8)/110.14))</f>
        <v>0</v>
      </c>
      <c r="K294" s="1278">
        <v>0</v>
      </c>
      <c r="L294" s="1268">
        <v>0</v>
      </c>
      <c r="M294" s="1278">
        <v>0</v>
      </c>
      <c r="N294" s="1268">
        <f>([1]база!L316-([1]база!L316*8)/110.14)</f>
        <v>0</v>
      </c>
      <c r="O294" s="1268">
        <v>493</v>
      </c>
      <c r="P294" s="1268">
        <v>1547410</v>
      </c>
      <c r="Q294" s="1268">
        <v>0</v>
      </c>
      <c r="R294" s="1268">
        <f>([1]база!P316-([1]база!P316*8)/110.14)</f>
        <v>0</v>
      </c>
      <c r="S294" s="1268">
        <v>0</v>
      </c>
      <c r="T294" s="1268">
        <f>([1]база!R316-([1]база!R316*8)/110.14)</f>
        <v>0</v>
      </c>
      <c r="U294" s="1268">
        <v>0</v>
      </c>
      <c r="V294" s="1268">
        <f>([1]база!T316-([1]база!T316*8)/110.14)</f>
        <v>0</v>
      </c>
      <c r="W294" s="1268">
        <v>0</v>
      </c>
      <c r="X294" s="1268">
        <v>121199</v>
      </c>
      <c r="Y294" s="1268">
        <v>0</v>
      </c>
    </row>
    <row r="295" spans="1:25" s="1280" customFormat="1" ht="113.4">
      <c r="A295" s="1281"/>
      <c r="B295" s="1277" t="s">
        <v>1558</v>
      </c>
      <c r="C295" s="1268">
        <f>C296</f>
        <v>2119380</v>
      </c>
      <c r="D295" s="1268">
        <f t="shared" ref="D295:Y297" si="108">D296</f>
        <v>0</v>
      </c>
      <c r="E295" s="1268">
        <f t="shared" si="108"/>
        <v>0</v>
      </c>
      <c r="F295" s="1268">
        <f t="shared" si="108"/>
        <v>0</v>
      </c>
      <c r="G295" s="1268">
        <f t="shared" si="108"/>
        <v>0</v>
      </c>
      <c r="H295" s="1268">
        <f t="shared" si="108"/>
        <v>0</v>
      </c>
      <c r="I295" s="1268">
        <f t="shared" si="108"/>
        <v>0</v>
      </c>
      <c r="J295" s="1268">
        <f t="shared" si="108"/>
        <v>0</v>
      </c>
      <c r="K295" s="1278">
        <f t="shared" si="108"/>
        <v>0</v>
      </c>
      <c r="L295" s="1268">
        <f t="shared" si="108"/>
        <v>0</v>
      </c>
      <c r="M295" s="1278">
        <f t="shared" si="108"/>
        <v>0</v>
      </c>
      <c r="N295" s="1268">
        <f t="shared" si="108"/>
        <v>0</v>
      </c>
      <c r="O295" s="1268">
        <f t="shared" si="108"/>
        <v>780</v>
      </c>
      <c r="P295" s="1268">
        <f t="shared" si="108"/>
        <v>1965439</v>
      </c>
      <c r="Q295" s="1268">
        <f t="shared" si="108"/>
        <v>0</v>
      </c>
      <c r="R295" s="1268">
        <f t="shared" si="108"/>
        <v>0</v>
      </c>
      <c r="S295" s="1268">
        <f t="shared" si="108"/>
        <v>0</v>
      </c>
      <c r="T295" s="1268">
        <f t="shared" si="108"/>
        <v>0</v>
      </c>
      <c r="U295" s="1268">
        <f t="shared" si="108"/>
        <v>0</v>
      </c>
      <c r="V295" s="1268">
        <f t="shared" si="108"/>
        <v>0</v>
      </c>
      <c r="W295" s="1268">
        <v>0</v>
      </c>
      <c r="X295" s="1268">
        <f t="shared" si="108"/>
        <v>153941</v>
      </c>
      <c r="Y295" s="1268">
        <f t="shared" si="108"/>
        <v>0</v>
      </c>
    </row>
    <row r="296" spans="1:25" s="1286" customFormat="1" ht="75.599999999999994">
      <c r="A296" s="1281">
        <v>245</v>
      </c>
      <c r="B296" s="1267" t="s">
        <v>1559</v>
      </c>
      <c r="C296" s="1268">
        <f>D296+N296+P296+R296+T296+V296+X296</f>
        <v>2119380</v>
      </c>
      <c r="D296" s="1268">
        <f>SUM(E296:J296)</f>
        <v>0</v>
      </c>
      <c r="E296" s="1268">
        <v>0</v>
      </c>
      <c r="F296" s="1268">
        <v>0</v>
      </c>
      <c r="G296" s="1268">
        <v>0</v>
      </c>
      <c r="H296" s="1268">
        <v>0</v>
      </c>
      <c r="I296" s="1268">
        <v>0</v>
      </c>
      <c r="J296" s="1268">
        <v>0</v>
      </c>
      <c r="K296" s="1278">
        <v>0</v>
      </c>
      <c r="L296" s="1268">
        <v>0</v>
      </c>
      <c r="M296" s="1278">
        <v>0</v>
      </c>
      <c r="N296" s="1268">
        <v>0</v>
      </c>
      <c r="O296" s="1268">
        <v>780</v>
      </c>
      <c r="P296" s="1268">
        <v>1965439</v>
      </c>
      <c r="Q296" s="1268">
        <v>0</v>
      </c>
      <c r="R296" s="1268">
        <v>0</v>
      </c>
      <c r="S296" s="1268">
        <v>0</v>
      </c>
      <c r="T296" s="1268">
        <v>0</v>
      </c>
      <c r="U296" s="1268">
        <v>0</v>
      </c>
      <c r="V296" s="1268">
        <v>0</v>
      </c>
      <c r="W296" s="1268">
        <v>0</v>
      </c>
      <c r="X296" s="1268">
        <v>153941</v>
      </c>
      <c r="Y296" s="1268">
        <v>0</v>
      </c>
    </row>
    <row r="297" spans="1:25" s="1286" customFormat="1" ht="75.599999999999994">
      <c r="A297" s="1281"/>
      <c r="B297" s="1267" t="s">
        <v>1088</v>
      </c>
      <c r="C297" s="1268">
        <f>C298</f>
        <v>255847</v>
      </c>
      <c r="D297" s="1268">
        <f t="shared" ref="D297:Y297" si="109">D298</f>
        <v>181655</v>
      </c>
      <c r="E297" s="1268">
        <f t="shared" si="109"/>
        <v>181655</v>
      </c>
      <c r="F297" s="1268">
        <f t="shared" si="109"/>
        <v>0</v>
      </c>
      <c r="G297" s="1268">
        <f t="shared" si="109"/>
        <v>0</v>
      </c>
      <c r="H297" s="1268">
        <f t="shared" si="109"/>
        <v>0</v>
      </c>
      <c r="I297" s="1268">
        <f t="shared" si="109"/>
        <v>0</v>
      </c>
      <c r="J297" s="1268">
        <f t="shared" si="109"/>
        <v>0</v>
      </c>
      <c r="K297" s="1278">
        <f t="shared" si="109"/>
        <v>0</v>
      </c>
      <c r="L297" s="1268">
        <f t="shared" si="109"/>
        <v>0</v>
      </c>
      <c r="M297" s="1278">
        <f t="shared" si="109"/>
        <v>0</v>
      </c>
      <c r="N297" s="1268">
        <f t="shared" si="109"/>
        <v>0</v>
      </c>
      <c r="O297" s="1268">
        <f t="shared" si="109"/>
        <v>0</v>
      </c>
      <c r="P297" s="1268">
        <f t="shared" si="109"/>
        <v>0</v>
      </c>
      <c r="Q297" s="1268">
        <f t="shared" si="109"/>
        <v>0</v>
      </c>
      <c r="R297" s="1268">
        <f t="shared" si="109"/>
        <v>0</v>
      </c>
      <c r="S297" s="1268">
        <f t="shared" si="109"/>
        <v>0</v>
      </c>
      <c r="T297" s="1268">
        <f t="shared" si="109"/>
        <v>0</v>
      </c>
      <c r="U297" s="1268">
        <f t="shared" si="109"/>
        <v>0</v>
      </c>
      <c r="V297" s="1268">
        <f t="shared" si="108"/>
        <v>0</v>
      </c>
      <c r="W297" s="1268">
        <v>0</v>
      </c>
      <c r="X297" s="1268">
        <f t="shared" si="109"/>
        <v>74192</v>
      </c>
      <c r="Y297" s="1268">
        <f t="shared" si="109"/>
        <v>0</v>
      </c>
    </row>
    <row r="298" spans="1:25" s="1286" customFormat="1">
      <c r="A298" s="1281">
        <v>246</v>
      </c>
      <c r="B298" s="1267" t="s">
        <v>1560</v>
      </c>
      <c r="C298" s="1268">
        <f>D298+N298+P298+R298+T298+V298+X298</f>
        <v>255847</v>
      </c>
      <c r="D298" s="1268">
        <f>SUM(E298:J298)</f>
        <v>181655</v>
      </c>
      <c r="E298" s="1268">
        <v>181655</v>
      </c>
      <c r="F298" s="1268">
        <v>0</v>
      </c>
      <c r="G298" s="1268">
        <v>0</v>
      </c>
      <c r="H298" s="1268">
        <v>0</v>
      </c>
      <c r="I298" s="1268">
        <v>0</v>
      </c>
      <c r="J298" s="1268">
        <v>0</v>
      </c>
      <c r="K298" s="1278">
        <v>0</v>
      </c>
      <c r="L298" s="1268">
        <v>0</v>
      </c>
      <c r="M298" s="1278">
        <v>0</v>
      </c>
      <c r="N298" s="1268">
        <v>0</v>
      </c>
      <c r="O298" s="1268">
        <v>0</v>
      </c>
      <c r="P298" s="1268">
        <v>0</v>
      </c>
      <c r="Q298" s="1268">
        <v>0</v>
      </c>
      <c r="R298" s="1268">
        <v>0</v>
      </c>
      <c r="S298" s="1268">
        <v>0</v>
      </c>
      <c r="T298" s="1268">
        <v>0</v>
      </c>
      <c r="U298" s="1268">
        <v>0</v>
      </c>
      <c r="V298" s="1268">
        <v>0</v>
      </c>
      <c r="W298" s="1268">
        <v>0</v>
      </c>
      <c r="X298" s="1268">
        <v>74192</v>
      </c>
      <c r="Y298" s="1268">
        <v>0</v>
      </c>
    </row>
    <row r="299" spans="1:25" s="1286" customFormat="1" ht="75.599999999999994">
      <c r="A299" s="1281"/>
      <c r="B299" s="1267" t="s">
        <v>1087</v>
      </c>
      <c r="C299" s="1268">
        <f>C300+C301+C302+C303+C304</f>
        <v>14825740</v>
      </c>
      <c r="D299" s="1268">
        <f t="shared" ref="D299:Y299" si="110">D300+D301+D302+D303+D304</f>
        <v>2462200</v>
      </c>
      <c r="E299" s="1268">
        <f t="shared" si="110"/>
        <v>2462200</v>
      </c>
      <c r="F299" s="1268">
        <f t="shared" si="110"/>
        <v>0</v>
      </c>
      <c r="G299" s="1268">
        <f t="shared" si="110"/>
        <v>0</v>
      </c>
      <c r="H299" s="1268">
        <f t="shared" si="110"/>
        <v>0</v>
      </c>
      <c r="I299" s="1268">
        <f t="shared" si="110"/>
        <v>0</v>
      </c>
      <c r="J299" s="1268">
        <f t="shared" si="110"/>
        <v>0</v>
      </c>
      <c r="K299" s="1278">
        <f t="shared" si="110"/>
        <v>0</v>
      </c>
      <c r="L299" s="1268">
        <f t="shared" si="110"/>
        <v>0</v>
      </c>
      <c r="M299" s="1278">
        <f t="shared" si="110"/>
        <v>0</v>
      </c>
      <c r="N299" s="1268">
        <f t="shared" si="110"/>
        <v>0</v>
      </c>
      <c r="O299" s="1268">
        <f t="shared" si="110"/>
        <v>4304.8</v>
      </c>
      <c r="P299" s="1268">
        <f t="shared" si="110"/>
        <v>11286675</v>
      </c>
      <c r="Q299" s="1268">
        <f t="shared" si="110"/>
        <v>0</v>
      </c>
      <c r="R299" s="1268">
        <f t="shared" si="110"/>
        <v>0</v>
      </c>
      <c r="S299" s="1268">
        <f t="shared" si="110"/>
        <v>0</v>
      </c>
      <c r="T299" s="1268">
        <f t="shared" si="110"/>
        <v>0</v>
      </c>
      <c r="U299" s="1268">
        <f t="shared" si="110"/>
        <v>0</v>
      </c>
      <c r="V299" s="1268">
        <f t="shared" si="110"/>
        <v>0</v>
      </c>
      <c r="W299" s="1268">
        <v>0</v>
      </c>
      <c r="X299" s="1268">
        <f t="shared" si="110"/>
        <v>1076865</v>
      </c>
      <c r="Y299" s="1268">
        <f t="shared" si="110"/>
        <v>0</v>
      </c>
    </row>
    <row r="300" spans="1:25" s="1286" customFormat="1" ht="63.6" customHeight="1">
      <c r="A300" s="1281">
        <v>247</v>
      </c>
      <c r="B300" s="1277" t="s">
        <v>1579</v>
      </c>
      <c r="C300" s="1268">
        <f>D300+N300+P300+R300+T300+V300+X300</f>
        <v>3315471</v>
      </c>
      <c r="D300" s="1268">
        <f>SUM(E300:J300)</f>
        <v>0</v>
      </c>
      <c r="E300" s="1268">
        <v>0</v>
      </c>
      <c r="F300" s="1268">
        <v>0</v>
      </c>
      <c r="G300" s="1268">
        <v>0</v>
      </c>
      <c r="H300" s="1268">
        <v>0</v>
      </c>
      <c r="I300" s="1268">
        <v>0</v>
      </c>
      <c r="J300" s="1268">
        <v>0</v>
      </c>
      <c r="K300" s="1278">
        <v>0</v>
      </c>
      <c r="L300" s="1268">
        <v>0</v>
      </c>
      <c r="M300" s="1278">
        <v>0</v>
      </c>
      <c r="N300" s="1268">
        <v>0</v>
      </c>
      <c r="O300" s="1268">
        <v>1220.2</v>
      </c>
      <c r="P300" s="1268">
        <v>3074652</v>
      </c>
      <c r="Q300" s="1268">
        <v>0</v>
      </c>
      <c r="R300" s="1268">
        <v>0</v>
      </c>
      <c r="S300" s="1268">
        <v>0</v>
      </c>
      <c r="T300" s="1268">
        <v>0</v>
      </c>
      <c r="U300" s="1268">
        <v>0</v>
      </c>
      <c r="V300" s="1268">
        <v>0</v>
      </c>
      <c r="W300" s="1268">
        <v>0</v>
      </c>
      <c r="X300" s="1268">
        <v>240819</v>
      </c>
      <c r="Y300" s="1268">
        <v>0</v>
      </c>
    </row>
    <row r="301" spans="1:25" s="1280" customFormat="1">
      <c r="A301" s="1281">
        <v>248</v>
      </c>
      <c r="B301" s="1277" t="s">
        <v>724</v>
      </c>
      <c r="C301" s="1268">
        <f t="shared" ref="C301:C304" si="111">D301+N301+P301+R301+T301+V301+X301</f>
        <v>2655049</v>
      </c>
      <c r="D301" s="1268">
        <f t="shared" ref="D301:D304" si="112">SUM(E301:J301)</f>
        <v>2462200</v>
      </c>
      <c r="E301" s="1268">
        <v>2462200</v>
      </c>
      <c r="F301" s="1268">
        <v>0</v>
      </c>
      <c r="G301" s="1268">
        <v>0</v>
      </c>
      <c r="H301" s="1268">
        <v>0</v>
      </c>
      <c r="I301" s="1268">
        <v>0</v>
      </c>
      <c r="J301" s="1268">
        <v>0</v>
      </c>
      <c r="K301" s="1278">
        <v>0</v>
      </c>
      <c r="L301" s="1268">
        <v>0</v>
      </c>
      <c r="M301" s="1278">
        <v>0</v>
      </c>
      <c r="N301" s="1268">
        <v>0</v>
      </c>
      <c r="O301" s="1268">
        <v>0</v>
      </c>
      <c r="P301" s="1268">
        <v>0</v>
      </c>
      <c r="Q301" s="1268">
        <v>0</v>
      </c>
      <c r="R301" s="1268">
        <v>0</v>
      </c>
      <c r="S301" s="1268">
        <v>0</v>
      </c>
      <c r="T301" s="1268">
        <v>0</v>
      </c>
      <c r="U301" s="1268">
        <v>0</v>
      </c>
      <c r="V301" s="1268">
        <v>0</v>
      </c>
      <c r="W301" s="1268">
        <v>0</v>
      </c>
      <c r="X301" s="1268">
        <v>192849</v>
      </c>
      <c r="Y301" s="1268">
        <v>0</v>
      </c>
    </row>
    <row r="302" spans="1:25" s="1280" customFormat="1">
      <c r="A302" s="1281">
        <v>249</v>
      </c>
      <c r="B302" s="1277" t="s">
        <v>1580</v>
      </c>
      <c r="C302" s="1268">
        <f t="shared" si="111"/>
        <v>4033887</v>
      </c>
      <c r="D302" s="1268">
        <f t="shared" si="112"/>
        <v>0</v>
      </c>
      <c r="E302" s="1268">
        <v>0</v>
      </c>
      <c r="F302" s="1268">
        <v>0</v>
      </c>
      <c r="G302" s="1268">
        <v>0</v>
      </c>
      <c r="H302" s="1268">
        <v>0</v>
      </c>
      <c r="I302" s="1268">
        <v>0</v>
      </c>
      <c r="J302" s="1268">
        <v>0</v>
      </c>
      <c r="K302" s="1278">
        <v>0</v>
      </c>
      <c r="L302" s="1268">
        <v>0</v>
      </c>
      <c r="M302" s="1278">
        <v>0</v>
      </c>
      <c r="N302" s="1268">
        <v>0</v>
      </c>
      <c r="O302" s="1268">
        <v>1484.6</v>
      </c>
      <c r="P302" s="1268">
        <v>3740886</v>
      </c>
      <c r="Q302" s="1268">
        <v>0</v>
      </c>
      <c r="R302" s="1268">
        <v>0</v>
      </c>
      <c r="S302" s="1268">
        <v>0</v>
      </c>
      <c r="T302" s="1268">
        <v>0</v>
      </c>
      <c r="U302" s="1268">
        <v>0</v>
      </c>
      <c r="V302" s="1268">
        <v>0</v>
      </c>
      <c r="W302" s="1268">
        <v>0</v>
      </c>
      <c r="X302" s="1268">
        <v>293001</v>
      </c>
      <c r="Y302" s="1268">
        <v>0</v>
      </c>
    </row>
    <row r="303" spans="1:25" s="1280" customFormat="1">
      <c r="A303" s="1281">
        <v>250</v>
      </c>
      <c r="B303" s="1277" t="s">
        <v>1581</v>
      </c>
      <c r="C303" s="1268">
        <f t="shared" si="111"/>
        <v>2403067</v>
      </c>
      <c r="D303" s="1268">
        <f t="shared" si="112"/>
        <v>0</v>
      </c>
      <c r="E303" s="1268">
        <v>0</v>
      </c>
      <c r="F303" s="1268">
        <v>0</v>
      </c>
      <c r="G303" s="1268">
        <v>0</v>
      </c>
      <c r="H303" s="1268">
        <v>0</v>
      </c>
      <c r="I303" s="1268">
        <v>0</v>
      </c>
      <c r="J303" s="1268">
        <v>0</v>
      </c>
      <c r="K303" s="1278">
        <v>0</v>
      </c>
      <c r="L303" s="1268">
        <v>0</v>
      </c>
      <c r="M303" s="1278">
        <v>0</v>
      </c>
      <c r="N303" s="1268">
        <v>0</v>
      </c>
      <c r="O303" s="1268">
        <v>710</v>
      </c>
      <c r="P303" s="1268">
        <v>2228521</v>
      </c>
      <c r="Q303" s="1268">
        <v>0</v>
      </c>
      <c r="R303" s="1268">
        <v>0</v>
      </c>
      <c r="S303" s="1268">
        <v>0</v>
      </c>
      <c r="T303" s="1268">
        <v>0</v>
      </c>
      <c r="U303" s="1268">
        <v>0</v>
      </c>
      <c r="V303" s="1268">
        <v>0</v>
      </c>
      <c r="W303" s="1268">
        <v>0</v>
      </c>
      <c r="X303" s="1268">
        <v>174546</v>
      </c>
      <c r="Y303" s="1268">
        <v>0</v>
      </c>
    </row>
    <row r="304" spans="1:25" s="1280" customFormat="1">
      <c r="A304" s="1281">
        <v>251</v>
      </c>
      <c r="B304" s="1277" t="s">
        <v>1175</v>
      </c>
      <c r="C304" s="1268">
        <f t="shared" si="111"/>
        <v>2418266</v>
      </c>
      <c r="D304" s="1268">
        <f t="shared" si="112"/>
        <v>0</v>
      </c>
      <c r="E304" s="1268">
        <v>0</v>
      </c>
      <c r="F304" s="1268">
        <v>0</v>
      </c>
      <c r="G304" s="1268">
        <v>0</v>
      </c>
      <c r="H304" s="1268">
        <v>0</v>
      </c>
      <c r="I304" s="1268">
        <v>0</v>
      </c>
      <c r="J304" s="1268">
        <v>0</v>
      </c>
      <c r="K304" s="1278">
        <v>0</v>
      </c>
      <c r="L304" s="1268">
        <v>0</v>
      </c>
      <c r="M304" s="1278">
        <v>0</v>
      </c>
      <c r="N304" s="1268">
        <v>0</v>
      </c>
      <c r="O304" s="1268">
        <v>890</v>
      </c>
      <c r="P304" s="1268">
        <v>2242616</v>
      </c>
      <c r="Q304" s="1268">
        <v>0</v>
      </c>
      <c r="R304" s="1268">
        <v>0</v>
      </c>
      <c r="S304" s="1268">
        <v>0</v>
      </c>
      <c r="T304" s="1268">
        <v>0</v>
      </c>
      <c r="U304" s="1268">
        <v>0</v>
      </c>
      <c r="V304" s="1268">
        <v>0</v>
      </c>
      <c r="W304" s="1268">
        <v>0</v>
      </c>
      <c r="X304" s="1268">
        <v>175650</v>
      </c>
      <c r="Y304" s="1268">
        <v>0</v>
      </c>
    </row>
    <row r="305" spans="1:25" s="1280" customFormat="1" ht="75.599999999999994">
      <c r="A305" s="1281"/>
      <c r="B305" s="1277" t="s">
        <v>2015</v>
      </c>
      <c r="C305" s="1268">
        <f>C306+C307+C308</f>
        <v>2833131</v>
      </c>
      <c r="D305" s="1268">
        <f t="shared" ref="D305:Y305" si="113">D306+D307+D308</f>
        <v>0</v>
      </c>
      <c r="E305" s="1268">
        <f t="shared" si="113"/>
        <v>0</v>
      </c>
      <c r="F305" s="1268">
        <f t="shared" si="113"/>
        <v>0</v>
      </c>
      <c r="G305" s="1268">
        <f t="shared" si="113"/>
        <v>0</v>
      </c>
      <c r="H305" s="1268">
        <f t="shared" si="113"/>
        <v>0</v>
      </c>
      <c r="I305" s="1268">
        <f t="shared" si="113"/>
        <v>0</v>
      </c>
      <c r="J305" s="1268">
        <f t="shared" si="113"/>
        <v>0</v>
      </c>
      <c r="K305" s="1278">
        <f t="shared" si="113"/>
        <v>0</v>
      </c>
      <c r="L305" s="1268">
        <f t="shared" si="113"/>
        <v>0</v>
      </c>
      <c r="M305" s="1278">
        <f t="shared" si="113"/>
        <v>0</v>
      </c>
      <c r="N305" s="1268">
        <f t="shared" si="113"/>
        <v>0</v>
      </c>
      <c r="O305" s="1268">
        <f t="shared" si="113"/>
        <v>580</v>
      </c>
      <c r="P305" s="1268">
        <f t="shared" si="113"/>
        <v>2627347</v>
      </c>
      <c r="Q305" s="1268">
        <f t="shared" si="113"/>
        <v>0</v>
      </c>
      <c r="R305" s="1268">
        <f t="shared" si="113"/>
        <v>0</v>
      </c>
      <c r="S305" s="1268">
        <f t="shared" si="113"/>
        <v>0</v>
      </c>
      <c r="T305" s="1268">
        <f t="shared" si="113"/>
        <v>0</v>
      </c>
      <c r="U305" s="1268">
        <f t="shared" si="113"/>
        <v>0</v>
      </c>
      <c r="V305" s="1268">
        <f t="shared" si="113"/>
        <v>0</v>
      </c>
      <c r="W305" s="1268">
        <v>0</v>
      </c>
      <c r="X305" s="1268">
        <f t="shared" si="113"/>
        <v>205784</v>
      </c>
      <c r="Y305" s="1268">
        <f t="shared" si="113"/>
        <v>0</v>
      </c>
    </row>
    <row r="306" spans="1:25" s="1280" customFormat="1" ht="75.599999999999994">
      <c r="A306" s="1281">
        <v>252</v>
      </c>
      <c r="B306" s="1267" t="s">
        <v>2613</v>
      </c>
      <c r="C306" s="1268">
        <f>D306+N306+P306+R306+T306+V306+X306</f>
        <v>1221177</v>
      </c>
      <c r="D306" s="1268">
        <f>SUM(E306:J306)</f>
        <v>0</v>
      </c>
      <c r="E306" s="1268">
        <v>0</v>
      </c>
      <c r="F306" s="1268">
        <v>0</v>
      </c>
      <c r="G306" s="1268">
        <v>0</v>
      </c>
      <c r="H306" s="1268">
        <v>0</v>
      </c>
      <c r="I306" s="1268">
        <v>0</v>
      </c>
      <c r="J306" s="1268">
        <v>0</v>
      </c>
      <c r="K306" s="1278">
        <v>0</v>
      </c>
      <c r="L306" s="1268">
        <v>0</v>
      </c>
      <c r="M306" s="1278">
        <v>0</v>
      </c>
      <c r="N306" s="1268">
        <v>0</v>
      </c>
      <c r="O306" s="1268">
        <v>250</v>
      </c>
      <c r="P306" s="1268">
        <v>1132477</v>
      </c>
      <c r="Q306" s="1268">
        <v>0</v>
      </c>
      <c r="R306" s="1268">
        <v>0</v>
      </c>
      <c r="S306" s="1268">
        <v>0</v>
      </c>
      <c r="T306" s="1268">
        <v>0</v>
      </c>
      <c r="U306" s="1268">
        <v>0</v>
      </c>
      <c r="V306" s="1268">
        <v>0</v>
      </c>
      <c r="W306" s="1268">
        <v>0</v>
      </c>
      <c r="X306" s="1268">
        <v>88700</v>
      </c>
      <c r="Y306" s="1268">
        <v>0</v>
      </c>
    </row>
    <row r="307" spans="1:25" s="1280" customFormat="1">
      <c r="A307" s="1281">
        <v>253</v>
      </c>
      <c r="B307" s="1267" t="s">
        <v>1313</v>
      </c>
      <c r="C307" s="1268">
        <f>D307+N307+P307+R307+T307+V307+X307</f>
        <v>390777</v>
      </c>
      <c r="D307" s="1268">
        <f>SUM(E307:J307)</f>
        <v>0</v>
      </c>
      <c r="E307" s="1268">
        <v>0</v>
      </c>
      <c r="F307" s="1268">
        <v>0</v>
      </c>
      <c r="G307" s="1268">
        <v>0</v>
      </c>
      <c r="H307" s="1268">
        <v>0</v>
      </c>
      <c r="I307" s="1268">
        <v>0</v>
      </c>
      <c r="J307" s="1268">
        <v>0</v>
      </c>
      <c r="K307" s="1278">
        <v>0</v>
      </c>
      <c r="L307" s="1268">
        <v>0</v>
      </c>
      <c r="M307" s="1278">
        <v>0</v>
      </c>
      <c r="N307" s="1268">
        <v>0</v>
      </c>
      <c r="O307" s="1268">
        <v>80</v>
      </c>
      <c r="P307" s="1268">
        <v>362393</v>
      </c>
      <c r="Q307" s="1268">
        <v>0</v>
      </c>
      <c r="R307" s="1268">
        <v>0</v>
      </c>
      <c r="S307" s="1268">
        <v>0</v>
      </c>
      <c r="T307" s="1268">
        <v>0</v>
      </c>
      <c r="U307" s="1268">
        <v>0</v>
      </c>
      <c r="V307" s="1268">
        <v>0</v>
      </c>
      <c r="W307" s="1268">
        <v>0</v>
      </c>
      <c r="X307" s="1268">
        <v>28384</v>
      </c>
      <c r="Y307" s="1268">
        <v>0</v>
      </c>
    </row>
    <row r="308" spans="1:25" s="1280" customFormat="1">
      <c r="A308" s="1281">
        <v>254</v>
      </c>
      <c r="B308" s="1277" t="s">
        <v>1314</v>
      </c>
      <c r="C308" s="1268">
        <f>D308+N308+P308+R308+T308+V308+X308</f>
        <v>1221177</v>
      </c>
      <c r="D308" s="1268">
        <f>SUM(E308:J308)</f>
        <v>0</v>
      </c>
      <c r="E308" s="1268">
        <v>0</v>
      </c>
      <c r="F308" s="1268">
        <v>0</v>
      </c>
      <c r="G308" s="1268">
        <v>0</v>
      </c>
      <c r="H308" s="1268">
        <v>0</v>
      </c>
      <c r="I308" s="1268">
        <v>0</v>
      </c>
      <c r="J308" s="1268">
        <v>0</v>
      </c>
      <c r="K308" s="1278">
        <v>0</v>
      </c>
      <c r="L308" s="1268">
        <v>0</v>
      </c>
      <c r="M308" s="1278">
        <v>0</v>
      </c>
      <c r="N308" s="1268">
        <v>0</v>
      </c>
      <c r="O308" s="1268">
        <v>250</v>
      </c>
      <c r="P308" s="1268">
        <v>1132477</v>
      </c>
      <c r="Q308" s="1268">
        <v>0</v>
      </c>
      <c r="R308" s="1268">
        <v>0</v>
      </c>
      <c r="S308" s="1268">
        <v>0</v>
      </c>
      <c r="T308" s="1268">
        <v>0</v>
      </c>
      <c r="U308" s="1268">
        <v>0</v>
      </c>
      <c r="V308" s="1268">
        <v>0</v>
      </c>
      <c r="W308" s="1268">
        <v>0</v>
      </c>
      <c r="X308" s="1268">
        <v>88700</v>
      </c>
      <c r="Y308" s="1268">
        <v>0</v>
      </c>
    </row>
    <row r="309" spans="1:25" s="1280" customFormat="1">
      <c r="A309" s="1281"/>
      <c r="B309" s="1277" t="s">
        <v>55</v>
      </c>
      <c r="C309" s="1268">
        <f>C310</f>
        <v>2914163</v>
      </c>
      <c r="D309" s="1268">
        <f t="shared" ref="D309:Y309" si="114">D310</f>
        <v>0</v>
      </c>
      <c r="E309" s="1268">
        <f t="shared" si="114"/>
        <v>0</v>
      </c>
      <c r="F309" s="1268">
        <f t="shared" si="114"/>
        <v>0</v>
      </c>
      <c r="G309" s="1268">
        <f t="shared" si="114"/>
        <v>0</v>
      </c>
      <c r="H309" s="1268">
        <f t="shared" si="114"/>
        <v>0</v>
      </c>
      <c r="I309" s="1268">
        <f t="shared" si="114"/>
        <v>0</v>
      </c>
      <c r="J309" s="1268">
        <f t="shared" si="114"/>
        <v>0</v>
      </c>
      <c r="K309" s="1278">
        <f t="shared" si="114"/>
        <v>0</v>
      </c>
      <c r="L309" s="1268">
        <f t="shared" si="114"/>
        <v>0</v>
      </c>
      <c r="M309" s="1278">
        <f t="shared" si="114"/>
        <v>0</v>
      </c>
      <c r="N309" s="1268">
        <f t="shared" si="114"/>
        <v>0</v>
      </c>
      <c r="O309" s="1268">
        <f t="shared" si="114"/>
        <v>730.5</v>
      </c>
      <c r="P309" s="1268">
        <f t="shared" si="114"/>
        <v>2702493</v>
      </c>
      <c r="Q309" s="1268">
        <f t="shared" si="114"/>
        <v>0</v>
      </c>
      <c r="R309" s="1268">
        <f t="shared" si="114"/>
        <v>0</v>
      </c>
      <c r="S309" s="1268">
        <f t="shared" si="114"/>
        <v>0</v>
      </c>
      <c r="T309" s="1268">
        <f t="shared" si="114"/>
        <v>0</v>
      </c>
      <c r="U309" s="1268">
        <f t="shared" si="114"/>
        <v>0</v>
      </c>
      <c r="V309" s="1268">
        <f t="shared" si="114"/>
        <v>0</v>
      </c>
      <c r="W309" s="1268">
        <v>0</v>
      </c>
      <c r="X309" s="1268">
        <f t="shared" si="114"/>
        <v>211670</v>
      </c>
      <c r="Y309" s="1268">
        <f t="shared" si="114"/>
        <v>0</v>
      </c>
    </row>
    <row r="310" spans="1:25" s="1280" customFormat="1" ht="113.4">
      <c r="A310" s="1281"/>
      <c r="B310" s="1277" t="s">
        <v>1090</v>
      </c>
      <c r="C310" s="1268">
        <f>C311</f>
        <v>2914163</v>
      </c>
      <c r="D310" s="1268">
        <f t="shared" ref="D310:Y310" si="115">D311</f>
        <v>0</v>
      </c>
      <c r="E310" s="1268">
        <f t="shared" si="115"/>
        <v>0</v>
      </c>
      <c r="F310" s="1268">
        <f t="shared" si="115"/>
        <v>0</v>
      </c>
      <c r="G310" s="1268">
        <f t="shared" si="115"/>
        <v>0</v>
      </c>
      <c r="H310" s="1268">
        <f t="shared" si="115"/>
        <v>0</v>
      </c>
      <c r="I310" s="1268">
        <f t="shared" si="115"/>
        <v>0</v>
      </c>
      <c r="J310" s="1268">
        <f t="shared" si="115"/>
        <v>0</v>
      </c>
      <c r="K310" s="1278">
        <f t="shared" si="115"/>
        <v>0</v>
      </c>
      <c r="L310" s="1268">
        <f t="shared" si="115"/>
        <v>0</v>
      </c>
      <c r="M310" s="1278">
        <f t="shared" si="115"/>
        <v>0</v>
      </c>
      <c r="N310" s="1268">
        <f t="shared" si="115"/>
        <v>0</v>
      </c>
      <c r="O310" s="1268">
        <f t="shared" si="115"/>
        <v>730.5</v>
      </c>
      <c r="P310" s="1268">
        <f t="shared" si="115"/>
        <v>2702493</v>
      </c>
      <c r="Q310" s="1268">
        <f t="shared" si="115"/>
        <v>0</v>
      </c>
      <c r="R310" s="1268">
        <f t="shared" si="115"/>
        <v>0</v>
      </c>
      <c r="S310" s="1268">
        <f t="shared" si="115"/>
        <v>0</v>
      </c>
      <c r="T310" s="1268">
        <f t="shared" si="115"/>
        <v>0</v>
      </c>
      <c r="U310" s="1268">
        <f t="shared" si="115"/>
        <v>0</v>
      </c>
      <c r="V310" s="1268">
        <f t="shared" si="115"/>
        <v>0</v>
      </c>
      <c r="W310" s="1268">
        <v>0</v>
      </c>
      <c r="X310" s="1268">
        <f t="shared" si="115"/>
        <v>211670</v>
      </c>
      <c r="Y310" s="1268">
        <f t="shared" si="115"/>
        <v>0</v>
      </c>
    </row>
    <row r="311" spans="1:25" s="1280" customFormat="1">
      <c r="A311" s="1281">
        <v>255</v>
      </c>
      <c r="B311" s="1277" t="s">
        <v>1516</v>
      </c>
      <c r="C311" s="1268">
        <f>D311+N311+P311+R311+T311+V311+X311</f>
        <v>2914163</v>
      </c>
      <c r="D311" s="1268">
        <f>SUM(E311:J311)</f>
        <v>0</v>
      </c>
      <c r="E311" s="1268">
        <v>0</v>
      </c>
      <c r="F311" s="1268">
        <v>0</v>
      </c>
      <c r="G311" s="1268">
        <v>0</v>
      </c>
      <c r="H311" s="1268">
        <v>0</v>
      </c>
      <c r="I311" s="1268">
        <v>0</v>
      </c>
      <c r="J311" s="1268">
        <v>0</v>
      </c>
      <c r="K311" s="1278">
        <v>0</v>
      </c>
      <c r="L311" s="1268">
        <v>0</v>
      </c>
      <c r="M311" s="1278">
        <v>0</v>
      </c>
      <c r="N311" s="1268">
        <v>0</v>
      </c>
      <c r="O311" s="1268">
        <v>730.5</v>
      </c>
      <c r="P311" s="1268">
        <v>2702493</v>
      </c>
      <c r="Q311" s="1268">
        <v>0</v>
      </c>
      <c r="R311" s="1268">
        <v>0</v>
      </c>
      <c r="S311" s="1268">
        <v>0</v>
      </c>
      <c r="T311" s="1268">
        <v>0</v>
      </c>
      <c r="U311" s="1268">
        <v>0</v>
      </c>
      <c r="V311" s="1268">
        <v>0</v>
      </c>
      <c r="W311" s="1268">
        <v>0</v>
      </c>
      <c r="X311" s="1268">
        <v>211670</v>
      </c>
      <c r="Y311" s="1268">
        <v>0</v>
      </c>
    </row>
    <row r="312" spans="1:25" s="1280" customFormat="1" ht="75.599999999999994">
      <c r="A312" s="1281"/>
      <c r="B312" s="1277" t="s">
        <v>2021</v>
      </c>
      <c r="C312" s="1268">
        <f>C313+C314</f>
        <v>2447067</v>
      </c>
      <c r="D312" s="1268">
        <f t="shared" ref="D312:Y312" si="116">D313+D314</f>
        <v>0</v>
      </c>
      <c r="E312" s="1268">
        <f t="shared" si="116"/>
        <v>0</v>
      </c>
      <c r="F312" s="1268">
        <f t="shared" si="116"/>
        <v>0</v>
      </c>
      <c r="G312" s="1268">
        <f t="shared" si="116"/>
        <v>0</v>
      </c>
      <c r="H312" s="1268">
        <f t="shared" si="116"/>
        <v>0</v>
      </c>
      <c r="I312" s="1268">
        <f t="shared" si="116"/>
        <v>0</v>
      </c>
      <c r="J312" s="1268">
        <f t="shared" si="116"/>
        <v>0</v>
      </c>
      <c r="K312" s="1278">
        <f t="shared" si="116"/>
        <v>0</v>
      </c>
      <c r="L312" s="1268">
        <f t="shared" si="116"/>
        <v>0</v>
      </c>
      <c r="M312" s="1278">
        <f t="shared" si="116"/>
        <v>0</v>
      </c>
      <c r="N312" s="1268">
        <f t="shared" si="116"/>
        <v>0</v>
      </c>
      <c r="O312" s="1268">
        <f t="shared" si="116"/>
        <v>723</v>
      </c>
      <c r="P312" s="1268">
        <f t="shared" si="116"/>
        <v>2269325</v>
      </c>
      <c r="Q312" s="1268">
        <f t="shared" si="116"/>
        <v>0</v>
      </c>
      <c r="R312" s="1268">
        <f t="shared" si="116"/>
        <v>0</v>
      </c>
      <c r="S312" s="1268">
        <f t="shared" si="116"/>
        <v>0</v>
      </c>
      <c r="T312" s="1268">
        <f t="shared" si="116"/>
        <v>0</v>
      </c>
      <c r="U312" s="1268">
        <f t="shared" si="116"/>
        <v>0</v>
      </c>
      <c r="V312" s="1268">
        <f t="shared" si="116"/>
        <v>0</v>
      </c>
      <c r="W312" s="1268">
        <v>0</v>
      </c>
      <c r="X312" s="1268">
        <f t="shared" si="116"/>
        <v>177742</v>
      </c>
      <c r="Y312" s="1268">
        <f t="shared" si="116"/>
        <v>0</v>
      </c>
    </row>
    <row r="313" spans="1:25" s="1280" customFormat="1" ht="75.599999999999994">
      <c r="A313" s="1281">
        <v>256</v>
      </c>
      <c r="B313" s="1280" t="s">
        <v>1809</v>
      </c>
      <c r="C313" s="1268">
        <f>D313+N313+P313+R313+T313+V313+X313</f>
        <v>1198149</v>
      </c>
      <c r="D313" s="1268">
        <f>SUM(E313:J313)</f>
        <v>0</v>
      </c>
      <c r="E313" s="1268">
        <v>0</v>
      </c>
      <c r="F313" s="1268">
        <v>0</v>
      </c>
      <c r="G313" s="1268">
        <v>0</v>
      </c>
      <c r="H313" s="1268">
        <v>0</v>
      </c>
      <c r="I313" s="1268">
        <v>0</v>
      </c>
      <c r="J313" s="1268">
        <v>0</v>
      </c>
      <c r="K313" s="1278">
        <v>0</v>
      </c>
      <c r="L313" s="1268">
        <v>0</v>
      </c>
      <c r="M313" s="1278">
        <v>0</v>
      </c>
      <c r="N313" s="1268">
        <v>0</v>
      </c>
      <c r="O313" s="1268">
        <v>354</v>
      </c>
      <c r="P313" s="1268">
        <v>1111122</v>
      </c>
      <c r="Q313" s="1268">
        <v>0</v>
      </c>
      <c r="R313" s="1268">
        <v>0</v>
      </c>
      <c r="S313" s="1268">
        <v>0</v>
      </c>
      <c r="T313" s="1268">
        <v>0</v>
      </c>
      <c r="U313" s="1268">
        <v>0</v>
      </c>
      <c r="V313" s="1268">
        <v>0</v>
      </c>
      <c r="W313" s="1268">
        <v>0</v>
      </c>
      <c r="X313" s="1268">
        <v>87027</v>
      </c>
      <c r="Y313" s="1268">
        <v>0</v>
      </c>
    </row>
    <row r="314" spans="1:25" s="1280" customFormat="1" ht="75.599999999999994">
      <c r="A314" s="1281">
        <v>257</v>
      </c>
      <c r="B314" s="1277" t="s">
        <v>1326</v>
      </c>
      <c r="C314" s="1268">
        <f>D314+N314+P314+R314+T314+V314+X314</f>
        <v>1248918</v>
      </c>
      <c r="D314" s="1268">
        <f>SUM(E314:J314)</f>
        <v>0</v>
      </c>
      <c r="E314" s="1268">
        <v>0</v>
      </c>
      <c r="F314" s="1268">
        <v>0</v>
      </c>
      <c r="G314" s="1268">
        <v>0</v>
      </c>
      <c r="H314" s="1268">
        <v>0</v>
      </c>
      <c r="I314" s="1268">
        <v>0</v>
      </c>
      <c r="J314" s="1268">
        <v>0</v>
      </c>
      <c r="K314" s="1278">
        <v>0</v>
      </c>
      <c r="L314" s="1268">
        <v>0</v>
      </c>
      <c r="M314" s="1278">
        <v>0</v>
      </c>
      <c r="N314" s="1268">
        <v>0</v>
      </c>
      <c r="O314" s="1268">
        <v>369</v>
      </c>
      <c r="P314" s="1268">
        <v>1158203</v>
      </c>
      <c r="Q314" s="1268">
        <v>0</v>
      </c>
      <c r="R314" s="1268">
        <v>0</v>
      </c>
      <c r="S314" s="1268">
        <v>0</v>
      </c>
      <c r="T314" s="1268">
        <v>0</v>
      </c>
      <c r="U314" s="1268">
        <v>0</v>
      </c>
      <c r="V314" s="1268">
        <v>0</v>
      </c>
      <c r="W314" s="1268">
        <v>0</v>
      </c>
      <c r="X314" s="1268">
        <v>90715</v>
      </c>
      <c r="Y314" s="1268">
        <v>0</v>
      </c>
    </row>
    <row r="315" spans="1:25" s="1280" customFormat="1">
      <c r="A315" s="1281"/>
      <c r="B315" s="1277" t="s">
        <v>56</v>
      </c>
      <c r="C315" s="1268">
        <f>C330+C334+C316+C337</f>
        <v>49604796.800800003</v>
      </c>
      <c r="D315" s="1268">
        <f t="shared" ref="D315:Y315" si="117">D330+D334+D316+D337</f>
        <v>10223101.310800001</v>
      </c>
      <c r="E315" s="1268">
        <f t="shared" si="117"/>
        <v>1344185</v>
      </c>
      <c r="F315" s="1268">
        <f t="shared" si="117"/>
        <v>4318509.3108000001</v>
      </c>
      <c r="G315" s="1268">
        <f t="shared" si="117"/>
        <v>409555</v>
      </c>
      <c r="H315" s="1268">
        <f t="shared" si="117"/>
        <v>2292427</v>
      </c>
      <c r="I315" s="1268">
        <f t="shared" si="117"/>
        <v>0</v>
      </c>
      <c r="J315" s="1268">
        <f t="shared" si="117"/>
        <v>1858425</v>
      </c>
      <c r="K315" s="1278">
        <f t="shared" si="117"/>
        <v>2</v>
      </c>
      <c r="L315" s="1268">
        <f t="shared" si="117"/>
        <v>541686</v>
      </c>
      <c r="M315" s="1278">
        <f t="shared" si="117"/>
        <v>0</v>
      </c>
      <c r="N315" s="1268">
        <f t="shared" si="117"/>
        <v>0</v>
      </c>
      <c r="O315" s="1268">
        <f t="shared" si="117"/>
        <v>3350.28</v>
      </c>
      <c r="P315" s="1268">
        <f t="shared" si="117"/>
        <v>9269439.1400000006</v>
      </c>
      <c r="Q315" s="1268">
        <f t="shared" si="117"/>
        <v>0</v>
      </c>
      <c r="R315" s="1268">
        <f t="shared" si="117"/>
        <v>0</v>
      </c>
      <c r="S315" s="1268">
        <f t="shared" si="117"/>
        <v>7881</v>
      </c>
      <c r="T315" s="1268">
        <f t="shared" si="117"/>
        <v>25967533.380000003</v>
      </c>
      <c r="U315" s="1268">
        <f t="shared" si="117"/>
        <v>0</v>
      </c>
      <c r="V315" s="1268">
        <f t="shared" si="117"/>
        <v>0</v>
      </c>
      <c r="W315" s="1268">
        <v>0</v>
      </c>
      <c r="X315" s="1268">
        <f t="shared" si="117"/>
        <v>3603036.97</v>
      </c>
      <c r="Y315" s="1268">
        <f t="shared" si="117"/>
        <v>0</v>
      </c>
    </row>
    <row r="316" spans="1:25" s="1280" customFormat="1" ht="113.4">
      <c r="A316" s="1281"/>
      <c r="B316" s="1277" t="s">
        <v>1091</v>
      </c>
      <c r="C316" s="1268">
        <f>SUM(C317:C329)</f>
        <v>41606571.800800003</v>
      </c>
      <c r="D316" s="1268">
        <f t="shared" ref="D316:Y316" si="118">SUM(D317:D329)</f>
        <v>7482138.3108000001</v>
      </c>
      <c r="E316" s="1268">
        <f t="shared" si="118"/>
        <v>1344185</v>
      </c>
      <c r="F316" s="1268">
        <f t="shared" si="118"/>
        <v>4318509.3108000001</v>
      </c>
      <c r="G316" s="1268">
        <f t="shared" si="118"/>
        <v>409555</v>
      </c>
      <c r="H316" s="1268">
        <f t="shared" si="118"/>
        <v>0</v>
      </c>
      <c r="I316" s="1268">
        <f t="shared" si="118"/>
        <v>0</v>
      </c>
      <c r="J316" s="1268">
        <f t="shared" si="118"/>
        <v>1409889</v>
      </c>
      <c r="K316" s="1278">
        <f t="shared" si="118"/>
        <v>2</v>
      </c>
      <c r="L316" s="1268">
        <f t="shared" si="118"/>
        <v>541686</v>
      </c>
      <c r="M316" s="1278">
        <f t="shared" si="118"/>
        <v>0</v>
      </c>
      <c r="N316" s="1268">
        <f t="shared" si="118"/>
        <v>0</v>
      </c>
      <c r="O316" s="1268">
        <f t="shared" si="118"/>
        <v>1582.88</v>
      </c>
      <c r="P316" s="1268">
        <f t="shared" si="118"/>
        <v>4593127.1400000006</v>
      </c>
      <c r="Q316" s="1268">
        <f t="shared" si="118"/>
        <v>0</v>
      </c>
      <c r="R316" s="1268">
        <f t="shared" si="118"/>
        <v>0</v>
      </c>
      <c r="S316" s="1268">
        <f t="shared" si="118"/>
        <v>7881</v>
      </c>
      <c r="T316" s="1268">
        <f t="shared" si="118"/>
        <v>25967533.380000003</v>
      </c>
      <c r="U316" s="1268">
        <f t="shared" si="118"/>
        <v>0</v>
      </c>
      <c r="V316" s="1268">
        <f t="shared" si="118"/>
        <v>0</v>
      </c>
      <c r="W316" s="1268">
        <v>0</v>
      </c>
      <c r="X316" s="1268">
        <f t="shared" si="118"/>
        <v>3022086.97</v>
      </c>
      <c r="Y316" s="1268">
        <f t="shared" si="118"/>
        <v>0</v>
      </c>
    </row>
    <row r="317" spans="1:25" s="1280" customFormat="1">
      <c r="A317" s="1281">
        <v>258</v>
      </c>
      <c r="B317" s="1267" t="s">
        <v>2009</v>
      </c>
      <c r="C317" s="1268">
        <f>D317+P317+R317+T317+X317+L317</f>
        <v>1768400.2866</v>
      </c>
      <c r="D317" s="1268">
        <f>E317+F317+G317+H317+I317+J317</f>
        <v>1369109.8466</v>
      </c>
      <c r="E317" s="1268">
        <v>0</v>
      </c>
      <c r="F317" s="1268">
        <v>959554.84660000005</v>
      </c>
      <c r="G317" s="1268">
        <v>409555</v>
      </c>
      <c r="H317" s="1268">
        <v>0</v>
      </c>
      <c r="I317" s="1268">
        <v>0</v>
      </c>
      <c r="J317" s="1268">
        <v>0</v>
      </c>
      <c r="K317" s="1278">
        <v>1</v>
      </c>
      <c r="L317" s="1268">
        <v>270843</v>
      </c>
      <c r="M317" s="1278">
        <v>0</v>
      </c>
      <c r="N317" s="1268">
        <v>0</v>
      </c>
      <c r="O317" s="1268">
        <v>0</v>
      </c>
      <c r="P317" s="1268">
        <v>0</v>
      </c>
      <c r="Q317" s="1268">
        <v>0</v>
      </c>
      <c r="R317" s="1268">
        <v>0</v>
      </c>
      <c r="S317" s="1268">
        <v>0</v>
      </c>
      <c r="T317" s="1268">
        <v>0</v>
      </c>
      <c r="U317" s="1268">
        <v>0</v>
      </c>
      <c r="V317" s="1268">
        <v>0</v>
      </c>
      <c r="W317" s="1268">
        <v>0</v>
      </c>
      <c r="X317" s="1268">
        <v>128447.44</v>
      </c>
      <c r="Y317" s="1268">
        <v>0</v>
      </c>
    </row>
    <row r="318" spans="1:25" s="1280" customFormat="1">
      <c r="A318" s="1281">
        <v>259</v>
      </c>
      <c r="B318" s="1309" t="s">
        <v>1296</v>
      </c>
      <c r="C318" s="1268">
        <f>D318+P318+R318+T318+X318+L318</f>
        <v>5329529.2142000003</v>
      </c>
      <c r="D318" s="1268">
        <f>E318+F318+G318+H318+I318+J318</f>
        <v>812865.46420000005</v>
      </c>
      <c r="E318" s="1310">
        <v>0</v>
      </c>
      <c r="F318" s="1310">
        <v>812865.46420000005</v>
      </c>
      <c r="G318" s="1310">
        <v>0</v>
      </c>
      <c r="H318" s="1310">
        <v>0</v>
      </c>
      <c r="I318" s="1310">
        <v>0</v>
      </c>
      <c r="J318" s="1310">
        <v>0</v>
      </c>
      <c r="K318" s="1308">
        <v>1</v>
      </c>
      <c r="L318" s="1268">
        <v>270843</v>
      </c>
      <c r="M318" s="1311">
        <v>0</v>
      </c>
      <c r="N318" s="1312">
        <v>0</v>
      </c>
      <c r="O318" s="1312">
        <v>0</v>
      </c>
      <c r="P318" s="1312">
        <v>0</v>
      </c>
      <c r="Q318" s="1268">
        <v>0</v>
      </c>
      <c r="R318" s="1310">
        <v>0</v>
      </c>
      <c r="S318" s="1310">
        <v>805</v>
      </c>
      <c r="T318" s="1310">
        <v>3858711.31</v>
      </c>
      <c r="U318" s="1313">
        <v>0</v>
      </c>
      <c r="V318" s="1313">
        <v>0</v>
      </c>
      <c r="W318" s="1268">
        <v>0</v>
      </c>
      <c r="X318" s="1310">
        <v>387109.44</v>
      </c>
      <c r="Y318" s="1313">
        <v>0</v>
      </c>
    </row>
    <row r="319" spans="1:25" s="1280" customFormat="1" ht="75.599999999999994">
      <c r="A319" s="1281">
        <v>260</v>
      </c>
      <c r="B319" s="1309" t="s">
        <v>1810</v>
      </c>
      <c r="C319" s="1268">
        <f t="shared" ref="C319" si="119">D319+P319+R319+T319+X319</f>
        <v>10334122.189999999</v>
      </c>
      <c r="D319" s="1268">
        <f t="shared" ref="D319:D328" si="120">E319+F319+G319+H319+I319+J319</f>
        <v>0</v>
      </c>
      <c r="E319" s="1310">
        <v>0</v>
      </c>
      <c r="F319" s="1310">
        <v>0</v>
      </c>
      <c r="G319" s="1310">
        <v>0</v>
      </c>
      <c r="H319" s="1310">
        <v>0</v>
      </c>
      <c r="I319" s="1310">
        <v>0</v>
      </c>
      <c r="J319" s="1310">
        <v>0</v>
      </c>
      <c r="K319" s="1308">
        <v>0</v>
      </c>
      <c r="L319" s="1310">
        <v>0</v>
      </c>
      <c r="M319" s="1311">
        <v>0</v>
      </c>
      <c r="N319" s="1312">
        <v>0</v>
      </c>
      <c r="O319" s="1268">
        <v>0</v>
      </c>
      <c r="P319" s="1268">
        <v>0</v>
      </c>
      <c r="Q319" s="1268">
        <v>0</v>
      </c>
      <c r="R319" s="1310">
        <v>0</v>
      </c>
      <c r="S319" s="1310">
        <v>1999.3</v>
      </c>
      <c r="T319" s="1310">
        <v>9583505</v>
      </c>
      <c r="U319" s="1313">
        <v>0</v>
      </c>
      <c r="V319" s="1313">
        <v>0</v>
      </c>
      <c r="W319" s="1268">
        <v>0</v>
      </c>
      <c r="X319" s="1310">
        <v>750617.19</v>
      </c>
      <c r="Y319" s="1313">
        <v>0</v>
      </c>
    </row>
    <row r="320" spans="1:25" s="1280" customFormat="1">
      <c r="A320" s="1281">
        <v>261</v>
      </c>
      <c r="B320" s="1309" t="s">
        <v>1297</v>
      </c>
      <c r="C320" s="1268">
        <f t="shared" ref="C320:C328" si="121">D320+P320+T320+X320</f>
        <v>3324865.21</v>
      </c>
      <c r="D320" s="1268">
        <f t="shared" si="120"/>
        <v>0</v>
      </c>
      <c r="E320" s="1310">
        <v>0</v>
      </c>
      <c r="F320" s="1310">
        <v>0</v>
      </c>
      <c r="G320" s="1310">
        <v>0</v>
      </c>
      <c r="H320" s="1310">
        <v>0</v>
      </c>
      <c r="I320" s="1310">
        <v>0</v>
      </c>
      <c r="J320" s="1310">
        <v>0</v>
      </c>
      <c r="K320" s="1308">
        <v>0</v>
      </c>
      <c r="L320" s="1310">
        <v>0</v>
      </c>
      <c r="M320" s="1311">
        <v>0</v>
      </c>
      <c r="N320" s="1312">
        <v>0</v>
      </c>
      <c r="O320" s="1268">
        <v>503.16</v>
      </c>
      <c r="P320" s="1268">
        <v>1579299.59</v>
      </c>
      <c r="Q320" s="1268">
        <v>0</v>
      </c>
      <c r="R320" s="1310">
        <v>0</v>
      </c>
      <c r="S320" s="1310">
        <v>609.5</v>
      </c>
      <c r="T320" s="1310">
        <v>1504064.61</v>
      </c>
      <c r="U320" s="1313">
        <v>0</v>
      </c>
      <c r="V320" s="1313">
        <v>0</v>
      </c>
      <c r="W320" s="1268">
        <v>0</v>
      </c>
      <c r="X320" s="1310">
        <v>241501.01</v>
      </c>
      <c r="Y320" s="1313">
        <v>0</v>
      </c>
    </row>
    <row r="321" spans="1:25" s="1280" customFormat="1">
      <c r="A321" s="1281">
        <v>262</v>
      </c>
      <c r="B321" s="1309" t="s">
        <v>1298</v>
      </c>
      <c r="C321" s="1268">
        <f t="shared" si="121"/>
        <v>1863219.88</v>
      </c>
      <c r="D321" s="1268">
        <f t="shared" si="120"/>
        <v>0</v>
      </c>
      <c r="E321" s="1310">
        <v>0</v>
      </c>
      <c r="F321" s="1310">
        <v>0</v>
      </c>
      <c r="G321" s="1310">
        <v>0</v>
      </c>
      <c r="H321" s="1310">
        <v>0</v>
      </c>
      <c r="I321" s="1310">
        <v>0</v>
      </c>
      <c r="J321" s="1310">
        <v>0</v>
      </c>
      <c r="K321" s="1308">
        <v>0</v>
      </c>
      <c r="L321" s="1310">
        <v>0</v>
      </c>
      <c r="M321" s="1311">
        <v>0</v>
      </c>
      <c r="N321" s="1312">
        <v>0</v>
      </c>
      <c r="O321" s="1312">
        <v>0</v>
      </c>
      <c r="P321" s="1312">
        <v>0</v>
      </c>
      <c r="Q321" s="1268">
        <v>0</v>
      </c>
      <c r="R321" s="1310">
        <v>0</v>
      </c>
      <c r="S321" s="1310">
        <v>700.2</v>
      </c>
      <c r="T321" s="1310">
        <v>1727885.22</v>
      </c>
      <c r="U321" s="1313">
        <v>0</v>
      </c>
      <c r="V321" s="1313">
        <v>0</v>
      </c>
      <c r="W321" s="1268">
        <v>0</v>
      </c>
      <c r="X321" s="1310">
        <v>135334.66</v>
      </c>
      <c r="Y321" s="1313">
        <v>0</v>
      </c>
    </row>
    <row r="322" spans="1:25" s="1280" customFormat="1">
      <c r="A322" s="1281">
        <v>263</v>
      </c>
      <c r="B322" s="1309" t="s">
        <v>1299</v>
      </c>
      <c r="C322" s="1268">
        <f t="shared" si="121"/>
        <v>2200898.5499999998</v>
      </c>
      <c r="D322" s="1268">
        <f t="shared" si="120"/>
        <v>0</v>
      </c>
      <c r="E322" s="1310">
        <v>0</v>
      </c>
      <c r="F322" s="1310">
        <v>0</v>
      </c>
      <c r="G322" s="1310">
        <v>0</v>
      </c>
      <c r="H322" s="1310">
        <v>0</v>
      </c>
      <c r="I322" s="1310">
        <v>0</v>
      </c>
      <c r="J322" s="1310">
        <v>0</v>
      </c>
      <c r="K322" s="1308">
        <v>0</v>
      </c>
      <c r="L322" s="1310">
        <v>0</v>
      </c>
      <c r="M322" s="1311">
        <v>0</v>
      </c>
      <c r="N322" s="1312">
        <v>0</v>
      </c>
      <c r="O322" s="1312">
        <v>0</v>
      </c>
      <c r="P322" s="1312">
        <v>0</v>
      </c>
      <c r="Q322" s="1268">
        <v>0</v>
      </c>
      <c r="R322" s="1310">
        <v>0</v>
      </c>
      <c r="S322" s="1310">
        <v>827.1</v>
      </c>
      <c r="T322" s="1310">
        <v>2041036.66</v>
      </c>
      <c r="U322" s="1313">
        <v>0</v>
      </c>
      <c r="V322" s="1313">
        <v>0</v>
      </c>
      <c r="W322" s="1268">
        <v>0</v>
      </c>
      <c r="X322" s="1310">
        <v>159861.89000000001</v>
      </c>
      <c r="Y322" s="1313">
        <v>0</v>
      </c>
    </row>
    <row r="323" spans="1:25" s="1280" customFormat="1">
      <c r="A323" s="1281">
        <v>264</v>
      </c>
      <c r="B323" s="1309" t="s">
        <v>1300</v>
      </c>
      <c r="C323" s="1268">
        <f t="shared" si="121"/>
        <v>2089137.2799999998</v>
      </c>
      <c r="D323" s="1268">
        <f t="shared" si="120"/>
        <v>0</v>
      </c>
      <c r="E323" s="1310">
        <v>0</v>
      </c>
      <c r="F323" s="1310">
        <v>0</v>
      </c>
      <c r="G323" s="1310">
        <v>0</v>
      </c>
      <c r="H323" s="1310">
        <v>0</v>
      </c>
      <c r="I323" s="1310">
        <v>0</v>
      </c>
      <c r="J323" s="1310">
        <v>0</v>
      </c>
      <c r="K323" s="1308">
        <v>0</v>
      </c>
      <c r="L323" s="1310">
        <v>0</v>
      </c>
      <c r="M323" s="1311">
        <v>0</v>
      </c>
      <c r="N323" s="1312">
        <v>0</v>
      </c>
      <c r="O323" s="1312">
        <v>0</v>
      </c>
      <c r="P323" s="1312">
        <v>0</v>
      </c>
      <c r="Q323" s="1268">
        <v>0</v>
      </c>
      <c r="R323" s="1310">
        <v>0</v>
      </c>
      <c r="S323" s="1310">
        <v>785.1</v>
      </c>
      <c r="T323" s="1310">
        <v>1937393.15</v>
      </c>
      <c r="U323" s="1313">
        <v>0</v>
      </c>
      <c r="V323" s="1313">
        <v>0</v>
      </c>
      <c r="W323" s="1268">
        <v>0</v>
      </c>
      <c r="X323" s="1310">
        <v>151744.13</v>
      </c>
      <c r="Y323" s="1313">
        <v>0</v>
      </c>
    </row>
    <row r="324" spans="1:25" s="1280" customFormat="1" ht="45" customHeight="1">
      <c r="A324" s="1281">
        <v>265</v>
      </c>
      <c r="B324" s="1267" t="s">
        <v>2302</v>
      </c>
      <c r="C324" s="1268">
        <f t="shared" si="121"/>
        <v>2973953.43</v>
      </c>
      <c r="D324" s="1268">
        <f t="shared" si="120"/>
        <v>0</v>
      </c>
      <c r="E324" s="1268">
        <v>0</v>
      </c>
      <c r="F324" s="1268">
        <v>0</v>
      </c>
      <c r="G324" s="1268">
        <v>0</v>
      </c>
      <c r="H324" s="1268">
        <v>0</v>
      </c>
      <c r="I324" s="1268">
        <v>0</v>
      </c>
      <c r="J324" s="1268">
        <v>0</v>
      </c>
      <c r="K324" s="1278">
        <v>0</v>
      </c>
      <c r="L324" s="1268">
        <v>0</v>
      </c>
      <c r="M324" s="1314">
        <v>0</v>
      </c>
      <c r="N324" s="1312">
        <v>0</v>
      </c>
      <c r="O324" s="1268">
        <v>473.62</v>
      </c>
      <c r="P324" s="1268">
        <v>1486580.55</v>
      </c>
      <c r="Q324" s="1268">
        <v>0</v>
      </c>
      <c r="R324" s="1268">
        <v>0</v>
      </c>
      <c r="S324" s="1268">
        <v>515.20000000000005</v>
      </c>
      <c r="T324" s="1268">
        <v>1271360.28</v>
      </c>
      <c r="U324" s="1312">
        <v>0</v>
      </c>
      <c r="V324" s="1312">
        <v>0</v>
      </c>
      <c r="W324" s="1268">
        <v>0</v>
      </c>
      <c r="X324" s="1268">
        <v>216012.6</v>
      </c>
      <c r="Y324" s="1312">
        <v>0</v>
      </c>
    </row>
    <row r="325" spans="1:25" s="1280" customFormat="1">
      <c r="A325" s="1281">
        <v>266</v>
      </c>
      <c r="B325" s="1267" t="s">
        <v>1302</v>
      </c>
      <c r="C325" s="1268">
        <f t="shared" si="121"/>
        <v>1245871.96</v>
      </c>
      <c r="D325" s="1268">
        <f t="shared" si="120"/>
        <v>0</v>
      </c>
      <c r="E325" s="1268">
        <v>0</v>
      </c>
      <c r="F325" s="1268">
        <v>0</v>
      </c>
      <c r="G325" s="1268">
        <v>0</v>
      </c>
      <c r="H325" s="1268">
        <v>0</v>
      </c>
      <c r="I325" s="1268">
        <v>0</v>
      </c>
      <c r="J325" s="1268">
        <v>0</v>
      </c>
      <c r="K325" s="1278">
        <v>0</v>
      </c>
      <c r="L325" s="1268">
        <v>0</v>
      </c>
      <c r="M325" s="1314">
        <v>0</v>
      </c>
      <c r="N325" s="1312">
        <v>0</v>
      </c>
      <c r="O325" s="1312">
        <v>0</v>
      </c>
      <c r="P325" s="1312">
        <v>0</v>
      </c>
      <c r="Q325" s="1268">
        <v>0</v>
      </c>
      <c r="R325" s="1268">
        <v>0</v>
      </c>
      <c r="S325" s="1268">
        <v>468.2</v>
      </c>
      <c r="T325" s="1268">
        <v>1155378.26</v>
      </c>
      <c r="U325" s="1312">
        <v>0</v>
      </c>
      <c r="V325" s="1312">
        <v>0</v>
      </c>
      <c r="W325" s="1268">
        <v>0</v>
      </c>
      <c r="X325" s="1268">
        <v>90493.7</v>
      </c>
      <c r="Y325" s="1312">
        <v>0</v>
      </c>
    </row>
    <row r="326" spans="1:25" s="1280" customFormat="1">
      <c r="A326" s="1281">
        <v>267</v>
      </c>
      <c r="B326" s="1267" t="s">
        <v>1303</v>
      </c>
      <c r="C326" s="1268">
        <f t="shared" si="121"/>
        <v>3114413.8000000003</v>
      </c>
      <c r="D326" s="1268">
        <f t="shared" si="120"/>
        <v>0</v>
      </c>
      <c r="E326" s="1268">
        <v>0</v>
      </c>
      <c r="F326" s="1268">
        <v>0</v>
      </c>
      <c r="G326" s="1268">
        <v>0</v>
      </c>
      <c r="H326" s="1268">
        <v>0</v>
      </c>
      <c r="I326" s="1268">
        <v>0</v>
      </c>
      <c r="J326" s="1268">
        <v>0</v>
      </c>
      <c r="K326" s="1278">
        <v>0</v>
      </c>
      <c r="L326" s="1268">
        <v>0</v>
      </c>
      <c r="M326" s="1314">
        <v>0</v>
      </c>
      <c r="N326" s="1312">
        <v>0</v>
      </c>
      <c r="O326" s="1312">
        <v>0</v>
      </c>
      <c r="P326" s="1312">
        <v>0</v>
      </c>
      <c r="Q326" s="1268">
        <v>0</v>
      </c>
      <c r="R326" s="1268">
        <v>0</v>
      </c>
      <c r="S326" s="1268">
        <v>1171.4000000000001</v>
      </c>
      <c r="T326" s="1268">
        <v>2888198.89</v>
      </c>
      <c r="U326" s="1312">
        <v>0</v>
      </c>
      <c r="V326" s="1312">
        <v>0</v>
      </c>
      <c r="W326" s="1268">
        <v>0</v>
      </c>
      <c r="X326" s="1268">
        <v>226214.91</v>
      </c>
      <c r="Y326" s="1312">
        <v>0</v>
      </c>
    </row>
    <row r="327" spans="1:25" s="1280" customFormat="1">
      <c r="A327" s="1281">
        <v>268</v>
      </c>
      <c r="B327" s="1315" t="s">
        <v>1811</v>
      </c>
      <c r="C327" s="1268">
        <f>D327+P327+T327+X327</f>
        <v>1646867</v>
      </c>
      <c r="D327" s="1268">
        <f t="shared" si="120"/>
        <v>0</v>
      </c>
      <c r="E327" s="1316">
        <v>0</v>
      </c>
      <c r="F327" s="1316">
        <v>0</v>
      </c>
      <c r="G327" s="1316">
        <v>0</v>
      </c>
      <c r="H327" s="1316">
        <v>0</v>
      </c>
      <c r="I327" s="1316">
        <v>0</v>
      </c>
      <c r="J327" s="1316">
        <v>0</v>
      </c>
      <c r="K327" s="1317">
        <v>0</v>
      </c>
      <c r="L327" s="1316">
        <v>0</v>
      </c>
      <c r="M327" s="1318">
        <v>0</v>
      </c>
      <c r="N327" s="1319">
        <v>0</v>
      </c>
      <c r="O327" s="1316">
        <v>606.1</v>
      </c>
      <c r="P327" s="1316">
        <v>1527247</v>
      </c>
      <c r="Q327" s="1316">
        <v>0</v>
      </c>
      <c r="R327" s="1316">
        <v>0</v>
      </c>
      <c r="S327" s="1316">
        <v>0</v>
      </c>
      <c r="T327" s="1316">
        <v>0</v>
      </c>
      <c r="U327" s="1319">
        <v>0</v>
      </c>
      <c r="V327" s="1319">
        <v>0</v>
      </c>
      <c r="W327" s="1268">
        <v>0</v>
      </c>
      <c r="X327" s="1316">
        <v>119620</v>
      </c>
      <c r="Y327" s="1319">
        <v>0</v>
      </c>
    </row>
    <row r="328" spans="1:25" s="1280" customFormat="1" ht="75.599999999999994">
      <c r="A328" s="1281">
        <v>269</v>
      </c>
      <c r="B328" s="1267" t="s">
        <v>2428</v>
      </c>
      <c r="C328" s="1268">
        <f t="shared" si="121"/>
        <v>5260879</v>
      </c>
      <c r="D328" s="1268">
        <f t="shared" si="120"/>
        <v>4878755</v>
      </c>
      <c r="E328" s="1268">
        <v>1344185</v>
      </c>
      <c r="F328" s="1268">
        <v>2546089</v>
      </c>
      <c r="G328" s="1268">
        <v>0</v>
      </c>
      <c r="H328" s="1268">
        <v>0</v>
      </c>
      <c r="I328" s="1268">
        <v>0</v>
      </c>
      <c r="J328" s="1268">
        <v>988481</v>
      </c>
      <c r="K328" s="1278">
        <v>0</v>
      </c>
      <c r="L328" s="1268">
        <v>0</v>
      </c>
      <c r="M328" s="1314">
        <v>0</v>
      </c>
      <c r="N328" s="1312">
        <v>0</v>
      </c>
      <c r="O328" s="1312">
        <v>0</v>
      </c>
      <c r="P328" s="1312">
        <v>0</v>
      </c>
      <c r="Q328" s="1268">
        <v>0</v>
      </c>
      <c r="R328" s="1268">
        <v>0</v>
      </c>
      <c r="S328" s="1268">
        <v>0</v>
      </c>
      <c r="T328" s="1268">
        <v>0</v>
      </c>
      <c r="U328" s="1312">
        <v>0</v>
      </c>
      <c r="V328" s="1312">
        <v>0</v>
      </c>
      <c r="W328" s="1268">
        <v>0</v>
      </c>
      <c r="X328" s="1268">
        <v>382124</v>
      </c>
      <c r="Y328" s="1312">
        <v>0</v>
      </c>
    </row>
    <row r="329" spans="1:25" s="1280" customFormat="1">
      <c r="A329" s="1281">
        <v>270</v>
      </c>
      <c r="B329" s="1267" t="s">
        <v>1305</v>
      </c>
      <c r="C329" s="1268">
        <f>D329+P329+T329+X329</f>
        <v>454414</v>
      </c>
      <c r="D329" s="1268">
        <f>E329+F329+G329+H329+I329+J329</f>
        <v>421408</v>
      </c>
      <c r="E329" s="1316">
        <v>0</v>
      </c>
      <c r="F329" s="1316">
        <v>0</v>
      </c>
      <c r="G329" s="1316">
        <v>0</v>
      </c>
      <c r="H329" s="1316">
        <v>0</v>
      </c>
      <c r="I329" s="1316">
        <v>0</v>
      </c>
      <c r="J329" s="1316">
        <v>421408</v>
      </c>
      <c r="K329" s="1317">
        <v>0</v>
      </c>
      <c r="L329" s="1316">
        <v>0</v>
      </c>
      <c r="M329" s="1317">
        <v>0</v>
      </c>
      <c r="N329" s="1316">
        <v>0</v>
      </c>
      <c r="O329" s="1316">
        <v>0</v>
      </c>
      <c r="P329" s="1316">
        <v>0</v>
      </c>
      <c r="Q329" s="1316">
        <v>0</v>
      </c>
      <c r="R329" s="1316">
        <v>0</v>
      </c>
      <c r="S329" s="1316">
        <v>0</v>
      </c>
      <c r="T329" s="1316">
        <v>0</v>
      </c>
      <c r="U329" s="1316">
        <v>0</v>
      </c>
      <c r="V329" s="1316">
        <v>0</v>
      </c>
      <c r="W329" s="1268">
        <v>0</v>
      </c>
      <c r="X329" s="1316">
        <v>33006</v>
      </c>
      <c r="Y329" s="1312">
        <v>0</v>
      </c>
    </row>
    <row r="330" spans="1:25" s="1280" customFormat="1" ht="113.4">
      <c r="A330" s="1281"/>
      <c r="B330" s="1277" t="s">
        <v>1092</v>
      </c>
      <c r="C330" s="1268">
        <f>C333+C332+C331</f>
        <v>4455042</v>
      </c>
      <c r="D330" s="1268">
        <f t="shared" ref="D330:Y330" si="122">D333+D332+D331</f>
        <v>2292427</v>
      </c>
      <c r="E330" s="1268">
        <f t="shared" si="122"/>
        <v>0</v>
      </c>
      <c r="F330" s="1268">
        <f t="shared" si="122"/>
        <v>0</v>
      </c>
      <c r="G330" s="1268">
        <f t="shared" si="122"/>
        <v>0</v>
      </c>
      <c r="H330" s="1268">
        <f t="shared" si="122"/>
        <v>2292427</v>
      </c>
      <c r="I330" s="1268">
        <f t="shared" si="122"/>
        <v>0</v>
      </c>
      <c r="J330" s="1268">
        <f t="shared" si="122"/>
        <v>0</v>
      </c>
      <c r="K330" s="1278">
        <f t="shared" si="122"/>
        <v>0</v>
      </c>
      <c r="L330" s="1268">
        <f t="shared" si="122"/>
        <v>0</v>
      </c>
      <c r="M330" s="1278">
        <f t="shared" si="122"/>
        <v>0</v>
      </c>
      <c r="N330" s="1268">
        <f t="shared" si="122"/>
        <v>0</v>
      </c>
      <c r="O330" s="1268">
        <f t="shared" si="122"/>
        <v>641.4</v>
      </c>
      <c r="P330" s="1268">
        <f t="shared" si="122"/>
        <v>1839024</v>
      </c>
      <c r="Q330" s="1268">
        <f t="shared" si="122"/>
        <v>0</v>
      </c>
      <c r="R330" s="1268">
        <f t="shared" si="122"/>
        <v>0</v>
      </c>
      <c r="S330" s="1268">
        <f t="shared" si="122"/>
        <v>0</v>
      </c>
      <c r="T330" s="1268">
        <f t="shared" si="122"/>
        <v>0</v>
      </c>
      <c r="U330" s="1268">
        <f t="shared" si="122"/>
        <v>0</v>
      </c>
      <c r="V330" s="1268">
        <f t="shared" si="122"/>
        <v>0</v>
      </c>
      <c r="W330" s="1268">
        <v>0</v>
      </c>
      <c r="X330" s="1268">
        <f t="shared" si="122"/>
        <v>323591</v>
      </c>
      <c r="Y330" s="1268">
        <f t="shared" si="122"/>
        <v>0</v>
      </c>
    </row>
    <row r="331" spans="1:25" s="1280" customFormat="1">
      <c r="A331" s="1281">
        <v>271</v>
      </c>
      <c r="B331" s="1277" t="s">
        <v>1348</v>
      </c>
      <c r="C331" s="1268">
        <f>D331+N331+P331+R331+T331+V331+X331</f>
        <v>1218456</v>
      </c>
      <c r="D331" s="1268">
        <f>SUM(E331:J331)</f>
        <v>0</v>
      </c>
      <c r="E331" s="1268">
        <v>0</v>
      </c>
      <c r="F331" s="1268">
        <v>0</v>
      </c>
      <c r="G331" s="1268">
        <v>0</v>
      </c>
      <c r="H331" s="1268">
        <v>0</v>
      </c>
      <c r="I331" s="1268">
        <v>0</v>
      </c>
      <c r="J331" s="1268">
        <v>0</v>
      </c>
      <c r="K331" s="1278">
        <v>0</v>
      </c>
      <c r="L331" s="1268">
        <v>0</v>
      </c>
      <c r="M331" s="1278">
        <v>0</v>
      </c>
      <c r="N331" s="1268">
        <v>0</v>
      </c>
      <c r="O331" s="1268">
        <v>360</v>
      </c>
      <c r="P331" s="1268">
        <v>1129954</v>
      </c>
      <c r="Q331" s="1268">
        <v>0</v>
      </c>
      <c r="R331" s="1268">
        <v>0</v>
      </c>
      <c r="S331" s="1268">
        <v>0</v>
      </c>
      <c r="T331" s="1268">
        <v>0</v>
      </c>
      <c r="U331" s="1268">
        <v>0</v>
      </c>
      <c r="V331" s="1268">
        <v>0</v>
      </c>
      <c r="W331" s="1268">
        <v>0</v>
      </c>
      <c r="X331" s="1268">
        <v>88502</v>
      </c>
      <c r="Y331" s="1268">
        <v>0</v>
      </c>
    </row>
    <row r="332" spans="1:25" s="1280" customFormat="1">
      <c r="A332" s="1281">
        <v>272</v>
      </c>
      <c r="B332" s="1277" t="s">
        <v>1349</v>
      </c>
      <c r="C332" s="1268">
        <f>D332+N332+P332+R332+T332+V332+X332</f>
        <v>764607</v>
      </c>
      <c r="D332" s="1268">
        <f>SUM(E332:J332)</f>
        <v>0</v>
      </c>
      <c r="E332" s="1268">
        <v>0</v>
      </c>
      <c r="F332" s="1268">
        <v>0</v>
      </c>
      <c r="G332" s="1268">
        <v>0</v>
      </c>
      <c r="H332" s="1268">
        <v>0</v>
      </c>
      <c r="I332" s="1268">
        <v>0</v>
      </c>
      <c r="J332" s="1268">
        <v>0</v>
      </c>
      <c r="K332" s="1278">
        <v>0</v>
      </c>
      <c r="L332" s="1268">
        <v>0</v>
      </c>
      <c r="M332" s="1278">
        <v>0</v>
      </c>
      <c r="N332" s="1268">
        <v>0</v>
      </c>
      <c r="O332" s="1268">
        <v>281.39999999999998</v>
      </c>
      <c r="P332" s="1268">
        <v>709070</v>
      </c>
      <c r="Q332" s="1268">
        <v>0</v>
      </c>
      <c r="R332" s="1268">
        <v>0</v>
      </c>
      <c r="S332" s="1268">
        <v>0</v>
      </c>
      <c r="T332" s="1268">
        <v>0</v>
      </c>
      <c r="U332" s="1268">
        <v>0</v>
      </c>
      <c r="V332" s="1268">
        <v>0</v>
      </c>
      <c r="W332" s="1268">
        <v>0</v>
      </c>
      <c r="X332" s="1268">
        <v>55537</v>
      </c>
      <c r="Y332" s="1268">
        <v>0</v>
      </c>
    </row>
    <row r="333" spans="1:25" s="1280" customFormat="1">
      <c r="A333" s="1281">
        <v>273</v>
      </c>
      <c r="B333" s="1280" t="s">
        <v>1171</v>
      </c>
      <c r="C333" s="1268">
        <f>D333+N333+P333+R333+T333+V333+X333</f>
        <v>2471979</v>
      </c>
      <c r="D333" s="1268">
        <f>SUM(E333:J333)</f>
        <v>2292427</v>
      </c>
      <c r="E333" s="1268">
        <f>([1]база!E339-(([1]база!E339*8)/110.14))</f>
        <v>0</v>
      </c>
      <c r="F333" s="1268">
        <f>([1]база!F339-(([1]база!F339*8)/110.14))</f>
        <v>0</v>
      </c>
      <c r="G333" s="1268">
        <f>([1]база!G339-(([1]база!G339*8)/110.14))</f>
        <v>0</v>
      </c>
      <c r="H333" s="1268">
        <v>2292427</v>
      </c>
      <c r="I333" s="1268">
        <f>([1]база!I339-(([1]база!I339*8)/110.14))</f>
        <v>0</v>
      </c>
      <c r="J333" s="1268">
        <f>([1]база!J339-(([1]база!J339*8)/110.14))</f>
        <v>0</v>
      </c>
      <c r="K333" s="1278">
        <v>0</v>
      </c>
      <c r="L333" s="1268">
        <v>0</v>
      </c>
      <c r="M333" s="1278">
        <v>0</v>
      </c>
      <c r="N333" s="1268">
        <f>([1]база!L339-([1]база!L339*8)/110.14)</f>
        <v>0</v>
      </c>
      <c r="O333" s="1268">
        <v>0</v>
      </c>
      <c r="P333" s="1268">
        <v>0</v>
      </c>
      <c r="Q333" s="1268">
        <v>0</v>
      </c>
      <c r="R333" s="1268">
        <f>([1]база!P339-([1]база!P339*8)/110.14)</f>
        <v>0</v>
      </c>
      <c r="S333" s="1268">
        <v>0</v>
      </c>
      <c r="T333" s="1268">
        <f>([1]база!R339-([1]база!R339*8)/110.14)</f>
        <v>0</v>
      </c>
      <c r="U333" s="1268">
        <v>0</v>
      </c>
      <c r="V333" s="1268">
        <f>([1]база!T339-([1]база!T339*8)/110.14)</f>
        <v>0</v>
      </c>
      <c r="W333" s="1268">
        <v>0</v>
      </c>
      <c r="X333" s="1268">
        <v>179552</v>
      </c>
      <c r="Y333" s="1268">
        <v>0</v>
      </c>
    </row>
    <row r="334" spans="1:25" s="1280" customFormat="1" ht="113.4">
      <c r="A334" s="1281"/>
      <c r="B334" s="1277" t="s">
        <v>1093</v>
      </c>
      <c r="C334" s="1268">
        <f>C335+C336</f>
        <v>3059516</v>
      </c>
      <c r="D334" s="1268">
        <f t="shared" ref="D334:Y334" si="123">D335+D336</f>
        <v>0</v>
      </c>
      <c r="E334" s="1268">
        <f t="shared" si="123"/>
        <v>0</v>
      </c>
      <c r="F334" s="1268">
        <f t="shared" si="123"/>
        <v>0</v>
      </c>
      <c r="G334" s="1268">
        <f t="shared" si="123"/>
        <v>0</v>
      </c>
      <c r="H334" s="1268">
        <f t="shared" si="123"/>
        <v>0</v>
      </c>
      <c r="I334" s="1268">
        <f t="shared" si="123"/>
        <v>0</v>
      </c>
      <c r="J334" s="1268">
        <f t="shared" si="123"/>
        <v>0</v>
      </c>
      <c r="K334" s="1278">
        <f t="shared" si="123"/>
        <v>0</v>
      </c>
      <c r="L334" s="1268">
        <f t="shared" si="123"/>
        <v>0</v>
      </c>
      <c r="M334" s="1278">
        <f t="shared" si="123"/>
        <v>0</v>
      </c>
      <c r="N334" s="1268">
        <f t="shared" si="123"/>
        <v>0</v>
      </c>
      <c r="O334" s="1268">
        <f t="shared" si="123"/>
        <v>1126</v>
      </c>
      <c r="P334" s="1268">
        <f t="shared" si="123"/>
        <v>2837288</v>
      </c>
      <c r="Q334" s="1268">
        <f t="shared" si="123"/>
        <v>0</v>
      </c>
      <c r="R334" s="1268">
        <f t="shared" si="123"/>
        <v>0</v>
      </c>
      <c r="S334" s="1268">
        <f t="shared" si="123"/>
        <v>0</v>
      </c>
      <c r="T334" s="1268">
        <f t="shared" si="123"/>
        <v>0</v>
      </c>
      <c r="U334" s="1268">
        <f t="shared" si="123"/>
        <v>0</v>
      </c>
      <c r="V334" s="1268">
        <f t="shared" si="123"/>
        <v>0</v>
      </c>
      <c r="W334" s="1268">
        <v>0</v>
      </c>
      <c r="X334" s="1268">
        <f t="shared" si="123"/>
        <v>222228</v>
      </c>
      <c r="Y334" s="1268">
        <f t="shared" si="123"/>
        <v>0</v>
      </c>
    </row>
    <row r="335" spans="1:25" s="1280" customFormat="1" ht="75.599999999999994">
      <c r="A335" s="1281">
        <v>274</v>
      </c>
      <c r="B335" s="1277" t="s">
        <v>1283</v>
      </c>
      <c r="C335" s="1268">
        <f>D335+N335+P335+R335+T335+V335+X335</f>
        <v>1529758</v>
      </c>
      <c r="D335" s="1268">
        <f>SUM(E335:J335)</f>
        <v>0</v>
      </c>
      <c r="E335" s="1268">
        <v>0</v>
      </c>
      <c r="F335" s="1268">
        <v>0</v>
      </c>
      <c r="G335" s="1268">
        <v>0</v>
      </c>
      <c r="H335" s="1268">
        <v>0</v>
      </c>
      <c r="I335" s="1268">
        <v>0</v>
      </c>
      <c r="J335" s="1268">
        <v>0</v>
      </c>
      <c r="K335" s="1278">
        <v>0</v>
      </c>
      <c r="L335" s="1268">
        <v>0</v>
      </c>
      <c r="M335" s="1278">
        <v>0</v>
      </c>
      <c r="N335" s="1268">
        <v>0</v>
      </c>
      <c r="O335" s="1268">
        <v>563</v>
      </c>
      <c r="P335" s="1268">
        <v>1418644</v>
      </c>
      <c r="Q335" s="1268">
        <v>0</v>
      </c>
      <c r="R335" s="1268">
        <v>0</v>
      </c>
      <c r="S335" s="1268">
        <v>0</v>
      </c>
      <c r="T335" s="1268">
        <v>0</v>
      </c>
      <c r="U335" s="1268">
        <v>0</v>
      </c>
      <c r="V335" s="1268">
        <v>0</v>
      </c>
      <c r="W335" s="1268">
        <v>0</v>
      </c>
      <c r="X335" s="1268">
        <v>111114</v>
      </c>
      <c r="Y335" s="1268">
        <v>0</v>
      </c>
    </row>
    <row r="336" spans="1:25" s="1280" customFormat="1" ht="75.599999999999994">
      <c r="A336" s="1281">
        <v>275</v>
      </c>
      <c r="B336" s="1277" t="s">
        <v>1285</v>
      </c>
      <c r="C336" s="1268">
        <f>D336+N336+P336+R336+T336+V336+X336</f>
        <v>1529758</v>
      </c>
      <c r="D336" s="1268">
        <f>SUM(E336:J336)</f>
        <v>0</v>
      </c>
      <c r="E336" s="1268">
        <v>0</v>
      </c>
      <c r="F336" s="1268">
        <v>0</v>
      </c>
      <c r="G336" s="1268">
        <v>0</v>
      </c>
      <c r="H336" s="1268">
        <v>0</v>
      </c>
      <c r="I336" s="1268">
        <v>0</v>
      </c>
      <c r="J336" s="1268">
        <v>0</v>
      </c>
      <c r="K336" s="1278">
        <v>0</v>
      </c>
      <c r="L336" s="1268">
        <v>0</v>
      </c>
      <c r="M336" s="1278">
        <v>0</v>
      </c>
      <c r="N336" s="1268">
        <v>0</v>
      </c>
      <c r="O336" s="1268">
        <v>563</v>
      </c>
      <c r="P336" s="1268">
        <v>1418644</v>
      </c>
      <c r="Q336" s="1268">
        <v>0</v>
      </c>
      <c r="R336" s="1268">
        <v>0</v>
      </c>
      <c r="S336" s="1268">
        <v>0</v>
      </c>
      <c r="T336" s="1268">
        <v>0</v>
      </c>
      <c r="U336" s="1268">
        <v>0</v>
      </c>
      <c r="V336" s="1268">
        <v>0</v>
      </c>
      <c r="W336" s="1268">
        <v>0</v>
      </c>
      <c r="X336" s="1268">
        <v>111114</v>
      </c>
      <c r="Y336" s="1268">
        <v>0</v>
      </c>
    </row>
    <row r="337" spans="1:25" s="1280" customFormat="1" ht="113.4">
      <c r="A337" s="1281"/>
      <c r="B337" s="1277" t="s">
        <v>1342</v>
      </c>
      <c r="C337" s="1268">
        <f>C338</f>
        <v>483667</v>
      </c>
      <c r="D337" s="1268">
        <f t="shared" ref="D337:Y337" si="124">D338</f>
        <v>448536</v>
      </c>
      <c r="E337" s="1268">
        <f t="shared" si="124"/>
        <v>0</v>
      </c>
      <c r="F337" s="1268">
        <f t="shared" si="124"/>
        <v>0</v>
      </c>
      <c r="G337" s="1268">
        <f t="shared" si="124"/>
        <v>0</v>
      </c>
      <c r="H337" s="1268">
        <f t="shared" si="124"/>
        <v>0</v>
      </c>
      <c r="I337" s="1268">
        <f t="shared" si="124"/>
        <v>0</v>
      </c>
      <c r="J337" s="1268">
        <f t="shared" si="124"/>
        <v>448536</v>
      </c>
      <c r="K337" s="1278">
        <f t="shared" si="124"/>
        <v>0</v>
      </c>
      <c r="L337" s="1268">
        <f t="shared" si="124"/>
        <v>0</v>
      </c>
      <c r="M337" s="1278">
        <f t="shared" si="124"/>
        <v>0</v>
      </c>
      <c r="N337" s="1268">
        <f t="shared" si="124"/>
        <v>0</v>
      </c>
      <c r="O337" s="1268">
        <f t="shared" si="124"/>
        <v>0</v>
      </c>
      <c r="P337" s="1268">
        <f t="shared" si="124"/>
        <v>0</v>
      </c>
      <c r="Q337" s="1268">
        <f t="shared" si="124"/>
        <v>0</v>
      </c>
      <c r="R337" s="1268">
        <f t="shared" si="124"/>
        <v>0</v>
      </c>
      <c r="S337" s="1268">
        <f t="shared" si="124"/>
        <v>0</v>
      </c>
      <c r="T337" s="1268">
        <f t="shared" si="124"/>
        <v>0</v>
      </c>
      <c r="U337" s="1268">
        <f t="shared" si="124"/>
        <v>0</v>
      </c>
      <c r="V337" s="1268">
        <f t="shared" si="124"/>
        <v>0</v>
      </c>
      <c r="W337" s="1268">
        <v>0</v>
      </c>
      <c r="X337" s="1268">
        <f t="shared" si="124"/>
        <v>35131</v>
      </c>
      <c r="Y337" s="1268">
        <f t="shared" si="124"/>
        <v>0</v>
      </c>
    </row>
    <row r="338" spans="1:25" s="1280" customFormat="1">
      <c r="A338" s="1281">
        <v>276</v>
      </c>
      <c r="B338" s="1277" t="s">
        <v>1343</v>
      </c>
      <c r="C338" s="1268">
        <f>D338+N338+P338+R338+T338+V338+X338</f>
        <v>483667</v>
      </c>
      <c r="D338" s="1268">
        <f>SUM(E338:J338)</f>
        <v>448536</v>
      </c>
      <c r="E338" s="1268">
        <v>0</v>
      </c>
      <c r="F338" s="1268">
        <v>0</v>
      </c>
      <c r="G338" s="1268">
        <v>0</v>
      </c>
      <c r="H338" s="1268">
        <v>0</v>
      </c>
      <c r="I338" s="1268">
        <v>0</v>
      </c>
      <c r="J338" s="1268">
        <v>448536</v>
      </c>
      <c r="K338" s="1278">
        <v>0</v>
      </c>
      <c r="L338" s="1268">
        <v>0</v>
      </c>
      <c r="M338" s="1278">
        <v>0</v>
      </c>
      <c r="N338" s="1268">
        <v>0</v>
      </c>
      <c r="O338" s="1268">
        <v>0</v>
      </c>
      <c r="P338" s="1268">
        <v>0</v>
      </c>
      <c r="Q338" s="1268">
        <v>0</v>
      </c>
      <c r="R338" s="1268">
        <v>0</v>
      </c>
      <c r="S338" s="1268">
        <v>0</v>
      </c>
      <c r="T338" s="1268">
        <v>0</v>
      </c>
      <c r="U338" s="1268">
        <v>0</v>
      </c>
      <c r="V338" s="1268">
        <v>0</v>
      </c>
      <c r="W338" s="1268">
        <v>0</v>
      </c>
      <c r="X338" s="1268">
        <v>35131</v>
      </c>
      <c r="Y338" s="1268">
        <v>0</v>
      </c>
    </row>
    <row r="339" spans="1:25" s="1280" customFormat="1">
      <c r="A339" s="1281"/>
      <c r="B339" s="1277" t="s">
        <v>57</v>
      </c>
      <c r="C339" s="1268">
        <f t="shared" ref="C339:Y339" si="125">C340+C347+C345</f>
        <v>20227099</v>
      </c>
      <c r="D339" s="1268">
        <f t="shared" si="125"/>
        <v>2997586</v>
      </c>
      <c r="E339" s="1268">
        <f t="shared" si="125"/>
        <v>0</v>
      </c>
      <c r="F339" s="1268">
        <f t="shared" si="125"/>
        <v>0</v>
      </c>
      <c r="G339" s="1268">
        <f t="shared" si="125"/>
        <v>0</v>
      </c>
      <c r="H339" s="1268">
        <f t="shared" si="125"/>
        <v>0</v>
      </c>
      <c r="I339" s="1268">
        <f t="shared" si="125"/>
        <v>0</v>
      </c>
      <c r="J339" s="1268">
        <f t="shared" si="125"/>
        <v>2997586</v>
      </c>
      <c r="K339" s="1278">
        <f t="shared" si="125"/>
        <v>0</v>
      </c>
      <c r="L339" s="1268">
        <f t="shared" si="125"/>
        <v>0</v>
      </c>
      <c r="M339" s="1278">
        <f t="shared" si="125"/>
        <v>0</v>
      </c>
      <c r="N339" s="1268">
        <f t="shared" si="125"/>
        <v>0</v>
      </c>
      <c r="O339" s="1268">
        <f t="shared" si="125"/>
        <v>4500.5</v>
      </c>
      <c r="P339" s="1268">
        <f t="shared" si="125"/>
        <v>15760321</v>
      </c>
      <c r="Q339" s="1268">
        <f t="shared" si="125"/>
        <v>0</v>
      </c>
      <c r="R339" s="1268">
        <f t="shared" si="125"/>
        <v>0</v>
      </c>
      <c r="S339" s="1268">
        <f t="shared" si="125"/>
        <v>0</v>
      </c>
      <c r="T339" s="1268">
        <f t="shared" si="125"/>
        <v>0</v>
      </c>
      <c r="U339" s="1268">
        <f t="shared" si="125"/>
        <v>0</v>
      </c>
      <c r="V339" s="1268">
        <f t="shared" si="125"/>
        <v>0</v>
      </c>
      <c r="W339" s="1268">
        <v>0</v>
      </c>
      <c r="X339" s="1268">
        <f t="shared" si="125"/>
        <v>1469192</v>
      </c>
      <c r="Y339" s="1268">
        <f t="shared" si="125"/>
        <v>0</v>
      </c>
    </row>
    <row r="340" spans="1:25" s="1280" customFormat="1" ht="113.4">
      <c r="A340" s="1281"/>
      <c r="B340" s="1277" t="s">
        <v>1112</v>
      </c>
      <c r="C340" s="1268">
        <f>C342+C344+C341+C343</f>
        <v>17060256</v>
      </c>
      <c r="D340" s="1268">
        <f t="shared" ref="D340:Y340" si="126">D342+D344+D341+D343</f>
        <v>2997586</v>
      </c>
      <c r="E340" s="1268">
        <f t="shared" si="126"/>
        <v>0</v>
      </c>
      <c r="F340" s="1268">
        <f t="shared" si="126"/>
        <v>0</v>
      </c>
      <c r="G340" s="1268">
        <f t="shared" si="126"/>
        <v>0</v>
      </c>
      <c r="H340" s="1268">
        <f t="shared" si="126"/>
        <v>0</v>
      </c>
      <c r="I340" s="1268">
        <f t="shared" si="126"/>
        <v>0</v>
      </c>
      <c r="J340" s="1268">
        <f t="shared" si="126"/>
        <v>2997586</v>
      </c>
      <c r="K340" s="1278">
        <f t="shared" si="126"/>
        <v>0</v>
      </c>
      <c r="L340" s="1268">
        <f t="shared" si="126"/>
        <v>0</v>
      </c>
      <c r="M340" s="1278">
        <f t="shared" si="126"/>
        <v>0</v>
      </c>
      <c r="N340" s="1268">
        <f t="shared" si="126"/>
        <v>0</v>
      </c>
      <c r="O340" s="1268">
        <f t="shared" si="126"/>
        <v>3335</v>
      </c>
      <c r="P340" s="1268">
        <f t="shared" si="126"/>
        <v>12823501</v>
      </c>
      <c r="Q340" s="1268">
        <f t="shared" si="126"/>
        <v>0</v>
      </c>
      <c r="R340" s="1268">
        <f t="shared" si="126"/>
        <v>0</v>
      </c>
      <c r="S340" s="1268">
        <f t="shared" si="126"/>
        <v>0</v>
      </c>
      <c r="T340" s="1268">
        <f t="shared" si="126"/>
        <v>0</v>
      </c>
      <c r="U340" s="1268">
        <f t="shared" si="126"/>
        <v>0</v>
      </c>
      <c r="V340" s="1268">
        <f t="shared" si="126"/>
        <v>0</v>
      </c>
      <c r="W340" s="1268">
        <v>0</v>
      </c>
      <c r="X340" s="1268">
        <f t="shared" si="126"/>
        <v>1239169</v>
      </c>
      <c r="Y340" s="1268">
        <f t="shared" si="126"/>
        <v>0</v>
      </c>
    </row>
    <row r="341" spans="1:25" s="1280" customFormat="1">
      <c r="A341" s="1281">
        <v>277</v>
      </c>
      <c r="B341" s="1267" t="s">
        <v>1678</v>
      </c>
      <c r="C341" s="1268">
        <f t="shared" ref="C341" si="127">D341+N341+P341+R341+T341+V341+X341</f>
        <v>2881978</v>
      </c>
      <c r="D341" s="1268">
        <f t="shared" ref="D341" si="128">SUM(E341:J341)</f>
        <v>0</v>
      </c>
      <c r="E341" s="1268">
        <v>0</v>
      </c>
      <c r="F341" s="1268">
        <v>0</v>
      </c>
      <c r="G341" s="1268">
        <v>0</v>
      </c>
      <c r="H341" s="1268">
        <v>0</v>
      </c>
      <c r="I341" s="1268">
        <v>0</v>
      </c>
      <c r="J341" s="1268">
        <v>0</v>
      </c>
      <c r="K341" s="1278">
        <v>0</v>
      </c>
      <c r="L341" s="1268">
        <v>0</v>
      </c>
      <c r="M341" s="1278">
        <v>0</v>
      </c>
      <c r="N341" s="1268">
        <v>0</v>
      </c>
      <c r="O341" s="1268">
        <v>590</v>
      </c>
      <c r="P341" s="1268">
        <v>2672646</v>
      </c>
      <c r="Q341" s="1268">
        <v>0</v>
      </c>
      <c r="R341" s="1268">
        <v>0</v>
      </c>
      <c r="S341" s="1268">
        <v>0</v>
      </c>
      <c r="T341" s="1268">
        <v>0</v>
      </c>
      <c r="U341" s="1268">
        <v>0</v>
      </c>
      <c r="V341" s="1268">
        <v>0</v>
      </c>
      <c r="W341" s="1268">
        <v>0</v>
      </c>
      <c r="X341" s="1268">
        <v>209332</v>
      </c>
      <c r="Y341" s="1268">
        <v>0</v>
      </c>
    </row>
    <row r="342" spans="1:25" s="1280" customFormat="1">
      <c r="A342" s="1281">
        <v>278</v>
      </c>
      <c r="B342" s="1277" t="s">
        <v>980</v>
      </c>
      <c r="C342" s="1268">
        <f t="shared" ref="C342:C344" si="129">D342+N342+P342+R342+T342+V342+X342</f>
        <v>9314012</v>
      </c>
      <c r="D342" s="1268">
        <f t="shared" ref="D342:D344" si="130">SUM(E342:J342)</f>
        <v>2997586</v>
      </c>
      <c r="E342" s="1268">
        <v>0</v>
      </c>
      <c r="F342" s="1268">
        <v>0</v>
      </c>
      <c r="G342" s="1268">
        <v>0</v>
      </c>
      <c r="H342" s="1268">
        <v>0</v>
      </c>
      <c r="I342" s="1268">
        <v>0</v>
      </c>
      <c r="J342" s="1268">
        <v>2997586</v>
      </c>
      <c r="K342" s="1278">
        <v>0</v>
      </c>
      <c r="L342" s="1268">
        <v>0</v>
      </c>
      <c r="M342" s="1278">
        <v>0</v>
      </c>
      <c r="N342" s="1268">
        <v>0</v>
      </c>
      <c r="O342" s="1268">
        <v>1525</v>
      </c>
      <c r="P342" s="1268">
        <v>5639904</v>
      </c>
      <c r="Q342" s="1268">
        <v>0</v>
      </c>
      <c r="R342" s="1268">
        <v>0</v>
      </c>
      <c r="S342" s="1268">
        <v>0</v>
      </c>
      <c r="T342" s="1268">
        <v>0</v>
      </c>
      <c r="U342" s="1268">
        <v>0</v>
      </c>
      <c r="V342" s="1268">
        <v>0</v>
      </c>
      <c r="W342" s="1268">
        <v>0</v>
      </c>
      <c r="X342" s="1268">
        <f>441739+234783</f>
        <v>676522</v>
      </c>
      <c r="Y342" s="1268">
        <v>0</v>
      </c>
    </row>
    <row r="343" spans="1:25" s="1280" customFormat="1">
      <c r="A343" s="1281">
        <v>279</v>
      </c>
      <c r="B343" s="1277" t="s">
        <v>1679</v>
      </c>
      <c r="C343" s="1268">
        <f t="shared" ref="C343" si="131">D343+N343+P343+R343+T343+V343+X343</f>
        <v>2470759</v>
      </c>
      <c r="D343" s="1268">
        <f t="shared" ref="D343" si="132">SUM(E343:J343)</f>
        <v>0</v>
      </c>
      <c r="E343" s="1268">
        <v>0</v>
      </c>
      <c r="F343" s="1268">
        <v>0</v>
      </c>
      <c r="G343" s="1268">
        <v>0</v>
      </c>
      <c r="H343" s="1268">
        <v>0</v>
      </c>
      <c r="I343" s="1268">
        <v>0</v>
      </c>
      <c r="J343" s="1268">
        <v>0</v>
      </c>
      <c r="K343" s="1278">
        <v>0</v>
      </c>
      <c r="L343" s="1268">
        <v>0</v>
      </c>
      <c r="M343" s="1278">
        <v>0</v>
      </c>
      <c r="N343" s="1268">
        <v>0</v>
      </c>
      <c r="O343" s="1268">
        <v>730</v>
      </c>
      <c r="P343" s="1268">
        <v>2291296</v>
      </c>
      <c r="Q343" s="1268">
        <v>0</v>
      </c>
      <c r="R343" s="1268">
        <v>0</v>
      </c>
      <c r="S343" s="1268">
        <v>0</v>
      </c>
      <c r="T343" s="1268">
        <v>0</v>
      </c>
      <c r="U343" s="1268">
        <v>0</v>
      </c>
      <c r="V343" s="1268">
        <v>0</v>
      </c>
      <c r="W343" s="1268">
        <v>0</v>
      </c>
      <c r="X343" s="1268">
        <v>179463</v>
      </c>
      <c r="Y343" s="1268">
        <v>0</v>
      </c>
    </row>
    <row r="344" spans="1:25" s="1280" customFormat="1" ht="58.8" customHeight="1">
      <c r="A344" s="1281">
        <v>280</v>
      </c>
      <c r="B344" s="1277" t="s">
        <v>1356</v>
      </c>
      <c r="C344" s="1268">
        <f t="shared" si="129"/>
        <v>2393507</v>
      </c>
      <c r="D344" s="1268">
        <f t="shared" si="130"/>
        <v>0</v>
      </c>
      <c r="E344" s="1268">
        <v>0</v>
      </c>
      <c r="F344" s="1268">
        <v>0</v>
      </c>
      <c r="G344" s="1268">
        <v>0</v>
      </c>
      <c r="H344" s="1268">
        <v>0</v>
      </c>
      <c r="I344" s="1268">
        <v>0</v>
      </c>
      <c r="J344" s="1268">
        <v>0</v>
      </c>
      <c r="K344" s="1278">
        <v>0</v>
      </c>
      <c r="L344" s="1268">
        <v>0</v>
      </c>
      <c r="M344" s="1278">
        <v>0</v>
      </c>
      <c r="N344" s="1268">
        <v>0</v>
      </c>
      <c r="O344" s="1268">
        <v>490</v>
      </c>
      <c r="P344" s="1268">
        <v>2219655</v>
      </c>
      <c r="Q344" s="1268">
        <v>0</v>
      </c>
      <c r="R344" s="1268">
        <v>0</v>
      </c>
      <c r="S344" s="1268">
        <v>0</v>
      </c>
      <c r="T344" s="1268">
        <v>0</v>
      </c>
      <c r="U344" s="1268">
        <v>0</v>
      </c>
      <c r="V344" s="1268">
        <v>0</v>
      </c>
      <c r="W344" s="1268">
        <v>0</v>
      </c>
      <c r="X344" s="1268">
        <v>173852</v>
      </c>
      <c r="Y344" s="1268">
        <v>0</v>
      </c>
    </row>
    <row r="345" spans="1:25" s="1280" customFormat="1" ht="113.4">
      <c r="A345" s="1281"/>
      <c r="B345" s="1277" t="s">
        <v>1365</v>
      </c>
      <c r="C345" s="1268">
        <f>C346</f>
        <v>1630292</v>
      </c>
      <c r="D345" s="1268">
        <f t="shared" ref="D345:Y345" si="133">D346</f>
        <v>0</v>
      </c>
      <c r="E345" s="1268">
        <f t="shared" si="133"/>
        <v>0</v>
      </c>
      <c r="F345" s="1268">
        <f t="shared" si="133"/>
        <v>0</v>
      </c>
      <c r="G345" s="1268">
        <f t="shared" si="133"/>
        <v>0</v>
      </c>
      <c r="H345" s="1268">
        <f t="shared" si="133"/>
        <v>0</v>
      </c>
      <c r="I345" s="1268">
        <f t="shared" si="133"/>
        <v>0</v>
      </c>
      <c r="J345" s="1268">
        <f t="shared" si="133"/>
        <v>0</v>
      </c>
      <c r="K345" s="1278">
        <f t="shared" si="133"/>
        <v>0</v>
      </c>
      <c r="L345" s="1268">
        <f t="shared" si="133"/>
        <v>0</v>
      </c>
      <c r="M345" s="1278">
        <f t="shared" si="133"/>
        <v>0</v>
      </c>
      <c r="N345" s="1268">
        <f t="shared" si="133"/>
        <v>0</v>
      </c>
      <c r="O345" s="1268">
        <f t="shared" si="133"/>
        <v>600</v>
      </c>
      <c r="P345" s="1268">
        <f t="shared" si="133"/>
        <v>1511876</v>
      </c>
      <c r="Q345" s="1268">
        <f t="shared" si="133"/>
        <v>0</v>
      </c>
      <c r="R345" s="1268">
        <f t="shared" si="133"/>
        <v>0</v>
      </c>
      <c r="S345" s="1268">
        <f t="shared" si="133"/>
        <v>0</v>
      </c>
      <c r="T345" s="1268">
        <f t="shared" si="133"/>
        <v>0</v>
      </c>
      <c r="U345" s="1268">
        <f t="shared" si="133"/>
        <v>0</v>
      </c>
      <c r="V345" s="1268">
        <f t="shared" si="133"/>
        <v>0</v>
      </c>
      <c r="W345" s="1268">
        <v>0</v>
      </c>
      <c r="X345" s="1268">
        <f t="shared" si="133"/>
        <v>118416</v>
      </c>
      <c r="Y345" s="1268">
        <f t="shared" si="133"/>
        <v>0</v>
      </c>
    </row>
    <row r="346" spans="1:25" s="1280" customFormat="1" ht="75.599999999999994">
      <c r="A346" s="1281">
        <v>281</v>
      </c>
      <c r="B346" s="1267" t="s">
        <v>1812</v>
      </c>
      <c r="C346" s="1268">
        <f t="shared" ref="C346" si="134">D346+N346+P346+R346+T346+V346+X346</f>
        <v>1630292</v>
      </c>
      <c r="D346" s="1268">
        <f t="shared" ref="D346" si="135">SUM(E346:J346)</f>
        <v>0</v>
      </c>
      <c r="E346" s="1268">
        <v>0</v>
      </c>
      <c r="F346" s="1268">
        <v>0</v>
      </c>
      <c r="G346" s="1268">
        <v>0</v>
      </c>
      <c r="H346" s="1268">
        <v>0</v>
      </c>
      <c r="I346" s="1268">
        <v>0</v>
      </c>
      <c r="J346" s="1268"/>
      <c r="K346" s="1278">
        <v>0</v>
      </c>
      <c r="L346" s="1268">
        <v>0</v>
      </c>
      <c r="M346" s="1278">
        <v>0</v>
      </c>
      <c r="N346" s="1268">
        <v>0</v>
      </c>
      <c r="O346" s="1268">
        <v>600</v>
      </c>
      <c r="P346" s="1268">
        <v>1511876</v>
      </c>
      <c r="Q346" s="1268">
        <v>0</v>
      </c>
      <c r="R346" s="1268">
        <v>0</v>
      </c>
      <c r="S346" s="1268">
        <v>0</v>
      </c>
      <c r="T346" s="1268">
        <v>0</v>
      </c>
      <c r="U346" s="1268">
        <v>0</v>
      </c>
      <c r="V346" s="1268">
        <v>0</v>
      </c>
      <c r="W346" s="1268">
        <v>0</v>
      </c>
      <c r="X346" s="1268">
        <v>118416</v>
      </c>
      <c r="Y346" s="1268">
        <v>0</v>
      </c>
    </row>
    <row r="347" spans="1:25" s="1280" customFormat="1" ht="75.599999999999994">
      <c r="A347" s="1281"/>
      <c r="B347" s="1277" t="s">
        <v>1363</v>
      </c>
      <c r="C347" s="1268">
        <f>C348</f>
        <v>1536551</v>
      </c>
      <c r="D347" s="1268">
        <f t="shared" ref="D347:Y347" si="136">D348</f>
        <v>0</v>
      </c>
      <c r="E347" s="1268">
        <f t="shared" si="136"/>
        <v>0</v>
      </c>
      <c r="F347" s="1268">
        <f t="shared" si="136"/>
        <v>0</v>
      </c>
      <c r="G347" s="1268">
        <f t="shared" si="136"/>
        <v>0</v>
      </c>
      <c r="H347" s="1268">
        <f t="shared" si="136"/>
        <v>0</v>
      </c>
      <c r="I347" s="1268">
        <f t="shared" si="136"/>
        <v>0</v>
      </c>
      <c r="J347" s="1268">
        <f t="shared" si="136"/>
        <v>0</v>
      </c>
      <c r="K347" s="1278">
        <f t="shared" si="136"/>
        <v>0</v>
      </c>
      <c r="L347" s="1268">
        <f t="shared" si="136"/>
        <v>0</v>
      </c>
      <c r="M347" s="1278">
        <f t="shared" si="136"/>
        <v>0</v>
      </c>
      <c r="N347" s="1268">
        <f t="shared" si="136"/>
        <v>0</v>
      </c>
      <c r="O347" s="1268">
        <f t="shared" si="136"/>
        <v>565.5</v>
      </c>
      <c r="P347" s="1268">
        <f t="shared" si="136"/>
        <v>1424944</v>
      </c>
      <c r="Q347" s="1268">
        <f t="shared" si="136"/>
        <v>0</v>
      </c>
      <c r="R347" s="1268">
        <f t="shared" si="136"/>
        <v>0</v>
      </c>
      <c r="S347" s="1268">
        <f t="shared" si="136"/>
        <v>0</v>
      </c>
      <c r="T347" s="1268">
        <f t="shared" si="136"/>
        <v>0</v>
      </c>
      <c r="U347" s="1268">
        <f t="shared" si="136"/>
        <v>0</v>
      </c>
      <c r="V347" s="1268">
        <f t="shared" si="136"/>
        <v>0</v>
      </c>
      <c r="W347" s="1268">
        <v>0</v>
      </c>
      <c r="X347" s="1268">
        <f t="shared" si="136"/>
        <v>111607</v>
      </c>
      <c r="Y347" s="1268">
        <f t="shared" si="136"/>
        <v>0</v>
      </c>
    </row>
    <row r="348" spans="1:25" s="1280" customFormat="1" ht="75.599999999999994">
      <c r="A348" s="1281">
        <v>282</v>
      </c>
      <c r="B348" s="1267" t="s">
        <v>2614</v>
      </c>
      <c r="C348" s="1268">
        <f t="shared" ref="C348" si="137">D348+N348+P348+R348+T348+V348+X348</f>
        <v>1536551</v>
      </c>
      <c r="D348" s="1268">
        <f t="shared" ref="D348" si="138">SUM(E348:J348)</f>
        <v>0</v>
      </c>
      <c r="E348" s="1268">
        <v>0</v>
      </c>
      <c r="F348" s="1268">
        <v>0</v>
      </c>
      <c r="G348" s="1268">
        <v>0</v>
      </c>
      <c r="H348" s="1268">
        <v>0</v>
      </c>
      <c r="I348" s="1268">
        <v>0</v>
      </c>
      <c r="J348" s="1268">
        <v>0</v>
      </c>
      <c r="K348" s="1278">
        <v>0</v>
      </c>
      <c r="L348" s="1268">
        <v>0</v>
      </c>
      <c r="M348" s="1278">
        <v>0</v>
      </c>
      <c r="N348" s="1268">
        <v>0</v>
      </c>
      <c r="O348" s="1268">
        <v>565.5</v>
      </c>
      <c r="P348" s="1268">
        <v>1424944</v>
      </c>
      <c r="Q348" s="1268">
        <v>0</v>
      </c>
      <c r="R348" s="1268">
        <v>0</v>
      </c>
      <c r="S348" s="1268">
        <v>0</v>
      </c>
      <c r="T348" s="1268">
        <v>0</v>
      </c>
      <c r="U348" s="1268">
        <v>0</v>
      </c>
      <c r="V348" s="1268">
        <v>0</v>
      </c>
      <c r="W348" s="1268">
        <v>0</v>
      </c>
      <c r="X348" s="1268">
        <v>111607</v>
      </c>
      <c r="Y348" s="1268">
        <v>0</v>
      </c>
    </row>
    <row r="349" spans="1:25" s="1280" customFormat="1">
      <c r="A349" s="1281"/>
      <c r="B349" s="1277" t="s">
        <v>1339</v>
      </c>
      <c r="C349" s="1268">
        <f>C350</f>
        <v>1584101</v>
      </c>
      <c r="D349" s="1268">
        <f t="shared" ref="D349:Y349" si="139">D350</f>
        <v>0</v>
      </c>
      <c r="E349" s="1268">
        <f t="shared" si="139"/>
        <v>0</v>
      </c>
      <c r="F349" s="1268">
        <f t="shared" si="139"/>
        <v>0</v>
      </c>
      <c r="G349" s="1268">
        <f t="shared" si="139"/>
        <v>0</v>
      </c>
      <c r="H349" s="1268">
        <f t="shared" si="139"/>
        <v>0</v>
      </c>
      <c r="I349" s="1268">
        <f t="shared" si="139"/>
        <v>0</v>
      </c>
      <c r="J349" s="1268">
        <f t="shared" si="139"/>
        <v>0</v>
      </c>
      <c r="K349" s="1278">
        <f t="shared" si="139"/>
        <v>0</v>
      </c>
      <c r="L349" s="1268">
        <f t="shared" si="139"/>
        <v>0</v>
      </c>
      <c r="M349" s="1278">
        <f t="shared" si="139"/>
        <v>0</v>
      </c>
      <c r="N349" s="1268">
        <f t="shared" si="139"/>
        <v>0</v>
      </c>
      <c r="O349" s="1268">
        <f t="shared" si="139"/>
        <v>583</v>
      </c>
      <c r="P349" s="1268">
        <f t="shared" si="139"/>
        <v>1469040</v>
      </c>
      <c r="Q349" s="1268">
        <f t="shared" si="139"/>
        <v>0</v>
      </c>
      <c r="R349" s="1268">
        <f t="shared" si="139"/>
        <v>0</v>
      </c>
      <c r="S349" s="1268">
        <f t="shared" si="139"/>
        <v>0</v>
      </c>
      <c r="T349" s="1268">
        <f t="shared" si="139"/>
        <v>0</v>
      </c>
      <c r="U349" s="1268">
        <f t="shared" si="139"/>
        <v>0</v>
      </c>
      <c r="V349" s="1268">
        <f t="shared" si="139"/>
        <v>0</v>
      </c>
      <c r="W349" s="1268">
        <v>0</v>
      </c>
      <c r="X349" s="1268">
        <f t="shared" si="139"/>
        <v>115061</v>
      </c>
      <c r="Y349" s="1268">
        <f t="shared" si="139"/>
        <v>0</v>
      </c>
    </row>
    <row r="350" spans="1:25" s="1280" customFormat="1" ht="113.4">
      <c r="A350" s="1281"/>
      <c r="B350" s="1277" t="s">
        <v>2616</v>
      </c>
      <c r="C350" s="1268">
        <f>C351</f>
        <v>1584101</v>
      </c>
      <c r="D350" s="1268">
        <f t="shared" ref="D350:Y350" si="140">D351</f>
        <v>0</v>
      </c>
      <c r="E350" s="1268">
        <f t="shared" si="140"/>
        <v>0</v>
      </c>
      <c r="F350" s="1268">
        <f t="shared" si="140"/>
        <v>0</v>
      </c>
      <c r="G350" s="1268">
        <f t="shared" si="140"/>
        <v>0</v>
      </c>
      <c r="H350" s="1268">
        <f t="shared" si="140"/>
        <v>0</v>
      </c>
      <c r="I350" s="1268">
        <f t="shared" si="140"/>
        <v>0</v>
      </c>
      <c r="J350" s="1268">
        <f t="shared" si="140"/>
        <v>0</v>
      </c>
      <c r="K350" s="1278">
        <f t="shared" si="140"/>
        <v>0</v>
      </c>
      <c r="L350" s="1268">
        <f t="shared" si="140"/>
        <v>0</v>
      </c>
      <c r="M350" s="1278">
        <f t="shared" si="140"/>
        <v>0</v>
      </c>
      <c r="N350" s="1268">
        <f t="shared" si="140"/>
        <v>0</v>
      </c>
      <c r="O350" s="1268">
        <f t="shared" si="140"/>
        <v>583</v>
      </c>
      <c r="P350" s="1268">
        <f t="shared" si="140"/>
        <v>1469040</v>
      </c>
      <c r="Q350" s="1268">
        <f t="shared" si="140"/>
        <v>0</v>
      </c>
      <c r="R350" s="1268">
        <f t="shared" si="140"/>
        <v>0</v>
      </c>
      <c r="S350" s="1268">
        <f t="shared" si="140"/>
        <v>0</v>
      </c>
      <c r="T350" s="1268">
        <f t="shared" si="140"/>
        <v>0</v>
      </c>
      <c r="U350" s="1268">
        <f t="shared" si="140"/>
        <v>0</v>
      </c>
      <c r="V350" s="1268">
        <f t="shared" si="140"/>
        <v>0</v>
      </c>
      <c r="W350" s="1268">
        <v>0</v>
      </c>
      <c r="X350" s="1268">
        <f t="shared" si="140"/>
        <v>115061</v>
      </c>
      <c r="Y350" s="1268">
        <f t="shared" si="140"/>
        <v>0</v>
      </c>
    </row>
    <row r="351" spans="1:25" s="1280" customFormat="1" ht="75.599999999999994">
      <c r="A351" s="1394">
        <v>283</v>
      </c>
      <c r="B351" s="1277" t="s">
        <v>2615</v>
      </c>
      <c r="C351" s="1268">
        <f>D351+N351+P351+R351+T351+V351+X351</f>
        <v>1584101</v>
      </c>
      <c r="D351" s="1268">
        <f>SUM(E351:J351)</f>
        <v>0</v>
      </c>
      <c r="E351" s="1268">
        <v>0</v>
      </c>
      <c r="F351" s="1268">
        <v>0</v>
      </c>
      <c r="G351" s="1268">
        <v>0</v>
      </c>
      <c r="H351" s="1268">
        <v>0</v>
      </c>
      <c r="I351" s="1268">
        <v>0</v>
      </c>
      <c r="J351" s="1268">
        <v>0</v>
      </c>
      <c r="K351" s="1278">
        <v>0</v>
      </c>
      <c r="L351" s="1268">
        <v>0</v>
      </c>
      <c r="M351" s="1278">
        <v>0</v>
      </c>
      <c r="N351" s="1268">
        <v>0</v>
      </c>
      <c r="O351" s="1268">
        <v>583</v>
      </c>
      <c r="P351" s="1268">
        <v>1469040</v>
      </c>
      <c r="Q351" s="1268">
        <v>0</v>
      </c>
      <c r="R351" s="1268">
        <v>0</v>
      </c>
      <c r="S351" s="1268">
        <v>0</v>
      </c>
      <c r="T351" s="1268">
        <v>0</v>
      </c>
      <c r="U351" s="1268">
        <v>0</v>
      </c>
      <c r="V351" s="1268">
        <v>0</v>
      </c>
      <c r="W351" s="1268">
        <v>0</v>
      </c>
      <c r="X351" s="1268">
        <v>115061</v>
      </c>
      <c r="Y351" s="1268">
        <v>0</v>
      </c>
    </row>
    <row r="352" spans="1:25" s="1280" customFormat="1" ht="113.4">
      <c r="A352" s="1281"/>
      <c r="B352" s="1277" t="s">
        <v>1220</v>
      </c>
      <c r="C352" s="1268">
        <f>C353+C354+C355</f>
        <v>6684613</v>
      </c>
      <c r="D352" s="1268">
        <f t="shared" ref="D352:Y352" si="141">D353+D354+D355</f>
        <v>468327</v>
      </c>
      <c r="E352" s="1268">
        <f t="shared" si="141"/>
        <v>468327</v>
      </c>
      <c r="F352" s="1268">
        <f t="shared" si="141"/>
        <v>0</v>
      </c>
      <c r="G352" s="1268">
        <f t="shared" si="141"/>
        <v>0</v>
      </c>
      <c r="H352" s="1268">
        <f t="shared" si="141"/>
        <v>0</v>
      </c>
      <c r="I352" s="1268">
        <f t="shared" si="141"/>
        <v>0</v>
      </c>
      <c r="J352" s="1268">
        <f t="shared" si="141"/>
        <v>0</v>
      </c>
      <c r="K352" s="1278">
        <f t="shared" si="141"/>
        <v>0</v>
      </c>
      <c r="L352" s="1268">
        <f t="shared" si="141"/>
        <v>0</v>
      </c>
      <c r="M352" s="1278">
        <f t="shared" si="141"/>
        <v>0</v>
      </c>
      <c r="N352" s="1268">
        <f t="shared" si="141"/>
        <v>0</v>
      </c>
      <c r="O352" s="1268">
        <f t="shared" si="141"/>
        <v>1874</v>
      </c>
      <c r="P352" s="1268">
        <f t="shared" si="141"/>
        <v>5730751</v>
      </c>
      <c r="Q352" s="1268">
        <f t="shared" si="141"/>
        <v>0</v>
      </c>
      <c r="R352" s="1268">
        <f t="shared" si="141"/>
        <v>0</v>
      </c>
      <c r="S352" s="1268">
        <f t="shared" si="141"/>
        <v>0</v>
      </c>
      <c r="T352" s="1268">
        <f t="shared" si="141"/>
        <v>0</v>
      </c>
      <c r="U352" s="1268">
        <f t="shared" si="141"/>
        <v>0</v>
      </c>
      <c r="V352" s="1268">
        <f t="shared" si="141"/>
        <v>0</v>
      </c>
      <c r="W352" s="1268">
        <v>0</v>
      </c>
      <c r="X352" s="1268">
        <f t="shared" si="141"/>
        <v>485535</v>
      </c>
      <c r="Y352" s="1268">
        <f t="shared" si="141"/>
        <v>0</v>
      </c>
    </row>
    <row r="353" spans="1:25" s="1280" customFormat="1">
      <c r="A353" s="1281">
        <v>284</v>
      </c>
      <c r="B353" s="1277" t="s">
        <v>1573</v>
      </c>
      <c r="C353" s="1268">
        <f t="shared" ref="C353" si="142">D353+N353+P353+R353+T353+V353+X353</f>
        <v>2416606</v>
      </c>
      <c r="D353" s="1268">
        <f t="shared" ref="D353" si="143">SUM(E353:J353)</f>
        <v>0</v>
      </c>
      <c r="E353" s="1268">
        <f>([1]база!E351-(([1]база!E351*8)/110.14))</f>
        <v>0</v>
      </c>
      <c r="F353" s="1268">
        <f>([1]база!F351-(([1]база!F351*8)/110.14))</f>
        <v>0</v>
      </c>
      <c r="G353" s="1268">
        <f>([1]база!G351-(([1]база!G351*8)/110.14))</f>
        <v>0</v>
      </c>
      <c r="H353" s="1268">
        <f>([1]база!H351-(([1]база!H351*8)/110.14))</f>
        <v>0</v>
      </c>
      <c r="I353" s="1268">
        <f>([1]база!I351-(([1]база!I351*8)/110.14))</f>
        <v>0</v>
      </c>
      <c r="J353" s="1268">
        <f>([1]база!J351-(([1]база!J351*8)/110.14))</f>
        <v>0</v>
      </c>
      <c r="K353" s="1278">
        <v>0</v>
      </c>
      <c r="L353" s="1268">
        <v>0</v>
      </c>
      <c r="M353" s="1278">
        <v>0</v>
      </c>
      <c r="N353" s="1268">
        <f>([1]база!L351-([1]база!L351*8)/110.14)</f>
        <v>0</v>
      </c>
      <c r="O353" s="1268">
        <v>714</v>
      </c>
      <c r="P353" s="1268">
        <v>2241076</v>
      </c>
      <c r="Q353" s="1268">
        <v>0</v>
      </c>
      <c r="R353" s="1268">
        <f>([1]база!P351-([1]база!P351*8)/110.14)</f>
        <v>0</v>
      </c>
      <c r="S353" s="1268">
        <v>0</v>
      </c>
      <c r="T353" s="1268">
        <f>([1]база!R351-([1]база!R351*8)/110.14)</f>
        <v>0</v>
      </c>
      <c r="U353" s="1268">
        <v>0</v>
      </c>
      <c r="V353" s="1268">
        <f>([1]база!T351-([1]база!T351*8)/110.14)</f>
        <v>0</v>
      </c>
      <c r="W353" s="1268">
        <v>0</v>
      </c>
      <c r="X353" s="1268">
        <v>175530</v>
      </c>
      <c r="Y353" s="1268">
        <v>0</v>
      </c>
    </row>
    <row r="354" spans="1:25" s="1280" customFormat="1">
      <c r="A354" s="1281">
        <v>285</v>
      </c>
      <c r="B354" s="1277" t="s">
        <v>1574</v>
      </c>
      <c r="C354" s="1268">
        <f t="shared" ref="C354:C355" si="144">D354+N354+P354+R354+T354+V354+X354</f>
        <v>2064607</v>
      </c>
      <c r="D354" s="1268">
        <f t="shared" ref="D354:D355" si="145">SUM(E354:J354)</f>
        <v>0</v>
      </c>
      <c r="E354" s="1268">
        <f>([1]база!E352-(([1]база!E352*8)/110.14))</f>
        <v>0</v>
      </c>
      <c r="F354" s="1268">
        <f>([1]база!F352-(([1]база!F352*8)/110.14))</f>
        <v>0</v>
      </c>
      <c r="G354" s="1268">
        <f>([1]база!G352-(([1]база!G352*8)/110.14))</f>
        <v>0</v>
      </c>
      <c r="H354" s="1268">
        <f>([1]база!H352-(([1]база!H352*8)/110.14))</f>
        <v>0</v>
      </c>
      <c r="I354" s="1268">
        <f>([1]база!I352-(([1]база!I352*8)/110.14))</f>
        <v>0</v>
      </c>
      <c r="J354" s="1268">
        <f>([1]база!J352-(([1]база!J352*8)/110.14))</f>
        <v>0</v>
      </c>
      <c r="K354" s="1278">
        <v>0</v>
      </c>
      <c r="L354" s="1268">
        <v>0</v>
      </c>
      <c r="M354" s="1278">
        <v>0</v>
      </c>
      <c r="N354" s="1268">
        <f>([1]база!L352-([1]база!L352*8)/110.14)</f>
        <v>0</v>
      </c>
      <c r="O354" s="1268">
        <v>610</v>
      </c>
      <c r="P354" s="1268">
        <v>1914645</v>
      </c>
      <c r="Q354" s="1268">
        <v>0</v>
      </c>
      <c r="R354" s="1268">
        <f>([1]база!P352-([1]база!P352*8)/110.14)</f>
        <v>0</v>
      </c>
      <c r="S354" s="1268">
        <v>0</v>
      </c>
      <c r="T354" s="1268">
        <f>([1]база!R352-([1]база!R352*8)/110.14)</f>
        <v>0</v>
      </c>
      <c r="U354" s="1268">
        <v>0</v>
      </c>
      <c r="V354" s="1268">
        <f>([1]база!T352-([1]база!T352*8)/110.14)</f>
        <v>0</v>
      </c>
      <c r="W354" s="1268">
        <v>0</v>
      </c>
      <c r="X354" s="1268">
        <v>149962</v>
      </c>
      <c r="Y354" s="1268">
        <v>0</v>
      </c>
    </row>
    <row r="355" spans="1:25" s="1280" customFormat="1">
      <c r="A355" s="1281">
        <v>286</v>
      </c>
      <c r="B355" s="1277" t="s">
        <v>1575</v>
      </c>
      <c r="C355" s="1268">
        <f t="shared" si="144"/>
        <v>2203400</v>
      </c>
      <c r="D355" s="1268">
        <f t="shared" si="145"/>
        <v>468327</v>
      </c>
      <c r="E355" s="1268">
        <v>468327</v>
      </c>
      <c r="F355" s="1268">
        <f>([1]база!F353-(([1]база!F353*8)/110.14))</f>
        <v>0</v>
      </c>
      <c r="G355" s="1268">
        <f>([1]база!G353-(([1]база!G353*8)/110.14))</f>
        <v>0</v>
      </c>
      <c r="H355" s="1268">
        <f>([1]база!H353-(([1]база!H353*8)/110.14))</f>
        <v>0</v>
      </c>
      <c r="I355" s="1268">
        <f>([1]база!I353-(([1]база!I353*8)/110.14))</f>
        <v>0</v>
      </c>
      <c r="J355" s="1268">
        <f>([1]база!J353-(([1]база!J353*8)/110.14))</f>
        <v>0</v>
      </c>
      <c r="K355" s="1278">
        <v>0</v>
      </c>
      <c r="L355" s="1268">
        <v>0</v>
      </c>
      <c r="M355" s="1278">
        <v>0</v>
      </c>
      <c r="N355" s="1268">
        <f>([1]база!L353-([1]база!L353*8)/110.14)</f>
        <v>0</v>
      </c>
      <c r="O355" s="1268">
        <v>550</v>
      </c>
      <c r="P355" s="1268">
        <v>1575030</v>
      </c>
      <c r="Q355" s="1268">
        <v>0</v>
      </c>
      <c r="R355" s="1268">
        <f>([1]база!P353-([1]база!P353*8)/110.14)</f>
        <v>0</v>
      </c>
      <c r="S355" s="1268">
        <v>0</v>
      </c>
      <c r="T355" s="1268">
        <f>([1]база!R353-([1]база!R353*8)/110.14)</f>
        <v>0</v>
      </c>
      <c r="U355" s="1268">
        <v>0</v>
      </c>
      <c r="V355" s="1268">
        <f>([1]база!T353-([1]база!T353*8)/110.14)</f>
        <v>0</v>
      </c>
      <c r="W355" s="1268">
        <v>0</v>
      </c>
      <c r="X355" s="1268">
        <v>160043</v>
      </c>
      <c r="Y355" s="1268">
        <v>0</v>
      </c>
    </row>
    <row r="356" spans="1:25" s="1280" customFormat="1" ht="75.599999999999994">
      <c r="A356" s="1281"/>
      <c r="B356" s="1277" t="s">
        <v>2022</v>
      </c>
      <c r="C356" s="1268">
        <f>SUM(C357:C372)</f>
        <v>3200447</v>
      </c>
      <c r="D356" s="1268">
        <f t="shared" ref="D356:Y356" si="146">SUM(D357:D372)</f>
        <v>2606711</v>
      </c>
      <c r="E356" s="1268">
        <f t="shared" si="146"/>
        <v>598967</v>
      </c>
      <c r="F356" s="1268">
        <f t="shared" si="146"/>
        <v>1220002</v>
      </c>
      <c r="G356" s="1268">
        <f t="shared" si="146"/>
        <v>0</v>
      </c>
      <c r="H356" s="1268">
        <f t="shared" si="146"/>
        <v>356721</v>
      </c>
      <c r="I356" s="1268">
        <f t="shared" si="146"/>
        <v>0</v>
      </c>
      <c r="J356" s="1268">
        <f t="shared" si="146"/>
        <v>431021</v>
      </c>
      <c r="K356" s="1278">
        <f t="shared" si="146"/>
        <v>0</v>
      </c>
      <c r="L356" s="1268">
        <f t="shared" si="146"/>
        <v>0</v>
      </c>
      <c r="M356" s="1278">
        <f t="shared" si="146"/>
        <v>0</v>
      </c>
      <c r="N356" s="1268">
        <f t="shared" si="146"/>
        <v>0</v>
      </c>
      <c r="O356" s="1268">
        <f t="shared" si="146"/>
        <v>0</v>
      </c>
      <c r="P356" s="1268">
        <f t="shared" si="146"/>
        <v>0</v>
      </c>
      <c r="Q356" s="1268">
        <f t="shared" si="146"/>
        <v>0</v>
      </c>
      <c r="R356" s="1268">
        <f t="shared" si="146"/>
        <v>0</v>
      </c>
      <c r="S356" s="1268">
        <f t="shared" si="146"/>
        <v>0</v>
      </c>
      <c r="T356" s="1268">
        <f t="shared" si="146"/>
        <v>0</v>
      </c>
      <c r="U356" s="1268">
        <f t="shared" si="146"/>
        <v>56.92</v>
      </c>
      <c r="V356" s="1268">
        <f t="shared" si="146"/>
        <v>593736</v>
      </c>
      <c r="W356" s="1268">
        <v>0</v>
      </c>
      <c r="X356" s="1268">
        <f t="shared" si="146"/>
        <v>0</v>
      </c>
      <c r="Y356" s="1268">
        <f t="shared" si="146"/>
        <v>0</v>
      </c>
    </row>
    <row r="357" spans="1:25" s="1280" customFormat="1" ht="75.599999999999994">
      <c r="A357" s="1281">
        <v>287</v>
      </c>
      <c r="B357" s="1297" t="s">
        <v>2429</v>
      </c>
      <c r="C357" s="1268">
        <f t="shared" ref="C357" si="147">D357+N357+P357+R357+T357+V357+X357</f>
        <v>96439</v>
      </c>
      <c r="D357" s="1268">
        <f t="shared" ref="D357" si="148">SUM(E357:J357)</f>
        <v>96439</v>
      </c>
      <c r="E357" s="1289">
        <v>0</v>
      </c>
      <c r="F357" s="1289">
        <v>0</v>
      </c>
      <c r="G357" s="1289">
        <v>0</v>
      </c>
      <c r="H357" s="1289">
        <v>96439</v>
      </c>
      <c r="I357" s="1289">
        <v>0</v>
      </c>
      <c r="J357" s="1289">
        <v>0</v>
      </c>
      <c r="K357" s="1278">
        <v>0</v>
      </c>
      <c r="L357" s="1289">
        <v>0</v>
      </c>
      <c r="M357" s="1278">
        <v>0</v>
      </c>
      <c r="N357" s="1289">
        <v>0</v>
      </c>
      <c r="O357" s="1289">
        <v>0</v>
      </c>
      <c r="P357" s="1289">
        <v>0</v>
      </c>
      <c r="Q357" s="1289">
        <v>0</v>
      </c>
      <c r="R357" s="1320">
        <v>0</v>
      </c>
      <c r="S357" s="1320">
        <v>0</v>
      </c>
      <c r="T357" s="1320">
        <v>0</v>
      </c>
      <c r="U357" s="1320">
        <v>0</v>
      </c>
      <c r="V357" s="1320">
        <v>0</v>
      </c>
      <c r="W357" s="1268">
        <v>0</v>
      </c>
      <c r="X357" s="1289">
        <v>0</v>
      </c>
      <c r="Y357" s="1320">
        <v>0</v>
      </c>
    </row>
    <row r="358" spans="1:25" s="1280" customFormat="1" ht="75.599999999999994">
      <c r="A358" s="1281">
        <v>288</v>
      </c>
      <c r="B358" s="1297" t="s">
        <v>2032</v>
      </c>
      <c r="C358" s="1268">
        <f t="shared" ref="C358:C364" si="149">D358+N358+P358+R358+T358+V358+X358</f>
        <v>139050</v>
      </c>
      <c r="D358" s="1268">
        <f t="shared" ref="D358:D364" si="150">SUM(E358:J358)</f>
        <v>139050</v>
      </c>
      <c r="E358" s="1289">
        <v>0</v>
      </c>
      <c r="F358" s="1289">
        <v>0</v>
      </c>
      <c r="G358" s="1289">
        <v>0</v>
      </c>
      <c r="H358" s="1289">
        <v>0</v>
      </c>
      <c r="I358" s="1289">
        <v>0</v>
      </c>
      <c r="J358" s="1289">
        <v>139050</v>
      </c>
      <c r="K358" s="1278">
        <v>0</v>
      </c>
      <c r="L358" s="1289">
        <v>0</v>
      </c>
      <c r="M358" s="1278">
        <v>0</v>
      </c>
      <c r="N358" s="1289">
        <v>0</v>
      </c>
      <c r="O358" s="1289">
        <v>0</v>
      </c>
      <c r="P358" s="1289">
        <v>0</v>
      </c>
      <c r="Q358" s="1289">
        <v>0</v>
      </c>
      <c r="R358" s="1320">
        <v>0</v>
      </c>
      <c r="S358" s="1320">
        <v>0</v>
      </c>
      <c r="T358" s="1320">
        <v>0</v>
      </c>
      <c r="U358" s="1320">
        <v>0</v>
      </c>
      <c r="V358" s="1320">
        <v>0</v>
      </c>
      <c r="W358" s="1268">
        <v>0</v>
      </c>
      <c r="X358" s="1289">
        <v>0</v>
      </c>
      <c r="Y358" s="1320">
        <v>0</v>
      </c>
    </row>
    <row r="359" spans="1:25" s="1280" customFormat="1" ht="75.599999999999994">
      <c r="A359" s="1281">
        <v>289</v>
      </c>
      <c r="B359" s="1297" t="s">
        <v>2430</v>
      </c>
      <c r="C359" s="1268">
        <f t="shared" si="149"/>
        <v>372218</v>
      </c>
      <c r="D359" s="1268">
        <f t="shared" si="150"/>
        <v>275528</v>
      </c>
      <c r="E359" s="1289">
        <v>275528</v>
      </c>
      <c r="F359" s="1289">
        <v>0</v>
      </c>
      <c r="G359" s="1289">
        <v>0</v>
      </c>
      <c r="H359" s="1289">
        <v>0</v>
      </c>
      <c r="I359" s="1289">
        <v>0</v>
      </c>
      <c r="J359" s="1289">
        <v>0</v>
      </c>
      <c r="K359" s="1278">
        <v>0</v>
      </c>
      <c r="L359" s="1289">
        <v>0</v>
      </c>
      <c r="M359" s="1278">
        <v>0</v>
      </c>
      <c r="N359" s="1289">
        <v>0</v>
      </c>
      <c r="O359" s="1289">
        <v>0</v>
      </c>
      <c r="P359" s="1289">
        <v>0</v>
      </c>
      <c r="Q359" s="1289">
        <v>0</v>
      </c>
      <c r="R359" s="1289">
        <v>0</v>
      </c>
      <c r="S359" s="1289">
        <v>0</v>
      </c>
      <c r="T359" s="1289">
        <v>0</v>
      </c>
      <c r="U359" s="1320">
        <v>10.28</v>
      </c>
      <c r="V359" s="1320">
        <v>96690</v>
      </c>
      <c r="W359" s="1268">
        <v>0</v>
      </c>
      <c r="X359" s="1289">
        <v>0</v>
      </c>
      <c r="Y359" s="1320">
        <v>0</v>
      </c>
    </row>
    <row r="360" spans="1:25" s="1280" customFormat="1" ht="75.599999999999994">
      <c r="A360" s="1281">
        <v>290</v>
      </c>
      <c r="B360" s="1297" t="s">
        <v>2432</v>
      </c>
      <c r="C360" s="1268">
        <f t="shared" si="149"/>
        <v>193859</v>
      </c>
      <c r="D360" s="1268">
        <f t="shared" si="150"/>
        <v>193859</v>
      </c>
      <c r="E360" s="1289">
        <v>193859</v>
      </c>
      <c r="F360" s="1289">
        <v>0</v>
      </c>
      <c r="G360" s="1289">
        <v>0</v>
      </c>
      <c r="H360" s="1289">
        <v>0</v>
      </c>
      <c r="I360" s="1289">
        <v>0</v>
      </c>
      <c r="J360" s="1289">
        <v>0</v>
      </c>
      <c r="K360" s="1278">
        <v>0</v>
      </c>
      <c r="L360" s="1289">
        <v>0</v>
      </c>
      <c r="M360" s="1278">
        <v>0</v>
      </c>
      <c r="N360" s="1289">
        <v>0</v>
      </c>
      <c r="O360" s="1289">
        <v>0</v>
      </c>
      <c r="P360" s="1289">
        <v>0</v>
      </c>
      <c r="Q360" s="1289">
        <v>0</v>
      </c>
      <c r="R360" s="1289">
        <v>0</v>
      </c>
      <c r="S360" s="1289">
        <v>0</v>
      </c>
      <c r="T360" s="1289">
        <v>0</v>
      </c>
      <c r="U360" s="1320">
        <v>0</v>
      </c>
      <c r="V360" s="1320">
        <v>0</v>
      </c>
      <c r="W360" s="1268">
        <v>0</v>
      </c>
      <c r="X360" s="1289">
        <v>0</v>
      </c>
      <c r="Y360" s="1320">
        <v>0</v>
      </c>
    </row>
    <row r="361" spans="1:25" s="1280" customFormat="1" ht="75.599999999999994">
      <c r="A361" s="1281">
        <v>291</v>
      </c>
      <c r="B361" s="1297" t="s">
        <v>2617</v>
      </c>
      <c r="C361" s="1268">
        <f t="shared" si="149"/>
        <v>60663</v>
      </c>
      <c r="D361" s="1268">
        <f t="shared" si="150"/>
        <v>0</v>
      </c>
      <c r="E361" s="1289">
        <v>0</v>
      </c>
      <c r="F361" s="1289">
        <v>0</v>
      </c>
      <c r="G361" s="1289">
        <v>0</v>
      </c>
      <c r="H361" s="1289">
        <v>0</v>
      </c>
      <c r="I361" s="1289">
        <v>0</v>
      </c>
      <c r="J361" s="1289">
        <v>0</v>
      </c>
      <c r="K361" s="1278">
        <v>0</v>
      </c>
      <c r="L361" s="1289">
        <v>0</v>
      </c>
      <c r="M361" s="1278">
        <v>0</v>
      </c>
      <c r="N361" s="1289">
        <v>0</v>
      </c>
      <c r="O361" s="1289">
        <v>0</v>
      </c>
      <c r="P361" s="1289">
        <v>0</v>
      </c>
      <c r="Q361" s="1289">
        <v>0</v>
      </c>
      <c r="R361" s="1289">
        <v>0</v>
      </c>
      <c r="S361" s="1289">
        <v>0</v>
      </c>
      <c r="T361" s="1289">
        <v>0</v>
      </c>
      <c r="U361" s="1320">
        <v>5.14</v>
      </c>
      <c r="V361" s="1320">
        <v>60663</v>
      </c>
      <c r="W361" s="1268">
        <v>0</v>
      </c>
      <c r="X361" s="1289">
        <v>0</v>
      </c>
      <c r="Y361" s="1320">
        <v>0</v>
      </c>
    </row>
    <row r="362" spans="1:25" s="1280" customFormat="1" ht="75.599999999999994">
      <c r="A362" s="1281">
        <v>292</v>
      </c>
      <c r="B362" s="1297" t="s">
        <v>2431</v>
      </c>
      <c r="C362" s="1268">
        <f t="shared" si="149"/>
        <v>129580</v>
      </c>
      <c r="D362" s="1268">
        <f t="shared" si="150"/>
        <v>129580</v>
      </c>
      <c r="E362" s="1289">
        <v>129580</v>
      </c>
      <c r="F362" s="1289">
        <v>0</v>
      </c>
      <c r="G362" s="1289">
        <v>0</v>
      </c>
      <c r="H362" s="1289">
        <v>0</v>
      </c>
      <c r="I362" s="1289">
        <v>0</v>
      </c>
      <c r="J362" s="1289">
        <v>0</v>
      </c>
      <c r="K362" s="1278">
        <v>0</v>
      </c>
      <c r="L362" s="1289">
        <v>0</v>
      </c>
      <c r="M362" s="1278">
        <v>0</v>
      </c>
      <c r="N362" s="1289">
        <v>0</v>
      </c>
      <c r="O362" s="1289">
        <v>0</v>
      </c>
      <c r="P362" s="1289">
        <v>0</v>
      </c>
      <c r="Q362" s="1289">
        <v>0</v>
      </c>
      <c r="R362" s="1320">
        <v>0</v>
      </c>
      <c r="S362" s="1320">
        <v>0</v>
      </c>
      <c r="T362" s="1320">
        <v>0</v>
      </c>
      <c r="U362" s="1320">
        <v>0</v>
      </c>
      <c r="V362" s="1320">
        <v>0</v>
      </c>
      <c r="W362" s="1268">
        <v>0</v>
      </c>
      <c r="X362" s="1289">
        <v>0</v>
      </c>
      <c r="Y362" s="1320">
        <v>0</v>
      </c>
    </row>
    <row r="363" spans="1:25" s="1280" customFormat="1" ht="75.599999999999994">
      <c r="A363" s="1281">
        <v>293</v>
      </c>
      <c r="B363" s="1297" t="s">
        <v>2433</v>
      </c>
      <c r="C363" s="1268">
        <f t="shared" si="149"/>
        <v>432006</v>
      </c>
      <c r="D363" s="1268">
        <f t="shared" si="150"/>
        <v>432006</v>
      </c>
      <c r="E363" s="1289">
        <v>0</v>
      </c>
      <c r="F363" s="1289">
        <v>432006</v>
      </c>
      <c r="G363" s="1289">
        <v>0</v>
      </c>
      <c r="H363" s="1289">
        <v>0</v>
      </c>
      <c r="I363" s="1289">
        <v>0</v>
      </c>
      <c r="J363" s="1289">
        <v>0</v>
      </c>
      <c r="K363" s="1278">
        <v>0</v>
      </c>
      <c r="L363" s="1289">
        <v>0</v>
      </c>
      <c r="M363" s="1278">
        <v>0</v>
      </c>
      <c r="N363" s="1289">
        <v>0</v>
      </c>
      <c r="O363" s="1289">
        <v>0</v>
      </c>
      <c r="P363" s="1289">
        <v>0</v>
      </c>
      <c r="Q363" s="1289">
        <v>0</v>
      </c>
      <c r="R363" s="1320">
        <v>0</v>
      </c>
      <c r="S363" s="1320">
        <v>0</v>
      </c>
      <c r="T363" s="1320">
        <v>0</v>
      </c>
      <c r="U363" s="1320">
        <v>0</v>
      </c>
      <c r="V363" s="1320">
        <v>0</v>
      </c>
      <c r="W363" s="1268">
        <v>0</v>
      </c>
      <c r="X363" s="1289">
        <v>0</v>
      </c>
      <c r="Y363" s="1320">
        <v>0</v>
      </c>
    </row>
    <row r="364" spans="1:25" s="1280" customFormat="1" ht="75.599999999999994">
      <c r="A364" s="1281">
        <v>294</v>
      </c>
      <c r="B364" s="1297" t="s">
        <v>2434</v>
      </c>
      <c r="C364" s="1268">
        <f t="shared" si="149"/>
        <v>301726</v>
      </c>
      <c r="D364" s="1268">
        <f t="shared" si="150"/>
        <v>301726</v>
      </c>
      <c r="E364" s="1289">
        <v>0</v>
      </c>
      <c r="F364" s="1289">
        <v>301726</v>
      </c>
      <c r="G364" s="1289">
        <v>0</v>
      </c>
      <c r="H364" s="1289">
        <v>0</v>
      </c>
      <c r="I364" s="1289">
        <v>0</v>
      </c>
      <c r="J364" s="1289">
        <v>0</v>
      </c>
      <c r="K364" s="1278">
        <v>0</v>
      </c>
      <c r="L364" s="1289">
        <v>0</v>
      </c>
      <c r="M364" s="1278">
        <v>0</v>
      </c>
      <c r="N364" s="1289">
        <v>0</v>
      </c>
      <c r="O364" s="1289">
        <v>0</v>
      </c>
      <c r="P364" s="1289">
        <v>0</v>
      </c>
      <c r="Q364" s="1289">
        <v>0</v>
      </c>
      <c r="R364" s="1320">
        <v>0</v>
      </c>
      <c r="S364" s="1320">
        <v>0</v>
      </c>
      <c r="T364" s="1320">
        <v>0</v>
      </c>
      <c r="U364" s="1320">
        <v>0</v>
      </c>
      <c r="V364" s="1320">
        <v>0</v>
      </c>
      <c r="W364" s="1268">
        <v>0</v>
      </c>
      <c r="X364" s="1289">
        <v>0</v>
      </c>
      <c r="Y364" s="1320">
        <v>0</v>
      </c>
    </row>
    <row r="365" spans="1:25" s="1280" customFormat="1" ht="75.599999999999994">
      <c r="A365" s="1281">
        <v>295</v>
      </c>
      <c r="B365" s="1297" t="s">
        <v>2343</v>
      </c>
      <c r="C365" s="1268">
        <f t="shared" ref="C365" si="151">D365+N365+P365+R365+T365+V365+X365</f>
        <v>162090</v>
      </c>
      <c r="D365" s="1268">
        <f t="shared" ref="D365" si="152">SUM(E365:J365)</f>
        <v>162090</v>
      </c>
      <c r="E365" s="1321">
        <v>0</v>
      </c>
      <c r="F365" s="1321">
        <v>162090</v>
      </c>
      <c r="G365" s="1321">
        <v>0</v>
      </c>
      <c r="H365" s="1321">
        <v>0</v>
      </c>
      <c r="I365" s="1321">
        <v>0</v>
      </c>
      <c r="J365" s="1321">
        <v>0</v>
      </c>
      <c r="K365" s="1278">
        <v>0</v>
      </c>
      <c r="L365" s="1321">
        <v>0</v>
      </c>
      <c r="M365" s="1278">
        <v>0</v>
      </c>
      <c r="N365" s="1321">
        <v>0</v>
      </c>
      <c r="O365" s="1321">
        <v>0</v>
      </c>
      <c r="P365" s="1321">
        <v>0</v>
      </c>
      <c r="Q365" s="1321">
        <v>0</v>
      </c>
      <c r="R365" s="1321">
        <v>0</v>
      </c>
      <c r="S365" s="1321">
        <v>0</v>
      </c>
      <c r="T365" s="1321">
        <v>0</v>
      </c>
      <c r="U365" s="1321">
        <v>0</v>
      </c>
      <c r="V365" s="1321">
        <v>0</v>
      </c>
      <c r="W365" s="1268">
        <v>0</v>
      </c>
      <c r="X365" s="1321">
        <v>0</v>
      </c>
      <c r="Y365" s="1321">
        <v>0</v>
      </c>
    </row>
    <row r="366" spans="1:25" s="1280" customFormat="1" ht="75.599999999999994">
      <c r="A366" s="1281">
        <v>296</v>
      </c>
      <c r="B366" s="1297" t="s">
        <v>2435</v>
      </c>
      <c r="C366" s="1268">
        <f t="shared" ref="C366:C372" si="153">D366+N366+P366+R366+T366+V366+X366</f>
        <v>162090</v>
      </c>
      <c r="D366" s="1268">
        <f t="shared" ref="D366:D372" si="154">SUM(E366:J366)</f>
        <v>162090</v>
      </c>
      <c r="E366" s="1321">
        <v>0</v>
      </c>
      <c r="F366" s="1321">
        <v>162090</v>
      </c>
      <c r="G366" s="1321">
        <v>0</v>
      </c>
      <c r="H366" s="1321">
        <v>0</v>
      </c>
      <c r="I366" s="1321">
        <v>0</v>
      </c>
      <c r="J366" s="1321">
        <v>0</v>
      </c>
      <c r="K366" s="1278">
        <v>0</v>
      </c>
      <c r="L366" s="1321">
        <v>0</v>
      </c>
      <c r="M366" s="1278">
        <v>0</v>
      </c>
      <c r="N366" s="1321">
        <v>0</v>
      </c>
      <c r="O366" s="1321">
        <v>0</v>
      </c>
      <c r="P366" s="1321">
        <v>0</v>
      </c>
      <c r="Q366" s="1321">
        <v>0</v>
      </c>
      <c r="R366" s="1321">
        <v>0</v>
      </c>
      <c r="S366" s="1321">
        <v>0</v>
      </c>
      <c r="T366" s="1321">
        <v>0</v>
      </c>
      <c r="U366" s="1321">
        <v>0</v>
      </c>
      <c r="V366" s="1321">
        <v>0</v>
      </c>
      <c r="W366" s="1268">
        <v>0</v>
      </c>
      <c r="X366" s="1321">
        <v>0</v>
      </c>
      <c r="Y366" s="1321">
        <v>0</v>
      </c>
    </row>
    <row r="367" spans="1:25" s="1280" customFormat="1" ht="75.599999999999994">
      <c r="A367" s="1281">
        <v>297</v>
      </c>
      <c r="B367" s="1297" t="s">
        <v>2436</v>
      </c>
      <c r="C367" s="1268">
        <f t="shared" si="153"/>
        <v>245114</v>
      </c>
      <c r="D367" s="1268">
        <f t="shared" si="154"/>
        <v>245114</v>
      </c>
      <c r="E367" s="1321">
        <v>0</v>
      </c>
      <c r="F367" s="1321">
        <v>0</v>
      </c>
      <c r="G367" s="1321">
        <v>0</v>
      </c>
      <c r="H367" s="1321">
        <v>106217</v>
      </c>
      <c r="I367" s="1321">
        <v>0</v>
      </c>
      <c r="J367" s="1321">
        <v>138897</v>
      </c>
      <c r="K367" s="1278">
        <v>0</v>
      </c>
      <c r="L367" s="1321">
        <v>0</v>
      </c>
      <c r="M367" s="1278">
        <v>0</v>
      </c>
      <c r="N367" s="1321">
        <v>0</v>
      </c>
      <c r="O367" s="1321">
        <v>0</v>
      </c>
      <c r="P367" s="1321">
        <v>0</v>
      </c>
      <c r="Q367" s="1321">
        <v>0</v>
      </c>
      <c r="R367" s="1321">
        <v>0</v>
      </c>
      <c r="S367" s="1321">
        <v>0</v>
      </c>
      <c r="T367" s="1321">
        <v>0</v>
      </c>
      <c r="U367" s="1321">
        <v>0</v>
      </c>
      <c r="V367" s="1321">
        <v>0</v>
      </c>
      <c r="W367" s="1268">
        <v>0</v>
      </c>
      <c r="X367" s="1321">
        <v>0</v>
      </c>
      <c r="Y367" s="1321">
        <v>0</v>
      </c>
    </row>
    <row r="368" spans="1:25" s="1280" customFormat="1" ht="75.599999999999994">
      <c r="A368" s="1281">
        <v>298</v>
      </c>
      <c r="B368" s="1297" t="s">
        <v>2438</v>
      </c>
      <c r="C368" s="1268">
        <f t="shared" si="153"/>
        <v>162090</v>
      </c>
      <c r="D368" s="1268">
        <f t="shared" si="154"/>
        <v>162090</v>
      </c>
      <c r="E368" s="1321">
        <v>0</v>
      </c>
      <c r="F368" s="1321">
        <v>162090</v>
      </c>
      <c r="G368" s="1293">
        <v>0</v>
      </c>
      <c r="H368" s="1321">
        <v>0</v>
      </c>
      <c r="I368" s="1321">
        <v>0</v>
      </c>
      <c r="J368" s="1321">
        <v>0</v>
      </c>
      <c r="K368" s="1278">
        <v>0</v>
      </c>
      <c r="L368" s="1321">
        <v>0</v>
      </c>
      <c r="M368" s="1278">
        <v>0</v>
      </c>
      <c r="N368" s="1321">
        <v>0</v>
      </c>
      <c r="O368" s="1321">
        <v>0</v>
      </c>
      <c r="P368" s="1321">
        <v>0</v>
      </c>
      <c r="Q368" s="1321">
        <v>0</v>
      </c>
      <c r="R368" s="1321">
        <v>0</v>
      </c>
      <c r="S368" s="1321">
        <v>0</v>
      </c>
      <c r="T368" s="1321">
        <v>0</v>
      </c>
      <c r="U368" s="1321">
        <v>0</v>
      </c>
      <c r="V368" s="1321">
        <v>0</v>
      </c>
      <c r="W368" s="1268">
        <v>0</v>
      </c>
      <c r="X368" s="1321">
        <v>0</v>
      </c>
      <c r="Y368" s="1321">
        <v>0</v>
      </c>
    </row>
    <row r="369" spans="1:25" s="1280" customFormat="1" ht="75.599999999999994">
      <c r="A369" s="1281">
        <v>299</v>
      </c>
      <c r="B369" s="1297" t="s">
        <v>2437</v>
      </c>
      <c r="C369" s="1268">
        <f t="shared" si="153"/>
        <v>158909</v>
      </c>
      <c r="D369" s="1268">
        <f t="shared" si="154"/>
        <v>0</v>
      </c>
      <c r="E369" s="1321">
        <v>0</v>
      </c>
      <c r="F369" s="1321">
        <v>0</v>
      </c>
      <c r="G369" s="1321">
        <v>0</v>
      </c>
      <c r="H369" s="1321">
        <v>0</v>
      </c>
      <c r="I369" s="1321">
        <v>0</v>
      </c>
      <c r="J369" s="1321">
        <v>0</v>
      </c>
      <c r="K369" s="1278">
        <v>0</v>
      </c>
      <c r="L369" s="1321">
        <v>0</v>
      </c>
      <c r="M369" s="1278">
        <v>0</v>
      </c>
      <c r="N369" s="1321">
        <v>0</v>
      </c>
      <c r="O369" s="1321">
        <v>0</v>
      </c>
      <c r="P369" s="1321">
        <v>0</v>
      </c>
      <c r="Q369" s="1321">
        <v>0</v>
      </c>
      <c r="R369" s="1321">
        <v>0</v>
      </c>
      <c r="S369" s="1321">
        <v>0</v>
      </c>
      <c r="T369" s="1321">
        <v>0</v>
      </c>
      <c r="U369" s="1289">
        <v>15.5</v>
      </c>
      <c r="V369" s="1289">
        <v>158909</v>
      </c>
      <c r="W369" s="1268">
        <v>0</v>
      </c>
      <c r="X369" s="1289">
        <v>0</v>
      </c>
      <c r="Y369" s="1289">
        <v>0</v>
      </c>
    </row>
    <row r="370" spans="1:25" s="1280" customFormat="1" ht="75.599999999999994">
      <c r="A370" s="1281">
        <v>300</v>
      </c>
      <c r="B370" s="1297" t="s">
        <v>2439</v>
      </c>
      <c r="C370" s="1268">
        <f t="shared" si="153"/>
        <v>307139</v>
      </c>
      <c r="D370" s="1268">
        <f t="shared" si="154"/>
        <v>307139</v>
      </c>
      <c r="E370" s="1321">
        <v>0</v>
      </c>
      <c r="F370" s="1321">
        <v>0</v>
      </c>
      <c r="G370" s="1321">
        <v>0</v>
      </c>
      <c r="H370" s="1321">
        <v>154065</v>
      </c>
      <c r="I370" s="1321">
        <v>0</v>
      </c>
      <c r="J370" s="1321">
        <v>153074</v>
      </c>
      <c r="K370" s="1278">
        <v>0</v>
      </c>
      <c r="L370" s="1321">
        <v>0</v>
      </c>
      <c r="M370" s="1278">
        <v>0</v>
      </c>
      <c r="N370" s="1321">
        <v>0</v>
      </c>
      <c r="O370" s="1321">
        <v>0</v>
      </c>
      <c r="P370" s="1321">
        <v>0</v>
      </c>
      <c r="Q370" s="1321">
        <v>0</v>
      </c>
      <c r="R370" s="1321">
        <v>0</v>
      </c>
      <c r="S370" s="1321">
        <v>0</v>
      </c>
      <c r="T370" s="1321">
        <v>0</v>
      </c>
      <c r="U370" s="1289">
        <v>0</v>
      </c>
      <c r="V370" s="1289">
        <v>0</v>
      </c>
      <c r="W370" s="1268">
        <v>0</v>
      </c>
      <c r="X370" s="1289">
        <v>0</v>
      </c>
      <c r="Y370" s="1289">
        <v>0</v>
      </c>
    </row>
    <row r="371" spans="1:25" s="1280" customFormat="1" ht="75.599999999999994">
      <c r="A371" s="1281">
        <v>301</v>
      </c>
      <c r="B371" s="1297" t="s">
        <v>2351</v>
      </c>
      <c r="C371" s="1268">
        <f t="shared" si="153"/>
        <v>118565</v>
      </c>
      <c r="D371" s="1268">
        <f t="shared" si="154"/>
        <v>0</v>
      </c>
      <c r="E371" s="1321">
        <v>0</v>
      </c>
      <c r="F371" s="1321">
        <v>0</v>
      </c>
      <c r="G371" s="1322" t="s">
        <v>1239</v>
      </c>
      <c r="H371" s="1321">
        <v>0</v>
      </c>
      <c r="I371" s="1321">
        <v>0</v>
      </c>
      <c r="J371" s="1321">
        <v>0</v>
      </c>
      <c r="K371" s="1278">
        <v>0</v>
      </c>
      <c r="L371" s="1321">
        <v>0</v>
      </c>
      <c r="M371" s="1278">
        <v>0</v>
      </c>
      <c r="N371" s="1321">
        <v>0</v>
      </c>
      <c r="O371" s="1321">
        <v>0</v>
      </c>
      <c r="P371" s="1321">
        <v>0</v>
      </c>
      <c r="Q371" s="1321">
        <v>0</v>
      </c>
      <c r="R371" s="1321">
        <v>0</v>
      </c>
      <c r="S371" s="1321">
        <v>0</v>
      </c>
      <c r="T371" s="1321">
        <v>0</v>
      </c>
      <c r="U371" s="1289">
        <v>10.5</v>
      </c>
      <c r="V371" s="1289">
        <v>118565</v>
      </c>
      <c r="W371" s="1268">
        <v>0</v>
      </c>
      <c r="X371" s="1289">
        <v>0</v>
      </c>
      <c r="Y371" s="1289">
        <v>0</v>
      </c>
    </row>
    <row r="372" spans="1:25" s="1299" customFormat="1" ht="75.599999999999994">
      <c r="A372" s="1281">
        <v>302</v>
      </c>
      <c r="B372" s="1297" t="s">
        <v>2352</v>
      </c>
      <c r="C372" s="1268">
        <f t="shared" si="153"/>
        <v>158909</v>
      </c>
      <c r="D372" s="1268">
        <f t="shared" si="154"/>
        <v>0</v>
      </c>
      <c r="E372" s="1321">
        <v>0</v>
      </c>
      <c r="F372" s="1321">
        <v>0</v>
      </c>
      <c r="G372" s="1321">
        <v>0</v>
      </c>
      <c r="H372" s="1321">
        <v>0</v>
      </c>
      <c r="I372" s="1321">
        <v>0</v>
      </c>
      <c r="J372" s="1321">
        <v>0</v>
      </c>
      <c r="K372" s="1278">
        <v>0</v>
      </c>
      <c r="L372" s="1321">
        <v>0</v>
      </c>
      <c r="M372" s="1278">
        <v>0</v>
      </c>
      <c r="N372" s="1321">
        <v>0</v>
      </c>
      <c r="O372" s="1321">
        <v>0</v>
      </c>
      <c r="P372" s="1321">
        <v>0</v>
      </c>
      <c r="Q372" s="1321">
        <v>0</v>
      </c>
      <c r="R372" s="1321">
        <v>0</v>
      </c>
      <c r="S372" s="1321">
        <v>0</v>
      </c>
      <c r="T372" s="1321">
        <v>0</v>
      </c>
      <c r="U372" s="1289">
        <v>15.5</v>
      </c>
      <c r="V372" s="1289">
        <v>158909</v>
      </c>
      <c r="W372" s="1268">
        <v>0</v>
      </c>
      <c r="X372" s="1289">
        <v>0</v>
      </c>
      <c r="Y372" s="1289">
        <v>0</v>
      </c>
    </row>
    <row r="373" spans="1:25" s="1299" customFormat="1" ht="113.4">
      <c r="A373" s="1281"/>
      <c r="B373" s="1277" t="s">
        <v>1158</v>
      </c>
      <c r="C373" s="1289">
        <f>SUM(C374:C381)</f>
        <v>33753455</v>
      </c>
      <c r="D373" s="1289">
        <f t="shared" ref="D373:Y373" si="155">SUM(D374:D381)</f>
        <v>12534441</v>
      </c>
      <c r="E373" s="1289">
        <f t="shared" si="155"/>
        <v>0</v>
      </c>
      <c r="F373" s="1289">
        <f t="shared" si="155"/>
        <v>12534441</v>
      </c>
      <c r="G373" s="1289">
        <f t="shared" si="155"/>
        <v>0</v>
      </c>
      <c r="H373" s="1289">
        <f t="shared" si="155"/>
        <v>0</v>
      </c>
      <c r="I373" s="1289">
        <f t="shared" si="155"/>
        <v>0</v>
      </c>
      <c r="J373" s="1289">
        <f t="shared" si="155"/>
        <v>0</v>
      </c>
      <c r="K373" s="1278">
        <f t="shared" si="155"/>
        <v>1</v>
      </c>
      <c r="L373" s="1289">
        <f t="shared" si="155"/>
        <v>276639</v>
      </c>
      <c r="M373" s="1278">
        <f t="shared" si="155"/>
        <v>0</v>
      </c>
      <c r="N373" s="1289">
        <f t="shared" si="155"/>
        <v>0</v>
      </c>
      <c r="O373" s="1289">
        <f t="shared" si="155"/>
        <v>5223.5</v>
      </c>
      <c r="P373" s="1289">
        <f t="shared" si="155"/>
        <v>13774921</v>
      </c>
      <c r="Q373" s="1289">
        <f t="shared" si="155"/>
        <v>0</v>
      </c>
      <c r="R373" s="1289">
        <f t="shared" si="155"/>
        <v>0</v>
      </c>
      <c r="S373" s="1289">
        <f t="shared" si="155"/>
        <v>1739.95</v>
      </c>
      <c r="T373" s="1289">
        <f t="shared" si="155"/>
        <v>4715779</v>
      </c>
      <c r="U373" s="1289">
        <f t="shared" si="155"/>
        <v>0</v>
      </c>
      <c r="V373" s="1289">
        <f t="shared" si="155"/>
        <v>0</v>
      </c>
      <c r="W373" s="1268">
        <v>0</v>
      </c>
      <c r="X373" s="1289">
        <f t="shared" si="155"/>
        <v>2451675</v>
      </c>
      <c r="Y373" s="1289">
        <f t="shared" si="155"/>
        <v>0</v>
      </c>
    </row>
    <row r="374" spans="1:25" s="1299" customFormat="1">
      <c r="A374" s="1281">
        <v>303</v>
      </c>
      <c r="B374" s="1267" t="s">
        <v>1392</v>
      </c>
      <c r="C374" s="1268">
        <f>D374+N374+P374+R374+T374+V374+X374+L374</f>
        <v>5976862</v>
      </c>
      <c r="D374" s="1268">
        <f>SUM(E374:J374)</f>
        <v>0</v>
      </c>
      <c r="E374" s="1268">
        <v>0</v>
      </c>
      <c r="F374" s="1289">
        <v>0</v>
      </c>
      <c r="G374" s="1268">
        <v>0</v>
      </c>
      <c r="H374" s="1268">
        <v>0</v>
      </c>
      <c r="I374" s="1268">
        <v>0</v>
      </c>
      <c r="J374" s="1268">
        <v>0</v>
      </c>
      <c r="K374" s="1278">
        <v>0</v>
      </c>
      <c r="L374" s="1268">
        <v>0</v>
      </c>
      <c r="M374" s="1278">
        <v>0</v>
      </c>
      <c r="N374" s="1268">
        <v>0</v>
      </c>
      <c r="O374" s="1268">
        <v>780</v>
      </c>
      <c r="P374" s="1268">
        <v>2448235</v>
      </c>
      <c r="Q374" s="1268">
        <v>0</v>
      </c>
      <c r="R374" s="1268">
        <v>0</v>
      </c>
      <c r="S374" s="1268">
        <v>1254</v>
      </c>
      <c r="T374" s="1268">
        <v>3094499</v>
      </c>
      <c r="U374" s="1268">
        <v>0</v>
      </c>
      <c r="V374" s="1268">
        <v>0</v>
      </c>
      <c r="W374" s="1268">
        <v>0</v>
      </c>
      <c r="X374" s="1289">
        <v>434128</v>
      </c>
      <c r="Y374" s="1279">
        <v>0</v>
      </c>
    </row>
    <row r="375" spans="1:25" s="1299" customFormat="1" ht="75.599999999999994">
      <c r="A375" s="1281">
        <v>304</v>
      </c>
      <c r="B375" s="1267" t="s">
        <v>1393</v>
      </c>
      <c r="C375" s="1268">
        <f t="shared" ref="C375:C379" si="156">D375+N375+P375+R375+T375+V375+X375+L375</f>
        <v>13814493</v>
      </c>
      <c r="D375" s="1268">
        <f t="shared" ref="D375:D379" si="157">SUM(E375:J375)</f>
        <v>12534441</v>
      </c>
      <c r="E375" s="1268">
        <v>0</v>
      </c>
      <c r="F375" s="1289">
        <v>12534441</v>
      </c>
      <c r="G375" s="1268">
        <v>0</v>
      </c>
      <c r="H375" s="1268">
        <v>0</v>
      </c>
      <c r="I375" s="1268">
        <v>0</v>
      </c>
      <c r="J375" s="1268">
        <v>0</v>
      </c>
      <c r="K375" s="1278">
        <v>1</v>
      </c>
      <c r="L375" s="1268">
        <v>276639</v>
      </c>
      <c r="M375" s="1278">
        <v>0</v>
      </c>
      <c r="N375" s="1268">
        <v>0</v>
      </c>
      <c r="O375" s="1268">
        <v>0</v>
      </c>
      <c r="P375" s="1268">
        <v>0</v>
      </c>
      <c r="Q375" s="1268">
        <v>0</v>
      </c>
      <c r="R375" s="1268">
        <v>0</v>
      </c>
      <c r="S375" s="1268">
        <v>0</v>
      </c>
      <c r="T375" s="1268">
        <v>0</v>
      </c>
      <c r="U375" s="1268">
        <v>0</v>
      </c>
      <c r="V375" s="1268">
        <v>0</v>
      </c>
      <c r="W375" s="1268">
        <v>0</v>
      </c>
      <c r="X375" s="1268">
        <v>1003413</v>
      </c>
      <c r="Y375" s="1289">
        <v>0</v>
      </c>
    </row>
    <row r="376" spans="1:25" s="1299" customFormat="1">
      <c r="A376" s="1281">
        <v>305</v>
      </c>
      <c r="B376" s="1267" t="s">
        <v>1394</v>
      </c>
      <c r="C376" s="1268">
        <f t="shared" si="156"/>
        <v>1543343</v>
      </c>
      <c r="D376" s="1268">
        <f t="shared" si="157"/>
        <v>0</v>
      </c>
      <c r="E376" s="1268">
        <v>0</v>
      </c>
      <c r="F376" s="1289">
        <v>0</v>
      </c>
      <c r="G376" s="1268">
        <v>0</v>
      </c>
      <c r="H376" s="1268">
        <v>0</v>
      </c>
      <c r="I376" s="1268">
        <v>0</v>
      </c>
      <c r="J376" s="1268">
        <v>0</v>
      </c>
      <c r="K376" s="1278">
        <v>0</v>
      </c>
      <c r="L376" s="1268">
        <v>0</v>
      </c>
      <c r="M376" s="1278">
        <v>0</v>
      </c>
      <c r="N376" s="1268">
        <v>0</v>
      </c>
      <c r="O376" s="1268">
        <v>568</v>
      </c>
      <c r="P376" s="1323">
        <v>1431243</v>
      </c>
      <c r="Q376" s="1268">
        <v>0</v>
      </c>
      <c r="R376" s="1268">
        <v>0</v>
      </c>
      <c r="S376" s="1268">
        <v>0</v>
      </c>
      <c r="T376" s="1268">
        <v>0</v>
      </c>
      <c r="U376" s="1268">
        <v>0</v>
      </c>
      <c r="V376" s="1268">
        <v>0</v>
      </c>
      <c r="W376" s="1268">
        <v>0</v>
      </c>
      <c r="X376" s="1289">
        <v>112100</v>
      </c>
      <c r="Y376" s="1289">
        <v>0</v>
      </c>
    </row>
    <row r="377" spans="1:25" s="1299" customFormat="1">
      <c r="A377" s="1281">
        <v>306</v>
      </c>
      <c r="B377" s="1267" t="s">
        <v>1395</v>
      </c>
      <c r="C377" s="1268">
        <f t="shared" si="156"/>
        <v>2445438</v>
      </c>
      <c r="D377" s="1268">
        <f t="shared" si="157"/>
        <v>0</v>
      </c>
      <c r="E377" s="1268">
        <v>0</v>
      </c>
      <c r="F377" s="1289">
        <v>0</v>
      </c>
      <c r="G377" s="1268">
        <v>0</v>
      </c>
      <c r="H377" s="1268">
        <v>0</v>
      </c>
      <c r="I377" s="1268">
        <v>0</v>
      </c>
      <c r="J377" s="1268">
        <v>0</v>
      </c>
      <c r="K377" s="1278">
        <v>0</v>
      </c>
      <c r="L377" s="1268">
        <v>0</v>
      </c>
      <c r="M377" s="1278">
        <v>0</v>
      </c>
      <c r="N377" s="1268">
        <v>0</v>
      </c>
      <c r="O377" s="1268">
        <v>900</v>
      </c>
      <c r="P377" s="1268">
        <v>2267814</v>
      </c>
      <c r="Q377" s="1268">
        <v>0</v>
      </c>
      <c r="R377" s="1268">
        <v>0</v>
      </c>
      <c r="S377" s="1268">
        <v>0</v>
      </c>
      <c r="T377" s="1268">
        <v>0</v>
      </c>
      <c r="U377" s="1268">
        <v>0</v>
      </c>
      <c r="V377" s="1268">
        <v>0</v>
      </c>
      <c r="W377" s="1268">
        <v>0</v>
      </c>
      <c r="X377" s="1289">
        <v>177624</v>
      </c>
      <c r="Y377" s="1289">
        <v>0</v>
      </c>
    </row>
    <row r="378" spans="1:25" s="1299" customFormat="1" ht="75.599999999999994">
      <c r="A378" s="1281">
        <v>307</v>
      </c>
      <c r="B378" s="1267" t="s">
        <v>2440</v>
      </c>
      <c r="C378" s="1268">
        <f t="shared" si="156"/>
        <v>710766</v>
      </c>
      <c r="D378" s="1268">
        <f t="shared" si="157"/>
        <v>0</v>
      </c>
      <c r="E378" s="1268">
        <v>0</v>
      </c>
      <c r="F378" s="1289">
        <v>0</v>
      </c>
      <c r="G378" s="1268">
        <v>0</v>
      </c>
      <c r="H378" s="1268">
        <v>0</v>
      </c>
      <c r="I378" s="1268">
        <v>0</v>
      </c>
      <c r="J378" s="1268">
        <v>0</v>
      </c>
      <c r="K378" s="1278">
        <v>0</v>
      </c>
      <c r="L378" s="1268">
        <v>0</v>
      </c>
      <c r="M378" s="1278">
        <v>0</v>
      </c>
      <c r="N378" s="1268">
        <v>0</v>
      </c>
      <c r="O378" s="1268">
        <v>210</v>
      </c>
      <c r="P378" s="1268">
        <v>659140</v>
      </c>
      <c r="Q378" s="1268">
        <v>0</v>
      </c>
      <c r="R378" s="1268">
        <v>0</v>
      </c>
      <c r="S378" s="1268">
        <v>0</v>
      </c>
      <c r="T378" s="1268">
        <v>0</v>
      </c>
      <c r="U378" s="1268">
        <v>0</v>
      </c>
      <c r="V378" s="1268">
        <v>0</v>
      </c>
      <c r="W378" s="1268">
        <v>0</v>
      </c>
      <c r="X378" s="1289">
        <v>51626</v>
      </c>
      <c r="Y378" s="1289">
        <v>0</v>
      </c>
    </row>
    <row r="379" spans="1:25" s="1299" customFormat="1">
      <c r="A379" s="1281">
        <v>308</v>
      </c>
      <c r="B379" s="1267" t="s">
        <v>1397</v>
      </c>
      <c r="C379" s="1268">
        <f t="shared" si="156"/>
        <v>5434850</v>
      </c>
      <c r="D379" s="1268">
        <f t="shared" si="157"/>
        <v>0</v>
      </c>
      <c r="E379" s="1268">
        <v>0</v>
      </c>
      <c r="F379" s="1268">
        <v>0</v>
      </c>
      <c r="G379" s="1268">
        <v>0</v>
      </c>
      <c r="H379" s="1268">
        <v>0</v>
      </c>
      <c r="I379" s="1268">
        <v>0</v>
      </c>
      <c r="J379" s="1268">
        <v>0</v>
      </c>
      <c r="K379" s="1278">
        <v>0</v>
      </c>
      <c r="L379" s="1268">
        <v>0</v>
      </c>
      <c r="M379" s="1278">
        <v>0</v>
      </c>
      <c r="N379" s="1268">
        <v>0</v>
      </c>
      <c r="O379" s="1289">
        <v>2000.2</v>
      </c>
      <c r="P379" s="1268">
        <v>5040091</v>
      </c>
      <c r="Q379" s="1268">
        <v>0</v>
      </c>
      <c r="R379" s="1268">
        <v>0</v>
      </c>
      <c r="S379" s="1289">
        <v>0</v>
      </c>
      <c r="T379" s="1289">
        <v>0</v>
      </c>
      <c r="U379" s="1289">
        <v>0</v>
      </c>
      <c r="V379" s="1289">
        <v>0</v>
      </c>
      <c r="W379" s="1268">
        <v>0</v>
      </c>
      <c r="X379" s="1289">
        <v>394759</v>
      </c>
      <c r="Y379" s="1289">
        <v>0</v>
      </c>
    </row>
    <row r="380" spans="1:25" s="1299" customFormat="1">
      <c r="A380" s="1281">
        <v>309</v>
      </c>
      <c r="B380" s="1267" t="s">
        <v>1399</v>
      </c>
      <c r="C380" s="1268">
        <f t="shared" ref="C380:C381" si="158">D380+N380+P380+R380+T380+V380+X380+L380</f>
        <v>2079438</v>
      </c>
      <c r="D380" s="1268">
        <f t="shared" ref="D380:D381" si="159">SUM(E380:J380)</f>
        <v>0</v>
      </c>
      <c r="E380" s="1268">
        <v>0</v>
      </c>
      <c r="F380" s="1268">
        <v>0</v>
      </c>
      <c r="G380" s="1268">
        <v>0</v>
      </c>
      <c r="H380" s="1268">
        <v>0</v>
      </c>
      <c r="I380" s="1268">
        <v>0</v>
      </c>
      <c r="J380" s="1268">
        <v>0</v>
      </c>
      <c r="K380" s="1278">
        <v>0</v>
      </c>
      <c r="L380" s="1268">
        <v>0</v>
      </c>
      <c r="M380" s="1278">
        <v>0</v>
      </c>
      <c r="N380" s="1268">
        <v>0</v>
      </c>
      <c r="O380" s="1289">
        <v>765.3</v>
      </c>
      <c r="P380" s="1268">
        <v>1928398</v>
      </c>
      <c r="Q380" s="1268">
        <v>0</v>
      </c>
      <c r="R380" s="1268">
        <v>0</v>
      </c>
      <c r="S380" s="1289">
        <v>0</v>
      </c>
      <c r="T380" s="1289">
        <v>0</v>
      </c>
      <c r="U380" s="1289">
        <v>0</v>
      </c>
      <c r="V380" s="1289">
        <v>0</v>
      </c>
      <c r="W380" s="1268">
        <v>0</v>
      </c>
      <c r="X380" s="1289">
        <v>151040</v>
      </c>
      <c r="Y380" s="1289">
        <v>0</v>
      </c>
    </row>
    <row r="381" spans="1:25" s="1299" customFormat="1">
      <c r="A381" s="1281">
        <v>310</v>
      </c>
      <c r="B381" s="1267" t="s">
        <v>77</v>
      </c>
      <c r="C381" s="1268">
        <f t="shared" si="158"/>
        <v>1748265</v>
      </c>
      <c r="D381" s="1268">
        <f t="shared" si="159"/>
        <v>0</v>
      </c>
      <c r="E381" s="1268">
        <v>0</v>
      </c>
      <c r="F381" s="1268">
        <v>0</v>
      </c>
      <c r="G381" s="1268">
        <v>0</v>
      </c>
      <c r="H381" s="1268">
        <v>0</v>
      </c>
      <c r="I381" s="1268">
        <v>0</v>
      </c>
      <c r="J381" s="1268">
        <v>0</v>
      </c>
      <c r="K381" s="1278">
        <v>0</v>
      </c>
      <c r="L381" s="1268">
        <v>0</v>
      </c>
      <c r="M381" s="1278">
        <v>0</v>
      </c>
      <c r="N381" s="1268">
        <v>0</v>
      </c>
      <c r="O381" s="1289">
        <v>0</v>
      </c>
      <c r="P381" s="1268">
        <v>0</v>
      </c>
      <c r="Q381" s="1268">
        <v>0</v>
      </c>
      <c r="R381" s="1268">
        <v>0</v>
      </c>
      <c r="S381" s="1289">
        <v>485.95</v>
      </c>
      <c r="T381" s="1289">
        <v>1621280</v>
      </c>
      <c r="U381" s="1289">
        <v>0</v>
      </c>
      <c r="V381" s="1289">
        <v>0</v>
      </c>
      <c r="W381" s="1268">
        <v>0</v>
      </c>
      <c r="X381" s="1289">
        <v>126985</v>
      </c>
      <c r="Y381" s="1289">
        <v>0</v>
      </c>
    </row>
    <row r="382" spans="1:25" s="1299" customFormat="1" ht="75.599999999999994">
      <c r="A382" s="1281"/>
      <c r="B382" s="1267" t="s">
        <v>2013</v>
      </c>
      <c r="C382" s="1268">
        <f>C383</f>
        <v>4069317</v>
      </c>
      <c r="D382" s="1268">
        <f t="shared" ref="D382:Y382" si="160">D383</f>
        <v>0</v>
      </c>
      <c r="E382" s="1268">
        <f t="shared" si="160"/>
        <v>0</v>
      </c>
      <c r="F382" s="1268">
        <f t="shared" si="160"/>
        <v>0</v>
      </c>
      <c r="G382" s="1268">
        <f t="shared" si="160"/>
        <v>0</v>
      </c>
      <c r="H382" s="1268">
        <f t="shared" si="160"/>
        <v>0</v>
      </c>
      <c r="I382" s="1268">
        <f t="shared" si="160"/>
        <v>0</v>
      </c>
      <c r="J382" s="1268">
        <f t="shared" si="160"/>
        <v>0</v>
      </c>
      <c r="K382" s="1278">
        <f t="shared" si="160"/>
        <v>0</v>
      </c>
      <c r="L382" s="1268">
        <f t="shared" si="160"/>
        <v>0</v>
      </c>
      <c r="M382" s="1278">
        <f t="shared" si="160"/>
        <v>0</v>
      </c>
      <c r="N382" s="1268">
        <f t="shared" si="160"/>
        <v>0</v>
      </c>
      <c r="O382" s="1268">
        <f t="shared" si="160"/>
        <v>351.54</v>
      </c>
      <c r="P382" s="1268">
        <f t="shared" si="160"/>
        <v>1592444</v>
      </c>
      <c r="Q382" s="1268">
        <f t="shared" si="160"/>
        <v>0</v>
      </c>
      <c r="R382" s="1268">
        <f t="shared" si="160"/>
        <v>0</v>
      </c>
      <c r="S382" s="1268">
        <f t="shared" si="160"/>
        <v>455.06</v>
      </c>
      <c r="T382" s="1268">
        <f t="shared" si="160"/>
        <v>2181299</v>
      </c>
      <c r="U382" s="1268">
        <f t="shared" si="160"/>
        <v>0</v>
      </c>
      <c r="V382" s="1268">
        <f t="shared" si="160"/>
        <v>0</v>
      </c>
      <c r="W382" s="1268">
        <v>0</v>
      </c>
      <c r="X382" s="1268">
        <f t="shared" si="160"/>
        <v>295574</v>
      </c>
      <c r="Y382" s="1268">
        <f t="shared" si="160"/>
        <v>0</v>
      </c>
    </row>
    <row r="383" spans="1:25" s="1299" customFormat="1">
      <c r="A383" s="1281">
        <v>311</v>
      </c>
      <c r="B383" s="1267" t="s">
        <v>1413</v>
      </c>
      <c r="C383" s="1268">
        <f t="shared" ref="C383" si="161">D383+N383+P383+R383+T383+V383+X383+L383</f>
        <v>4069317</v>
      </c>
      <c r="D383" s="1268">
        <f t="shared" ref="D383" si="162">SUM(E383:J383)</f>
        <v>0</v>
      </c>
      <c r="E383" s="1268">
        <v>0</v>
      </c>
      <c r="F383" s="1268">
        <v>0</v>
      </c>
      <c r="G383" s="1268">
        <v>0</v>
      </c>
      <c r="H383" s="1268">
        <v>0</v>
      </c>
      <c r="I383" s="1268">
        <v>0</v>
      </c>
      <c r="J383" s="1268">
        <v>0</v>
      </c>
      <c r="K383" s="1278">
        <v>0</v>
      </c>
      <c r="L383" s="1268">
        <v>0</v>
      </c>
      <c r="M383" s="1278">
        <v>0</v>
      </c>
      <c r="N383" s="1268">
        <v>0</v>
      </c>
      <c r="O383" s="1289">
        <v>351.54</v>
      </c>
      <c r="P383" s="1268">
        <v>1592444</v>
      </c>
      <c r="Q383" s="1268">
        <v>0</v>
      </c>
      <c r="R383" s="1268">
        <v>0</v>
      </c>
      <c r="S383" s="1289">
        <v>455.06</v>
      </c>
      <c r="T383" s="1289">
        <v>2181299</v>
      </c>
      <c r="U383" s="1289">
        <v>0</v>
      </c>
      <c r="V383" s="1289">
        <v>0</v>
      </c>
      <c r="W383" s="1268">
        <v>0</v>
      </c>
      <c r="X383" s="1289">
        <v>295574</v>
      </c>
      <c r="Y383" s="1289">
        <v>0</v>
      </c>
    </row>
    <row r="384" spans="1:25" s="1299" customFormat="1">
      <c r="A384" s="1281"/>
      <c r="B384" s="1277" t="s">
        <v>61</v>
      </c>
      <c r="C384" s="1268">
        <f>C385</f>
        <v>3369601</v>
      </c>
      <c r="D384" s="1268">
        <f t="shared" ref="D384:V384" si="163">D385</f>
        <v>0</v>
      </c>
      <c r="E384" s="1268">
        <f t="shared" si="163"/>
        <v>0</v>
      </c>
      <c r="F384" s="1268">
        <f t="shared" si="163"/>
        <v>0</v>
      </c>
      <c r="G384" s="1268">
        <f t="shared" si="163"/>
        <v>0</v>
      </c>
      <c r="H384" s="1268">
        <f t="shared" si="163"/>
        <v>0</v>
      </c>
      <c r="I384" s="1268">
        <f t="shared" si="163"/>
        <v>0</v>
      </c>
      <c r="J384" s="1268">
        <f t="shared" si="163"/>
        <v>0</v>
      </c>
      <c r="K384" s="1278">
        <v>0</v>
      </c>
      <c r="L384" s="1268">
        <v>0</v>
      </c>
      <c r="M384" s="1278">
        <f t="shared" si="163"/>
        <v>0</v>
      </c>
      <c r="N384" s="1268">
        <f t="shared" si="163"/>
        <v>0</v>
      </c>
      <c r="O384" s="1268">
        <f t="shared" si="163"/>
        <v>902.87</v>
      </c>
      <c r="P384" s="1268">
        <f t="shared" si="163"/>
        <v>3124850</v>
      </c>
      <c r="Q384" s="1268">
        <f t="shared" si="163"/>
        <v>0</v>
      </c>
      <c r="R384" s="1268">
        <f t="shared" si="163"/>
        <v>0</v>
      </c>
      <c r="S384" s="1268">
        <f t="shared" si="163"/>
        <v>0</v>
      </c>
      <c r="T384" s="1268">
        <f t="shared" si="163"/>
        <v>0</v>
      </c>
      <c r="U384" s="1268">
        <f t="shared" si="163"/>
        <v>0</v>
      </c>
      <c r="V384" s="1268">
        <f t="shared" si="163"/>
        <v>0</v>
      </c>
      <c r="W384" s="1268">
        <v>0</v>
      </c>
      <c r="X384" s="1268">
        <v>266292.35518431087</v>
      </c>
      <c r="Y384" s="1268">
        <v>0</v>
      </c>
    </row>
    <row r="385" spans="1:25" s="1299" customFormat="1" ht="75.599999999999994">
      <c r="A385" s="1281"/>
      <c r="B385" s="1277" t="s">
        <v>1095</v>
      </c>
      <c r="C385" s="1268">
        <f>C386+C387</f>
        <v>3369601</v>
      </c>
      <c r="D385" s="1268">
        <f t="shared" ref="D385:U385" si="164">D386+D387</f>
        <v>0</v>
      </c>
      <c r="E385" s="1268">
        <f t="shared" si="164"/>
        <v>0</v>
      </c>
      <c r="F385" s="1268">
        <f t="shared" si="164"/>
        <v>0</v>
      </c>
      <c r="G385" s="1268">
        <f t="shared" si="164"/>
        <v>0</v>
      </c>
      <c r="H385" s="1268">
        <f t="shared" si="164"/>
        <v>0</v>
      </c>
      <c r="I385" s="1268">
        <f t="shared" si="164"/>
        <v>0</v>
      </c>
      <c r="J385" s="1268">
        <f t="shared" si="164"/>
        <v>0</v>
      </c>
      <c r="K385" s="1278">
        <v>0</v>
      </c>
      <c r="L385" s="1268">
        <v>0</v>
      </c>
      <c r="M385" s="1278">
        <f t="shared" si="164"/>
        <v>0</v>
      </c>
      <c r="N385" s="1268">
        <f t="shared" si="164"/>
        <v>0</v>
      </c>
      <c r="O385" s="1268">
        <f t="shared" si="164"/>
        <v>902.87</v>
      </c>
      <c r="P385" s="1268">
        <f t="shared" ref="P385" si="165">P386+P387</f>
        <v>3124850</v>
      </c>
      <c r="Q385" s="1268">
        <f t="shared" si="164"/>
        <v>0</v>
      </c>
      <c r="R385" s="1268">
        <f t="shared" ref="R385" si="166">R386+R387</f>
        <v>0</v>
      </c>
      <c r="S385" s="1268">
        <f t="shared" si="164"/>
        <v>0</v>
      </c>
      <c r="T385" s="1268">
        <f t="shared" ref="T385" si="167">T386+T387</f>
        <v>0</v>
      </c>
      <c r="U385" s="1268">
        <f t="shared" si="164"/>
        <v>0</v>
      </c>
      <c r="V385" s="1268">
        <f t="shared" ref="V385" si="168">V386+V387</f>
        <v>0</v>
      </c>
      <c r="W385" s="1268">
        <v>0</v>
      </c>
      <c r="X385" s="1268">
        <v>266292.35518431087</v>
      </c>
      <c r="Y385" s="1268">
        <v>0</v>
      </c>
    </row>
    <row r="386" spans="1:25" s="1299" customFormat="1">
      <c r="A386" s="1281">
        <v>312</v>
      </c>
      <c r="B386" s="1277" t="s">
        <v>489</v>
      </c>
      <c r="C386" s="1268">
        <f>D386+N386+P386+R386+T386+V386+X386</f>
        <v>1299688</v>
      </c>
      <c r="D386" s="1268">
        <f>SUM(E386:J386)</f>
        <v>0</v>
      </c>
      <c r="E386" s="1268">
        <v>0</v>
      </c>
      <c r="F386" s="1268">
        <v>0</v>
      </c>
      <c r="G386" s="1268">
        <v>0</v>
      </c>
      <c r="H386" s="1268">
        <v>0</v>
      </c>
      <c r="I386" s="1268">
        <v>0</v>
      </c>
      <c r="J386" s="1268">
        <v>0</v>
      </c>
      <c r="K386" s="1278">
        <v>0</v>
      </c>
      <c r="L386" s="1268">
        <v>0</v>
      </c>
      <c r="M386" s="1278">
        <v>0</v>
      </c>
      <c r="N386" s="1268">
        <v>0</v>
      </c>
      <c r="O386" s="1268">
        <v>384</v>
      </c>
      <c r="P386" s="1268">
        <v>1205285</v>
      </c>
      <c r="Q386" s="1268">
        <v>0</v>
      </c>
      <c r="R386" s="1268">
        <v>0</v>
      </c>
      <c r="S386" s="1268">
        <v>0</v>
      </c>
      <c r="T386" s="1268">
        <v>0</v>
      </c>
      <c r="U386" s="1268">
        <v>0</v>
      </c>
      <c r="V386" s="1268">
        <v>0</v>
      </c>
      <c r="W386" s="1268">
        <v>0</v>
      </c>
      <c r="X386" s="1268">
        <v>94403</v>
      </c>
      <c r="Y386" s="1268">
        <v>0</v>
      </c>
    </row>
    <row r="387" spans="1:25" s="1299" customFormat="1">
      <c r="A387" s="1281">
        <v>313</v>
      </c>
      <c r="B387" s="1277" t="s">
        <v>225</v>
      </c>
      <c r="C387" s="1268">
        <f>D387+N387+P387+R387+T387+V387+X387</f>
        <v>2069913</v>
      </c>
      <c r="D387" s="1268">
        <f>SUM(E387:J387)</f>
        <v>0</v>
      </c>
      <c r="E387" s="1268">
        <v>0</v>
      </c>
      <c r="F387" s="1268">
        <v>0</v>
      </c>
      <c r="G387" s="1268">
        <v>0</v>
      </c>
      <c r="H387" s="1268">
        <v>0</v>
      </c>
      <c r="I387" s="1268">
        <v>0</v>
      </c>
      <c r="J387" s="1268">
        <v>0</v>
      </c>
      <c r="K387" s="1278">
        <v>0</v>
      </c>
      <c r="L387" s="1268">
        <v>0</v>
      </c>
      <c r="M387" s="1278">
        <v>0</v>
      </c>
      <c r="N387" s="1268">
        <v>0</v>
      </c>
      <c r="O387" s="1268">
        <v>518.87</v>
      </c>
      <c r="P387" s="1268">
        <v>1919565</v>
      </c>
      <c r="Q387" s="1268">
        <v>0</v>
      </c>
      <c r="R387" s="1268">
        <v>0</v>
      </c>
      <c r="S387" s="1268">
        <v>0</v>
      </c>
      <c r="T387" s="1268">
        <v>0</v>
      </c>
      <c r="U387" s="1268">
        <v>0</v>
      </c>
      <c r="V387" s="1268">
        <v>0</v>
      </c>
      <c r="W387" s="1268">
        <v>0</v>
      </c>
      <c r="X387" s="1268">
        <v>150348</v>
      </c>
      <c r="Y387" s="1268">
        <v>0</v>
      </c>
    </row>
    <row r="388" spans="1:25" s="1299" customFormat="1">
      <c r="A388" s="1281"/>
      <c r="B388" s="1277" t="s">
        <v>649</v>
      </c>
      <c r="C388" s="1268">
        <f>C389+C391</f>
        <v>7588151</v>
      </c>
      <c r="D388" s="1268">
        <f t="shared" ref="D388:Y388" si="169">D389+D391</f>
        <v>0</v>
      </c>
      <c r="E388" s="1268">
        <f t="shared" si="169"/>
        <v>0</v>
      </c>
      <c r="F388" s="1268">
        <f t="shared" si="169"/>
        <v>0</v>
      </c>
      <c r="G388" s="1268">
        <f t="shared" si="169"/>
        <v>0</v>
      </c>
      <c r="H388" s="1268">
        <f t="shared" si="169"/>
        <v>0</v>
      </c>
      <c r="I388" s="1268">
        <f t="shared" si="169"/>
        <v>0</v>
      </c>
      <c r="J388" s="1268">
        <f t="shared" si="169"/>
        <v>0</v>
      </c>
      <c r="K388" s="1278">
        <f t="shared" si="169"/>
        <v>2</v>
      </c>
      <c r="L388" s="1268">
        <f t="shared" si="169"/>
        <v>553278</v>
      </c>
      <c r="M388" s="1278">
        <f t="shared" si="169"/>
        <v>0</v>
      </c>
      <c r="N388" s="1268">
        <f t="shared" si="169"/>
        <v>0</v>
      </c>
      <c r="O388" s="1268">
        <f t="shared" si="169"/>
        <v>522.79999999999995</v>
      </c>
      <c r="P388" s="1268">
        <f t="shared" si="169"/>
        <v>1317349</v>
      </c>
      <c r="Q388" s="1268">
        <f t="shared" si="169"/>
        <v>0</v>
      </c>
      <c r="R388" s="1268">
        <f t="shared" si="169"/>
        <v>0</v>
      </c>
      <c r="S388" s="1268">
        <f t="shared" si="169"/>
        <v>1077.8</v>
      </c>
      <c r="T388" s="1268">
        <f t="shared" si="169"/>
        <v>5166360</v>
      </c>
      <c r="U388" s="1268">
        <f t="shared" si="169"/>
        <v>0</v>
      </c>
      <c r="V388" s="1268">
        <f t="shared" si="169"/>
        <v>0</v>
      </c>
      <c r="W388" s="1268">
        <v>0</v>
      </c>
      <c r="X388" s="1268">
        <f t="shared" si="169"/>
        <v>551164</v>
      </c>
      <c r="Y388" s="1268">
        <f t="shared" si="169"/>
        <v>0</v>
      </c>
    </row>
    <row r="389" spans="1:25" s="1299" customFormat="1" ht="75.599999999999994">
      <c r="A389" s="1281"/>
      <c r="B389" s="1277" t="s">
        <v>1157</v>
      </c>
      <c r="C389" s="1268">
        <f>C390</f>
        <v>1420529</v>
      </c>
      <c r="D389" s="1268">
        <f t="shared" ref="D389:Y389" si="170">D390</f>
        <v>0</v>
      </c>
      <c r="E389" s="1268">
        <f t="shared" si="170"/>
        <v>0</v>
      </c>
      <c r="F389" s="1268">
        <f t="shared" si="170"/>
        <v>0</v>
      </c>
      <c r="G389" s="1268">
        <f t="shared" si="170"/>
        <v>0</v>
      </c>
      <c r="H389" s="1268">
        <f t="shared" si="170"/>
        <v>0</v>
      </c>
      <c r="I389" s="1268">
        <f t="shared" si="170"/>
        <v>0</v>
      </c>
      <c r="J389" s="1268">
        <f t="shared" si="170"/>
        <v>0</v>
      </c>
      <c r="K389" s="1278">
        <f t="shared" si="170"/>
        <v>0</v>
      </c>
      <c r="L389" s="1268">
        <f t="shared" si="170"/>
        <v>0</v>
      </c>
      <c r="M389" s="1278">
        <f t="shared" si="170"/>
        <v>0</v>
      </c>
      <c r="N389" s="1268">
        <f t="shared" si="170"/>
        <v>0</v>
      </c>
      <c r="O389" s="1268">
        <f t="shared" si="170"/>
        <v>522.79999999999995</v>
      </c>
      <c r="P389" s="1268">
        <f t="shared" si="170"/>
        <v>1317349</v>
      </c>
      <c r="Q389" s="1268">
        <f t="shared" si="170"/>
        <v>0</v>
      </c>
      <c r="R389" s="1268">
        <f t="shared" si="170"/>
        <v>0</v>
      </c>
      <c r="S389" s="1268">
        <f t="shared" si="170"/>
        <v>0</v>
      </c>
      <c r="T389" s="1268">
        <f t="shared" si="170"/>
        <v>0</v>
      </c>
      <c r="U389" s="1268">
        <f t="shared" si="170"/>
        <v>0</v>
      </c>
      <c r="V389" s="1268">
        <f t="shared" si="170"/>
        <v>0</v>
      </c>
      <c r="W389" s="1268">
        <v>0</v>
      </c>
      <c r="X389" s="1268">
        <f t="shared" si="170"/>
        <v>103180</v>
      </c>
      <c r="Y389" s="1268">
        <f t="shared" si="170"/>
        <v>0</v>
      </c>
    </row>
    <row r="390" spans="1:25" s="1280" customFormat="1">
      <c r="A390" s="1281">
        <v>314</v>
      </c>
      <c r="B390" s="1277" t="s">
        <v>1251</v>
      </c>
      <c r="C390" s="1268">
        <f>D390+N390+P390+R390+T390+V390+X390</f>
        <v>1420529</v>
      </c>
      <c r="D390" s="1268">
        <v>0</v>
      </c>
      <c r="E390" s="1268">
        <v>0</v>
      </c>
      <c r="F390" s="1268">
        <v>0</v>
      </c>
      <c r="G390" s="1268">
        <v>0</v>
      </c>
      <c r="H390" s="1268">
        <v>0</v>
      </c>
      <c r="I390" s="1268">
        <v>0</v>
      </c>
      <c r="J390" s="1268">
        <v>0</v>
      </c>
      <c r="K390" s="1278">
        <v>0</v>
      </c>
      <c r="L390" s="1268">
        <v>0</v>
      </c>
      <c r="M390" s="1278">
        <v>0</v>
      </c>
      <c r="N390" s="1268">
        <v>0</v>
      </c>
      <c r="O390" s="1268">
        <v>522.79999999999995</v>
      </c>
      <c r="P390" s="1268">
        <v>1317349</v>
      </c>
      <c r="Q390" s="1268">
        <v>0</v>
      </c>
      <c r="R390" s="1268">
        <v>0</v>
      </c>
      <c r="S390" s="1268">
        <v>0</v>
      </c>
      <c r="T390" s="1268">
        <v>0</v>
      </c>
      <c r="U390" s="1268">
        <v>0</v>
      </c>
      <c r="V390" s="1268">
        <v>0</v>
      </c>
      <c r="W390" s="1268">
        <v>0</v>
      </c>
      <c r="X390" s="1268">
        <v>103180</v>
      </c>
      <c r="Y390" s="1268">
        <v>0</v>
      </c>
    </row>
    <row r="391" spans="1:25" s="1280" customFormat="1" ht="75.599999999999994">
      <c r="A391" s="1281"/>
      <c r="B391" s="1277" t="s">
        <v>1360</v>
      </c>
      <c r="C391" s="1268">
        <f>C392+C393</f>
        <v>6167622</v>
      </c>
      <c r="D391" s="1268">
        <f t="shared" ref="D391:Y391" si="171">D392+D393</f>
        <v>0</v>
      </c>
      <c r="E391" s="1268">
        <f t="shared" si="171"/>
        <v>0</v>
      </c>
      <c r="F391" s="1268">
        <f t="shared" si="171"/>
        <v>0</v>
      </c>
      <c r="G391" s="1268">
        <f t="shared" si="171"/>
        <v>0</v>
      </c>
      <c r="H391" s="1268">
        <f t="shared" si="171"/>
        <v>0</v>
      </c>
      <c r="I391" s="1268">
        <f t="shared" si="171"/>
        <v>0</v>
      </c>
      <c r="J391" s="1268">
        <f t="shared" si="171"/>
        <v>0</v>
      </c>
      <c r="K391" s="1278">
        <f t="shared" si="171"/>
        <v>2</v>
      </c>
      <c r="L391" s="1268">
        <f t="shared" si="171"/>
        <v>553278</v>
      </c>
      <c r="M391" s="1278">
        <f t="shared" si="171"/>
        <v>0</v>
      </c>
      <c r="N391" s="1268">
        <f t="shared" si="171"/>
        <v>0</v>
      </c>
      <c r="O391" s="1268">
        <f t="shared" si="171"/>
        <v>0</v>
      </c>
      <c r="P391" s="1268">
        <f t="shared" si="171"/>
        <v>0</v>
      </c>
      <c r="Q391" s="1268">
        <f t="shared" si="171"/>
        <v>0</v>
      </c>
      <c r="R391" s="1268">
        <f t="shared" si="171"/>
        <v>0</v>
      </c>
      <c r="S391" s="1268">
        <f t="shared" si="171"/>
        <v>1077.8</v>
      </c>
      <c r="T391" s="1268">
        <f t="shared" si="171"/>
        <v>5166360</v>
      </c>
      <c r="U391" s="1268">
        <f t="shared" si="171"/>
        <v>0</v>
      </c>
      <c r="V391" s="1268">
        <f t="shared" si="171"/>
        <v>0</v>
      </c>
      <c r="W391" s="1268">
        <v>0</v>
      </c>
      <c r="X391" s="1268">
        <f t="shared" si="171"/>
        <v>447984</v>
      </c>
      <c r="Y391" s="1268">
        <f t="shared" si="171"/>
        <v>0</v>
      </c>
    </row>
    <row r="392" spans="1:25" s="1280" customFormat="1">
      <c r="A392" s="1281">
        <v>315</v>
      </c>
      <c r="B392" s="1277" t="s">
        <v>1361</v>
      </c>
      <c r="C392" s="1268">
        <f>D392+N392+P392+R392+T392+V392+X392+L392</f>
        <v>3083811</v>
      </c>
      <c r="D392" s="1268">
        <v>0</v>
      </c>
      <c r="E392" s="1268">
        <v>0</v>
      </c>
      <c r="F392" s="1268">
        <v>0</v>
      </c>
      <c r="G392" s="1268">
        <v>0</v>
      </c>
      <c r="H392" s="1268">
        <v>0</v>
      </c>
      <c r="I392" s="1268">
        <v>0</v>
      </c>
      <c r="J392" s="1268">
        <v>0</v>
      </c>
      <c r="K392" s="1278">
        <v>1</v>
      </c>
      <c r="L392" s="1268">
        <v>276639</v>
      </c>
      <c r="M392" s="1278">
        <v>0</v>
      </c>
      <c r="N392" s="1268">
        <v>0</v>
      </c>
      <c r="O392" s="1268">
        <v>0</v>
      </c>
      <c r="P392" s="1268">
        <v>0</v>
      </c>
      <c r="Q392" s="1268">
        <v>0</v>
      </c>
      <c r="R392" s="1268">
        <v>0</v>
      </c>
      <c r="S392" s="1268">
        <v>538.9</v>
      </c>
      <c r="T392" s="1268">
        <v>2583180</v>
      </c>
      <c r="U392" s="1268">
        <v>0</v>
      </c>
      <c r="V392" s="1268">
        <v>0</v>
      </c>
      <c r="W392" s="1268">
        <v>0</v>
      </c>
      <c r="X392" s="1268">
        <v>223992</v>
      </c>
      <c r="Y392" s="1268">
        <v>0</v>
      </c>
    </row>
    <row r="393" spans="1:25" s="1280" customFormat="1">
      <c r="A393" s="1281">
        <v>316</v>
      </c>
      <c r="B393" s="1277" t="s">
        <v>1362</v>
      </c>
      <c r="C393" s="1268">
        <f>D393+N393+P393+R393+T393+V393+X393+L393</f>
        <v>3083811</v>
      </c>
      <c r="D393" s="1268">
        <v>0</v>
      </c>
      <c r="E393" s="1268">
        <v>0</v>
      </c>
      <c r="F393" s="1268">
        <v>0</v>
      </c>
      <c r="G393" s="1268">
        <v>0</v>
      </c>
      <c r="H393" s="1268">
        <v>0</v>
      </c>
      <c r="I393" s="1268">
        <v>0</v>
      </c>
      <c r="J393" s="1268">
        <v>0</v>
      </c>
      <c r="K393" s="1278">
        <v>1</v>
      </c>
      <c r="L393" s="1268">
        <v>276639</v>
      </c>
      <c r="M393" s="1278">
        <v>0</v>
      </c>
      <c r="N393" s="1268">
        <v>0</v>
      </c>
      <c r="O393" s="1268">
        <v>0</v>
      </c>
      <c r="P393" s="1268">
        <v>0</v>
      </c>
      <c r="Q393" s="1268">
        <v>0</v>
      </c>
      <c r="R393" s="1268">
        <v>0</v>
      </c>
      <c r="S393" s="1268">
        <v>538.9</v>
      </c>
      <c r="T393" s="1268">
        <v>2583180</v>
      </c>
      <c r="U393" s="1268">
        <v>0</v>
      </c>
      <c r="V393" s="1268">
        <v>0</v>
      </c>
      <c r="W393" s="1268">
        <v>0</v>
      </c>
      <c r="X393" s="1268">
        <v>223992</v>
      </c>
      <c r="Y393" s="1268">
        <v>0</v>
      </c>
    </row>
    <row r="394" spans="1:25" s="1280" customFormat="1" ht="75.599999999999994">
      <c r="A394" s="1281"/>
      <c r="B394" s="1277" t="s">
        <v>2014</v>
      </c>
      <c r="C394" s="1268">
        <f>C395</f>
        <v>1252303</v>
      </c>
      <c r="D394" s="1268">
        <f t="shared" ref="D394:Y394" si="172">D395</f>
        <v>0</v>
      </c>
      <c r="E394" s="1268">
        <f t="shared" si="172"/>
        <v>0</v>
      </c>
      <c r="F394" s="1268">
        <f t="shared" si="172"/>
        <v>0</v>
      </c>
      <c r="G394" s="1268">
        <f t="shared" si="172"/>
        <v>0</v>
      </c>
      <c r="H394" s="1268">
        <f t="shared" si="172"/>
        <v>0</v>
      </c>
      <c r="I394" s="1268">
        <f t="shared" si="172"/>
        <v>0</v>
      </c>
      <c r="J394" s="1268">
        <f t="shared" si="172"/>
        <v>0</v>
      </c>
      <c r="K394" s="1278">
        <f t="shared" si="172"/>
        <v>0</v>
      </c>
      <c r="L394" s="1268">
        <f t="shared" si="172"/>
        <v>0</v>
      </c>
      <c r="M394" s="1278">
        <f t="shared" si="172"/>
        <v>0</v>
      </c>
      <c r="N394" s="1268">
        <f t="shared" si="172"/>
        <v>0</v>
      </c>
      <c r="O394" s="1268">
        <f t="shared" si="172"/>
        <v>370</v>
      </c>
      <c r="P394" s="1268">
        <f t="shared" si="172"/>
        <v>1161342</v>
      </c>
      <c r="Q394" s="1268">
        <f t="shared" si="172"/>
        <v>0</v>
      </c>
      <c r="R394" s="1268">
        <f t="shared" si="172"/>
        <v>0</v>
      </c>
      <c r="S394" s="1268">
        <f t="shared" si="172"/>
        <v>0</v>
      </c>
      <c r="T394" s="1268">
        <f t="shared" si="172"/>
        <v>0</v>
      </c>
      <c r="U394" s="1268">
        <f t="shared" si="172"/>
        <v>0</v>
      </c>
      <c r="V394" s="1268">
        <f t="shared" si="172"/>
        <v>0</v>
      </c>
      <c r="W394" s="1268">
        <v>0</v>
      </c>
      <c r="X394" s="1268">
        <f t="shared" si="172"/>
        <v>90961</v>
      </c>
      <c r="Y394" s="1268">
        <f t="shared" si="172"/>
        <v>0</v>
      </c>
    </row>
    <row r="395" spans="1:25" s="1280" customFormat="1">
      <c r="A395" s="1281">
        <v>317</v>
      </c>
      <c r="B395" s="1277" t="s">
        <v>1813</v>
      </c>
      <c r="C395" s="1268">
        <f>D395+N395+P395+R395+T395+V395+X395</f>
        <v>1252303</v>
      </c>
      <c r="D395" s="1268">
        <f>SUM(E395:J395)</f>
        <v>0</v>
      </c>
      <c r="E395" s="1268">
        <v>0</v>
      </c>
      <c r="F395" s="1268">
        <v>0</v>
      </c>
      <c r="G395" s="1268">
        <v>0</v>
      </c>
      <c r="H395" s="1268">
        <v>0</v>
      </c>
      <c r="I395" s="1268">
        <v>0</v>
      </c>
      <c r="J395" s="1268">
        <v>0</v>
      </c>
      <c r="K395" s="1278">
        <v>0</v>
      </c>
      <c r="L395" s="1268">
        <v>0</v>
      </c>
      <c r="M395" s="1278">
        <v>0</v>
      </c>
      <c r="N395" s="1268">
        <v>0</v>
      </c>
      <c r="O395" s="1268">
        <v>370</v>
      </c>
      <c r="P395" s="1268">
        <v>1161342</v>
      </c>
      <c r="Q395" s="1268">
        <v>0</v>
      </c>
      <c r="R395" s="1268">
        <v>0</v>
      </c>
      <c r="S395" s="1268">
        <v>0</v>
      </c>
      <c r="T395" s="1268">
        <v>0</v>
      </c>
      <c r="U395" s="1268">
        <v>0</v>
      </c>
      <c r="V395" s="1268">
        <v>0</v>
      </c>
      <c r="W395" s="1268">
        <v>0</v>
      </c>
      <c r="X395" s="1268">
        <v>90961</v>
      </c>
      <c r="Y395" s="1268">
        <v>0</v>
      </c>
    </row>
    <row r="396" spans="1:25" s="1280" customFormat="1" ht="75.599999999999994">
      <c r="A396" s="1281"/>
      <c r="B396" s="1277" t="s">
        <v>2016</v>
      </c>
      <c r="C396" s="1268">
        <f>C397+C398</f>
        <v>4399305</v>
      </c>
      <c r="D396" s="1268">
        <f t="shared" ref="D396:Y396" si="173">D397+D398</f>
        <v>0</v>
      </c>
      <c r="E396" s="1268">
        <f t="shared" si="173"/>
        <v>0</v>
      </c>
      <c r="F396" s="1268">
        <f t="shared" si="173"/>
        <v>0</v>
      </c>
      <c r="G396" s="1268">
        <f t="shared" si="173"/>
        <v>0</v>
      </c>
      <c r="H396" s="1268">
        <f t="shared" si="173"/>
        <v>0</v>
      </c>
      <c r="I396" s="1268">
        <f t="shared" si="173"/>
        <v>0</v>
      </c>
      <c r="J396" s="1268">
        <f t="shared" si="173"/>
        <v>0</v>
      </c>
      <c r="K396" s="1278">
        <f t="shared" si="173"/>
        <v>0</v>
      </c>
      <c r="L396" s="1268">
        <f t="shared" si="173"/>
        <v>0</v>
      </c>
      <c r="M396" s="1278">
        <f t="shared" si="173"/>
        <v>0</v>
      </c>
      <c r="N396" s="1268">
        <f t="shared" si="173"/>
        <v>0</v>
      </c>
      <c r="O396" s="1268">
        <f t="shared" si="173"/>
        <v>1299.8</v>
      </c>
      <c r="P396" s="1268">
        <f t="shared" si="173"/>
        <v>4079762</v>
      </c>
      <c r="Q396" s="1268">
        <f t="shared" si="173"/>
        <v>0</v>
      </c>
      <c r="R396" s="1268">
        <f t="shared" si="173"/>
        <v>0</v>
      </c>
      <c r="S396" s="1268">
        <f t="shared" si="173"/>
        <v>0</v>
      </c>
      <c r="T396" s="1268">
        <f t="shared" si="173"/>
        <v>0</v>
      </c>
      <c r="U396" s="1268">
        <f t="shared" si="173"/>
        <v>0</v>
      </c>
      <c r="V396" s="1268">
        <f t="shared" si="173"/>
        <v>0</v>
      </c>
      <c r="W396" s="1268">
        <v>0</v>
      </c>
      <c r="X396" s="1268">
        <f t="shared" si="173"/>
        <v>319543</v>
      </c>
      <c r="Y396" s="1268">
        <f t="shared" si="173"/>
        <v>0</v>
      </c>
    </row>
    <row r="397" spans="1:25" s="1280" customFormat="1">
      <c r="A397" s="1281">
        <v>318</v>
      </c>
      <c r="B397" s="1324" t="s">
        <v>1244</v>
      </c>
      <c r="C397" s="1268">
        <f>D397+N397+P397+R397+T397+V397+X397</f>
        <v>2625774</v>
      </c>
      <c r="D397" s="1268">
        <f>SUM(E397:J397)</f>
        <v>0</v>
      </c>
      <c r="E397" s="1268">
        <v>0</v>
      </c>
      <c r="F397" s="1268">
        <v>0</v>
      </c>
      <c r="G397" s="1268">
        <v>0</v>
      </c>
      <c r="H397" s="1268">
        <v>0</v>
      </c>
      <c r="I397" s="1268">
        <v>0</v>
      </c>
      <c r="J397" s="1268">
        <v>0</v>
      </c>
      <c r="K397" s="1278">
        <v>0</v>
      </c>
      <c r="L397" s="1268">
        <v>0</v>
      </c>
      <c r="M397" s="1278">
        <v>0</v>
      </c>
      <c r="N397" s="1268">
        <v>0</v>
      </c>
      <c r="O397" s="1268">
        <v>775.8</v>
      </c>
      <c r="P397" s="1268">
        <v>2435051</v>
      </c>
      <c r="Q397" s="1268">
        <v>0</v>
      </c>
      <c r="R397" s="1268">
        <v>0</v>
      </c>
      <c r="S397" s="1268">
        <v>0</v>
      </c>
      <c r="T397" s="1268">
        <v>0</v>
      </c>
      <c r="U397" s="1268">
        <v>0</v>
      </c>
      <c r="V397" s="1268">
        <v>0</v>
      </c>
      <c r="W397" s="1268">
        <v>0</v>
      </c>
      <c r="X397" s="1268">
        <v>190723</v>
      </c>
      <c r="Y397" s="1268">
        <v>0</v>
      </c>
    </row>
    <row r="398" spans="1:25" s="1280" customFormat="1">
      <c r="A398" s="1281">
        <v>319</v>
      </c>
      <c r="B398" s="1277" t="s">
        <v>2391</v>
      </c>
      <c r="C398" s="1268">
        <f>D398+N398+P398+R398+T398+V398+X398</f>
        <v>1773531</v>
      </c>
      <c r="D398" s="1268">
        <f>SUM(E398:J398)</f>
        <v>0</v>
      </c>
      <c r="E398" s="1268">
        <v>0</v>
      </c>
      <c r="F398" s="1268">
        <v>0</v>
      </c>
      <c r="G398" s="1268">
        <v>0</v>
      </c>
      <c r="H398" s="1268">
        <v>0</v>
      </c>
      <c r="I398" s="1268">
        <v>0</v>
      </c>
      <c r="J398" s="1268">
        <v>0</v>
      </c>
      <c r="K398" s="1278">
        <v>0</v>
      </c>
      <c r="L398" s="1268">
        <v>0</v>
      </c>
      <c r="M398" s="1278">
        <v>0</v>
      </c>
      <c r="N398" s="1268">
        <v>0</v>
      </c>
      <c r="O398" s="1268">
        <v>524</v>
      </c>
      <c r="P398" s="1268">
        <v>1644711</v>
      </c>
      <c r="Q398" s="1268">
        <v>0</v>
      </c>
      <c r="R398" s="1268">
        <v>0</v>
      </c>
      <c r="S398" s="1268">
        <v>0</v>
      </c>
      <c r="T398" s="1268">
        <v>0</v>
      </c>
      <c r="U398" s="1268">
        <v>0</v>
      </c>
      <c r="V398" s="1268">
        <v>0</v>
      </c>
      <c r="W398" s="1268">
        <v>0</v>
      </c>
      <c r="X398" s="1268">
        <v>128820</v>
      </c>
      <c r="Y398" s="1268">
        <v>0</v>
      </c>
    </row>
    <row r="399" spans="1:25" s="1325" customFormat="1">
      <c r="A399" s="1281"/>
      <c r="B399" s="1277" t="s">
        <v>64</v>
      </c>
      <c r="C399" s="1268">
        <f>C400+C406</f>
        <v>26517509</v>
      </c>
      <c r="D399" s="1268">
        <f t="shared" ref="D399:Y399" si="174">D400+D406</f>
        <v>944906</v>
      </c>
      <c r="E399" s="1268">
        <f t="shared" si="174"/>
        <v>0</v>
      </c>
      <c r="F399" s="1268">
        <f t="shared" si="174"/>
        <v>0</v>
      </c>
      <c r="G399" s="1268">
        <f t="shared" si="174"/>
        <v>0</v>
      </c>
      <c r="H399" s="1268">
        <f t="shared" si="174"/>
        <v>0</v>
      </c>
      <c r="I399" s="1268">
        <f t="shared" si="174"/>
        <v>0</v>
      </c>
      <c r="J399" s="1268">
        <f t="shared" si="174"/>
        <v>944906</v>
      </c>
      <c r="K399" s="1278">
        <f t="shared" si="174"/>
        <v>0</v>
      </c>
      <c r="L399" s="1268">
        <f t="shared" si="174"/>
        <v>0</v>
      </c>
      <c r="M399" s="1278">
        <f t="shared" si="174"/>
        <v>0</v>
      </c>
      <c r="N399" s="1268">
        <f t="shared" si="174"/>
        <v>0</v>
      </c>
      <c r="O399" s="1268">
        <f t="shared" si="174"/>
        <v>3100</v>
      </c>
      <c r="P399" s="1268">
        <f t="shared" si="174"/>
        <v>8971307</v>
      </c>
      <c r="Q399" s="1268">
        <f t="shared" si="174"/>
        <v>893.4</v>
      </c>
      <c r="R399" s="1268">
        <f t="shared" si="174"/>
        <v>1207262</v>
      </c>
      <c r="S399" s="1268">
        <f t="shared" si="174"/>
        <v>3290.01</v>
      </c>
      <c r="T399" s="1268">
        <f t="shared" si="174"/>
        <v>13467939</v>
      </c>
      <c r="U399" s="1268">
        <f t="shared" si="174"/>
        <v>0</v>
      </c>
      <c r="V399" s="1268">
        <f t="shared" si="174"/>
        <v>0</v>
      </c>
      <c r="W399" s="1268">
        <v>0</v>
      </c>
      <c r="X399" s="1268">
        <f t="shared" si="174"/>
        <v>1926095</v>
      </c>
      <c r="Y399" s="1268">
        <f t="shared" si="174"/>
        <v>0</v>
      </c>
    </row>
    <row r="400" spans="1:25" s="1292" customFormat="1" ht="113.4">
      <c r="A400" s="1281"/>
      <c r="B400" s="1277" t="s">
        <v>1097</v>
      </c>
      <c r="C400" s="1268">
        <f>C401+C402+C403+C404+C405</f>
        <v>15947258</v>
      </c>
      <c r="D400" s="1268">
        <f t="shared" ref="D400:Y400" si="175">D401+D402+D403+D404+D405</f>
        <v>0</v>
      </c>
      <c r="E400" s="1268">
        <f t="shared" si="175"/>
        <v>0</v>
      </c>
      <c r="F400" s="1268">
        <f t="shared" si="175"/>
        <v>0</v>
      </c>
      <c r="G400" s="1268">
        <f t="shared" si="175"/>
        <v>0</v>
      </c>
      <c r="H400" s="1268">
        <f t="shared" si="175"/>
        <v>0</v>
      </c>
      <c r="I400" s="1268">
        <f t="shared" si="175"/>
        <v>0</v>
      </c>
      <c r="J400" s="1268">
        <f t="shared" si="175"/>
        <v>0</v>
      </c>
      <c r="K400" s="1278">
        <f t="shared" si="175"/>
        <v>0</v>
      </c>
      <c r="L400" s="1268">
        <f t="shared" si="175"/>
        <v>0</v>
      </c>
      <c r="M400" s="1278">
        <f t="shared" si="175"/>
        <v>0</v>
      </c>
      <c r="N400" s="1268">
        <f t="shared" si="175"/>
        <v>0</v>
      </c>
      <c r="O400" s="1268">
        <f t="shared" si="175"/>
        <v>3100</v>
      </c>
      <c r="P400" s="1268">
        <f t="shared" si="175"/>
        <v>8971307</v>
      </c>
      <c r="Q400" s="1268">
        <f t="shared" si="175"/>
        <v>0</v>
      </c>
      <c r="R400" s="1268">
        <f t="shared" si="175"/>
        <v>0</v>
      </c>
      <c r="S400" s="1268">
        <f t="shared" si="175"/>
        <v>1694.01</v>
      </c>
      <c r="T400" s="1268">
        <f t="shared" si="175"/>
        <v>5817625</v>
      </c>
      <c r="U400" s="1268">
        <f t="shared" si="175"/>
        <v>0</v>
      </c>
      <c r="V400" s="1268">
        <f t="shared" si="175"/>
        <v>0</v>
      </c>
      <c r="W400" s="1268">
        <v>0</v>
      </c>
      <c r="X400" s="1268">
        <f t="shared" si="175"/>
        <v>1158326</v>
      </c>
      <c r="Y400" s="1268">
        <f t="shared" si="175"/>
        <v>0</v>
      </c>
    </row>
    <row r="401" spans="1:25" s="1292" customFormat="1">
      <c r="A401" s="1281">
        <v>320</v>
      </c>
      <c r="B401" s="1267" t="s">
        <v>1329</v>
      </c>
      <c r="C401" s="1268">
        <f>D401+N401+P401+R401+T401+V401+X401</f>
        <v>1032303</v>
      </c>
      <c r="D401" s="1268">
        <f t="shared" ref="D401:D402" si="176">SUM(E401:J401)</f>
        <v>0</v>
      </c>
      <c r="E401" s="1268">
        <v>0</v>
      </c>
      <c r="F401" s="1268">
        <v>0</v>
      </c>
      <c r="G401" s="1268">
        <v>0</v>
      </c>
      <c r="H401" s="1268">
        <v>0</v>
      </c>
      <c r="I401" s="1268">
        <v>0</v>
      </c>
      <c r="J401" s="1268">
        <v>0</v>
      </c>
      <c r="K401" s="1278">
        <v>0</v>
      </c>
      <c r="L401" s="1268">
        <v>0</v>
      </c>
      <c r="M401" s="1278">
        <v>0</v>
      </c>
      <c r="N401" s="1268">
        <v>0</v>
      </c>
      <c r="O401" s="1268">
        <v>305</v>
      </c>
      <c r="P401" s="1268">
        <v>957322</v>
      </c>
      <c r="Q401" s="1268">
        <v>0</v>
      </c>
      <c r="R401" s="1268">
        <v>0</v>
      </c>
      <c r="S401" s="1268">
        <v>0</v>
      </c>
      <c r="T401" s="1268">
        <v>0</v>
      </c>
      <c r="U401" s="1268">
        <v>0</v>
      </c>
      <c r="V401" s="1268">
        <v>0</v>
      </c>
      <c r="W401" s="1268">
        <v>0</v>
      </c>
      <c r="X401" s="1268">
        <v>74981</v>
      </c>
      <c r="Y401" s="1268">
        <v>0</v>
      </c>
    </row>
    <row r="402" spans="1:25" s="1292" customFormat="1">
      <c r="A402" s="1281">
        <v>321</v>
      </c>
      <c r="B402" s="1267" t="s">
        <v>1327</v>
      </c>
      <c r="C402" s="1268">
        <f>D402+N402+P402+R402+T402+V402+X402</f>
        <v>3638885</v>
      </c>
      <c r="D402" s="1268">
        <f t="shared" si="176"/>
        <v>0</v>
      </c>
      <c r="E402" s="1268">
        <v>0</v>
      </c>
      <c r="F402" s="1268">
        <v>0</v>
      </c>
      <c r="G402" s="1268">
        <v>0</v>
      </c>
      <c r="H402" s="1268">
        <v>0</v>
      </c>
      <c r="I402" s="1268">
        <v>0</v>
      </c>
      <c r="J402" s="1268">
        <v>0</v>
      </c>
      <c r="K402" s="1278">
        <v>0</v>
      </c>
      <c r="L402" s="1268">
        <v>0</v>
      </c>
      <c r="M402" s="1278">
        <v>0</v>
      </c>
      <c r="N402" s="1268">
        <v>0</v>
      </c>
      <c r="O402" s="1268">
        <v>0</v>
      </c>
      <c r="P402" s="1268">
        <v>0</v>
      </c>
      <c r="Q402" s="1268">
        <v>0</v>
      </c>
      <c r="R402" s="1268">
        <v>0</v>
      </c>
      <c r="S402" s="1268">
        <v>704</v>
      </c>
      <c r="T402" s="1268">
        <v>3374575</v>
      </c>
      <c r="U402" s="1268">
        <v>0</v>
      </c>
      <c r="V402" s="1268">
        <v>0</v>
      </c>
      <c r="W402" s="1268">
        <v>0</v>
      </c>
      <c r="X402" s="1268">
        <v>264310</v>
      </c>
      <c r="Y402" s="1268">
        <v>0</v>
      </c>
    </row>
    <row r="403" spans="1:25" s="1292" customFormat="1">
      <c r="A403" s="1281">
        <v>322</v>
      </c>
      <c r="B403" s="1267" t="s">
        <v>1328</v>
      </c>
      <c r="C403" s="1268">
        <f t="shared" ref="C403:C405" si="177">D403+N403+P403+R403+T403+V403+X403</f>
        <v>1001843</v>
      </c>
      <c r="D403" s="1268">
        <f t="shared" ref="D403:D405" si="178">SUM(E403:J403)</f>
        <v>0</v>
      </c>
      <c r="E403" s="1268">
        <v>0</v>
      </c>
      <c r="F403" s="1268">
        <v>0</v>
      </c>
      <c r="G403" s="1268">
        <v>0</v>
      </c>
      <c r="H403" s="1268">
        <v>0</v>
      </c>
      <c r="I403" s="1268">
        <v>0</v>
      </c>
      <c r="J403" s="1268">
        <v>0</v>
      </c>
      <c r="K403" s="1278">
        <v>0</v>
      </c>
      <c r="L403" s="1268">
        <v>0</v>
      </c>
      <c r="M403" s="1278">
        <v>0</v>
      </c>
      <c r="N403" s="1268">
        <v>0</v>
      </c>
      <c r="O403" s="1268">
        <v>296</v>
      </c>
      <c r="P403" s="1268">
        <v>929074</v>
      </c>
      <c r="Q403" s="1268">
        <v>0</v>
      </c>
      <c r="R403" s="1268">
        <v>0</v>
      </c>
      <c r="S403" s="1268">
        <v>0</v>
      </c>
      <c r="T403" s="1268">
        <v>0</v>
      </c>
      <c r="U403" s="1268">
        <v>0</v>
      </c>
      <c r="V403" s="1268">
        <v>0</v>
      </c>
      <c r="W403" s="1268">
        <v>0</v>
      </c>
      <c r="X403" s="1268">
        <v>72769</v>
      </c>
      <c r="Y403" s="1268">
        <v>0</v>
      </c>
    </row>
    <row r="404" spans="1:25" s="1292" customFormat="1">
      <c r="A404" s="1281">
        <v>323</v>
      </c>
      <c r="B404" s="1267" t="s">
        <v>1330</v>
      </c>
      <c r="C404" s="1268">
        <f t="shared" si="177"/>
        <v>6942997</v>
      </c>
      <c r="D404" s="1268">
        <f t="shared" si="178"/>
        <v>0</v>
      </c>
      <c r="E404" s="1268">
        <v>0</v>
      </c>
      <c r="F404" s="1268">
        <v>0</v>
      </c>
      <c r="G404" s="1268">
        <v>0</v>
      </c>
      <c r="H404" s="1268">
        <v>0</v>
      </c>
      <c r="I404" s="1268">
        <v>0</v>
      </c>
      <c r="J404" s="1268">
        <v>0</v>
      </c>
      <c r="K404" s="1278">
        <v>0</v>
      </c>
      <c r="L404" s="1268">
        <v>0</v>
      </c>
      <c r="M404" s="1278">
        <v>0</v>
      </c>
      <c r="N404" s="1268">
        <v>0</v>
      </c>
      <c r="O404" s="1268">
        <v>1273</v>
      </c>
      <c r="P404" s="1268">
        <v>3995644</v>
      </c>
      <c r="Q404" s="1268">
        <v>0</v>
      </c>
      <c r="R404" s="1268">
        <v>0</v>
      </c>
      <c r="S404" s="1268">
        <v>990.01</v>
      </c>
      <c r="T404" s="1268">
        <v>2443050</v>
      </c>
      <c r="U404" s="1268">
        <v>0</v>
      </c>
      <c r="V404" s="1268">
        <v>0</v>
      </c>
      <c r="W404" s="1268">
        <v>0</v>
      </c>
      <c r="X404" s="1268">
        <v>504303</v>
      </c>
      <c r="Y404" s="1268">
        <v>0</v>
      </c>
    </row>
    <row r="405" spans="1:25" s="1292" customFormat="1">
      <c r="A405" s="1281">
        <v>324</v>
      </c>
      <c r="B405" s="1267" t="s">
        <v>1331</v>
      </c>
      <c r="C405" s="1268">
        <f t="shared" si="177"/>
        <v>3331230</v>
      </c>
      <c r="D405" s="1268">
        <f t="shared" si="178"/>
        <v>0</v>
      </c>
      <c r="E405" s="1268">
        <v>0</v>
      </c>
      <c r="F405" s="1268">
        <v>0</v>
      </c>
      <c r="G405" s="1268">
        <v>0</v>
      </c>
      <c r="H405" s="1268">
        <v>0</v>
      </c>
      <c r="I405" s="1268">
        <v>0</v>
      </c>
      <c r="J405" s="1268">
        <v>0</v>
      </c>
      <c r="K405" s="1278">
        <v>0</v>
      </c>
      <c r="L405" s="1268">
        <v>0</v>
      </c>
      <c r="M405" s="1278">
        <v>0</v>
      </c>
      <c r="N405" s="1268">
        <v>0</v>
      </c>
      <c r="O405" s="1268">
        <v>1226</v>
      </c>
      <c r="P405" s="1268">
        <v>3089267</v>
      </c>
      <c r="Q405" s="1268">
        <v>0</v>
      </c>
      <c r="R405" s="1268">
        <v>0</v>
      </c>
      <c r="S405" s="1268">
        <v>0</v>
      </c>
      <c r="T405" s="1268">
        <v>0</v>
      </c>
      <c r="U405" s="1268">
        <v>0</v>
      </c>
      <c r="V405" s="1268">
        <v>0</v>
      </c>
      <c r="W405" s="1268">
        <v>0</v>
      </c>
      <c r="X405" s="1268">
        <v>241963</v>
      </c>
      <c r="Y405" s="1268">
        <v>0</v>
      </c>
    </row>
    <row r="406" spans="1:25" s="1292" customFormat="1" ht="113.4">
      <c r="A406" s="1281"/>
      <c r="B406" s="1277" t="s">
        <v>1351</v>
      </c>
      <c r="C406" s="1268">
        <f>C407+C408+C409+C410</f>
        <v>10570251</v>
      </c>
      <c r="D406" s="1268">
        <f t="shared" ref="D406:Y406" si="179">D407+D408+D409+D410</f>
        <v>944906</v>
      </c>
      <c r="E406" s="1268">
        <f t="shared" si="179"/>
        <v>0</v>
      </c>
      <c r="F406" s="1268">
        <f t="shared" si="179"/>
        <v>0</v>
      </c>
      <c r="G406" s="1268">
        <f t="shared" si="179"/>
        <v>0</v>
      </c>
      <c r="H406" s="1268">
        <f t="shared" si="179"/>
        <v>0</v>
      </c>
      <c r="I406" s="1268">
        <f t="shared" si="179"/>
        <v>0</v>
      </c>
      <c r="J406" s="1268">
        <f t="shared" si="179"/>
        <v>944906</v>
      </c>
      <c r="K406" s="1278">
        <f t="shared" si="179"/>
        <v>0</v>
      </c>
      <c r="L406" s="1268">
        <f t="shared" si="179"/>
        <v>0</v>
      </c>
      <c r="M406" s="1278">
        <f t="shared" si="179"/>
        <v>0</v>
      </c>
      <c r="N406" s="1268">
        <f t="shared" si="179"/>
        <v>0</v>
      </c>
      <c r="O406" s="1268">
        <f t="shared" si="179"/>
        <v>0</v>
      </c>
      <c r="P406" s="1268">
        <f t="shared" si="179"/>
        <v>0</v>
      </c>
      <c r="Q406" s="1268">
        <f t="shared" si="179"/>
        <v>893.4</v>
      </c>
      <c r="R406" s="1268">
        <f t="shared" si="179"/>
        <v>1207262</v>
      </c>
      <c r="S406" s="1268">
        <f t="shared" si="179"/>
        <v>1596</v>
      </c>
      <c r="T406" s="1268">
        <f t="shared" si="179"/>
        <v>7650314</v>
      </c>
      <c r="U406" s="1268">
        <f t="shared" si="179"/>
        <v>0</v>
      </c>
      <c r="V406" s="1268">
        <f t="shared" si="179"/>
        <v>0</v>
      </c>
      <c r="W406" s="1268">
        <v>0</v>
      </c>
      <c r="X406" s="1268">
        <f t="shared" si="179"/>
        <v>767769</v>
      </c>
      <c r="Y406" s="1268">
        <f t="shared" si="179"/>
        <v>0</v>
      </c>
    </row>
    <row r="407" spans="1:25" s="1325" customFormat="1" ht="75.599999999999994">
      <c r="A407" s="1281">
        <v>325</v>
      </c>
      <c r="B407" s="1277" t="s">
        <v>2441</v>
      </c>
      <c r="C407" s="1268">
        <f>D407+N407+P407+R407+T407+V407+X407</f>
        <v>4124758</v>
      </c>
      <c r="D407" s="1268">
        <f t="shared" ref="D407:D410" si="180">SUM(E407:J407)</f>
        <v>0</v>
      </c>
      <c r="E407" s="1268">
        <v>0</v>
      </c>
      <c r="F407" s="1268">
        <v>0</v>
      </c>
      <c r="G407" s="1268">
        <v>0</v>
      </c>
      <c r="H407" s="1268">
        <v>0</v>
      </c>
      <c r="I407" s="1268">
        <v>0</v>
      </c>
      <c r="J407" s="1268">
        <v>0</v>
      </c>
      <c r="K407" s="1278">
        <v>0</v>
      </c>
      <c r="L407" s="1268">
        <v>0</v>
      </c>
      <c r="M407" s="1278">
        <v>0</v>
      </c>
      <c r="N407" s="1268">
        <v>0</v>
      </c>
      <c r="O407" s="1268">
        <v>0</v>
      </c>
      <c r="P407" s="1268">
        <v>0</v>
      </c>
      <c r="Q407" s="1268">
        <v>0</v>
      </c>
      <c r="R407" s="1268">
        <v>0</v>
      </c>
      <c r="S407" s="1268">
        <v>798</v>
      </c>
      <c r="T407" s="1268">
        <v>3825157</v>
      </c>
      <c r="U407" s="1268">
        <v>0</v>
      </c>
      <c r="V407" s="1268">
        <v>0</v>
      </c>
      <c r="W407" s="1268">
        <v>0</v>
      </c>
      <c r="X407" s="1268">
        <v>299601</v>
      </c>
      <c r="Y407" s="1268">
        <v>0</v>
      </c>
    </row>
    <row r="408" spans="1:25" s="1292" customFormat="1" ht="75.599999999999994">
      <c r="A408" s="1281">
        <v>326</v>
      </c>
      <c r="B408" s="1277" t="s">
        <v>2442</v>
      </c>
      <c r="C408" s="1268">
        <f>D408+N408+P408+R408+T408+V408+X408</f>
        <v>4124758</v>
      </c>
      <c r="D408" s="1268">
        <f t="shared" si="180"/>
        <v>0</v>
      </c>
      <c r="E408" s="1268">
        <v>0</v>
      </c>
      <c r="F408" s="1268">
        <v>0</v>
      </c>
      <c r="G408" s="1268">
        <v>0</v>
      </c>
      <c r="H408" s="1268">
        <v>0</v>
      </c>
      <c r="I408" s="1268">
        <v>0</v>
      </c>
      <c r="J408" s="1268">
        <v>0</v>
      </c>
      <c r="K408" s="1278">
        <v>0</v>
      </c>
      <c r="L408" s="1268">
        <v>0</v>
      </c>
      <c r="M408" s="1278">
        <v>0</v>
      </c>
      <c r="N408" s="1268">
        <v>0</v>
      </c>
      <c r="O408" s="1268">
        <v>0</v>
      </c>
      <c r="P408" s="1268">
        <v>0</v>
      </c>
      <c r="Q408" s="1268">
        <v>0</v>
      </c>
      <c r="R408" s="1268">
        <v>0</v>
      </c>
      <c r="S408" s="1268">
        <v>798</v>
      </c>
      <c r="T408" s="1268">
        <v>3825157</v>
      </c>
      <c r="U408" s="1268">
        <v>0</v>
      </c>
      <c r="V408" s="1268">
        <v>0</v>
      </c>
      <c r="W408" s="1268">
        <v>0</v>
      </c>
      <c r="X408" s="1268">
        <v>299601</v>
      </c>
      <c r="Y408" s="1268">
        <v>0</v>
      </c>
    </row>
    <row r="409" spans="1:25" s="1292" customFormat="1">
      <c r="A409" s="1281">
        <v>327</v>
      </c>
      <c r="B409" s="1277" t="s">
        <v>1354</v>
      </c>
      <c r="C409" s="1268">
        <f>D409+N409+P409+R409+T409+V409+X409</f>
        <v>1157140</v>
      </c>
      <c r="D409" s="1268">
        <f t="shared" si="180"/>
        <v>469460</v>
      </c>
      <c r="E409" s="1268">
        <v>0</v>
      </c>
      <c r="F409" s="1268">
        <v>0</v>
      </c>
      <c r="G409" s="1268">
        <v>0</v>
      </c>
      <c r="H409" s="1268">
        <v>0</v>
      </c>
      <c r="I409" s="1268">
        <v>0</v>
      </c>
      <c r="J409" s="1268">
        <v>469460</v>
      </c>
      <c r="K409" s="1278">
        <v>0</v>
      </c>
      <c r="L409" s="1268">
        <v>0</v>
      </c>
      <c r="M409" s="1278">
        <v>0</v>
      </c>
      <c r="N409" s="1268">
        <v>0</v>
      </c>
      <c r="O409" s="1268">
        <v>0</v>
      </c>
      <c r="P409" s="1268">
        <v>0</v>
      </c>
      <c r="Q409" s="1268">
        <v>446.7</v>
      </c>
      <c r="R409" s="1268">
        <v>603631</v>
      </c>
      <c r="S409" s="1268">
        <v>0</v>
      </c>
      <c r="T409" s="1268">
        <v>0</v>
      </c>
      <c r="U409" s="1268">
        <v>0</v>
      </c>
      <c r="V409" s="1268">
        <v>0</v>
      </c>
      <c r="W409" s="1268">
        <v>0</v>
      </c>
      <c r="X409" s="1268">
        <v>84049</v>
      </c>
      <c r="Y409" s="1268">
        <v>0</v>
      </c>
    </row>
    <row r="410" spans="1:25" s="1292" customFormat="1">
      <c r="A410" s="1281">
        <v>328</v>
      </c>
      <c r="B410" s="1277" t="s">
        <v>1355</v>
      </c>
      <c r="C410" s="1268">
        <f>D410+N410+P410+R410+T410+V410+X410</f>
        <v>1163595</v>
      </c>
      <c r="D410" s="1268">
        <f t="shared" si="180"/>
        <v>475446</v>
      </c>
      <c r="E410" s="1268">
        <v>0</v>
      </c>
      <c r="F410" s="1268">
        <v>0</v>
      </c>
      <c r="G410" s="1268">
        <v>0</v>
      </c>
      <c r="H410" s="1268">
        <v>0</v>
      </c>
      <c r="I410" s="1268">
        <v>0</v>
      </c>
      <c r="J410" s="1268">
        <v>475446</v>
      </c>
      <c r="K410" s="1278">
        <v>0</v>
      </c>
      <c r="L410" s="1268">
        <v>0</v>
      </c>
      <c r="M410" s="1278">
        <v>0</v>
      </c>
      <c r="N410" s="1268">
        <v>0</v>
      </c>
      <c r="O410" s="1268">
        <v>0</v>
      </c>
      <c r="P410" s="1268">
        <v>0</v>
      </c>
      <c r="Q410" s="1268">
        <v>446.7</v>
      </c>
      <c r="R410" s="1268">
        <v>603631</v>
      </c>
      <c r="S410" s="1268">
        <v>0</v>
      </c>
      <c r="T410" s="1268">
        <v>0</v>
      </c>
      <c r="U410" s="1268">
        <v>0</v>
      </c>
      <c r="V410" s="1268">
        <v>0</v>
      </c>
      <c r="W410" s="1268">
        <v>0</v>
      </c>
      <c r="X410" s="1268">
        <v>84518</v>
      </c>
      <c r="Y410" s="1268">
        <v>0</v>
      </c>
    </row>
    <row r="411" spans="1:25" s="1292" customFormat="1">
      <c r="A411" s="1281"/>
      <c r="B411" s="1277" t="s">
        <v>663</v>
      </c>
      <c r="C411" s="1268">
        <f>C412</f>
        <v>981300</v>
      </c>
      <c r="D411" s="1268">
        <f t="shared" ref="D411:Y411" si="181">D412</f>
        <v>0</v>
      </c>
      <c r="E411" s="1268">
        <f t="shared" si="181"/>
        <v>0</v>
      </c>
      <c r="F411" s="1268">
        <f t="shared" si="181"/>
        <v>0</v>
      </c>
      <c r="G411" s="1268">
        <f t="shared" si="181"/>
        <v>0</v>
      </c>
      <c r="H411" s="1268">
        <f t="shared" si="181"/>
        <v>0</v>
      </c>
      <c r="I411" s="1268">
        <f t="shared" si="181"/>
        <v>0</v>
      </c>
      <c r="J411" s="1268">
        <f t="shared" si="181"/>
        <v>0</v>
      </c>
      <c r="K411" s="1278">
        <f t="shared" si="181"/>
        <v>0</v>
      </c>
      <c r="L411" s="1268">
        <f t="shared" si="181"/>
        <v>0</v>
      </c>
      <c r="M411" s="1278">
        <f t="shared" si="181"/>
        <v>0</v>
      </c>
      <c r="N411" s="1268">
        <f t="shared" si="181"/>
        <v>0</v>
      </c>
      <c r="O411" s="1268">
        <f t="shared" si="181"/>
        <v>534.70000000000005</v>
      </c>
      <c r="P411" s="1268">
        <f t="shared" si="181"/>
        <v>910023</v>
      </c>
      <c r="Q411" s="1268">
        <f t="shared" si="181"/>
        <v>0</v>
      </c>
      <c r="R411" s="1268">
        <f t="shared" si="181"/>
        <v>0</v>
      </c>
      <c r="S411" s="1268">
        <f t="shared" si="181"/>
        <v>0</v>
      </c>
      <c r="T411" s="1268">
        <f t="shared" si="181"/>
        <v>0</v>
      </c>
      <c r="U411" s="1268">
        <f t="shared" si="181"/>
        <v>0</v>
      </c>
      <c r="V411" s="1268">
        <f t="shared" si="181"/>
        <v>0</v>
      </c>
      <c r="W411" s="1268">
        <v>0</v>
      </c>
      <c r="X411" s="1268">
        <f t="shared" si="181"/>
        <v>71277</v>
      </c>
      <c r="Y411" s="1268">
        <f t="shared" si="181"/>
        <v>0</v>
      </c>
    </row>
    <row r="412" spans="1:25" s="1292" customFormat="1" ht="75.599999999999994">
      <c r="A412" s="1281"/>
      <c r="B412" s="1277" t="s">
        <v>1105</v>
      </c>
      <c r="C412" s="1268">
        <f>C413</f>
        <v>981300</v>
      </c>
      <c r="D412" s="1268">
        <f t="shared" ref="D412:Y412" si="182">D413</f>
        <v>0</v>
      </c>
      <c r="E412" s="1268">
        <f t="shared" si="182"/>
        <v>0</v>
      </c>
      <c r="F412" s="1268">
        <f t="shared" si="182"/>
        <v>0</v>
      </c>
      <c r="G412" s="1268">
        <f t="shared" si="182"/>
        <v>0</v>
      </c>
      <c r="H412" s="1268">
        <f t="shared" si="182"/>
        <v>0</v>
      </c>
      <c r="I412" s="1268">
        <f t="shared" si="182"/>
        <v>0</v>
      </c>
      <c r="J412" s="1268">
        <f t="shared" si="182"/>
        <v>0</v>
      </c>
      <c r="K412" s="1278">
        <f t="shared" si="182"/>
        <v>0</v>
      </c>
      <c r="L412" s="1268">
        <f t="shared" si="182"/>
        <v>0</v>
      </c>
      <c r="M412" s="1278">
        <f t="shared" si="182"/>
        <v>0</v>
      </c>
      <c r="N412" s="1268">
        <f t="shared" si="182"/>
        <v>0</v>
      </c>
      <c r="O412" s="1268">
        <f t="shared" si="182"/>
        <v>534.70000000000005</v>
      </c>
      <c r="P412" s="1268">
        <f t="shared" si="182"/>
        <v>910023</v>
      </c>
      <c r="Q412" s="1268">
        <f t="shared" si="182"/>
        <v>0</v>
      </c>
      <c r="R412" s="1268">
        <f t="shared" si="182"/>
        <v>0</v>
      </c>
      <c r="S412" s="1268">
        <f t="shared" si="182"/>
        <v>0</v>
      </c>
      <c r="T412" s="1268">
        <f t="shared" si="182"/>
        <v>0</v>
      </c>
      <c r="U412" s="1268">
        <f t="shared" si="182"/>
        <v>0</v>
      </c>
      <c r="V412" s="1268">
        <f t="shared" si="182"/>
        <v>0</v>
      </c>
      <c r="W412" s="1268">
        <v>0</v>
      </c>
      <c r="X412" s="1268">
        <f t="shared" si="182"/>
        <v>71277</v>
      </c>
      <c r="Y412" s="1268">
        <f t="shared" si="182"/>
        <v>0</v>
      </c>
    </row>
    <row r="413" spans="1:25" s="1292" customFormat="1">
      <c r="A413" s="1281">
        <v>329</v>
      </c>
      <c r="B413" s="1277" t="s">
        <v>1544</v>
      </c>
      <c r="C413" s="1268">
        <f>D413+N413+P413+R413+T413+V413+X413</f>
        <v>981300</v>
      </c>
      <c r="D413" s="1268">
        <f t="shared" ref="D413" si="183">SUM(E413:J413)</f>
        <v>0</v>
      </c>
      <c r="E413" s="1268">
        <v>0</v>
      </c>
      <c r="F413" s="1268">
        <v>0</v>
      </c>
      <c r="G413" s="1268">
        <v>0</v>
      </c>
      <c r="H413" s="1268">
        <v>0</v>
      </c>
      <c r="I413" s="1268">
        <v>0</v>
      </c>
      <c r="J413" s="1268">
        <v>0</v>
      </c>
      <c r="K413" s="1278">
        <v>0</v>
      </c>
      <c r="L413" s="1268">
        <v>0</v>
      </c>
      <c r="M413" s="1278">
        <v>0</v>
      </c>
      <c r="N413" s="1268">
        <v>0</v>
      </c>
      <c r="O413" s="1268">
        <v>534.70000000000005</v>
      </c>
      <c r="P413" s="1268">
        <v>910023</v>
      </c>
      <c r="Q413" s="1268">
        <v>0</v>
      </c>
      <c r="R413" s="1268">
        <v>0</v>
      </c>
      <c r="S413" s="1268">
        <v>0</v>
      </c>
      <c r="T413" s="1268">
        <v>0</v>
      </c>
      <c r="U413" s="1268">
        <v>0</v>
      </c>
      <c r="V413" s="1268">
        <v>0</v>
      </c>
      <c r="W413" s="1268">
        <v>0</v>
      </c>
      <c r="X413" s="1268">
        <v>71277</v>
      </c>
      <c r="Y413" s="1268">
        <v>0</v>
      </c>
    </row>
    <row r="414" spans="1:25" s="1292" customFormat="1">
      <c r="A414" s="1281"/>
      <c r="B414" s="1277" t="s">
        <v>1036</v>
      </c>
      <c r="C414" s="1268">
        <f>C415</f>
        <v>3423970</v>
      </c>
      <c r="D414" s="1268">
        <f t="shared" ref="D414:Y414" si="184">D415</f>
        <v>0</v>
      </c>
      <c r="E414" s="1268">
        <f t="shared" si="184"/>
        <v>0</v>
      </c>
      <c r="F414" s="1268">
        <f t="shared" si="184"/>
        <v>0</v>
      </c>
      <c r="G414" s="1268">
        <f t="shared" si="184"/>
        <v>0</v>
      </c>
      <c r="H414" s="1268">
        <f t="shared" si="184"/>
        <v>0</v>
      </c>
      <c r="I414" s="1268">
        <f t="shared" si="184"/>
        <v>0</v>
      </c>
      <c r="J414" s="1268">
        <f t="shared" si="184"/>
        <v>0</v>
      </c>
      <c r="K414" s="1278">
        <f t="shared" si="184"/>
        <v>0</v>
      </c>
      <c r="L414" s="1268">
        <f t="shared" si="184"/>
        <v>0</v>
      </c>
      <c r="M414" s="1278">
        <f t="shared" si="184"/>
        <v>0</v>
      </c>
      <c r="N414" s="1268">
        <f t="shared" si="184"/>
        <v>0</v>
      </c>
      <c r="O414" s="1268">
        <f t="shared" si="184"/>
        <v>1171.7</v>
      </c>
      <c r="P414" s="1268">
        <f t="shared" si="184"/>
        <v>3175271</v>
      </c>
      <c r="Q414" s="1268">
        <f t="shared" si="184"/>
        <v>0</v>
      </c>
      <c r="R414" s="1268">
        <f t="shared" si="184"/>
        <v>0</v>
      </c>
      <c r="S414" s="1268">
        <f t="shared" si="184"/>
        <v>0</v>
      </c>
      <c r="T414" s="1268">
        <f t="shared" si="184"/>
        <v>0</v>
      </c>
      <c r="U414" s="1268">
        <f t="shared" si="184"/>
        <v>0</v>
      </c>
      <c r="V414" s="1268">
        <f t="shared" si="184"/>
        <v>0</v>
      </c>
      <c r="W414" s="1268">
        <v>0</v>
      </c>
      <c r="X414" s="1268">
        <f t="shared" si="184"/>
        <v>248699</v>
      </c>
      <c r="Y414" s="1268">
        <f t="shared" si="184"/>
        <v>0</v>
      </c>
    </row>
    <row r="415" spans="1:25" s="1292" customFormat="1" ht="75.599999999999994">
      <c r="A415" s="1281"/>
      <c r="B415" s="1277" t="s">
        <v>1096</v>
      </c>
      <c r="C415" s="1268">
        <f>C416+C417</f>
        <v>3423970</v>
      </c>
      <c r="D415" s="1268">
        <f t="shared" ref="D415:Y415" si="185">D416+D417</f>
        <v>0</v>
      </c>
      <c r="E415" s="1268">
        <f t="shared" si="185"/>
        <v>0</v>
      </c>
      <c r="F415" s="1268">
        <f t="shared" si="185"/>
        <v>0</v>
      </c>
      <c r="G415" s="1268">
        <f t="shared" si="185"/>
        <v>0</v>
      </c>
      <c r="H415" s="1268">
        <f t="shared" si="185"/>
        <v>0</v>
      </c>
      <c r="I415" s="1268">
        <f t="shared" si="185"/>
        <v>0</v>
      </c>
      <c r="J415" s="1268">
        <f t="shared" si="185"/>
        <v>0</v>
      </c>
      <c r="K415" s="1278">
        <f t="shared" si="185"/>
        <v>0</v>
      </c>
      <c r="L415" s="1268">
        <f t="shared" si="185"/>
        <v>0</v>
      </c>
      <c r="M415" s="1278">
        <f t="shared" si="185"/>
        <v>0</v>
      </c>
      <c r="N415" s="1268">
        <f t="shared" si="185"/>
        <v>0</v>
      </c>
      <c r="O415" s="1268">
        <f t="shared" si="185"/>
        <v>1171.7</v>
      </c>
      <c r="P415" s="1268">
        <f t="shared" si="185"/>
        <v>3175271</v>
      </c>
      <c r="Q415" s="1268">
        <f t="shared" si="185"/>
        <v>0</v>
      </c>
      <c r="R415" s="1268">
        <f t="shared" si="185"/>
        <v>0</v>
      </c>
      <c r="S415" s="1268">
        <f t="shared" si="185"/>
        <v>0</v>
      </c>
      <c r="T415" s="1268">
        <f t="shared" si="185"/>
        <v>0</v>
      </c>
      <c r="U415" s="1268">
        <f t="shared" si="185"/>
        <v>0</v>
      </c>
      <c r="V415" s="1268">
        <f t="shared" si="185"/>
        <v>0</v>
      </c>
      <c r="W415" s="1268">
        <v>0</v>
      </c>
      <c r="X415" s="1268">
        <f t="shared" si="185"/>
        <v>248699</v>
      </c>
      <c r="Y415" s="1268">
        <f t="shared" si="185"/>
        <v>0</v>
      </c>
    </row>
    <row r="416" spans="1:25" s="1292" customFormat="1">
      <c r="A416" s="1281">
        <v>330</v>
      </c>
      <c r="B416" s="1277" t="s">
        <v>1286</v>
      </c>
      <c r="C416" s="1268">
        <f>D416+N416+P416+R416+T416+V416+X416</f>
        <v>1218456</v>
      </c>
      <c r="D416" s="1268">
        <f t="shared" ref="D416" si="186">SUM(E416:J416)</f>
        <v>0</v>
      </c>
      <c r="E416" s="1268">
        <v>0</v>
      </c>
      <c r="F416" s="1268">
        <v>0</v>
      </c>
      <c r="G416" s="1268">
        <v>0</v>
      </c>
      <c r="H416" s="1268">
        <v>0</v>
      </c>
      <c r="I416" s="1268">
        <v>0</v>
      </c>
      <c r="J416" s="1268">
        <v>0</v>
      </c>
      <c r="K416" s="1278">
        <v>0</v>
      </c>
      <c r="L416" s="1268">
        <v>0</v>
      </c>
      <c r="M416" s="1278">
        <v>0</v>
      </c>
      <c r="N416" s="1268">
        <v>0</v>
      </c>
      <c r="O416" s="1268">
        <v>360</v>
      </c>
      <c r="P416" s="1268">
        <v>1129954</v>
      </c>
      <c r="Q416" s="1268">
        <v>0</v>
      </c>
      <c r="R416" s="1268">
        <v>0</v>
      </c>
      <c r="S416" s="1268">
        <v>0</v>
      </c>
      <c r="T416" s="1268">
        <v>0</v>
      </c>
      <c r="U416" s="1268">
        <v>0</v>
      </c>
      <c r="V416" s="1268">
        <v>0</v>
      </c>
      <c r="W416" s="1268">
        <v>0</v>
      </c>
      <c r="X416" s="1268">
        <v>88502</v>
      </c>
      <c r="Y416" s="1268">
        <v>0</v>
      </c>
    </row>
    <row r="417" spans="1:25" s="1292" customFormat="1">
      <c r="A417" s="1281">
        <v>331</v>
      </c>
      <c r="B417" s="1277" t="s">
        <v>1287</v>
      </c>
      <c r="C417" s="1268">
        <f>D417+N417+P417+R417+T417+V417+X417</f>
        <v>2205514</v>
      </c>
      <c r="D417" s="1268">
        <f t="shared" ref="D417" si="187">SUM(E417:J417)</f>
        <v>0</v>
      </c>
      <c r="E417" s="1268">
        <v>0</v>
      </c>
      <c r="F417" s="1268">
        <v>0</v>
      </c>
      <c r="G417" s="1268">
        <v>0</v>
      </c>
      <c r="H417" s="1268">
        <v>0</v>
      </c>
      <c r="I417" s="1268">
        <v>0</v>
      </c>
      <c r="J417" s="1268">
        <v>0</v>
      </c>
      <c r="K417" s="1278">
        <v>0</v>
      </c>
      <c r="L417" s="1268">
        <v>0</v>
      </c>
      <c r="M417" s="1278">
        <v>0</v>
      </c>
      <c r="N417" s="1268">
        <v>0</v>
      </c>
      <c r="O417" s="1268">
        <v>811.7</v>
      </c>
      <c r="P417" s="1268">
        <v>2045317</v>
      </c>
      <c r="Q417" s="1268">
        <v>0</v>
      </c>
      <c r="R417" s="1268">
        <v>0</v>
      </c>
      <c r="S417" s="1268">
        <v>0</v>
      </c>
      <c r="T417" s="1268">
        <v>0</v>
      </c>
      <c r="U417" s="1268">
        <v>0</v>
      </c>
      <c r="V417" s="1268">
        <v>0</v>
      </c>
      <c r="W417" s="1268">
        <v>0</v>
      </c>
      <c r="X417" s="1268">
        <v>160197</v>
      </c>
      <c r="Y417" s="1268">
        <v>0</v>
      </c>
    </row>
    <row r="418" spans="1:25" s="1292" customFormat="1">
      <c r="A418" s="1281"/>
      <c r="B418" s="1277" t="s">
        <v>211</v>
      </c>
      <c r="C418" s="1268">
        <f>C419</f>
        <v>2699558</v>
      </c>
      <c r="D418" s="1268">
        <f t="shared" ref="D418:Y418" si="188">D419</f>
        <v>0</v>
      </c>
      <c r="E418" s="1268">
        <f t="shared" si="188"/>
        <v>0</v>
      </c>
      <c r="F418" s="1268">
        <f t="shared" si="188"/>
        <v>0</v>
      </c>
      <c r="G418" s="1268">
        <f t="shared" si="188"/>
        <v>0</v>
      </c>
      <c r="H418" s="1268">
        <f t="shared" si="188"/>
        <v>0</v>
      </c>
      <c r="I418" s="1268">
        <f t="shared" si="188"/>
        <v>0</v>
      </c>
      <c r="J418" s="1268">
        <f t="shared" si="188"/>
        <v>0</v>
      </c>
      <c r="K418" s="1278">
        <f t="shared" si="188"/>
        <v>0</v>
      </c>
      <c r="L418" s="1268">
        <f t="shared" si="188"/>
        <v>0</v>
      </c>
      <c r="M418" s="1278">
        <f t="shared" si="188"/>
        <v>0</v>
      </c>
      <c r="N418" s="1268">
        <f t="shared" si="188"/>
        <v>0</v>
      </c>
      <c r="O418" s="1268">
        <f t="shared" si="188"/>
        <v>797.6</v>
      </c>
      <c r="P418" s="1268">
        <f t="shared" si="188"/>
        <v>2503476</v>
      </c>
      <c r="Q418" s="1268">
        <f t="shared" si="188"/>
        <v>0</v>
      </c>
      <c r="R418" s="1268">
        <f t="shared" si="188"/>
        <v>0</v>
      </c>
      <c r="S418" s="1268">
        <f t="shared" si="188"/>
        <v>0</v>
      </c>
      <c r="T418" s="1268">
        <f t="shared" si="188"/>
        <v>0</v>
      </c>
      <c r="U418" s="1268">
        <f t="shared" si="188"/>
        <v>0</v>
      </c>
      <c r="V418" s="1268">
        <f t="shared" si="188"/>
        <v>0</v>
      </c>
      <c r="W418" s="1268">
        <v>0</v>
      </c>
      <c r="X418" s="1268">
        <f t="shared" si="188"/>
        <v>196082</v>
      </c>
      <c r="Y418" s="1268">
        <f t="shared" si="188"/>
        <v>0</v>
      </c>
    </row>
    <row r="419" spans="1:25" s="1292" customFormat="1" ht="75.599999999999994">
      <c r="A419" s="1281"/>
      <c r="B419" s="1277" t="s">
        <v>1208</v>
      </c>
      <c r="C419" s="1268">
        <f>C420+C421</f>
        <v>2699558</v>
      </c>
      <c r="D419" s="1268">
        <f t="shared" ref="D419:Y419" si="189">D420+D421</f>
        <v>0</v>
      </c>
      <c r="E419" s="1268">
        <f t="shared" si="189"/>
        <v>0</v>
      </c>
      <c r="F419" s="1268">
        <f t="shared" si="189"/>
        <v>0</v>
      </c>
      <c r="G419" s="1268">
        <f t="shared" si="189"/>
        <v>0</v>
      </c>
      <c r="H419" s="1268">
        <f t="shared" si="189"/>
        <v>0</v>
      </c>
      <c r="I419" s="1268">
        <f t="shared" si="189"/>
        <v>0</v>
      </c>
      <c r="J419" s="1268">
        <f t="shared" si="189"/>
        <v>0</v>
      </c>
      <c r="K419" s="1278">
        <f t="shared" si="189"/>
        <v>0</v>
      </c>
      <c r="L419" s="1268">
        <f t="shared" si="189"/>
        <v>0</v>
      </c>
      <c r="M419" s="1278">
        <f t="shared" si="189"/>
        <v>0</v>
      </c>
      <c r="N419" s="1268">
        <f t="shared" si="189"/>
        <v>0</v>
      </c>
      <c r="O419" s="1268">
        <f t="shared" si="189"/>
        <v>797.6</v>
      </c>
      <c r="P419" s="1268">
        <f t="shared" si="189"/>
        <v>2503476</v>
      </c>
      <c r="Q419" s="1268">
        <f t="shared" si="189"/>
        <v>0</v>
      </c>
      <c r="R419" s="1268">
        <f t="shared" si="189"/>
        <v>0</v>
      </c>
      <c r="S419" s="1268">
        <f t="shared" si="189"/>
        <v>0</v>
      </c>
      <c r="T419" s="1268">
        <f t="shared" si="189"/>
        <v>0</v>
      </c>
      <c r="U419" s="1268">
        <f t="shared" si="189"/>
        <v>0</v>
      </c>
      <c r="V419" s="1268">
        <f t="shared" si="189"/>
        <v>0</v>
      </c>
      <c r="W419" s="1268">
        <v>0</v>
      </c>
      <c r="X419" s="1268">
        <f t="shared" si="189"/>
        <v>196082</v>
      </c>
      <c r="Y419" s="1268">
        <f t="shared" si="189"/>
        <v>0</v>
      </c>
    </row>
    <row r="420" spans="1:25" s="1292" customFormat="1" ht="75.599999999999994">
      <c r="A420" s="1281">
        <v>332</v>
      </c>
      <c r="B420" s="1277" t="s">
        <v>2443</v>
      </c>
      <c r="C420" s="1268">
        <f>D420+N420+P420+R420+T420+V420+X420</f>
        <v>1349779</v>
      </c>
      <c r="D420" s="1268">
        <f t="shared" ref="D420:D421" si="190">SUM(E420:J420)</f>
        <v>0</v>
      </c>
      <c r="E420" s="1268">
        <v>0</v>
      </c>
      <c r="F420" s="1268">
        <v>0</v>
      </c>
      <c r="G420" s="1268">
        <v>0</v>
      </c>
      <c r="H420" s="1268">
        <v>0</v>
      </c>
      <c r="I420" s="1268">
        <v>0</v>
      </c>
      <c r="J420" s="1268">
        <v>0</v>
      </c>
      <c r="K420" s="1278">
        <v>0</v>
      </c>
      <c r="L420" s="1268">
        <v>0</v>
      </c>
      <c r="M420" s="1278">
        <v>0</v>
      </c>
      <c r="N420" s="1268">
        <v>0</v>
      </c>
      <c r="O420" s="1268">
        <v>398.8</v>
      </c>
      <c r="P420" s="1268">
        <v>1251738</v>
      </c>
      <c r="Q420" s="1268">
        <v>0</v>
      </c>
      <c r="R420" s="1268">
        <v>0</v>
      </c>
      <c r="S420" s="1268">
        <v>0</v>
      </c>
      <c r="T420" s="1268">
        <v>0</v>
      </c>
      <c r="U420" s="1268">
        <v>0</v>
      </c>
      <c r="V420" s="1268">
        <v>0</v>
      </c>
      <c r="W420" s="1268">
        <v>0</v>
      </c>
      <c r="X420" s="1268">
        <v>98041</v>
      </c>
      <c r="Y420" s="1268">
        <v>0</v>
      </c>
    </row>
    <row r="421" spans="1:25" s="1280" customFormat="1" ht="75.599999999999994">
      <c r="A421" s="1281">
        <v>333</v>
      </c>
      <c r="B421" s="1277" t="s">
        <v>2444</v>
      </c>
      <c r="C421" s="1268">
        <f>D421+N421+P421+R421+T421+V421+X421</f>
        <v>1349779</v>
      </c>
      <c r="D421" s="1268">
        <f t="shared" si="190"/>
        <v>0</v>
      </c>
      <c r="E421" s="1268">
        <v>0</v>
      </c>
      <c r="F421" s="1268">
        <v>0</v>
      </c>
      <c r="G421" s="1268">
        <v>0</v>
      </c>
      <c r="H421" s="1268">
        <v>0</v>
      </c>
      <c r="I421" s="1268">
        <v>0</v>
      </c>
      <c r="J421" s="1268">
        <v>0</v>
      </c>
      <c r="K421" s="1278">
        <v>0</v>
      </c>
      <c r="L421" s="1268">
        <v>0</v>
      </c>
      <c r="M421" s="1278">
        <v>0</v>
      </c>
      <c r="N421" s="1268">
        <v>0</v>
      </c>
      <c r="O421" s="1268">
        <v>398.8</v>
      </c>
      <c r="P421" s="1268">
        <v>1251738</v>
      </c>
      <c r="Q421" s="1268">
        <v>0</v>
      </c>
      <c r="R421" s="1268">
        <v>0</v>
      </c>
      <c r="S421" s="1268">
        <v>0</v>
      </c>
      <c r="T421" s="1268">
        <v>0</v>
      </c>
      <c r="U421" s="1268">
        <v>0</v>
      </c>
      <c r="V421" s="1268">
        <v>0</v>
      </c>
      <c r="W421" s="1268">
        <v>0</v>
      </c>
      <c r="X421" s="1268">
        <v>98041</v>
      </c>
      <c r="Y421" s="1268">
        <v>0</v>
      </c>
    </row>
    <row r="422" spans="1:25" s="1280" customFormat="1">
      <c r="A422" s="1281"/>
      <c r="B422" s="1277" t="s">
        <v>66</v>
      </c>
      <c r="C422" s="1268">
        <f>C423</f>
        <v>3342802</v>
      </c>
      <c r="D422" s="1268">
        <f t="shared" ref="D422:Y422" si="191">D423</f>
        <v>0</v>
      </c>
      <c r="E422" s="1268">
        <f t="shared" si="191"/>
        <v>0</v>
      </c>
      <c r="F422" s="1268">
        <f t="shared" si="191"/>
        <v>0</v>
      </c>
      <c r="G422" s="1268">
        <f t="shared" si="191"/>
        <v>0</v>
      </c>
      <c r="H422" s="1268">
        <f t="shared" si="191"/>
        <v>0</v>
      </c>
      <c r="I422" s="1268">
        <f t="shared" si="191"/>
        <v>0</v>
      </c>
      <c r="J422" s="1268">
        <f t="shared" si="191"/>
        <v>0</v>
      </c>
      <c r="K422" s="1278">
        <v>0</v>
      </c>
      <c r="L422" s="1268">
        <v>0</v>
      </c>
      <c r="M422" s="1278">
        <v>0</v>
      </c>
      <c r="N422" s="1268">
        <f t="shared" si="191"/>
        <v>0</v>
      </c>
      <c r="O422" s="1268">
        <f t="shared" si="191"/>
        <v>987.65</v>
      </c>
      <c r="P422" s="1268">
        <f t="shared" si="191"/>
        <v>3099998</v>
      </c>
      <c r="Q422" s="1268">
        <f t="shared" si="191"/>
        <v>0</v>
      </c>
      <c r="R422" s="1268">
        <f t="shared" si="191"/>
        <v>0</v>
      </c>
      <c r="S422" s="1268">
        <f t="shared" si="191"/>
        <v>0</v>
      </c>
      <c r="T422" s="1268">
        <f t="shared" si="191"/>
        <v>0</v>
      </c>
      <c r="U422" s="1268">
        <f t="shared" si="191"/>
        <v>0</v>
      </c>
      <c r="V422" s="1268">
        <f t="shared" si="191"/>
        <v>0</v>
      </c>
      <c r="W422" s="1268">
        <v>0</v>
      </c>
      <c r="X422" s="1268">
        <f t="shared" si="191"/>
        <v>242804</v>
      </c>
      <c r="Y422" s="1268">
        <f t="shared" si="191"/>
        <v>0</v>
      </c>
    </row>
    <row r="423" spans="1:25" s="1326" customFormat="1" ht="113.4">
      <c r="A423" s="1281"/>
      <c r="B423" s="1277" t="s">
        <v>1101</v>
      </c>
      <c r="C423" s="1268">
        <f>C424+C425</f>
        <v>3342802</v>
      </c>
      <c r="D423" s="1268">
        <f t="shared" ref="D423:Y423" si="192">D424+D425</f>
        <v>0</v>
      </c>
      <c r="E423" s="1268">
        <f t="shared" si="192"/>
        <v>0</v>
      </c>
      <c r="F423" s="1268">
        <f t="shared" si="192"/>
        <v>0</v>
      </c>
      <c r="G423" s="1268">
        <f t="shared" si="192"/>
        <v>0</v>
      </c>
      <c r="H423" s="1268">
        <f t="shared" si="192"/>
        <v>0</v>
      </c>
      <c r="I423" s="1268">
        <f t="shared" si="192"/>
        <v>0</v>
      </c>
      <c r="J423" s="1268">
        <f t="shared" si="192"/>
        <v>0</v>
      </c>
      <c r="K423" s="1278">
        <f t="shared" si="192"/>
        <v>0</v>
      </c>
      <c r="L423" s="1268">
        <f t="shared" si="192"/>
        <v>0</v>
      </c>
      <c r="M423" s="1278">
        <f t="shared" si="192"/>
        <v>0</v>
      </c>
      <c r="N423" s="1268">
        <f t="shared" si="192"/>
        <v>0</v>
      </c>
      <c r="O423" s="1268">
        <f t="shared" si="192"/>
        <v>987.65</v>
      </c>
      <c r="P423" s="1268">
        <f t="shared" si="192"/>
        <v>3099998</v>
      </c>
      <c r="Q423" s="1268">
        <f t="shared" si="192"/>
        <v>0</v>
      </c>
      <c r="R423" s="1268">
        <f t="shared" si="192"/>
        <v>0</v>
      </c>
      <c r="S423" s="1268">
        <f t="shared" si="192"/>
        <v>0</v>
      </c>
      <c r="T423" s="1268">
        <f t="shared" si="192"/>
        <v>0</v>
      </c>
      <c r="U423" s="1268">
        <f t="shared" si="192"/>
        <v>0</v>
      </c>
      <c r="V423" s="1268">
        <f t="shared" si="192"/>
        <v>0</v>
      </c>
      <c r="W423" s="1268">
        <v>0</v>
      </c>
      <c r="X423" s="1268">
        <f t="shared" si="192"/>
        <v>242804</v>
      </c>
      <c r="Y423" s="1268">
        <f t="shared" si="192"/>
        <v>0</v>
      </c>
    </row>
    <row r="424" spans="1:25" s="1326" customFormat="1" ht="75.599999999999994">
      <c r="A424" s="1281">
        <v>334</v>
      </c>
      <c r="B424" s="1277" t="s">
        <v>1274</v>
      </c>
      <c r="C424" s="1268">
        <f>D424+N424+P424+R424+T424+V424+X424</f>
        <v>824658</v>
      </c>
      <c r="D424" s="1268">
        <f>SUM(E424:J424)</f>
        <v>0</v>
      </c>
      <c r="E424" s="1268">
        <v>0</v>
      </c>
      <c r="F424" s="1268">
        <v>0</v>
      </c>
      <c r="G424" s="1268">
        <v>0</v>
      </c>
      <c r="H424" s="1268">
        <v>0</v>
      </c>
      <c r="I424" s="1268">
        <v>0</v>
      </c>
      <c r="J424" s="1268">
        <v>0</v>
      </c>
      <c r="K424" s="1278">
        <v>0</v>
      </c>
      <c r="L424" s="1268">
        <v>0</v>
      </c>
      <c r="M424" s="1278">
        <v>0</v>
      </c>
      <c r="N424" s="1268">
        <v>0</v>
      </c>
      <c r="O424" s="1268">
        <v>243.65</v>
      </c>
      <c r="P424" s="1268">
        <v>764759</v>
      </c>
      <c r="Q424" s="1268">
        <v>0</v>
      </c>
      <c r="R424" s="1268">
        <v>0</v>
      </c>
      <c r="S424" s="1268">
        <v>0</v>
      </c>
      <c r="T424" s="1268">
        <v>0</v>
      </c>
      <c r="U424" s="1268">
        <v>0</v>
      </c>
      <c r="V424" s="1268">
        <v>0</v>
      </c>
      <c r="W424" s="1268">
        <v>0</v>
      </c>
      <c r="X424" s="1268">
        <v>59899</v>
      </c>
      <c r="Y424" s="1268">
        <v>0</v>
      </c>
    </row>
    <row r="425" spans="1:25" s="1326" customFormat="1">
      <c r="A425" s="1281">
        <v>335</v>
      </c>
      <c r="B425" s="1277" t="s">
        <v>1275</v>
      </c>
      <c r="C425" s="1268">
        <f>D425+N425+P425+R425+T425+V425+X425</f>
        <v>2518144</v>
      </c>
      <c r="D425" s="1268">
        <f>SUM(E425:J425)</f>
        <v>0</v>
      </c>
      <c r="E425" s="1268">
        <v>0</v>
      </c>
      <c r="F425" s="1268">
        <v>0</v>
      </c>
      <c r="G425" s="1268">
        <v>0</v>
      </c>
      <c r="H425" s="1268">
        <v>0</v>
      </c>
      <c r="I425" s="1268">
        <v>0</v>
      </c>
      <c r="J425" s="1268">
        <v>0</v>
      </c>
      <c r="K425" s="1278">
        <v>0</v>
      </c>
      <c r="L425" s="1268">
        <v>0</v>
      </c>
      <c r="M425" s="1278">
        <v>0</v>
      </c>
      <c r="N425" s="1268">
        <v>0</v>
      </c>
      <c r="O425" s="1268">
        <v>744</v>
      </c>
      <c r="P425" s="1268">
        <v>2335239</v>
      </c>
      <c r="Q425" s="1268">
        <v>0</v>
      </c>
      <c r="R425" s="1268">
        <v>0</v>
      </c>
      <c r="S425" s="1268">
        <v>0</v>
      </c>
      <c r="T425" s="1268">
        <v>0</v>
      </c>
      <c r="U425" s="1268">
        <v>0</v>
      </c>
      <c r="V425" s="1268">
        <v>0</v>
      </c>
      <c r="W425" s="1268">
        <v>0</v>
      </c>
      <c r="X425" s="1268">
        <v>182905</v>
      </c>
      <c r="Y425" s="1268">
        <v>0</v>
      </c>
    </row>
    <row r="426" spans="1:25" s="1326" customFormat="1" ht="113.4">
      <c r="A426" s="1281"/>
      <c r="B426" s="1277" t="s">
        <v>1161</v>
      </c>
      <c r="C426" s="1289">
        <f>SUM(C427:C432)</f>
        <v>30817012</v>
      </c>
      <c r="D426" s="1289">
        <f t="shared" ref="D426:Y426" si="193">SUM(D427:D432)</f>
        <v>0</v>
      </c>
      <c r="E426" s="1289">
        <f t="shared" si="193"/>
        <v>0</v>
      </c>
      <c r="F426" s="1289">
        <f t="shared" si="193"/>
        <v>0</v>
      </c>
      <c r="G426" s="1289">
        <f t="shared" si="193"/>
        <v>0</v>
      </c>
      <c r="H426" s="1289">
        <f t="shared" si="193"/>
        <v>0</v>
      </c>
      <c r="I426" s="1289">
        <f t="shared" si="193"/>
        <v>0</v>
      </c>
      <c r="J426" s="1289">
        <f t="shared" si="193"/>
        <v>0</v>
      </c>
      <c r="K426" s="1278">
        <f t="shared" si="193"/>
        <v>0</v>
      </c>
      <c r="L426" s="1289">
        <f t="shared" si="193"/>
        <v>0</v>
      </c>
      <c r="M426" s="1278">
        <f t="shared" si="193"/>
        <v>2</v>
      </c>
      <c r="N426" s="1289">
        <f t="shared" si="193"/>
        <v>4509822</v>
      </c>
      <c r="O426" s="1289">
        <f t="shared" si="193"/>
        <v>7844.3</v>
      </c>
      <c r="P426" s="1289">
        <f t="shared" si="193"/>
        <v>24068800</v>
      </c>
      <c r="Q426" s="1289">
        <f t="shared" si="193"/>
        <v>0</v>
      </c>
      <c r="R426" s="1289">
        <f t="shared" si="193"/>
        <v>0</v>
      </c>
      <c r="S426" s="1289">
        <f t="shared" si="193"/>
        <v>0</v>
      </c>
      <c r="T426" s="1289">
        <f t="shared" si="193"/>
        <v>0</v>
      </c>
      <c r="U426" s="1289">
        <f t="shared" si="193"/>
        <v>0</v>
      </c>
      <c r="V426" s="1289">
        <f t="shared" si="193"/>
        <v>0</v>
      </c>
      <c r="W426" s="1268">
        <v>0</v>
      </c>
      <c r="X426" s="1289">
        <f t="shared" si="193"/>
        <v>2238390</v>
      </c>
      <c r="Y426" s="1289">
        <f t="shared" si="193"/>
        <v>0</v>
      </c>
    </row>
    <row r="427" spans="1:25" s="1326" customFormat="1">
      <c r="A427" s="1281">
        <v>336</v>
      </c>
      <c r="B427" s="1277" t="s">
        <v>1549</v>
      </c>
      <c r="C427" s="1268">
        <f>D427+N427+P427+R427+T427+V427+X427</f>
        <v>2866597</v>
      </c>
      <c r="D427" s="1268">
        <f>SUM(E427:J427)</f>
        <v>0</v>
      </c>
      <c r="E427" s="1289">
        <v>0</v>
      </c>
      <c r="F427" s="1289">
        <v>0</v>
      </c>
      <c r="G427" s="1289">
        <v>0</v>
      </c>
      <c r="H427" s="1289">
        <v>0</v>
      </c>
      <c r="I427" s="1289">
        <v>0</v>
      </c>
      <c r="J427" s="1289">
        <v>0</v>
      </c>
      <c r="K427" s="1278">
        <v>0</v>
      </c>
      <c r="L427" s="1289">
        <v>0</v>
      </c>
      <c r="M427" s="1278">
        <v>0</v>
      </c>
      <c r="N427" s="1289">
        <v>0</v>
      </c>
      <c r="O427" s="1289">
        <v>1055</v>
      </c>
      <c r="P427" s="1289">
        <v>2658382</v>
      </c>
      <c r="Q427" s="1289">
        <v>0</v>
      </c>
      <c r="R427" s="1289">
        <v>0</v>
      </c>
      <c r="S427" s="1289">
        <v>0</v>
      </c>
      <c r="T427" s="1289">
        <v>0</v>
      </c>
      <c r="U427" s="1289">
        <v>0</v>
      </c>
      <c r="V427" s="1289">
        <v>0</v>
      </c>
      <c r="W427" s="1268">
        <v>0</v>
      </c>
      <c r="X427" s="1327">
        <v>208215</v>
      </c>
      <c r="Y427" s="1289">
        <v>0</v>
      </c>
    </row>
    <row r="428" spans="1:25" s="1326" customFormat="1">
      <c r="A428" s="1281">
        <v>337</v>
      </c>
      <c r="B428" s="1277" t="s">
        <v>1815</v>
      </c>
      <c r="C428" s="1268">
        <f t="shared" ref="C428:C432" si="194">D428+N428+P428+R428+T428+V428+X428</f>
        <v>10503750</v>
      </c>
      <c r="D428" s="1268">
        <f t="shared" ref="D428:D432" si="195">SUM(E428:J428)</f>
        <v>0</v>
      </c>
      <c r="E428" s="1289">
        <v>0</v>
      </c>
      <c r="F428" s="1289">
        <v>0</v>
      </c>
      <c r="G428" s="1289">
        <v>0</v>
      </c>
      <c r="H428" s="1289">
        <v>0</v>
      </c>
      <c r="I428" s="1289">
        <v>0</v>
      </c>
      <c r="J428" s="1289">
        <v>0</v>
      </c>
      <c r="K428" s="1278">
        <v>0</v>
      </c>
      <c r="L428" s="1289">
        <v>0</v>
      </c>
      <c r="M428" s="1278">
        <v>0</v>
      </c>
      <c r="N428" s="1289">
        <v>0</v>
      </c>
      <c r="O428" s="1289">
        <v>2633</v>
      </c>
      <c r="P428" s="1289">
        <v>9740812</v>
      </c>
      <c r="Q428" s="1289">
        <v>0</v>
      </c>
      <c r="R428" s="1289">
        <v>0</v>
      </c>
      <c r="S428" s="1289">
        <v>0</v>
      </c>
      <c r="T428" s="1289">
        <v>0</v>
      </c>
      <c r="U428" s="1289">
        <v>0</v>
      </c>
      <c r="V428" s="1289">
        <v>0</v>
      </c>
      <c r="W428" s="1268">
        <v>0</v>
      </c>
      <c r="X428" s="1327">
        <v>762938</v>
      </c>
      <c r="Y428" s="1289">
        <v>0</v>
      </c>
    </row>
    <row r="429" spans="1:25" s="1326" customFormat="1">
      <c r="A429" s="1281">
        <v>338</v>
      </c>
      <c r="B429" s="1277" t="s">
        <v>1550</v>
      </c>
      <c r="C429" s="1268">
        <f t="shared" si="194"/>
        <v>5665266</v>
      </c>
      <c r="D429" s="1268">
        <f t="shared" si="195"/>
        <v>0</v>
      </c>
      <c r="E429" s="1289">
        <v>0</v>
      </c>
      <c r="F429" s="1289">
        <v>0</v>
      </c>
      <c r="G429" s="1289">
        <v>0</v>
      </c>
      <c r="H429" s="1289">
        <v>0</v>
      </c>
      <c r="I429" s="1289">
        <v>0</v>
      </c>
      <c r="J429" s="1289">
        <v>0</v>
      </c>
      <c r="K429" s="1278">
        <v>0</v>
      </c>
      <c r="L429" s="1289">
        <v>0</v>
      </c>
      <c r="M429" s="1278">
        <v>0</v>
      </c>
      <c r="N429" s="1289">
        <v>0</v>
      </c>
      <c r="O429" s="1289">
        <v>2085</v>
      </c>
      <c r="P429" s="1289">
        <v>5253770</v>
      </c>
      <c r="Q429" s="1289">
        <v>0</v>
      </c>
      <c r="R429" s="1289">
        <v>0</v>
      </c>
      <c r="S429" s="1289">
        <v>0</v>
      </c>
      <c r="T429" s="1289">
        <v>0</v>
      </c>
      <c r="U429" s="1289">
        <v>0</v>
      </c>
      <c r="V429" s="1289">
        <v>0</v>
      </c>
      <c r="W429" s="1268">
        <v>0</v>
      </c>
      <c r="X429" s="1327">
        <v>411496</v>
      </c>
      <c r="Y429" s="1289">
        <v>0</v>
      </c>
    </row>
    <row r="430" spans="1:25" s="1326" customFormat="1" ht="56.4" customHeight="1">
      <c r="A430" s="1281">
        <v>339</v>
      </c>
      <c r="B430" s="1277" t="s">
        <v>1816</v>
      </c>
      <c r="C430" s="1268">
        <f t="shared" si="194"/>
        <v>4046318</v>
      </c>
      <c r="D430" s="1268">
        <f t="shared" si="195"/>
        <v>0</v>
      </c>
      <c r="E430" s="1289">
        <v>0</v>
      </c>
      <c r="F430" s="1289">
        <v>0</v>
      </c>
      <c r="G430" s="1289">
        <v>0</v>
      </c>
      <c r="H430" s="1289">
        <v>0</v>
      </c>
      <c r="I430" s="1289">
        <v>0</v>
      </c>
      <c r="J430" s="1289">
        <v>0</v>
      </c>
      <c r="K430" s="1278">
        <v>0</v>
      </c>
      <c r="L430" s="1289">
        <v>0</v>
      </c>
      <c r="M430" s="1278">
        <v>0</v>
      </c>
      <c r="N430" s="1289">
        <v>0</v>
      </c>
      <c r="O430" s="1289">
        <v>1014.3</v>
      </c>
      <c r="P430" s="1289">
        <v>3752414</v>
      </c>
      <c r="Q430" s="1289">
        <v>0</v>
      </c>
      <c r="R430" s="1289">
        <v>0</v>
      </c>
      <c r="S430" s="1289">
        <v>0</v>
      </c>
      <c r="T430" s="1289">
        <v>0</v>
      </c>
      <c r="U430" s="1289">
        <v>0</v>
      </c>
      <c r="V430" s="1289">
        <v>0</v>
      </c>
      <c r="W430" s="1268">
        <v>0</v>
      </c>
      <c r="X430" s="1327">
        <v>293904</v>
      </c>
      <c r="Y430" s="1289">
        <v>0</v>
      </c>
    </row>
    <row r="431" spans="1:25" s="1326" customFormat="1" ht="51.6" customHeight="1">
      <c r="A431" s="1281">
        <v>340</v>
      </c>
      <c r="B431" s="1277" t="s">
        <v>1817</v>
      </c>
      <c r="C431" s="1268">
        <f t="shared" si="194"/>
        <v>2872032</v>
      </c>
      <c r="D431" s="1268">
        <f t="shared" si="195"/>
        <v>0</v>
      </c>
      <c r="E431" s="1289">
        <v>0</v>
      </c>
      <c r="F431" s="1289">
        <v>0</v>
      </c>
      <c r="G431" s="1289">
        <v>0</v>
      </c>
      <c r="H431" s="1289">
        <v>0</v>
      </c>
      <c r="I431" s="1289">
        <v>0</v>
      </c>
      <c r="J431" s="1289">
        <v>0</v>
      </c>
      <c r="K431" s="1278">
        <v>0</v>
      </c>
      <c r="L431" s="1289">
        <v>0</v>
      </c>
      <c r="M431" s="1278">
        <v>0</v>
      </c>
      <c r="N431" s="1289">
        <v>0</v>
      </c>
      <c r="O431" s="1289">
        <v>1057</v>
      </c>
      <c r="P431" s="1289">
        <v>2663422</v>
      </c>
      <c r="Q431" s="1289">
        <v>0</v>
      </c>
      <c r="R431" s="1289">
        <v>0</v>
      </c>
      <c r="S431" s="1289">
        <v>0</v>
      </c>
      <c r="T431" s="1289">
        <v>0</v>
      </c>
      <c r="U431" s="1289">
        <v>0</v>
      </c>
      <c r="V431" s="1289">
        <v>0</v>
      </c>
      <c r="W431" s="1268">
        <v>0</v>
      </c>
      <c r="X431" s="1327">
        <v>208610</v>
      </c>
      <c r="Y431" s="1289">
        <v>0</v>
      </c>
    </row>
    <row r="432" spans="1:25" s="1326" customFormat="1">
      <c r="A432" s="1281">
        <v>341</v>
      </c>
      <c r="B432" s="1277" t="s">
        <v>1551</v>
      </c>
      <c r="C432" s="1268">
        <f t="shared" si="194"/>
        <v>4863049</v>
      </c>
      <c r="D432" s="1268">
        <f t="shared" si="195"/>
        <v>0</v>
      </c>
      <c r="E432" s="1289">
        <v>0</v>
      </c>
      <c r="F432" s="1289">
        <v>0</v>
      </c>
      <c r="G432" s="1289">
        <v>0</v>
      </c>
      <c r="H432" s="1289">
        <v>0</v>
      </c>
      <c r="I432" s="1289">
        <v>0</v>
      </c>
      <c r="J432" s="1289">
        <v>0</v>
      </c>
      <c r="K432" s="1278">
        <v>0</v>
      </c>
      <c r="L432" s="1289">
        <v>0</v>
      </c>
      <c r="M432" s="1278">
        <v>2</v>
      </c>
      <c r="N432" s="1289">
        <v>4509822</v>
      </c>
      <c r="O432" s="1289">
        <v>0</v>
      </c>
      <c r="P432" s="1289">
        <v>0</v>
      </c>
      <c r="Q432" s="1289">
        <v>0</v>
      </c>
      <c r="R432" s="1289">
        <v>0</v>
      </c>
      <c r="S432" s="1289">
        <v>0</v>
      </c>
      <c r="T432" s="1289">
        <v>0</v>
      </c>
      <c r="U432" s="1289">
        <v>0</v>
      </c>
      <c r="V432" s="1289">
        <v>0</v>
      </c>
      <c r="W432" s="1268">
        <v>0</v>
      </c>
      <c r="X432" s="1327">
        <v>353227</v>
      </c>
      <c r="Y432" s="1289">
        <v>0</v>
      </c>
    </row>
    <row r="433" spans="1:25" s="1326" customFormat="1">
      <c r="A433" s="1281"/>
      <c r="B433" s="1277" t="s">
        <v>67</v>
      </c>
      <c r="C433" s="1268">
        <f>C436+C439+C434</f>
        <v>5793995</v>
      </c>
      <c r="D433" s="1268">
        <f t="shared" ref="D433:Y433" si="196">D436+D439+D434</f>
        <v>760061</v>
      </c>
      <c r="E433" s="1268">
        <f t="shared" si="196"/>
        <v>760061</v>
      </c>
      <c r="F433" s="1268">
        <f t="shared" si="196"/>
        <v>0</v>
      </c>
      <c r="G433" s="1268">
        <f t="shared" si="196"/>
        <v>0</v>
      </c>
      <c r="H433" s="1268">
        <f t="shared" si="196"/>
        <v>0</v>
      </c>
      <c r="I433" s="1268">
        <f t="shared" si="196"/>
        <v>0</v>
      </c>
      <c r="J433" s="1268">
        <f t="shared" si="196"/>
        <v>0</v>
      </c>
      <c r="K433" s="1278">
        <f t="shared" si="196"/>
        <v>0</v>
      </c>
      <c r="L433" s="1268">
        <f t="shared" si="196"/>
        <v>0</v>
      </c>
      <c r="M433" s="1278">
        <f t="shared" si="196"/>
        <v>0</v>
      </c>
      <c r="N433" s="1268">
        <f t="shared" si="196"/>
        <v>0</v>
      </c>
      <c r="O433" s="1268">
        <f t="shared" si="196"/>
        <v>1788.49</v>
      </c>
      <c r="P433" s="1268">
        <f t="shared" si="196"/>
        <v>4613088</v>
      </c>
      <c r="Q433" s="1268">
        <f t="shared" si="196"/>
        <v>0</v>
      </c>
      <c r="R433" s="1268">
        <f t="shared" si="196"/>
        <v>0</v>
      </c>
      <c r="S433" s="1268">
        <f t="shared" si="196"/>
        <v>0</v>
      </c>
      <c r="T433" s="1268">
        <f t="shared" si="196"/>
        <v>0</v>
      </c>
      <c r="U433" s="1268">
        <f t="shared" si="196"/>
        <v>0</v>
      </c>
      <c r="V433" s="1268">
        <f t="shared" si="196"/>
        <v>0</v>
      </c>
      <c r="W433" s="1268">
        <v>0</v>
      </c>
      <c r="X433" s="1268">
        <f t="shared" si="196"/>
        <v>420846</v>
      </c>
      <c r="Y433" s="1268">
        <f t="shared" si="196"/>
        <v>0</v>
      </c>
    </row>
    <row r="434" spans="1:25" s="1326" customFormat="1" ht="91.8" customHeight="1">
      <c r="A434" s="1281"/>
      <c r="B434" s="1277" t="s">
        <v>1102</v>
      </c>
      <c r="C434" s="1268">
        <f>C435</f>
        <v>1695504</v>
      </c>
      <c r="D434" s="1268">
        <f t="shared" ref="D434:Y434" si="197">D435</f>
        <v>0</v>
      </c>
      <c r="E434" s="1268">
        <f t="shared" si="197"/>
        <v>0</v>
      </c>
      <c r="F434" s="1268">
        <f t="shared" si="197"/>
        <v>0</v>
      </c>
      <c r="G434" s="1268">
        <f t="shared" si="197"/>
        <v>0</v>
      </c>
      <c r="H434" s="1268">
        <f t="shared" si="197"/>
        <v>0</v>
      </c>
      <c r="I434" s="1268">
        <f t="shared" si="197"/>
        <v>0</v>
      </c>
      <c r="J434" s="1268">
        <f t="shared" si="197"/>
        <v>0</v>
      </c>
      <c r="K434" s="1278">
        <f t="shared" si="197"/>
        <v>0</v>
      </c>
      <c r="L434" s="1268">
        <f t="shared" si="197"/>
        <v>0</v>
      </c>
      <c r="M434" s="1278">
        <f t="shared" si="197"/>
        <v>0</v>
      </c>
      <c r="N434" s="1268">
        <f t="shared" si="197"/>
        <v>0</v>
      </c>
      <c r="O434" s="1268">
        <f t="shared" si="197"/>
        <v>624</v>
      </c>
      <c r="P434" s="1268">
        <f t="shared" si="197"/>
        <v>1572351</v>
      </c>
      <c r="Q434" s="1268">
        <f t="shared" si="197"/>
        <v>0</v>
      </c>
      <c r="R434" s="1268">
        <f t="shared" si="197"/>
        <v>0</v>
      </c>
      <c r="S434" s="1268">
        <f t="shared" si="197"/>
        <v>0</v>
      </c>
      <c r="T434" s="1268">
        <f t="shared" si="197"/>
        <v>0</v>
      </c>
      <c r="U434" s="1268">
        <f t="shared" si="197"/>
        <v>0</v>
      </c>
      <c r="V434" s="1268">
        <f t="shared" si="197"/>
        <v>0</v>
      </c>
      <c r="W434" s="1268">
        <v>0</v>
      </c>
      <c r="X434" s="1268">
        <f t="shared" si="197"/>
        <v>123153</v>
      </c>
      <c r="Y434" s="1268">
        <f t="shared" si="197"/>
        <v>0</v>
      </c>
    </row>
    <row r="435" spans="1:25" s="1326" customFormat="1">
      <c r="A435" s="1281">
        <v>342</v>
      </c>
      <c r="B435" s="1277" t="s">
        <v>1515</v>
      </c>
      <c r="C435" s="1268">
        <f>D435+N435+P435+R435+T435+V435+X435</f>
        <v>1695504</v>
      </c>
      <c r="D435" s="1268">
        <f>SUM(E435:J435)</f>
        <v>0</v>
      </c>
      <c r="E435" s="1268">
        <v>0</v>
      </c>
      <c r="F435" s="1268">
        <v>0</v>
      </c>
      <c r="G435" s="1268">
        <v>0</v>
      </c>
      <c r="H435" s="1268">
        <v>0</v>
      </c>
      <c r="I435" s="1268">
        <v>0</v>
      </c>
      <c r="J435" s="1268">
        <v>0</v>
      </c>
      <c r="K435" s="1278">
        <v>0</v>
      </c>
      <c r="L435" s="1268">
        <v>0</v>
      </c>
      <c r="M435" s="1278">
        <v>0</v>
      </c>
      <c r="N435" s="1268">
        <v>0</v>
      </c>
      <c r="O435" s="1268">
        <v>624</v>
      </c>
      <c r="P435" s="1268">
        <v>1572351</v>
      </c>
      <c r="Q435" s="1268">
        <v>0</v>
      </c>
      <c r="R435" s="1268">
        <v>0</v>
      </c>
      <c r="S435" s="1268">
        <v>0</v>
      </c>
      <c r="T435" s="1268">
        <v>0</v>
      </c>
      <c r="U435" s="1268">
        <v>0</v>
      </c>
      <c r="V435" s="1268">
        <v>0</v>
      </c>
      <c r="W435" s="1268">
        <v>0</v>
      </c>
      <c r="X435" s="1268">
        <v>123153</v>
      </c>
      <c r="Y435" s="1268">
        <v>0</v>
      </c>
    </row>
    <row r="436" spans="1:25" s="1326" customFormat="1" ht="113.4">
      <c r="A436" s="1281"/>
      <c r="B436" s="1277" t="s">
        <v>1345</v>
      </c>
      <c r="C436" s="1268">
        <f>C437+C438</f>
        <v>3278899</v>
      </c>
      <c r="D436" s="1268">
        <f t="shared" ref="D436:Y436" si="198">D437+D438</f>
        <v>0</v>
      </c>
      <c r="E436" s="1268">
        <f t="shared" si="198"/>
        <v>0</v>
      </c>
      <c r="F436" s="1268">
        <f t="shared" si="198"/>
        <v>0</v>
      </c>
      <c r="G436" s="1268">
        <f t="shared" si="198"/>
        <v>0</v>
      </c>
      <c r="H436" s="1268">
        <f t="shared" si="198"/>
        <v>0</v>
      </c>
      <c r="I436" s="1268">
        <f t="shared" si="198"/>
        <v>0</v>
      </c>
      <c r="J436" s="1268">
        <f t="shared" si="198"/>
        <v>0</v>
      </c>
      <c r="K436" s="1278">
        <f t="shared" si="198"/>
        <v>0</v>
      </c>
      <c r="L436" s="1268">
        <f t="shared" si="198"/>
        <v>0</v>
      </c>
      <c r="M436" s="1278">
        <f t="shared" si="198"/>
        <v>0</v>
      </c>
      <c r="N436" s="1268">
        <f t="shared" si="198"/>
        <v>0</v>
      </c>
      <c r="O436" s="1268">
        <f t="shared" si="198"/>
        <v>1164.49</v>
      </c>
      <c r="P436" s="1268">
        <f t="shared" si="198"/>
        <v>3040737</v>
      </c>
      <c r="Q436" s="1268">
        <f t="shared" si="198"/>
        <v>0</v>
      </c>
      <c r="R436" s="1268">
        <f t="shared" si="198"/>
        <v>0</v>
      </c>
      <c r="S436" s="1268">
        <f t="shared" si="198"/>
        <v>0</v>
      </c>
      <c r="T436" s="1268">
        <f t="shared" si="198"/>
        <v>0</v>
      </c>
      <c r="U436" s="1268">
        <f t="shared" si="198"/>
        <v>0</v>
      </c>
      <c r="V436" s="1268">
        <f t="shared" si="198"/>
        <v>0</v>
      </c>
      <c r="W436" s="1268">
        <v>0</v>
      </c>
      <c r="X436" s="1268">
        <f t="shared" si="198"/>
        <v>238162</v>
      </c>
      <c r="Y436" s="1268">
        <f t="shared" si="198"/>
        <v>0</v>
      </c>
    </row>
    <row r="437" spans="1:25" s="1326" customFormat="1" ht="133.19999999999999" customHeight="1">
      <c r="A437" s="1281">
        <v>343</v>
      </c>
      <c r="B437" s="1277" t="s">
        <v>1818</v>
      </c>
      <c r="C437" s="1268">
        <f>D437+N437+P437+R437+T437+V437+X437</f>
        <v>2696748</v>
      </c>
      <c r="D437" s="1268">
        <f>SUM(E437:J437)</f>
        <v>0</v>
      </c>
      <c r="E437" s="1268">
        <v>0</v>
      </c>
      <c r="F437" s="1268">
        <v>0</v>
      </c>
      <c r="G437" s="1268">
        <v>0</v>
      </c>
      <c r="H437" s="1268">
        <v>0</v>
      </c>
      <c r="I437" s="1268">
        <v>0</v>
      </c>
      <c r="J437" s="1268">
        <v>0</v>
      </c>
      <c r="K437" s="1278">
        <v>0</v>
      </c>
      <c r="L437" s="1268">
        <v>0</v>
      </c>
      <c r="M437" s="1278">
        <v>0</v>
      </c>
      <c r="N437" s="1268">
        <v>0</v>
      </c>
      <c r="O437" s="1268">
        <v>992.49</v>
      </c>
      <c r="P437" s="1268">
        <v>2500870</v>
      </c>
      <c r="Q437" s="1268">
        <v>0</v>
      </c>
      <c r="R437" s="1268">
        <v>0</v>
      </c>
      <c r="S437" s="1268">
        <v>0</v>
      </c>
      <c r="T437" s="1268">
        <v>0</v>
      </c>
      <c r="U437" s="1268">
        <v>0</v>
      </c>
      <c r="V437" s="1268">
        <v>0</v>
      </c>
      <c r="W437" s="1268">
        <v>0</v>
      </c>
      <c r="X437" s="1268">
        <v>195878</v>
      </c>
      <c r="Y437" s="1268">
        <v>0</v>
      </c>
    </row>
    <row r="438" spans="1:25" s="1326" customFormat="1" ht="75.599999999999994">
      <c r="A438" s="1281">
        <v>344</v>
      </c>
      <c r="B438" s="1277" t="s">
        <v>1819</v>
      </c>
      <c r="C438" s="1268">
        <f>D438+N438+P438+R438+T438+V438+X438</f>
        <v>582151</v>
      </c>
      <c r="D438" s="1268">
        <f>SUM(E438:J438)</f>
        <v>0</v>
      </c>
      <c r="E438" s="1268">
        <v>0</v>
      </c>
      <c r="F438" s="1268">
        <v>0</v>
      </c>
      <c r="G438" s="1268">
        <v>0</v>
      </c>
      <c r="H438" s="1268">
        <v>0</v>
      </c>
      <c r="I438" s="1268">
        <v>0</v>
      </c>
      <c r="J438" s="1268">
        <v>0</v>
      </c>
      <c r="K438" s="1278">
        <v>0</v>
      </c>
      <c r="L438" s="1268">
        <v>0</v>
      </c>
      <c r="M438" s="1278">
        <v>0</v>
      </c>
      <c r="N438" s="1268">
        <v>0</v>
      </c>
      <c r="O438" s="1268">
        <v>172</v>
      </c>
      <c r="P438" s="1268">
        <v>539867</v>
      </c>
      <c r="Q438" s="1268">
        <v>0</v>
      </c>
      <c r="R438" s="1268">
        <v>0</v>
      </c>
      <c r="S438" s="1268">
        <v>0</v>
      </c>
      <c r="T438" s="1268">
        <v>0</v>
      </c>
      <c r="U438" s="1268">
        <v>0</v>
      </c>
      <c r="V438" s="1268">
        <v>0</v>
      </c>
      <c r="W438" s="1268">
        <v>0</v>
      </c>
      <c r="X438" s="1268">
        <v>42284</v>
      </c>
      <c r="Y438" s="1268">
        <v>0</v>
      </c>
    </row>
    <row r="439" spans="1:25" s="1326" customFormat="1" ht="113.4">
      <c r="A439" s="1281"/>
      <c r="B439" s="1277" t="s">
        <v>1219</v>
      </c>
      <c r="C439" s="1268">
        <f>C440+C441</f>
        <v>819592</v>
      </c>
      <c r="D439" s="1268">
        <f t="shared" ref="D439:Y439" si="199">D440+D441</f>
        <v>760061</v>
      </c>
      <c r="E439" s="1268">
        <f t="shared" si="199"/>
        <v>760061</v>
      </c>
      <c r="F439" s="1268">
        <f t="shared" si="199"/>
        <v>0</v>
      </c>
      <c r="G439" s="1268">
        <f t="shared" si="199"/>
        <v>0</v>
      </c>
      <c r="H439" s="1268">
        <f t="shared" si="199"/>
        <v>0</v>
      </c>
      <c r="I439" s="1268">
        <f t="shared" si="199"/>
        <v>0</v>
      </c>
      <c r="J439" s="1268">
        <f t="shared" si="199"/>
        <v>0</v>
      </c>
      <c r="K439" s="1278">
        <f t="shared" si="199"/>
        <v>0</v>
      </c>
      <c r="L439" s="1268">
        <f t="shared" si="199"/>
        <v>0</v>
      </c>
      <c r="M439" s="1278">
        <f t="shared" si="199"/>
        <v>0</v>
      </c>
      <c r="N439" s="1268">
        <f t="shared" si="199"/>
        <v>0</v>
      </c>
      <c r="O439" s="1268">
        <f t="shared" si="199"/>
        <v>0</v>
      </c>
      <c r="P439" s="1268">
        <f t="shared" si="199"/>
        <v>0</v>
      </c>
      <c r="Q439" s="1268">
        <f t="shared" si="199"/>
        <v>0</v>
      </c>
      <c r="R439" s="1268">
        <f t="shared" si="199"/>
        <v>0</v>
      </c>
      <c r="S439" s="1268">
        <f t="shared" si="199"/>
        <v>0</v>
      </c>
      <c r="T439" s="1268">
        <f t="shared" si="199"/>
        <v>0</v>
      </c>
      <c r="U439" s="1268">
        <f t="shared" si="199"/>
        <v>0</v>
      </c>
      <c r="V439" s="1268">
        <f t="shared" si="199"/>
        <v>0</v>
      </c>
      <c r="W439" s="1268">
        <v>0</v>
      </c>
      <c r="X439" s="1268">
        <f t="shared" si="199"/>
        <v>59531</v>
      </c>
      <c r="Y439" s="1268">
        <f t="shared" si="199"/>
        <v>0</v>
      </c>
    </row>
    <row r="440" spans="1:25" s="1326" customFormat="1">
      <c r="A440" s="1281">
        <v>345</v>
      </c>
      <c r="B440" s="1277" t="s">
        <v>1387</v>
      </c>
      <c r="C440" s="1268">
        <f>D440+N440+P440+R440+T440+V440+X440</f>
        <v>411377</v>
      </c>
      <c r="D440" s="1268">
        <f>SUM(E440:J440)</f>
        <v>381497</v>
      </c>
      <c r="E440" s="1268">
        <v>381497</v>
      </c>
      <c r="F440" s="1268">
        <v>0</v>
      </c>
      <c r="G440" s="1268">
        <v>0</v>
      </c>
      <c r="H440" s="1268">
        <v>0</v>
      </c>
      <c r="I440" s="1268">
        <v>0</v>
      </c>
      <c r="J440" s="1268">
        <v>0</v>
      </c>
      <c r="K440" s="1278">
        <v>0</v>
      </c>
      <c r="L440" s="1268">
        <v>0</v>
      </c>
      <c r="M440" s="1278">
        <v>0</v>
      </c>
      <c r="N440" s="1268">
        <v>0</v>
      </c>
      <c r="O440" s="1268">
        <v>0</v>
      </c>
      <c r="P440" s="1268">
        <v>0</v>
      </c>
      <c r="Q440" s="1268">
        <v>0</v>
      </c>
      <c r="R440" s="1268">
        <v>0</v>
      </c>
      <c r="S440" s="1268">
        <v>0</v>
      </c>
      <c r="T440" s="1268">
        <v>0</v>
      </c>
      <c r="U440" s="1268">
        <v>0</v>
      </c>
      <c r="V440" s="1268">
        <v>0</v>
      </c>
      <c r="W440" s="1268">
        <v>0</v>
      </c>
      <c r="X440" s="1268">
        <v>29880</v>
      </c>
      <c r="Y440" s="1268">
        <v>0</v>
      </c>
    </row>
    <row r="441" spans="1:25" s="1326" customFormat="1" ht="75.599999999999994">
      <c r="A441" s="1281">
        <v>346</v>
      </c>
      <c r="B441" s="1277" t="s">
        <v>1388</v>
      </c>
      <c r="C441" s="1268">
        <f>D441+N441+P441+R441+T441+V441+X441</f>
        <v>408215</v>
      </c>
      <c r="D441" s="1268">
        <f>SUM(E441:J441)</f>
        <v>378564</v>
      </c>
      <c r="E441" s="1268">
        <v>378564</v>
      </c>
      <c r="F441" s="1268">
        <v>0</v>
      </c>
      <c r="G441" s="1268">
        <v>0</v>
      </c>
      <c r="H441" s="1268">
        <v>0</v>
      </c>
      <c r="I441" s="1268">
        <v>0</v>
      </c>
      <c r="J441" s="1268">
        <v>0</v>
      </c>
      <c r="K441" s="1278">
        <v>0</v>
      </c>
      <c r="L441" s="1268">
        <v>0</v>
      </c>
      <c r="M441" s="1278">
        <v>0</v>
      </c>
      <c r="N441" s="1268">
        <v>0</v>
      </c>
      <c r="O441" s="1268">
        <v>0</v>
      </c>
      <c r="P441" s="1268">
        <v>0</v>
      </c>
      <c r="Q441" s="1268">
        <v>0</v>
      </c>
      <c r="R441" s="1268">
        <v>0</v>
      </c>
      <c r="S441" s="1268">
        <v>0</v>
      </c>
      <c r="T441" s="1268">
        <v>0</v>
      </c>
      <c r="U441" s="1268">
        <v>0</v>
      </c>
      <c r="V441" s="1268">
        <v>0</v>
      </c>
      <c r="W441" s="1268">
        <v>0</v>
      </c>
      <c r="X441" s="1268">
        <v>29651</v>
      </c>
      <c r="Y441" s="1268">
        <v>0</v>
      </c>
    </row>
    <row r="442" spans="1:25" s="1326" customFormat="1">
      <c r="A442" s="1562" t="s">
        <v>2385</v>
      </c>
      <c r="B442" s="1563"/>
      <c r="C442" s="1563"/>
      <c r="D442" s="1563"/>
      <c r="E442" s="1563"/>
      <c r="F442" s="1563"/>
      <c r="G442" s="1563"/>
      <c r="H442" s="1563"/>
      <c r="I442" s="1563"/>
      <c r="J442" s="1563"/>
      <c r="K442" s="1563"/>
      <c r="L442" s="1563"/>
      <c r="M442" s="1563"/>
      <c r="N442" s="1563"/>
      <c r="O442" s="1563"/>
      <c r="P442" s="1563"/>
      <c r="Q442" s="1563"/>
      <c r="R442" s="1563"/>
      <c r="S442" s="1563"/>
      <c r="T442" s="1563"/>
      <c r="U442" s="1563"/>
      <c r="V442" s="1563"/>
      <c r="W442" s="1563"/>
      <c r="X442" s="1563"/>
      <c r="Y442" s="1564"/>
    </row>
    <row r="443" spans="1:25" s="1326" customFormat="1" ht="75.599999999999994">
      <c r="A443" s="1281"/>
      <c r="B443" s="1277" t="s">
        <v>42</v>
      </c>
      <c r="C443" s="1268">
        <f t="shared" ref="C443:Y443" si="200">C444+C501+C520+C522+C530+C545+C551+C554+C562+C565+C573+C576+C579+C582+C591+C597+C605+C610+C631+C634+C637+C645+C651+C655+C664+C666+C669+C672+C676+C679+C688+C691+C696</f>
        <v>764121845</v>
      </c>
      <c r="D443" s="1268">
        <f t="shared" si="200"/>
        <v>135048979</v>
      </c>
      <c r="E443" s="1268">
        <f t="shared" si="200"/>
        <v>23299934</v>
      </c>
      <c r="F443" s="1268">
        <f t="shared" si="200"/>
        <v>40220229</v>
      </c>
      <c r="G443" s="1268">
        <f t="shared" si="200"/>
        <v>1479182</v>
      </c>
      <c r="H443" s="1268">
        <f t="shared" si="200"/>
        <v>37540673</v>
      </c>
      <c r="I443" s="1268">
        <f t="shared" si="200"/>
        <v>17598784</v>
      </c>
      <c r="J443" s="1268">
        <f t="shared" si="200"/>
        <v>14910177</v>
      </c>
      <c r="K443" s="1278">
        <f t="shared" si="200"/>
        <v>7</v>
      </c>
      <c r="L443" s="1268">
        <f t="shared" si="200"/>
        <v>2268525</v>
      </c>
      <c r="M443" s="1278">
        <f t="shared" si="200"/>
        <v>11</v>
      </c>
      <c r="N443" s="1268">
        <f t="shared" si="200"/>
        <v>24804021</v>
      </c>
      <c r="O443" s="1268">
        <f t="shared" si="200"/>
        <v>94878.159999999989</v>
      </c>
      <c r="P443" s="1268">
        <f t="shared" si="200"/>
        <v>264966174</v>
      </c>
      <c r="Q443" s="1268">
        <f t="shared" si="200"/>
        <v>0</v>
      </c>
      <c r="R443" s="1268">
        <f t="shared" si="200"/>
        <v>0</v>
      </c>
      <c r="S443" s="1268">
        <f t="shared" si="200"/>
        <v>79180.420000000013</v>
      </c>
      <c r="T443" s="1268">
        <f t="shared" si="200"/>
        <v>281285795</v>
      </c>
      <c r="U443" s="1268">
        <f t="shared" si="200"/>
        <v>0</v>
      </c>
      <c r="V443" s="1268">
        <f t="shared" si="200"/>
        <v>0</v>
      </c>
      <c r="W443" s="1268">
        <v>0</v>
      </c>
      <c r="X443" s="1268">
        <f t="shared" si="200"/>
        <v>55711123.807154529</v>
      </c>
      <c r="Y443" s="1268">
        <f t="shared" si="200"/>
        <v>129465</v>
      </c>
    </row>
    <row r="444" spans="1:25" s="1326" customFormat="1" ht="75.599999999999994">
      <c r="A444" s="1281"/>
      <c r="B444" s="1267" t="s">
        <v>1103</v>
      </c>
      <c r="C444" s="1268">
        <f>SUM(C445:C500)</f>
        <v>345069784</v>
      </c>
      <c r="D444" s="1268">
        <f t="shared" ref="D444:Y444" si="201">SUM(D445:D500)</f>
        <v>81274367</v>
      </c>
      <c r="E444" s="1268">
        <f t="shared" si="201"/>
        <v>21112834</v>
      </c>
      <c r="F444" s="1268">
        <f t="shared" si="201"/>
        <v>25801217</v>
      </c>
      <c r="G444" s="1268">
        <f t="shared" si="201"/>
        <v>451250</v>
      </c>
      <c r="H444" s="1268">
        <f t="shared" si="201"/>
        <v>15331125</v>
      </c>
      <c r="I444" s="1268">
        <f t="shared" si="201"/>
        <v>8992738</v>
      </c>
      <c r="J444" s="1268">
        <f t="shared" si="201"/>
        <v>9585203</v>
      </c>
      <c r="K444" s="1278">
        <f t="shared" si="201"/>
        <v>0</v>
      </c>
      <c r="L444" s="1268">
        <f t="shared" si="201"/>
        <v>719992</v>
      </c>
      <c r="M444" s="1278">
        <f t="shared" si="201"/>
        <v>0</v>
      </c>
      <c r="N444" s="1268">
        <f t="shared" si="201"/>
        <v>0</v>
      </c>
      <c r="O444" s="1268">
        <f t="shared" si="201"/>
        <v>11099.52</v>
      </c>
      <c r="P444" s="1268">
        <f t="shared" si="201"/>
        <v>33667298</v>
      </c>
      <c r="Q444" s="1268">
        <f t="shared" si="201"/>
        <v>0</v>
      </c>
      <c r="R444" s="1268">
        <f t="shared" si="201"/>
        <v>0</v>
      </c>
      <c r="S444" s="1268">
        <f t="shared" si="201"/>
        <v>52822.080000000009</v>
      </c>
      <c r="T444" s="1268">
        <f t="shared" si="201"/>
        <v>204344045</v>
      </c>
      <c r="U444" s="1268">
        <f t="shared" si="201"/>
        <v>0</v>
      </c>
      <c r="V444" s="1268">
        <f t="shared" si="201"/>
        <v>0</v>
      </c>
      <c r="W444" s="1268">
        <v>0</v>
      </c>
      <c r="X444" s="1268">
        <f t="shared" si="201"/>
        <v>25064082</v>
      </c>
      <c r="Y444" s="1268">
        <f t="shared" si="201"/>
        <v>0</v>
      </c>
    </row>
    <row r="445" spans="1:25" s="1326" customFormat="1">
      <c r="A445" s="1281">
        <v>1</v>
      </c>
      <c r="B445" s="1267" t="s">
        <v>1820</v>
      </c>
      <c r="C445" s="1289">
        <f>D445+N445+P445+R445+T445+V445+X445+L445</f>
        <v>1911448</v>
      </c>
      <c r="D445" s="1289">
        <f t="shared" ref="D445" si="202">SUM(E445:J445)</f>
        <v>0</v>
      </c>
      <c r="E445" s="1328">
        <v>0</v>
      </c>
      <c r="F445" s="1328">
        <v>0</v>
      </c>
      <c r="G445" s="1328">
        <v>0</v>
      </c>
      <c r="H445" s="1328">
        <v>0</v>
      </c>
      <c r="I445" s="1328">
        <v>0</v>
      </c>
      <c r="J445" s="1328">
        <v>0</v>
      </c>
      <c r="K445" s="1329">
        <v>0</v>
      </c>
      <c r="L445" s="1328">
        <v>0</v>
      </c>
      <c r="M445" s="1329">
        <v>0</v>
      </c>
      <c r="N445" s="1328">
        <v>0</v>
      </c>
      <c r="O445" s="1328">
        <v>0</v>
      </c>
      <c r="P445" s="1328">
        <v>0</v>
      </c>
      <c r="Q445" s="1328">
        <v>0</v>
      </c>
      <c r="R445" s="1328">
        <v>0</v>
      </c>
      <c r="S445" s="1328">
        <v>369.8</v>
      </c>
      <c r="T445" s="1328">
        <v>1772610</v>
      </c>
      <c r="U445" s="1328">
        <v>0</v>
      </c>
      <c r="V445" s="1328">
        <v>0</v>
      </c>
      <c r="W445" s="1328">
        <v>0</v>
      </c>
      <c r="X445" s="1289">
        <v>138838</v>
      </c>
      <c r="Y445" s="1289">
        <v>0</v>
      </c>
    </row>
    <row r="446" spans="1:25" s="1326" customFormat="1" ht="75.599999999999994">
      <c r="A446" s="1281">
        <v>2</v>
      </c>
      <c r="B446" s="1267" t="s">
        <v>2618</v>
      </c>
      <c r="C446" s="1289">
        <f t="shared" ref="C446:C500" si="203">D446+N446+P446+R446+T446+V446+X446+L446</f>
        <v>3800009</v>
      </c>
      <c r="D446" s="1289">
        <f t="shared" ref="D446:D500" si="204">SUM(E446:J446)</f>
        <v>3523996</v>
      </c>
      <c r="E446" s="1328">
        <v>0</v>
      </c>
      <c r="F446" s="1328">
        <v>0</v>
      </c>
      <c r="G446" s="1328">
        <v>0</v>
      </c>
      <c r="H446" s="1328">
        <v>2158868</v>
      </c>
      <c r="I446" s="1328">
        <v>0</v>
      </c>
      <c r="J446" s="1328">
        <v>1365128</v>
      </c>
      <c r="K446" s="1329">
        <v>0</v>
      </c>
      <c r="L446" s="1328">
        <v>0</v>
      </c>
      <c r="M446" s="1329">
        <v>0</v>
      </c>
      <c r="N446" s="1328">
        <v>0</v>
      </c>
      <c r="O446" s="1328">
        <v>0</v>
      </c>
      <c r="P446" s="1328">
        <v>0</v>
      </c>
      <c r="Q446" s="1328">
        <v>0</v>
      </c>
      <c r="R446" s="1328">
        <v>0</v>
      </c>
      <c r="S446" s="1328">
        <v>0</v>
      </c>
      <c r="T446" s="1328">
        <v>0</v>
      </c>
      <c r="U446" s="1328">
        <v>0</v>
      </c>
      <c r="V446" s="1328">
        <v>0</v>
      </c>
      <c r="W446" s="1328">
        <v>0</v>
      </c>
      <c r="X446" s="1289">
        <v>276013</v>
      </c>
      <c r="Y446" s="1289">
        <v>0</v>
      </c>
    </row>
    <row r="447" spans="1:25" s="1326" customFormat="1">
      <c r="A447" s="1281">
        <v>3</v>
      </c>
      <c r="B447" s="1267" t="s">
        <v>292</v>
      </c>
      <c r="C447" s="1289">
        <f t="shared" si="203"/>
        <v>5793390</v>
      </c>
      <c r="D447" s="1289">
        <f t="shared" si="204"/>
        <v>3129570</v>
      </c>
      <c r="E447" s="1328">
        <v>0</v>
      </c>
      <c r="F447" s="1328">
        <v>1939050</v>
      </c>
      <c r="G447" s="1328">
        <v>0</v>
      </c>
      <c r="H447" s="1328">
        <v>0</v>
      </c>
      <c r="I447" s="1328">
        <v>1190520</v>
      </c>
      <c r="J447" s="1328">
        <v>0</v>
      </c>
      <c r="K447" s="1329">
        <v>0</v>
      </c>
      <c r="L447" s="1328">
        <v>0</v>
      </c>
      <c r="M447" s="1329">
        <v>0</v>
      </c>
      <c r="N447" s="1328">
        <v>0</v>
      </c>
      <c r="O447" s="1328">
        <v>0</v>
      </c>
      <c r="P447" s="1328">
        <v>0</v>
      </c>
      <c r="Q447" s="1328">
        <v>0</v>
      </c>
      <c r="R447" s="1328">
        <v>0</v>
      </c>
      <c r="S447" s="1328">
        <v>908.95</v>
      </c>
      <c r="T447" s="1328">
        <v>2243018</v>
      </c>
      <c r="U447" s="1328">
        <v>0</v>
      </c>
      <c r="V447" s="1328">
        <v>0</v>
      </c>
      <c r="W447" s="1268">
        <v>0</v>
      </c>
      <c r="X447" s="1289">
        <v>420802</v>
      </c>
      <c r="Y447" s="1289">
        <v>0</v>
      </c>
    </row>
    <row r="448" spans="1:25" s="1280" customFormat="1">
      <c r="A448" s="1281">
        <v>4</v>
      </c>
      <c r="B448" s="1267" t="s">
        <v>1822</v>
      </c>
      <c r="C448" s="1289">
        <f t="shared" si="203"/>
        <v>4332444</v>
      </c>
      <c r="D448" s="1289">
        <f t="shared" si="204"/>
        <v>0</v>
      </c>
      <c r="E448" s="1328">
        <v>0</v>
      </c>
      <c r="F448" s="1328">
        <v>0</v>
      </c>
      <c r="G448" s="1328">
        <v>0</v>
      </c>
      <c r="H448" s="1328">
        <v>0</v>
      </c>
      <c r="I448" s="1328">
        <v>0</v>
      </c>
      <c r="J448" s="1328">
        <v>0</v>
      </c>
      <c r="K448" s="1329">
        <v>0</v>
      </c>
      <c r="L448" s="1328">
        <v>0</v>
      </c>
      <c r="M448" s="1329">
        <v>0</v>
      </c>
      <c r="N448" s="1328">
        <v>0</v>
      </c>
      <c r="O448" s="1328">
        <v>0</v>
      </c>
      <c r="P448" s="1328">
        <v>0</v>
      </c>
      <c r="Q448" s="1328">
        <v>0</v>
      </c>
      <c r="R448" s="1328">
        <v>0</v>
      </c>
      <c r="S448" s="1328">
        <v>838.18</v>
      </c>
      <c r="T448" s="1328">
        <v>4017758</v>
      </c>
      <c r="U448" s="1328">
        <v>0</v>
      </c>
      <c r="V448" s="1328">
        <v>0</v>
      </c>
      <c r="W448" s="1328">
        <v>0</v>
      </c>
      <c r="X448" s="1289">
        <v>314686</v>
      </c>
      <c r="Y448" s="1289">
        <v>0</v>
      </c>
    </row>
    <row r="449" spans="1:25" s="1280" customFormat="1">
      <c r="A449" s="1281">
        <v>5</v>
      </c>
      <c r="B449" s="1267" t="s">
        <v>1823</v>
      </c>
      <c r="C449" s="1289">
        <f t="shared" si="203"/>
        <v>3062894</v>
      </c>
      <c r="D449" s="1289">
        <f t="shared" si="204"/>
        <v>2840422</v>
      </c>
      <c r="E449" s="1328">
        <v>0</v>
      </c>
      <c r="F449" s="1328">
        <v>0</v>
      </c>
      <c r="G449" s="1328">
        <v>0</v>
      </c>
      <c r="H449" s="1328">
        <v>1079050</v>
      </c>
      <c r="I449" s="1328">
        <v>1079050</v>
      </c>
      <c r="J449" s="1328">
        <v>682322</v>
      </c>
      <c r="K449" s="1329">
        <v>0</v>
      </c>
      <c r="L449" s="1328">
        <v>0</v>
      </c>
      <c r="M449" s="1329">
        <v>0</v>
      </c>
      <c r="N449" s="1328">
        <v>0</v>
      </c>
      <c r="O449" s="1328">
        <v>0</v>
      </c>
      <c r="P449" s="1328">
        <v>0</v>
      </c>
      <c r="Q449" s="1328">
        <v>0</v>
      </c>
      <c r="R449" s="1328">
        <v>0</v>
      </c>
      <c r="S449" s="1328">
        <v>0</v>
      </c>
      <c r="T449" s="1328">
        <v>0</v>
      </c>
      <c r="U449" s="1328">
        <v>0</v>
      </c>
      <c r="V449" s="1328">
        <v>0</v>
      </c>
      <c r="W449" s="1328">
        <v>0</v>
      </c>
      <c r="X449" s="1289">
        <v>222472</v>
      </c>
      <c r="Y449" s="1289">
        <v>0</v>
      </c>
    </row>
    <row r="450" spans="1:25" s="1280" customFormat="1" ht="75.599999999999994">
      <c r="A450" s="1281">
        <v>6</v>
      </c>
      <c r="B450" s="1267" t="s">
        <v>1824</v>
      </c>
      <c r="C450" s="1289">
        <f t="shared" si="203"/>
        <v>8729014</v>
      </c>
      <c r="D450" s="1289">
        <f t="shared" si="204"/>
        <v>7882216</v>
      </c>
      <c r="E450" s="1328">
        <v>0</v>
      </c>
      <c r="F450" s="1328">
        <v>0</v>
      </c>
      <c r="G450" s="1328">
        <v>0</v>
      </c>
      <c r="H450" s="1328">
        <v>3941108</v>
      </c>
      <c r="I450" s="1328">
        <v>3941108</v>
      </c>
      <c r="J450" s="1328">
        <v>0</v>
      </c>
      <c r="K450" s="1329">
        <v>0</v>
      </c>
      <c r="L450" s="1328">
        <v>212768</v>
      </c>
      <c r="M450" s="1329">
        <v>0</v>
      </c>
      <c r="N450" s="1328">
        <v>0</v>
      </c>
      <c r="O450" s="1328">
        <v>0</v>
      </c>
      <c r="P450" s="1328">
        <v>0</v>
      </c>
      <c r="Q450" s="1328">
        <v>0</v>
      </c>
      <c r="R450" s="1328">
        <v>0</v>
      </c>
      <c r="S450" s="1328">
        <v>0</v>
      </c>
      <c r="T450" s="1328">
        <v>0</v>
      </c>
      <c r="U450" s="1328">
        <v>0</v>
      </c>
      <c r="V450" s="1328">
        <v>0</v>
      </c>
      <c r="W450" s="1268">
        <v>0</v>
      </c>
      <c r="X450" s="1289">
        <v>634030</v>
      </c>
      <c r="Y450" s="1289">
        <v>0</v>
      </c>
    </row>
    <row r="451" spans="1:25" s="1280" customFormat="1">
      <c r="A451" s="1281">
        <v>7</v>
      </c>
      <c r="B451" s="1267" t="s">
        <v>1825</v>
      </c>
      <c r="C451" s="1289">
        <f t="shared" si="203"/>
        <v>3370042</v>
      </c>
      <c r="D451" s="1289">
        <f t="shared" si="204"/>
        <v>0</v>
      </c>
      <c r="E451" s="1328">
        <v>0</v>
      </c>
      <c r="F451" s="1328">
        <v>0</v>
      </c>
      <c r="G451" s="1328">
        <v>0</v>
      </c>
      <c r="H451" s="1328">
        <v>0</v>
      </c>
      <c r="I451" s="1328">
        <v>0</v>
      </c>
      <c r="J451" s="1328">
        <v>0</v>
      </c>
      <c r="K451" s="1329">
        <v>0</v>
      </c>
      <c r="L451" s="1328">
        <v>0</v>
      </c>
      <c r="M451" s="1329">
        <v>0</v>
      </c>
      <c r="N451" s="1328">
        <v>0</v>
      </c>
      <c r="O451" s="1328">
        <v>499.4</v>
      </c>
      <c r="P451" s="1328">
        <v>1567498</v>
      </c>
      <c r="Q451" s="1328">
        <v>0</v>
      </c>
      <c r="R451" s="1328">
        <v>0</v>
      </c>
      <c r="S451" s="1328">
        <v>631.26</v>
      </c>
      <c r="T451" s="1328">
        <v>1557762</v>
      </c>
      <c r="U451" s="1328">
        <v>0</v>
      </c>
      <c r="V451" s="1328">
        <v>0</v>
      </c>
      <c r="W451" s="1328">
        <v>0</v>
      </c>
      <c r="X451" s="1289">
        <v>244782</v>
      </c>
      <c r="Y451" s="1289">
        <v>0</v>
      </c>
    </row>
    <row r="452" spans="1:25" s="1280" customFormat="1" ht="75.599999999999994">
      <c r="A452" s="1281">
        <v>8</v>
      </c>
      <c r="B452" s="1267" t="s">
        <v>2446</v>
      </c>
      <c r="C452" s="1289">
        <f t="shared" si="203"/>
        <v>4939316</v>
      </c>
      <c r="D452" s="1289">
        <f t="shared" si="204"/>
        <v>4580550</v>
      </c>
      <c r="E452" s="1328">
        <v>0</v>
      </c>
      <c r="F452" s="1328">
        <v>0</v>
      </c>
      <c r="G452" s="1328">
        <v>0</v>
      </c>
      <c r="H452" s="1328">
        <v>1740109</v>
      </c>
      <c r="I452" s="1328">
        <v>1740109</v>
      </c>
      <c r="J452" s="1328">
        <v>1100332</v>
      </c>
      <c r="K452" s="1329">
        <v>0</v>
      </c>
      <c r="L452" s="1328">
        <v>0</v>
      </c>
      <c r="M452" s="1329">
        <v>0</v>
      </c>
      <c r="N452" s="1328">
        <v>0</v>
      </c>
      <c r="O452" s="1328">
        <v>0</v>
      </c>
      <c r="P452" s="1328">
        <v>0</v>
      </c>
      <c r="Q452" s="1328">
        <v>0</v>
      </c>
      <c r="R452" s="1328">
        <v>0</v>
      </c>
      <c r="S452" s="1328">
        <v>0</v>
      </c>
      <c r="T452" s="1328">
        <v>0</v>
      </c>
      <c r="U452" s="1328">
        <v>0</v>
      </c>
      <c r="V452" s="1328">
        <v>0</v>
      </c>
      <c r="W452" s="1328">
        <v>0</v>
      </c>
      <c r="X452" s="1289">
        <v>358766</v>
      </c>
      <c r="Y452" s="1289">
        <v>0</v>
      </c>
    </row>
    <row r="453" spans="1:25" s="1280" customFormat="1">
      <c r="A453" s="1281">
        <v>9</v>
      </c>
      <c r="B453" s="1267" t="s">
        <v>1827</v>
      </c>
      <c r="C453" s="1289">
        <f t="shared" si="203"/>
        <v>2207770</v>
      </c>
      <c r="D453" s="1289">
        <f t="shared" si="204"/>
        <v>2047409</v>
      </c>
      <c r="E453" s="1328">
        <v>2047409</v>
      </c>
      <c r="F453" s="1328">
        <v>0</v>
      </c>
      <c r="G453" s="1328">
        <v>0</v>
      </c>
      <c r="H453" s="1328">
        <v>0</v>
      </c>
      <c r="I453" s="1328">
        <v>0</v>
      </c>
      <c r="J453" s="1328">
        <v>0</v>
      </c>
      <c r="K453" s="1329">
        <v>0</v>
      </c>
      <c r="L453" s="1328">
        <v>0</v>
      </c>
      <c r="M453" s="1329">
        <v>0</v>
      </c>
      <c r="N453" s="1328">
        <v>0</v>
      </c>
      <c r="O453" s="1328">
        <v>0</v>
      </c>
      <c r="P453" s="1328">
        <v>0</v>
      </c>
      <c r="Q453" s="1328">
        <v>0</v>
      </c>
      <c r="R453" s="1328">
        <v>0</v>
      </c>
      <c r="S453" s="1328">
        <v>0</v>
      </c>
      <c r="T453" s="1328">
        <v>0</v>
      </c>
      <c r="U453" s="1328">
        <v>0</v>
      </c>
      <c r="V453" s="1328">
        <v>0</v>
      </c>
      <c r="W453" s="1268">
        <v>0</v>
      </c>
      <c r="X453" s="1289">
        <v>160361</v>
      </c>
      <c r="Y453" s="1289">
        <v>0</v>
      </c>
    </row>
    <row r="454" spans="1:25" s="1280" customFormat="1" ht="75.599999999999994">
      <c r="A454" s="1281">
        <v>10</v>
      </c>
      <c r="B454" s="1267" t="s">
        <v>2445</v>
      </c>
      <c r="C454" s="1289">
        <f t="shared" si="203"/>
        <v>975050</v>
      </c>
      <c r="D454" s="1289">
        <f t="shared" si="204"/>
        <v>904228</v>
      </c>
      <c r="E454" s="1328">
        <v>0</v>
      </c>
      <c r="F454" s="1328">
        <v>651351</v>
      </c>
      <c r="G454" s="1328">
        <v>0</v>
      </c>
      <c r="H454" s="1328">
        <v>0</v>
      </c>
      <c r="I454" s="1328">
        <v>0</v>
      </c>
      <c r="J454" s="1328">
        <v>252877</v>
      </c>
      <c r="K454" s="1329">
        <v>0</v>
      </c>
      <c r="L454" s="1328">
        <v>0</v>
      </c>
      <c r="M454" s="1329">
        <v>0</v>
      </c>
      <c r="N454" s="1328">
        <v>0</v>
      </c>
      <c r="O454" s="1328">
        <v>0</v>
      </c>
      <c r="P454" s="1328">
        <v>0</v>
      </c>
      <c r="Q454" s="1328">
        <v>0</v>
      </c>
      <c r="R454" s="1328">
        <v>0</v>
      </c>
      <c r="S454" s="1328">
        <v>0</v>
      </c>
      <c r="T454" s="1328">
        <v>0</v>
      </c>
      <c r="U454" s="1328">
        <v>0</v>
      </c>
      <c r="V454" s="1328">
        <v>0</v>
      </c>
      <c r="W454" s="1328">
        <v>0</v>
      </c>
      <c r="X454" s="1289">
        <v>70822</v>
      </c>
      <c r="Y454" s="1289">
        <v>0</v>
      </c>
    </row>
    <row r="455" spans="1:25" s="1280" customFormat="1">
      <c r="A455" s="1281">
        <v>11</v>
      </c>
      <c r="B455" s="1267" t="s">
        <v>1829</v>
      </c>
      <c r="C455" s="1289">
        <f t="shared" si="203"/>
        <v>1727509</v>
      </c>
      <c r="D455" s="1289">
        <f t="shared" si="204"/>
        <v>0</v>
      </c>
      <c r="E455" s="1328">
        <v>0</v>
      </c>
      <c r="F455" s="1328">
        <v>0</v>
      </c>
      <c r="G455" s="1328">
        <v>0</v>
      </c>
      <c r="H455" s="1328">
        <v>0</v>
      </c>
      <c r="I455" s="1328">
        <v>0</v>
      </c>
      <c r="J455" s="1328">
        <v>0</v>
      </c>
      <c r="K455" s="1329">
        <v>0</v>
      </c>
      <c r="L455" s="1328">
        <v>0</v>
      </c>
      <c r="M455" s="1329">
        <v>0</v>
      </c>
      <c r="N455" s="1328">
        <v>0</v>
      </c>
      <c r="O455" s="1328">
        <v>0</v>
      </c>
      <c r="P455" s="1328">
        <v>0</v>
      </c>
      <c r="Q455" s="1328">
        <v>0</v>
      </c>
      <c r="R455" s="1328">
        <v>0</v>
      </c>
      <c r="S455" s="1328">
        <v>649.20000000000005</v>
      </c>
      <c r="T455" s="1328">
        <v>1602032</v>
      </c>
      <c r="U455" s="1328">
        <v>0</v>
      </c>
      <c r="V455" s="1328">
        <v>0</v>
      </c>
      <c r="W455" s="1328">
        <v>0</v>
      </c>
      <c r="X455" s="1289">
        <v>125477</v>
      </c>
      <c r="Y455" s="1289">
        <v>0</v>
      </c>
    </row>
    <row r="456" spans="1:25" s="1280" customFormat="1" ht="75.599999999999994">
      <c r="A456" s="1281">
        <v>12</v>
      </c>
      <c r="B456" s="1267" t="s">
        <v>1830</v>
      </c>
      <c r="C456" s="1289">
        <f t="shared" si="203"/>
        <v>2302244</v>
      </c>
      <c r="D456" s="1289">
        <f t="shared" si="204"/>
        <v>0</v>
      </c>
      <c r="E456" s="1328">
        <v>0</v>
      </c>
      <c r="F456" s="1328">
        <v>0</v>
      </c>
      <c r="G456" s="1328">
        <v>0</v>
      </c>
      <c r="H456" s="1328">
        <v>0</v>
      </c>
      <c r="I456" s="1328">
        <v>0</v>
      </c>
      <c r="J456" s="1328">
        <v>0</v>
      </c>
      <c r="K456" s="1329">
        <v>0</v>
      </c>
      <c r="L456" s="1328">
        <v>0</v>
      </c>
      <c r="M456" s="1329">
        <v>0</v>
      </c>
      <c r="N456" s="1328">
        <v>0</v>
      </c>
      <c r="O456" s="1328">
        <v>847.3</v>
      </c>
      <c r="P456" s="1328">
        <v>2135021</v>
      </c>
      <c r="Q456" s="1328">
        <v>0</v>
      </c>
      <c r="R456" s="1328">
        <v>0</v>
      </c>
      <c r="S456" s="1328">
        <v>0</v>
      </c>
      <c r="T456" s="1328">
        <v>0</v>
      </c>
      <c r="U456" s="1328">
        <v>0</v>
      </c>
      <c r="V456" s="1328">
        <v>0</v>
      </c>
      <c r="W456" s="1268">
        <v>0</v>
      </c>
      <c r="X456" s="1289">
        <v>167223</v>
      </c>
      <c r="Y456" s="1289">
        <v>0</v>
      </c>
    </row>
    <row r="457" spans="1:25" s="1280" customFormat="1">
      <c r="A457" s="1281">
        <v>13</v>
      </c>
      <c r="B457" s="1267" t="s">
        <v>1831</v>
      </c>
      <c r="C457" s="1289">
        <f t="shared" si="203"/>
        <v>3343122</v>
      </c>
      <c r="D457" s="1289">
        <f t="shared" si="204"/>
        <v>3100295</v>
      </c>
      <c r="E457" s="1328">
        <v>1433362</v>
      </c>
      <c r="F457" s="1328">
        <v>0</v>
      </c>
      <c r="G457" s="1328">
        <v>0</v>
      </c>
      <c r="H457" s="1328">
        <v>1666933</v>
      </c>
      <c r="I457" s="1328">
        <v>0</v>
      </c>
      <c r="J457" s="1328">
        <v>0</v>
      </c>
      <c r="K457" s="1329">
        <v>0</v>
      </c>
      <c r="L457" s="1328">
        <v>0</v>
      </c>
      <c r="M457" s="1329">
        <v>0</v>
      </c>
      <c r="N457" s="1328">
        <v>0</v>
      </c>
      <c r="O457" s="1328">
        <v>0</v>
      </c>
      <c r="P457" s="1328">
        <v>0</v>
      </c>
      <c r="Q457" s="1328">
        <v>0</v>
      </c>
      <c r="R457" s="1328">
        <v>0</v>
      </c>
      <c r="S457" s="1328">
        <v>0</v>
      </c>
      <c r="T457" s="1328">
        <v>0</v>
      </c>
      <c r="U457" s="1328">
        <v>0</v>
      </c>
      <c r="V457" s="1328">
        <v>0</v>
      </c>
      <c r="W457" s="1328">
        <v>0</v>
      </c>
      <c r="X457" s="1289">
        <v>242827</v>
      </c>
      <c r="Y457" s="1289">
        <v>0</v>
      </c>
    </row>
    <row r="458" spans="1:25" s="1280" customFormat="1">
      <c r="A458" s="1281">
        <v>14</v>
      </c>
      <c r="B458" s="1267" t="s">
        <v>1832</v>
      </c>
      <c r="C458" s="1289">
        <f t="shared" si="203"/>
        <v>11865039</v>
      </c>
      <c r="D458" s="1289">
        <f t="shared" si="204"/>
        <v>0</v>
      </c>
      <c r="E458" s="1328">
        <v>0</v>
      </c>
      <c r="F458" s="1328">
        <v>0</v>
      </c>
      <c r="G458" s="1328">
        <v>0</v>
      </c>
      <c r="H458" s="1328">
        <v>0</v>
      </c>
      <c r="I458" s="1328">
        <v>0</v>
      </c>
      <c r="J458" s="1328">
        <v>0</v>
      </c>
      <c r="K458" s="1329">
        <v>0</v>
      </c>
      <c r="L458" s="1328">
        <v>0</v>
      </c>
      <c r="M458" s="1329">
        <v>0</v>
      </c>
      <c r="N458" s="1328">
        <v>0</v>
      </c>
      <c r="O458" s="1328">
        <v>0</v>
      </c>
      <c r="P458" s="1328">
        <v>0</v>
      </c>
      <c r="Q458" s="1328">
        <v>0</v>
      </c>
      <c r="R458" s="1328">
        <v>0</v>
      </c>
      <c r="S458" s="1328">
        <v>2295.48</v>
      </c>
      <c r="T458" s="1328">
        <v>11003224</v>
      </c>
      <c r="U458" s="1328">
        <v>0</v>
      </c>
      <c r="V458" s="1328">
        <v>0</v>
      </c>
      <c r="W458" s="1328">
        <v>0</v>
      </c>
      <c r="X458" s="1289">
        <v>861815</v>
      </c>
      <c r="Y458" s="1289">
        <v>0</v>
      </c>
    </row>
    <row r="459" spans="1:25" s="1280" customFormat="1">
      <c r="A459" s="1281">
        <v>15</v>
      </c>
      <c r="B459" s="1267" t="s">
        <v>1833</v>
      </c>
      <c r="C459" s="1289">
        <f t="shared" si="203"/>
        <v>1905334</v>
      </c>
      <c r="D459" s="1289">
        <f t="shared" si="204"/>
        <v>1766940</v>
      </c>
      <c r="E459" s="1328">
        <v>0</v>
      </c>
      <c r="F459" s="1328">
        <v>0</v>
      </c>
      <c r="G459" s="1328">
        <v>0</v>
      </c>
      <c r="H459" s="1328">
        <v>1082461</v>
      </c>
      <c r="I459" s="1328">
        <v>0</v>
      </c>
      <c r="J459" s="1328">
        <v>684479</v>
      </c>
      <c r="K459" s="1329">
        <v>0</v>
      </c>
      <c r="L459" s="1328">
        <v>0</v>
      </c>
      <c r="M459" s="1329">
        <v>0</v>
      </c>
      <c r="N459" s="1328">
        <v>0</v>
      </c>
      <c r="O459" s="1328">
        <v>0</v>
      </c>
      <c r="P459" s="1328">
        <v>0</v>
      </c>
      <c r="Q459" s="1328">
        <v>0</v>
      </c>
      <c r="R459" s="1328">
        <v>0</v>
      </c>
      <c r="S459" s="1328">
        <v>0</v>
      </c>
      <c r="T459" s="1328">
        <v>0</v>
      </c>
      <c r="U459" s="1328">
        <v>0</v>
      </c>
      <c r="V459" s="1328">
        <v>0</v>
      </c>
      <c r="W459" s="1268">
        <v>0</v>
      </c>
      <c r="X459" s="1289">
        <v>138394</v>
      </c>
      <c r="Y459" s="1289">
        <v>0</v>
      </c>
    </row>
    <row r="460" spans="1:25" s="1280" customFormat="1" ht="75.599999999999994">
      <c r="A460" s="1281">
        <v>16</v>
      </c>
      <c r="B460" s="1267" t="s">
        <v>1834</v>
      </c>
      <c r="C460" s="1289">
        <f t="shared" si="203"/>
        <v>1410585</v>
      </c>
      <c r="D460" s="1289">
        <f t="shared" si="204"/>
        <v>0</v>
      </c>
      <c r="E460" s="1328">
        <v>0</v>
      </c>
      <c r="F460" s="1328">
        <v>0</v>
      </c>
      <c r="G460" s="1328">
        <v>0</v>
      </c>
      <c r="H460" s="1328">
        <v>0</v>
      </c>
      <c r="I460" s="1328">
        <v>0</v>
      </c>
      <c r="J460" s="1328">
        <v>0</v>
      </c>
      <c r="K460" s="1329">
        <v>0</v>
      </c>
      <c r="L460" s="1328">
        <v>0</v>
      </c>
      <c r="M460" s="1329">
        <v>0</v>
      </c>
      <c r="N460" s="1328">
        <v>0</v>
      </c>
      <c r="O460" s="1328">
        <v>0</v>
      </c>
      <c r="P460" s="1328">
        <v>0</v>
      </c>
      <c r="Q460" s="1328">
        <v>0</v>
      </c>
      <c r="R460" s="1328">
        <v>0</v>
      </c>
      <c r="S460" s="1328">
        <v>272.89999999999998</v>
      </c>
      <c r="T460" s="1328">
        <v>1308127</v>
      </c>
      <c r="U460" s="1328">
        <v>0</v>
      </c>
      <c r="V460" s="1328">
        <v>0</v>
      </c>
      <c r="W460" s="1328">
        <v>0</v>
      </c>
      <c r="X460" s="1289">
        <v>102458</v>
      </c>
      <c r="Y460" s="1289">
        <v>0</v>
      </c>
    </row>
    <row r="461" spans="1:25" s="1280" customFormat="1">
      <c r="A461" s="1281">
        <v>17</v>
      </c>
      <c r="B461" s="1267" t="s">
        <v>1835</v>
      </c>
      <c r="C461" s="1289">
        <f t="shared" si="203"/>
        <v>18458139</v>
      </c>
      <c r="D461" s="1289">
        <f t="shared" si="204"/>
        <v>0</v>
      </c>
      <c r="E461" s="1328">
        <v>0</v>
      </c>
      <c r="F461" s="1328">
        <v>0</v>
      </c>
      <c r="G461" s="1328">
        <v>0</v>
      </c>
      <c r="H461" s="1328">
        <v>0</v>
      </c>
      <c r="I461" s="1328">
        <v>0</v>
      </c>
      <c r="J461" s="1328">
        <v>0</v>
      </c>
      <c r="K461" s="1329">
        <v>0</v>
      </c>
      <c r="L461" s="1328">
        <v>0</v>
      </c>
      <c r="M461" s="1329">
        <v>0</v>
      </c>
      <c r="N461" s="1328">
        <v>0</v>
      </c>
      <c r="O461" s="1328">
        <v>0</v>
      </c>
      <c r="P461" s="1328">
        <v>0</v>
      </c>
      <c r="Q461" s="1328">
        <v>0</v>
      </c>
      <c r="R461" s="1328">
        <v>0</v>
      </c>
      <c r="S461" s="1328">
        <v>3571.02</v>
      </c>
      <c r="T461" s="1328">
        <v>17117435</v>
      </c>
      <c r="U461" s="1328">
        <v>0</v>
      </c>
      <c r="V461" s="1328">
        <v>0</v>
      </c>
      <c r="W461" s="1328">
        <v>0</v>
      </c>
      <c r="X461" s="1289">
        <v>1340704</v>
      </c>
      <c r="Y461" s="1289">
        <v>0</v>
      </c>
    </row>
    <row r="462" spans="1:25" s="1299" customFormat="1">
      <c r="A462" s="1281">
        <v>18</v>
      </c>
      <c r="B462" s="1267" t="s">
        <v>1836</v>
      </c>
      <c r="C462" s="1289">
        <f t="shared" si="203"/>
        <v>4360359</v>
      </c>
      <c r="D462" s="1289">
        <f t="shared" si="204"/>
        <v>705644</v>
      </c>
      <c r="E462" s="1328">
        <v>705644</v>
      </c>
      <c r="F462" s="1328">
        <v>0</v>
      </c>
      <c r="G462" s="1328">
        <v>0</v>
      </c>
      <c r="H462" s="1328">
        <v>0</v>
      </c>
      <c r="I462" s="1328">
        <v>0</v>
      </c>
      <c r="J462" s="1328">
        <v>0</v>
      </c>
      <c r="K462" s="1329">
        <v>0</v>
      </c>
      <c r="L462" s="1328">
        <v>0</v>
      </c>
      <c r="M462" s="1329">
        <v>0</v>
      </c>
      <c r="N462" s="1328">
        <v>0</v>
      </c>
      <c r="O462" s="1328">
        <v>0</v>
      </c>
      <c r="P462" s="1328">
        <v>0</v>
      </c>
      <c r="Q462" s="1328">
        <v>0</v>
      </c>
      <c r="R462" s="1328">
        <v>0</v>
      </c>
      <c r="S462" s="1328">
        <v>696.37</v>
      </c>
      <c r="T462" s="1328">
        <v>3338001</v>
      </c>
      <c r="U462" s="1328">
        <v>0</v>
      </c>
      <c r="V462" s="1328">
        <v>0</v>
      </c>
      <c r="W462" s="1268">
        <v>0</v>
      </c>
      <c r="X462" s="1289">
        <v>316714</v>
      </c>
      <c r="Y462" s="1289">
        <v>0</v>
      </c>
    </row>
    <row r="463" spans="1:25" s="1299" customFormat="1">
      <c r="A463" s="1281">
        <v>19</v>
      </c>
      <c r="B463" s="1267" t="s">
        <v>1837</v>
      </c>
      <c r="C463" s="1289">
        <f t="shared" si="203"/>
        <v>5781783</v>
      </c>
      <c r="D463" s="1289">
        <f t="shared" si="204"/>
        <v>0</v>
      </c>
      <c r="E463" s="1328">
        <v>0</v>
      </c>
      <c r="F463" s="1328">
        <v>0</v>
      </c>
      <c r="G463" s="1328">
        <v>0</v>
      </c>
      <c r="H463" s="1328">
        <v>0</v>
      </c>
      <c r="I463" s="1328">
        <v>0</v>
      </c>
      <c r="J463" s="1328">
        <v>0</v>
      </c>
      <c r="K463" s="1329">
        <v>0</v>
      </c>
      <c r="L463" s="1328">
        <v>0</v>
      </c>
      <c r="M463" s="1329">
        <v>0</v>
      </c>
      <c r="N463" s="1328">
        <v>0</v>
      </c>
      <c r="O463" s="1328">
        <v>0</v>
      </c>
      <c r="P463" s="1328">
        <v>0</v>
      </c>
      <c r="Q463" s="1328">
        <v>0</v>
      </c>
      <c r="R463" s="1328">
        <v>0</v>
      </c>
      <c r="S463" s="1328">
        <v>2172.8000000000002</v>
      </c>
      <c r="T463" s="1328">
        <v>5361824</v>
      </c>
      <c r="U463" s="1328">
        <v>0</v>
      </c>
      <c r="V463" s="1328">
        <v>0</v>
      </c>
      <c r="W463" s="1328">
        <v>0</v>
      </c>
      <c r="X463" s="1289">
        <v>419959</v>
      </c>
      <c r="Y463" s="1289">
        <v>0</v>
      </c>
    </row>
    <row r="464" spans="1:25" s="1299" customFormat="1" ht="75.599999999999994">
      <c r="A464" s="1281">
        <v>20</v>
      </c>
      <c r="B464" s="1267" t="s">
        <v>2447</v>
      </c>
      <c r="C464" s="1289">
        <f t="shared" si="203"/>
        <v>5396300</v>
      </c>
      <c r="D464" s="1289">
        <f t="shared" si="204"/>
        <v>0</v>
      </c>
      <c r="E464" s="1328">
        <v>0</v>
      </c>
      <c r="F464" s="1328">
        <v>0</v>
      </c>
      <c r="G464" s="1328">
        <v>0</v>
      </c>
      <c r="H464" s="1328">
        <v>0</v>
      </c>
      <c r="I464" s="1328">
        <v>0</v>
      </c>
      <c r="J464" s="1328">
        <v>0</v>
      </c>
      <c r="K464" s="1329">
        <v>0</v>
      </c>
      <c r="L464" s="1328">
        <v>0</v>
      </c>
      <c r="M464" s="1329">
        <v>0</v>
      </c>
      <c r="N464" s="1328">
        <v>0</v>
      </c>
      <c r="O464" s="1328">
        <v>0</v>
      </c>
      <c r="P464" s="1328">
        <v>0</v>
      </c>
      <c r="Q464" s="1328">
        <v>0</v>
      </c>
      <c r="R464" s="1328">
        <v>0</v>
      </c>
      <c r="S464" s="1328">
        <v>1044</v>
      </c>
      <c r="T464" s="1328">
        <v>5004341</v>
      </c>
      <c r="U464" s="1328">
        <v>0</v>
      </c>
      <c r="V464" s="1328">
        <v>0</v>
      </c>
      <c r="W464" s="1328">
        <v>0</v>
      </c>
      <c r="X464" s="1289">
        <v>391959</v>
      </c>
      <c r="Y464" s="1289">
        <v>0</v>
      </c>
    </row>
    <row r="465" spans="1:25" s="1299" customFormat="1">
      <c r="A465" s="1281">
        <v>21</v>
      </c>
      <c r="B465" s="1267" t="s">
        <v>1839</v>
      </c>
      <c r="C465" s="1289">
        <f t="shared" si="203"/>
        <v>18611758</v>
      </c>
      <c r="D465" s="1289">
        <f t="shared" si="204"/>
        <v>0</v>
      </c>
      <c r="E465" s="1328">
        <v>0</v>
      </c>
      <c r="F465" s="1328">
        <v>0</v>
      </c>
      <c r="G465" s="1328">
        <v>0</v>
      </c>
      <c r="H465" s="1328">
        <v>0</v>
      </c>
      <c r="I465" s="1328">
        <v>0</v>
      </c>
      <c r="J465" s="1328">
        <v>0</v>
      </c>
      <c r="K465" s="1329">
        <v>0</v>
      </c>
      <c r="L465" s="1328">
        <v>0</v>
      </c>
      <c r="M465" s="1329">
        <v>0</v>
      </c>
      <c r="N465" s="1328">
        <v>0</v>
      </c>
      <c r="O465" s="1328">
        <v>0</v>
      </c>
      <c r="P465" s="1328">
        <v>0</v>
      </c>
      <c r="Q465" s="1328">
        <v>0</v>
      </c>
      <c r="R465" s="1328">
        <v>0</v>
      </c>
      <c r="S465" s="1328">
        <v>3600.74</v>
      </c>
      <c r="T465" s="1328">
        <v>17259896</v>
      </c>
      <c r="U465" s="1328">
        <v>0</v>
      </c>
      <c r="V465" s="1328">
        <v>0</v>
      </c>
      <c r="W465" s="1268">
        <v>0</v>
      </c>
      <c r="X465" s="1289">
        <v>1351862</v>
      </c>
      <c r="Y465" s="1289">
        <v>0</v>
      </c>
    </row>
    <row r="466" spans="1:25" s="1299" customFormat="1">
      <c r="A466" s="1281">
        <v>22</v>
      </c>
      <c r="B466" s="1267" t="s">
        <v>1840</v>
      </c>
      <c r="C466" s="1289">
        <f t="shared" si="203"/>
        <v>9804606</v>
      </c>
      <c r="D466" s="1289">
        <f t="shared" si="204"/>
        <v>0</v>
      </c>
      <c r="E466" s="1328">
        <v>0</v>
      </c>
      <c r="F466" s="1328">
        <v>0</v>
      </c>
      <c r="G466" s="1328">
        <v>0</v>
      </c>
      <c r="H466" s="1328">
        <v>0</v>
      </c>
      <c r="I466" s="1328">
        <v>0</v>
      </c>
      <c r="J466" s="1328">
        <v>0</v>
      </c>
      <c r="K466" s="1329">
        <v>0</v>
      </c>
      <c r="L466" s="1328">
        <v>0</v>
      </c>
      <c r="M466" s="1329">
        <v>0</v>
      </c>
      <c r="N466" s="1328">
        <v>0</v>
      </c>
      <c r="O466" s="1328">
        <v>1410.8</v>
      </c>
      <c r="P466" s="1328">
        <v>3554926</v>
      </c>
      <c r="Q466" s="1328">
        <v>0</v>
      </c>
      <c r="R466" s="1328">
        <v>0</v>
      </c>
      <c r="S466" s="1328">
        <v>2244</v>
      </c>
      <c r="T466" s="1328">
        <v>5537524</v>
      </c>
      <c r="U466" s="1328">
        <v>0</v>
      </c>
      <c r="V466" s="1328">
        <v>0</v>
      </c>
      <c r="W466" s="1328">
        <v>0</v>
      </c>
      <c r="X466" s="1289">
        <v>712156</v>
      </c>
      <c r="Y466" s="1289">
        <v>0</v>
      </c>
    </row>
    <row r="467" spans="1:25" s="1299" customFormat="1">
      <c r="A467" s="1281">
        <v>23</v>
      </c>
      <c r="B467" s="1267" t="s">
        <v>1841</v>
      </c>
      <c r="C467" s="1289">
        <f t="shared" si="203"/>
        <v>3487152</v>
      </c>
      <c r="D467" s="1289">
        <f t="shared" si="204"/>
        <v>879792</v>
      </c>
      <c r="E467" s="1328">
        <v>506975</v>
      </c>
      <c r="F467" s="1328">
        <v>0</v>
      </c>
      <c r="G467" s="1328">
        <v>0</v>
      </c>
      <c r="H467" s="1328">
        <v>0</v>
      </c>
      <c r="I467" s="1328">
        <v>0</v>
      </c>
      <c r="J467" s="1328">
        <v>372817</v>
      </c>
      <c r="K467" s="1329">
        <v>0</v>
      </c>
      <c r="L467" s="1328">
        <v>0</v>
      </c>
      <c r="M467" s="1329">
        <v>0</v>
      </c>
      <c r="N467" s="1328">
        <v>0</v>
      </c>
      <c r="O467" s="1328">
        <v>750</v>
      </c>
      <c r="P467" s="1328">
        <v>2354072</v>
      </c>
      <c r="Q467" s="1328">
        <v>0</v>
      </c>
      <c r="R467" s="1328">
        <v>0</v>
      </c>
      <c r="S467" s="1328">
        <v>0</v>
      </c>
      <c r="T467" s="1328">
        <v>0</v>
      </c>
      <c r="U467" s="1328">
        <v>0</v>
      </c>
      <c r="V467" s="1328">
        <v>0</v>
      </c>
      <c r="W467" s="1328">
        <v>0</v>
      </c>
      <c r="X467" s="1289">
        <v>253288</v>
      </c>
      <c r="Y467" s="1289">
        <v>0</v>
      </c>
    </row>
    <row r="468" spans="1:25" s="1299" customFormat="1">
      <c r="A468" s="1281">
        <v>24</v>
      </c>
      <c r="B468" s="1267" t="s">
        <v>1842</v>
      </c>
      <c r="C468" s="1289">
        <f t="shared" si="203"/>
        <v>12448294</v>
      </c>
      <c r="D468" s="1289">
        <f t="shared" si="204"/>
        <v>0</v>
      </c>
      <c r="E468" s="1328">
        <v>0</v>
      </c>
      <c r="F468" s="1328">
        <v>0</v>
      </c>
      <c r="G468" s="1328">
        <v>0</v>
      </c>
      <c r="H468" s="1328">
        <v>0</v>
      </c>
      <c r="I468" s="1328">
        <v>0</v>
      </c>
      <c r="J468" s="1328">
        <v>0</v>
      </c>
      <c r="K468" s="1329">
        <v>0</v>
      </c>
      <c r="L468" s="1328">
        <v>0</v>
      </c>
      <c r="M468" s="1329">
        <v>0</v>
      </c>
      <c r="N468" s="1328">
        <v>0</v>
      </c>
      <c r="O468" s="1328">
        <v>0</v>
      </c>
      <c r="P468" s="1328">
        <v>0</v>
      </c>
      <c r="Q468" s="1328">
        <v>0</v>
      </c>
      <c r="R468" s="1328">
        <v>0</v>
      </c>
      <c r="S468" s="1328">
        <v>2408.3200000000002</v>
      </c>
      <c r="T468" s="1328">
        <v>11544114</v>
      </c>
      <c r="U468" s="1328">
        <v>0</v>
      </c>
      <c r="V468" s="1328">
        <v>0</v>
      </c>
      <c r="W468" s="1268">
        <v>0</v>
      </c>
      <c r="X468" s="1289">
        <v>904180</v>
      </c>
      <c r="Y468" s="1289">
        <v>0</v>
      </c>
    </row>
    <row r="469" spans="1:25" s="1280" customFormat="1" ht="75.599999999999994">
      <c r="A469" s="1281">
        <v>25</v>
      </c>
      <c r="B469" s="1267" t="s">
        <v>257</v>
      </c>
      <c r="C469" s="1289">
        <f t="shared" si="203"/>
        <v>2070699</v>
      </c>
      <c r="D469" s="1289">
        <f t="shared" si="204"/>
        <v>0</v>
      </c>
      <c r="E469" s="1328">
        <v>0</v>
      </c>
      <c r="F469" s="1328">
        <v>0</v>
      </c>
      <c r="G469" s="1328">
        <v>0</v>
      </c>
      <c r="H469" s="1328">
        <v>0</v>
      </c>
      <c r="I469" s="1328">
        <v>0</v>
      </c>
      <c r="J469" s="1328">
        <v>0</v>
      </c>
      <c r="K469" s="1329">
        <v>0</v>
      </c>
      <c r="L469" s="1328">
        <v>0</v>
      </c>
      <c r="M469" s="1329">
        <v>0</v>
      </c>
      <c r="N469" s="1328">
        <v>0</v>
      </c>
      <c r="O469" s="1328">
        <v>611.79999999999995</v>
      </c>
      <c r="P469" s="1328">
        <v>1920294</v>
      </c>
      <c r="Q469" s="1328">
        <v>0</v>
      </c>
      <c r="R469" s="1328">
        <v>0</v>
      </c>
      <c r="S469" s="1328">
        <v>0</v>
      </c>
      <c r="T469" s="1328">
        <v>0</v>
      </c>
      <c r="U469" s="1328">
        <v>0</v>
      </c>
      <c r="V469" s="1328">
        <v>0</v>
      </c>
      <c r="W469" s="1328">
        <v>0</v>
      </c>
      <c r="X469" s="1289">
        <v>150405</v>
      </c>
      <c r="Y469" s="1289">
        <v>0</v>
      </c>
    </row>
    <row r="470" spans="1:25" s="1280" customFormat="1">
      <c r="A470" s="1281">
        <v>26</v>
      </c>
      <c r="B470" s="1267" t="s">
        <v>1843</v>
      </c>
      <c r="C470" s="1289">
        <f t="shared" si="203"/>
        <v>2137862</v>
      </c>
      <c r="D470" s="1289">
        <f t="shared" si="204"/>
        <v>799488</v>
      </c>
      <c r="E470" s="1328">
        <v>460700</v>
      </c>
      <c r="F470" s="1328">
        <v>0</v>
      </c>
      <c r="G470" s="1328">
        <v>0</v>
      </c>
      <c r="H470" s="1328">
        <v>0</v>
      </c>
      <c r="I470" s="1328">
        <v>0</v>
      </c>
      <c r="J470" s="1328">
        <v>338788</v>
      </c>
      <c r="K470" s="1329">
        <v>0</v>
      </c>
      <c r="L470" s="1328">
        <v>0</v>
      </c>
      <c r="M470" s="1329">
        <v>0</v>
      </c>
      <c r="N470" s="1328">
        <v>0</v>
      </c>
      <c r="O470" s="1328">
        <v>0</v>
      </c>
      <c r="P470" s="1328">
        <v>0</v>
      </c>
      <c r="Q470" s="1328">
        <v>0</v>
      </c>
      <c r="R470" s="1328">
        <v>0</v>
      </c>
      <c r="S470" s="1328">
        <v>479.43</v>
      </c>
      <c r="T470" s="1328">
        <v>1183091</v>
      </c>
      <c r="U470" s="1328">
        <v>0</v>
      </c>
      <c r="V470" s="1328">
        <v>0</v>
      </c>
      <c r="W470" s="1328">
        <v>0</v>
      </c>
      <c r="X470" s="1289">
        <v>155283</v>
      </c>
      <c r="Y470" s="1289">
        <v>0</v>
      </c>
    </row>
    <row r="471" spans="1:25" s="1280" customFormat="1">
      <c r="A471" s="1281">
        <v>27</v>
      </c>
      <c r="B471" s="1267" t="s">
        <v>1844</v>
      </c>
      <c r="C471" s="1289">
        <f t="shared" si="203"/>
        <v>1709415</v>
      </c>
      <c r="D471" s="1289">
        <f t="shared" si="204"/>
        <v>0</v>
      </c>
      <c r="E471" s="1328">
        <v>0</v>
      </c>
      <c r="F471" s="1328">
        <v>0</v>
      </c>
      <c r="G471" s="1328">
        <v>0</v>
      </c>
      <c r="H471" s="1328">
        <v>0</v>
      </c>
      <c r="I471" s="1328">
        <v>0</v>
      </c>
      <c r="J471" s="1328">
        <v>0</v>
      </c>
      <c r="K471" s="1329">
        <v>0</v>
      </c>
      <c r="L471" s="1328">
        <v>0</v>
      </c>
      <c r="M471" s="1329">
        <v>0</v>
      </c>
      <c r="N471" s="1328">
        <v>0</v>
      </c>
      <c r="O471" s="1328">
        <v>0</v>
      </c>
      <c r="P471" s="1328">
        <v>0</v>
      </c>
      <c r="Q471" s="1328">
        <v>0</v>
      </c>
      <c r="R471" s="1328">
        <v>0</v>
      </c>
      <c r="S471" s="1328">
        <v>642.4</v>
      </c>
      <c r="T471" s="1328">
        <v>1585252</v>
      </c>
      <c r="U471" s="1328">
        <v>0</v>
      </c>
      <c r="V471" s="1328">
        <v>0</v>
      </c>
      <c r="W471" s="1268">
        <v>0</v>
      </c>
      <c r="X471" s="1289">
        <v>124163</v>
      </c>
      <c r="Y471" s="1289">
        <v>0</v>
      </c>
    </row>
    <row r="472" spans="1:25" s="1280" customFormat="1">
      <c r="A472" s="1281">
        <v>28</v>
      </c>
      <c r="B472" s="1267" t="s">
        <v>1845</v>
      </c>
      <c r="C472" s="1289">
        <f t="shared" si="203"/>
        <v>9767666</v>
      </c>
      <c r="D472" s="1289">
        <f t="shared" si="204"/>
        <v>0</v>
      </c>
      <c r="E472" s="1328">
        <v>0</v>
      </c>
      <c r="F472" s="1328">
        <v>0</v>
      </c>
      <c r="G472" s="1328">
        <v>0</v>
      </c>
      <c r="H472" s="1328">
        <v>0</v>
      </c>
      <c r="I472" s="1328">
        <v>0</v>
      </c>
      <c r="J472" s="1328">
        <v>0</v>
      </c>
      <c r="K472" s="1329">
        <v>0</v>
      </c>
      <c r="L472" s="1328">
        <v>0</v>
      </c>
      <c r="M472" s="1329">
        <v>0</v>
      </c>
      <c r="N472" s="1328">
        <v>0</v>
      </c>
      <c r="O472" s="1328">
        <v>0</v>
      </c>
      <c r="P472" s="1328">
        <v>0</v>
      </c>
      <c r="Q472" s="1328">
        <v>0</v>
      </c>
      <c r="R472" s="1328">
        <v>0</v>
      </c>
      <c r="S472" s="1328">
        <v>1889.71</v>
      </c>
      <c r="T472" s="1328">
        <v>9058193</v>
      </c>
      <c r="U472" s="1328">
        <v>0</v>
      </c>
      <c r="V472" s="1328">
        <v>0</v>
      </c>
      <c r="W472" s="1328">
        <v>0</v>
      </c>
      <c r="X472" s="1289">
        <v>709473</v>
      </c>
      <c r="Y472" s="1289">
        <v>0</v>
      </c>
    </row>
    <row r="473" spans="1:25" s="1280" customFormat="1">
      <c r="A473" s="1281">
        <v>29</v>
      </c>
      <c r="B473" s="1267" t="s">
        <v>1846</v>
      </c>
      <c r="C473" s="1289">
        <f t="shared" si="203"/>
        <v>9801988</v>
      </c>
      <c r="D473" s="1289">
        <f t="shared" si="204"/>
        <v>0</v>
      </c>
      <c r="E473" s="1328">
        <v>0</v>
      </c>
      <c r="F473" s="1328">
        <v>0</v>
      </c>
      <c r="G473" s="1328">
        <v>0</v>
      </c>
      <c r="H473" s="1328">
        <v>0</v>
      </c>
      <c r="I473" s="1328">
        <v>0</v>
      </c>
      <c r="J473" s="1328">
        <v>0</v>
      </c>
      <c r="K473" s="1329">
        <v>0</v>
      </c>
      <c r="L473" s="1328">
        <v>0</v>
      </c>
      <c r="M473" s="1329">
        <v>0</v>
      </c>
      <c r="N473" s="1328">
        <v>0</v>
      </c>
      <c r="O473" s="1328">
        <v>0</v>
      </c>
      <c r="P473" s="1328">
        <v>0</v>
      </c>
      <c r="Q473" s="1328">
        <v>0</v>
      </c>
      <c r="R473" s="1328">
        <v>0</v>
      </c>
      <c r="S473" s="1328">
        <v>1896.35</v>
      </c>
      <c r="T473" s="1328">
        <v>9090022</v>
      </c>
      <c r="U473" s="1328">
        <v>0</v>
      </c>
      <c r="V473" s="1328">
        <v>0</v>
      </c>
      <c r="W473" s="1328">
        <v>0</v>
      </c>
      <c r="X473" s="1289">
        <v>711966</v>
      </c>
      <c r="Y473" s="1289">
        <v>0</v>
      </c>
    </row>
    <row r="474" spans="1:25" s="1280" customFormat="1">
      <c r="A474" s="1281">
        <v>30</v>
      </c>
      <c r="B474" s="1267" t="s">
        <v>1847</v>
      </c>
      <c r="C474" s="1289">
        <f t="shared" si="203"/>
        <v>2704640</v>
      </c>
      <c r="D474" s="1289">
        <f t="shared" si="204"/>
        <v>937021</v>
      </c>
      <c r="E474" s="1328">
        <v>937021</v>
      </c>
      <c r="F474" s="1328">
        <v>0</v>
      </c>
      <c r="G474" s="1328">
        <v>0</v>
      </c>
      <c r="H474" s="1328">
        <v>0</v>
      </c>
      <c r="I474" s="1328">
        <v>0</v>
      </c>
      <c r="J474" s="1328">
        <v>0</v>
      </c>
      <c r="K474" s="1329">
        <v>0</v>
      </c>
      <c r="L474" s="1328">
        <v>0</v>
      </c>
      <c r="M474" s="1329">
        <v>0</v>
      </c>
      <c r="N474" s="1328">
        <v>0</v>
      </c>
      <c r="O474" s="1328">
        <v>623.53</v>
      </c>
      <c r="P474" s="1328">
        <v>1571168</v>
      </c>
      <c r="Q474" s="1328">
        <v>0</v>
      </c>
      <c r="R474" s="1328">
        <v>0</v>
      </c>
      <c r="S474" s="1328">
        <v>0</v>
      </c>
      <c r="T474" s="1328">
        <v>0</v>
      </c>
      <c r="U474" s="1328">
        <v>0</v>
      </c>
      <c r="V474" s="1328">
        <v>0</v>
      </c>
      <c r="W474" s="1268">
        <v>0</v>
      </c>
      <c r="X474" s="1289">
        <v>196451</v>
      </c>
      <c r="Y474" s="1289">
        <v>0</v>
      </c>
    </row>
    <row r="475" spans="1:25" s="1280" customFormat="1">
      <c r="A475" s="1281">
        <v>31</v>
      </c>
      <c r="B475" s="1267" t="s">
        <v>1848</v>
      </c>
      <c r="C475" s="1289">
        <f t="shared" si="203"/>
        <v>6099267</v>
      </c>
      <c r="D475" s="1289">
        <f t="shared" si="204"/>
        <v>0</v>
      </c>
      <c r="E475" s="1328">
        <v>0</v>
      </c>
      <c r="F475" s="1328">
        <v>0</v>
      </c>
      <c r="G475" s="1328">
        <v>0</v>
      </c>
      <c r="H475" s="1328">
        <v>0</v>
      </c>
      <c r="I475" s="1328">
        <v>0</v>
      </c>
      <c r="J475" s="1328">
        <v>0</v>
      </c>
      <c r="K475" s="1329">
        <v>0</v>
      </c>
      <c r="L475" s="1328">
        <v>0</v>
      </c>
      <c r="M475" s="1329">
        <v>0</v>
      </c>
      <c r="N475" s="1328">
        <v>0</v>
      </c>
      <c r="O475" s="1328">
        <v>0</v>
      </c>
      <c r="P475" s="1328">
        <v>0</v>
      </c>
      <c r="Q475" s="1328">
        <v>0</v>
      </c>
      <c r="R475" s="1328">
        <v>0</v>
      </c>
      <c r="S475" s="1328">
        <v>1180</v>
      </c>
      <c r="T475" s="1328">
        <v>5656248</v>
      </c>
      <c r="U475" s="1328">
        <v>0</v>
      </c>
      <c r="V475" s="1328">
        <v>0</v>
      </c>
      <c r="W475" s="1328">
        <v>0</v>
      </c>
      <c r="X475" s="1289">
        <v>443019</v>
      </c>
      <c r="Y475" s="1289">
        <v>0</v>
      </c>
    </row>
    <row r="476" spans="1:25" s="1299" customFormat="1" ht="75.599999999999994">
      <c r="A476" s="1281">
        <v>32</v>
      </c>
      <c r="B476" s="1267" t="s">
        <v>2448</v>
      </c>
      <c r="C476" s="1289">
        <f t="shared" si="203"/>
        <v>13068971</v>
      </c>
      <c r="D476" s="1289">
        <f t="shared" si="204"/>
        <v>0</v>
      </c>
      <c r="E476" s="1328">
        <v>0</v>
      </c>
      <c r="F476" s="1328">
        <v>0</v>
      </c>
      <c r="G476" s="1328">
        <v>0</v>
      </c>
      <c r="H476" s="1328">
        <v>0</v>
      </c>
      <c r="I476" s="1328">
        <v>0</v>
      </c>
      <c r="J476" s="1328">
        <v>0</v>
      </c>
      <c r="K476" s="1329">
        <v>0</v>
      </c>
      <c r="L476" s="1328">
        <v>0</v>
      </c>
      <c r="M476" s="1329">
        <v>0</v>
      </c>
      <c r="N476" s="1328">
        <v>0</v>
      </c>
      <c r="O476" s="1328">
        <v>0</v>
      </c>
      <c r="P476" s="1328">
        <v>0</v>
      </c>
      <c r="Q476" s="1328">
        <v>0</v>
      </c>
      <c r="R476" s="1328">
        <v>0</v>
      </c>
      <c r="S476" s="1328">
        <v>2528.4</v>
      </c>
      <c r="T476" s="1328">
        <v>12119709</v>
      </c>
      <c r="U476" s="1328">
        <v>0</v>
      </c>
      <c r="V476" s="1328">
        <v>0</v>
      </c>
      <c r="W476" s="1328">
        <v>0</v>
      </c>
      <c r="X476" s="1289">
        <v>949262</v>
      </c>
      <c r="Y476" s="1289">
        <v>0</v>
      </c>
    </row>
    <row r="477" spans="1:25" s="1299" customFormat="1">
      <c r="A477" s="1281">
        <v>33</v>
      </c>
      <c r="B477" s="1267" t="s">
        <v>1849</v>
      </c>
      <c r="C477" s="1289">
        <f t="shared" si="203"/>
        <v>1061200</v>
      </c>
      <c r="D477" s="1289">
        <f t="shared" si="204"/>
        <v>0</v>
      </c>
      <c r="E477" s="1328">
        <v>0</v>
      </c>
      <c r="F477" s="1328">
        <v>0</v>
      </c>
      <c r="G477" s="1328">
        <v>0</v>
      </c>
      <c r="H477" s="1328">
        <v>0</v>
      </c>
      <c r="I477" s="1328">
        <v>0</v>
      </c>
      <c r="J477" s="1328">
        <v>0</v>
      </c>
      <c r="K477" s="1329">
        <v>0</v>
      </c>
      <c r="L477" s="1328">
        <v>0</v>
      </c>
      <c r="M477" s="1329">
        <v>0</v>
      </c>
      <c r="N477" s="1328">
        <v>0</v>
      </c>
      <c r="O477" s="1328">
        <v>0</v>
      </c>
      <c r="P477" s="1328">
        <v>0</v>
      </c>
      <c r="Q477" s="1328">
        <v>0</v>
      </c>
      <c r="R477" s="1328">
        <v>0</v>
      </c>
      <c r="S477" s="1328">
        <v>398.8</v>
      </c>
      <c r="T477" s="1328">
        <v>984120</v>
      </c>
      <c r="U477" s="1328">
        <v>0</v>
      </c>
      <c r="V477" s="1328">
        <v>0</v>
      </c>
      <c r="W477" s="1268">
        <v>0</v>
      </c>
      <c r="X477" s="1289">
        <v>77080</v>
      </c>
      <c r="Y477" s="1289">
        <v>0</v>
      </c>
    </row>
    <row r="478" spans="1:25" s="1299" customFormat="1">
      <c r="A478" s="1281">
        <v>34</v>
      </c>
      <c r="B478" s="1267" t="s">
        <v>1850</v>
      </c>
      <c r="C478" s="1289">
        <f t="shared" si="203"/>
        <v>4088256</v>
      </c>
      <c r="D478" s="1289">
        <f t="shared" si="204"/>
        <v>1504426</v>
      </c>
      <c r="E478" s="1328">
        <v>0</v>
      </c>
      <c r="F478" s="1328">
        <v>0</v>
      </c>
      <c r="G478" s="1328">
        <v>451250</v>
      </c>
      <c r="H478" s="1328">
        <v>645196</v>
      </c>
      <c r="I478" s="1328">
        <v>0</v>
      </c>
      <c r="J478" s="1328">
        <v>407980</v>
      </c>
      <c r="K478" s="1329">
        <v>0</v>
      </c>
      <c r="L478" s="1328">
        <v>489407</v>
      </c>
      <c r="M478" s="1329">
        <v>0</v>
      </c>
      <c r="N478" s="1328">
        <v>0</v>
      </c>
      <c r="O478" s="1328">
        <v>0</v>
      </c>
      <c r="P478" s="1328">
        <v>0</v>
      </c>
      <c r="Q478" s="1328">
        <v>0</v>
      </c>
      <c r="R478" s="1328">
        <v>0</v>
      </c>
      <c r="S478" s="1328">
        <v>728.4</v>
      </c>
      <c r="T478" s="1328">
        <v>1797474</v>
      </c>
      <c r="U478" s="1328">
        <v>0</v>
      </c>
      <c r="V478" s="1328">
        <v>0</v>
      </c>
      <c r="W478" s="1328">
        <v>0</v>
      </c>
      <c r="X478" s="1289">
        <v>296949</v>
      </c>
      <c r="Y478" s="1289">
        <v>0</v>
      </c>
    </row>
    <row r="479" spans="1:25" s="1280" customFormat="1">
      <c r="A479" s="1281">
        <v>35</v>
      </c>
      <c r="B479" s="1267" t="s">
        <v>2234</v>
      </c>
      <c r="C479" s="1289">
        <f t="shared" si="203"/>
        <v>13770490</v>
      </c>
      <c r="D479" s="1289">
        <f t="shared" si="204"/>
        <v>0</v>
      </c>
      <c r="E479" s="1328">
        <v>0</v>
      </c>
      <c r="F479" s="1328">
        <v>0</v>
      </c>
      <c r="G479" s="1328">
        <v>0</v>
      </c>
      <c r="H479" s="1328">
        <v>0</v>
      </c>
      <c r="I479" s="1328">
        <v>0</v>
      </c>
      <c r="J479" s="1328">
        <v>0</v>
      </c>
      <c r="K479" s="1329">
        <v>0</v>
      </c>
      <c r="L479" s="1328">
        <v>0</v>
      </c>
      <c r="M479" s="1329">
        <v>0</v>
      </c>
      <c r="N479" s="1328">
        <v>0</v>
      </c>
      <c r="O479" s="1328">
        <v>0</v>
      </c>
      <c r="P479" s="1328">
        <v>0</v>
      </c>
      <c r="Q479" s="1328">
        <v>0</v>
      </c>
      <c r="R479" s="1328">
        <v>0</v>
      </c>
      <c r="S479" s="1328">
        <v>2664.12</v>
      </c>
      <c r="T479" s="1328">
        <v>12770273</v>
      </c>
      <c r="U479" s="1328">
        <v>0</v>
      </c>
      <c r="V479" s="1328">
        <v>0</v>
      </c>
      <c r="W479" s="1328">
        <v>0</v>
      </c>
      <c r="X479" s="1289">
        <v>1000217</v>
      </c>
      <c r="Y479" s="1289">
        <v>0</v>
      </c>
    </row>
    <row r="480" spans="1:25" s="1280" customFormat="1">
      <c r="A480" s="1281">
        <v>36</v>
      </c>
      <c r="B480" s="1267" t="s">
        <v>1851</v>
      </c>
      <c r="C480" s="1289">
        <f t="shared" si="203"/>
        <v>4624233</v>
      </c>
      <c r="D480" s="1289">
        <f t="shared" si="204"/>
        <v>4288352</v>
      </c>
      <c r="E480" s="1328">
        <v>0</v>
      </c>
      <c r="F480" s="1328">
        <v>0</v>
      </c>
      <c r="G480" s="1328">
        <v>0</v>
      </c>
      <c r="H480" s="1328">
        <v>2627127</v>
      </c>
      <c r="I480" s="1328">
        <v>0</v>
      </c>
      <c r="J480" s="1328">
        <v>1661225</v>
      </c>
      <c r="K480" s="1329">
        <v>0</v>
      </c>
      <c r="L480" s="1328">
        <v>0</v>
      </c>
      <c r="M480" s="1329">
        <v>0</v>
      </c>
      <c r="N480" s="1328">
        <v>0</v>
      </c>
      <c r="O480" s="1328">
        <v>0</v>
      </c>
      <c r="P480" s="1328">
        <v>0</v>
      </c>
      <c r="Q480" s="1328">
        <v>0</v>
      </c>
      <c r="R480" s="1328">
        <v>0</v>
      </c>
      <c r="S480" s="1328">
        <v>0</v>
      </c>
      <c r="T480" s="1328">
        <v>0</v>
      </c>
      <c r="U480" s="1328">
        <v>0</v>
      </c>
      <c r="V480" s="1328">
        <v>0</v>
      </c>
      <c r="W480" s="1268">
        <v>0</v>
      </c>
      <c r="X480" s="1289">
        <v>335881</v>
      </c>
      <c r="Y480" s="1289">
        <v>0</v>
      </c>
    </row>
    <row r="481" spans="1:25" s="1280" customFormat="1">
      <c r="A481" s="1281">
        <v>37</v>
      </c>
      <c r="B481" s="1267" t="s">
        <v>1852</v>
      </c>
      <c r="C481" s="1289">
        <f t="shared" si="203"/>
        <v>2635698</v>
      </c>
      <c r="D481" s="1289">
        <f t="shared" si="204"/>
        <v>0</v>
      </c>
      <c r="E481" s="1328">
        <v>0</v>
      </c>
      <c r="F481" s="1328">
        <v>0</v>
      </c>
      <c r="G481" s="1328">
        <v>0</v>
      </c>
      <c r="H481" s="1328">
        <v>0</v>
      </c>
      <c r="I481" s="1328">
        <v>0</v>
      </c>
      <c r="J481" s="1328">
        <v>0</v>
      </c>
      <c r="K481" s="1329">
        <v>0</v>
      </c>
      <c r="L481" s="1328">
        <v>0</v>
      </c>
      <c r="M481" s="1329">
        <v>0</v>
      </c>
      <c r="N481" s="1328">
        <v>0</v>
      </c>
      <c r="O481" s="1328">
        <v>418.95</v>
      </c>
      <c r="P481" s="1328">
        <v>1314984</v>
      </c>
      <c r="Q481" s="1328">
        <v>0</v>
      </c>
      <c r="R481" s="1328">
        <v>0</v>
      </c>
      <c r="S481" s="1328">
        <v>457.62</v>
      </c>
      <c r="T481" s="1328">
        <v>1129270</v>
      </c>
      <c r="U481" s="1328">
        <v>0</v>
      </c>
      <c r="V481" s="1328">
        <v>0</v>
      </c>
      <c r="W481" s="1328">
        <v>0</v>
      </c>
      <c r="X481" s="1289">
        <v>191444</v>
      </c>
      <c r="Y481" s="1289">
        <v>0</v>
      </c>
    </row>
    <row r="482" spans="1:25" s="1299" customFormat="1" ht="75.599999999999994">
      <c r="A482" s="1281">
        <v>38</v>
      </c>
      <c r="B482" s="1267" t="s">
        <v>2036</v>
      </c>
      <c r="C482" s="1289">
        <f t="shared" si="203"/>
        <v>12613056</v>
      </c>
      <c r="D482" s="1289">
        <f t="shared" si="204"/>
        <v>0</v>
      </c>
      <c r="E482" s="1328">
        <v>0</v>
      </c>
      <c r="F482" s="1328">
        <v>0</v>
      </c>
      <c r="G482" s="1328">
        <v>0</v>
      </c>
      <c r="H482" s="1328">
        <v>0</v>
      </c>
      <c r="I482" s="1328">
        <v>0</v>
      </c>
      <c r="J482" s="1328">
        <v>0</v>
      </c>
      <c r="K482" s="1329">
        <v>0</v>
      </c>
      <c r="L482" s="1328">
        <v>0</v>
      </c>
      <c r="M482" s="1329">
        <v>0</v>
      </c>
      <c r="N482" s="1328">
        <v>0</v>
      </c>
      <c r="O482" s="1328">
        <v>0</v>
      </c>
      <c r="P482" s="1328">
        <v>0</v>
      </c>
      <c r="Q482" s="1328">
        <v>0</v>
      </c>
      <c r="R482" s="1328">
        <v>0</v>
      </c>
      <c r="S482" s="1328">
        <v>4740</v>
      </c>
      <c r="T482" s="1328">
        <v>11696909</v>
      </c>
      <c r="U482" s="1328">
        <v>0</v>
      </c>
      <c r="V482" s="1328">
        <v>0</v>
      </c>
      <c r="W482" s="1328">
        <v>0</v>
      </c>
      <c r="X482" s="1289">
        <v>916147</v>
      </c>
      <c r="Y482" s="1289">
        <v>0</v>
      </c>
    </row>
    <row r="483" spans="1:25" s="1299" customFormat="1">
      <c r="A483" s="1281">
        <v>39</v>
      </c>
      <c r="B483" s="1267" t="s">
        <v>320</v>
      </c>
      <c r="C483" s="1289">
        <f t="shared" si="203"/>
        <v>15219000</v>
      </c>
      <c r="D483" s="1289">
        <f t="shared" si="204"/>
        <v>14113571</v>
      </c>
      <c r="E483" s="1328">
        <v>4876585</v>
      </c>
      <c r="F483" s="1328">
        <v>9236986</v>
      </c>
      <c r="G483" s="1328">
        <v>0</v>
      </c>
      <c r="H483" s="1328">
        <v>0</v>
      </c>
      <c r="I483" s="1328">
        <v>0</v>
      </c>
      <c r="J483" s="1328">
        <v>0</v>
      </c>
      <c r="K483" s="1329">
        <v>0</v>
      </c>
      <c r="L483" s="1328">
        <v>0</v>
      </c>
      <c r="M483" s="1329">
        <v>0</v>
      </c>
      <c r="N483" s="1328">
        <v>0</v>
      </c>
      <c r="O483" s="1328">
        <v>0</v>
      </c>
      <c r="P483" s="1328">
        <v>0</v>
      </c>
      <c r="Q483" s="1328">
        <v>0</v>
      </c>
      <c r="R483" s="1328">
        <v>0</v>
      </c>
      <c r="S483" s="1328">
        <v>0</v>
      </c>
      <c r="T483" s="1328">
        <v>0</v>
      </c>
      <c r="U483" s="1328">
        <v>0</v>
      </c>
      <c r="V483" s="1328">
        <v>0</v>
      </c>
      <c r="W483" s="1268">
        <v>0</v>
      </c>
      <c r="X483" s="1289">
        <v>1105429</v>
      </c>
      <c r="Y483" s="1289">
        <v>0</v>
      </c>
    </row>
    <row r="484" spans="1:25" s="1299" customFormat="1" ht="75.599999999999994">
      <c r="A484" s="1281">
        <v>40</v>
      </c>
      <c r="B484" s="1267" t="s">
        <v>2449</v>
      </c>
      <c r="C484" s="1289">
        <f t="shared" si="203"/>
        <v>12929117</v>
      </c>
      <c r="D484" s="1289">
        <f t="shared" si="204"/>
        <v>2762660</v>
      </c>
      <c r="E484" s="1328">
        <v>2762660</v>
      </c>
      <c r="F484" s="1328">
        <v>0</v>
      </c>
      <c r="G484" s="1328">
        <v>0</v>
      </c>
      <c r="H484" s="1328">
        <v>0</v>
      </c>
      <c r="I484" s="1328">
        <v>0</v>
      </c>
      <c r="J484" s="1328">
        <v>0</v>
      </c>
      <c r="K484" s="1329">
        <v>0</v>
      </c>
      <c r="L484" s="1328">
        <v>0</v>
      </c>
      <c r="M484" s="1329">
        <v>0</v>
      </c>
      <c r="N484" s="1328">
        <v>0</v>
      </c>
      <c r="O484" s="1328">
        <v>0</v>
      </c>
      <c r="P484" s="1328">
        <v>0</v>
      </c>
      <c r="Q484" s="1328">
        <v>0</v>
      </c>
      <c r="R484" s="1328">
        <v>0</v>
      </c>
      <c r="S484" s="1328">
        <v>1925</v>
      </c>
      <c r="T484" s="1328">
        <v>9227353</v>
      </c>
      <c r="U484" s="1328">
        <v>0</v>
      </c>
      <c r="V484" s="1328">
        <v>0</v>
      </c>
      <c r="W484" s="1328">
        <v>0</v>
      </c>
      <c r="X484" s="1289">
        <v>939104</v>
      </c>
      <c r="Y484" s="1289">
        <v>0</v>
      </c>
    </row>
    <row r="485" spans="1:25" s="1299" customFormat="1">
      <c r="A485" s="1281">
        <v>41</v>
      </c>
      <c r="B485" s="1267" t="s">
        <v>1854</v>
      </c>
      <c r="C485" s="1289">
        <f t="shared" si="203"/>
        <v>2502998</v>
      </c>
      <c r="D485" s="1289">
        <f t="shared" si="204"/>
        <v>2321193</v>
      </c>
      <c r="E485" s="1328">
        <v>0</v>
      </c>
      <c r="F485" s="1328">
        <v>2321193</v>
      </c>
      <c r="G485" s="1328">
        <v>0</v>
      </c>
      <c r="H485" s="1328">
        <v>0</v>
      </c>
      <c r="I485" s="1328">
        <v>0</v>
      </c>
      <c r="J485" s="1328">
        <v>0</v>
      </c>
      <c r="K485" s="1329">
        <v>0</v>
      </c>
      <c r="L485" s="1328">
        <v>0</v>
      </c>
      <c r="M485" s="1329">
        <v>0</v>
      </c>
      <c r="N485" s="1328">
        <v>0</v>
      </c>
      <c r="O485" s="1328">
        <v>0</v>
      </c>
      <c r="P485" s="1328">
        <v>0</v>
      </c>
      <c r="Q485" s="1328">
        <v>0</v>
      </c>
      <c r="R485" s="1328">
        <v>0</v>
      </c>
      <c r="S485" s="1328">
        <v>0</v>
      </c>
      <c r="T485" s="1328">
        <v>0</v>
      </c>
      <c r="U485" s="1328">
        <v>0</v>
      </c>
      <c r="V485" s="1328">
        <v>0</v>
      </c>
      <c r="W485" s="1268">
        <v>0</v>
      </c>
      <c r="X485" s="1289">
        <v>181805</v>
      </c>
      <c r="Y485" s="1289">
        <v>0</v>
      </c>
    </row>
    <row r="486" spans="1:25" s="1299" customFormat="1">
      <c r="A486" s="1281">
        <v>42</v>
      </c>
      <c r="B486" s="1267" t="s">
        <v>1855</v>
      </c>
      <c r="C486" s="1289">
        <f t="shared" si="203"/>
        <v>3524831</v>
      </c>
      <c r="D486" s="1289">
        <f t="shared" si="204"/>
        <v>612565</v>
      </c>
      <c r="E486" s="1328">
        <v>612565</v>
      </c>
      <c r="F486" s="1328">
        <v>0</v>
      </c>
      <c r="G486" s="1328">
        <v>0</v>
      </c>
      <c r="H486" s="1328">
        <v>0</v>
      </c>
      <c r="I486" s="1328">
        <v>0</v>
      </c>
      <c r="J486" s="1328">
        <v>0</v>
      </c>
      <c r="K486" s="1329">
        <v>0</v>
      </c>
      <c r="L486" s="1328">
        <v>0</v>
      </c>
      <c r="M486" s="1329">
        <v>0</v>
      </c>
      <c r="N486" s="1328">
        <v>0</v>
      </c>
      <c r="O486" s="1328">
        <v>846.27</v>
      </c>
      <c r="P486" s="1328">
        <v>2656241</v>
      </c>
      <c r="Q486" s="1328">
        <v>0</v>
      </c>
      <c r="R486" s="1328">
        <v>0</v>
      </c>
      <c r="S486" s="1328">
        <v>0</v>
      </c>
      <c r="T486" s="1328">
        <v>0</v>
      </c>
      <c r="U486" s="1328">
        <v>0</v>
      </c>
      <c r="V486" s="1328">
        <v>0</v>
      </c>
      <c r="W486" s="1328">
        <v>0</v>
      </c>
      <c r="X486" s="1289">
        <v>256025</v>
      </c>
      <c r="Y486" s="1289">
        <v>0</v>
      </c>
    </row>
    <row r="487" spans="1:25" s="1299" customFormat="1">
      <c r="A487" s="1281">
        <v>43</v>
      </c>
      <c r="B487" s="1267" t="s">
        <v>1856</v>
      </c>
      <c r="C487" s="1289">
        <f t="shared" si="203"/>
        <v>2423166</v>
      </c>
      <c r="D487" s="1289">
        <f t="shared" si="204"/>
        <v>0</v>
      </c>
      <c r="E487" s="1328">
        <v>0</v>
      </c>
      <c r="F487" s="1328">
        <v>0</v>
      </c>
      <c r="G487" s="1328">
        <v>0</v>
      </c>
      <c r="H487" s="1328">
        <v>0</v>
      </c>
      <c r="I487" s="1328">
        <v>0</v>
      </c>
      <c r="J487" s="1328">
        <v>0</v>
      </c>
      <c r="K487" s="1329">
        <v>0</v>
      </c>
      <c r="L487" s="1328">
        <v>0</v>
      </c>
      <c r="M487" s="1329">
        <v>0</v>
      </c>
      <c r="N487" s="1328">
        <v>0</v>
      </c>
      <c r="O487" s="1328">
        <v>0</v>
      </c>
      <c r="P487" s="1328">
        <v>0</v>
      </c>
      <c r="Q487" s="1328">
        <v>0</v>
      </c>
      <c r="R487" s="1328">
        <v>0</v>
      </c>
      <c r="S487" s="1328">
        <v>486.8</v>
      </c>
      <c r="T487" s="1328">
        <v>2247160</v>
      </c>
      <c r="U487" s="1328">
        <v>0</v>
      </c>
      <c r="V487" s="1328">
        <v>0</v>
      </c>
      <c r="W487" s="1268">
        <v>0</v>
      </c>
      <c r="X487" s="1289">
        <v>176006</v>
      </c>
      <c r="Y487" s="1289">
        <v>0</v>
      </c>
    </row>
    <row r="488" spans="1:25" s="1299" customFormat="1">
      <c r="A488" s="1281">
        <v>44</v>
      </c>
      <c r="B488" s="1267" t="s">
        <v>1857</v>
      </c>
      <c r="C488" s="1289">
        <f t="shared" si="203"/>
        <v>5365249</v>
      </c>
      <c r="D488" s="1289">
        <f t="shared" si="204"/>
        <v>1534833</v>
      </c>
      <c r="E488" s="1328">
        <v>884438</v>
      </c>
      <c r="F488" s="1328">
        <v>0</v>
      </c>
      <c r="G488" s="1328">
        <v>0</v>
      </c>
      <c r="H488" s="1328">
        <v>0</v>
      </c>
      <c r="I488" s="1328">
        <v>0</v>
      </c>
      <c r="J488" s="1328">
        <v>650395</v>
      </c>
      <c r="K488" s="1329">
        <v>0</v>
      </c>
      <c r="L488" s="1328">
        <v>0</v>
      </c>
      <c r="M488" s="1329">
        <v>0</v>
      </c>
      <c r="N488" s="1328">
        <v>0</v>
      </c>
      <c r="O488" s="1328">
        <v>1096.2</v>
      </c>
      <c r="P488" s="1328">
        <v>3440712</v>
      </c>
      <c r="Q488" s="1328">
        <v>0</v>
      </c>
      <c r="R488" s="1328">
        <v>0</v>
      </c>
      <c r="S488" s="1328">
        <v>0</v>
      </c>
      <c r="T488" s="1328">
        <v>0</v>
      </c>
      <c r="U488" s="1328">
        <v>0</v>
      </c>
      <c r="V488" s="1328">
        <v>0</v>
      </c>
      <c r="W488" s="1328">
        <v>0</v>
      </c>
      <c r="X488" s="1289">
        <v>389704</v>
      </c>
      <c r="Y488" s="1289">
        <v>0</v>
      </c>
    </row>
    <row r="489" spans="1:25" s="1299" customFormat="1" ht="75.599999999999994">
      <c r="A489" s="1281">
        <v>45</v>
      </c>
      <c r="B489" s="1267" t="s">
        <v>1858</v>
      </c>
      <c r="C489" s="1289">
        <f t="shared" si="203"/>
        <v>7579429</v>
      </c>
      <c r="D489" s="1289">
        <f t="shared" si="204"/>
        <v>2814325</v>
      </c>
      <c r="E489" s="1328">
        <v>0</v>
      </c>
      <c r="F489" s="1328">
        <v>2814325</v>
      </c>
      <c r="G489" s="1328">
        <v>0</v>
      </c>
      <c r="H489" s="1328">
        <v>0</v>
      </c>
      <c r="I489" s="1328">
        <v>0</v>
      </c>
      <c r="J489" s="1328">
        <v>0</v>
      </c>
      <c r="K489" s="1329">
        <v>0</v>
      </c>
      <c r="L489" s="1328">
        <v>0</v>
      </c>
      <c r="M489" s="1329">
        <v>0</v>
      </c>
      <c r="N489" s="1328">
        <v>0</v>
      </c>
      <c r="O489" s="1328">
        <v>1342.75</v>
      </c>
      <c r="P489" s="1328">
        <v>4214573</v>
      </c>
      <c r="Q489" s="1328">
        <v>0</v>
      </c>
      <c r="R489" s="1328">
        <v>0</v>
      </c>
      <c r="S489" s="1328">
        <v>0</v>
      </c>
      <c r="T489" s="1328">
        <v>0</v>
      </c>
      <c r="U489" s="1328">
        <v>0</v>
      </c>
      <c r="V489" s="1328">
        <v>0</v>
      </c>
      <c r="W489" s="1268">
        <v>0</v>
      </c>
      <c r="X489" s="1289">
        <v>550531</v>
      </c>
      <c r="Y489" s="1289">
        <v>0</v>
      </c>
    </row>
    <row r="490" spans="1:25" s="1299" customFormat="1">
      <c r="A490" s="1281">
        <v>46</v>
      </c>
      <c r="B490" s="1267" t="s">
        <v>1859</v>
      </c>
      <c r="C490" s="1289">
        <f t="shared" si="203"/>
        <v>16137541</v>
      </c>
      <c r="D490" s="1289">
        <f t="shared" si="204"/>
        <v>2193395</v>
      </c>
      <c r="E490" s="1328">
        <v>0</v>
      </c>
      <c r="F490" s="1328">
        <v>2193395</v>
      </c>
      <c r="G490" s="1328">
        <v>0</v>
      </c>
      <c r="H490" s="1328">
        <v>0</v>
      </c>
      <c r="I490" s="1328">
        <v>0</v>
      </c>
      <c r="J490" s="1328">
        <v>0</v>
      </c>
      <c r="K490" s="1329">
        <v>0</v>
      </c>
      <c r="L490" s="1328">
        <v>0</v>
      </c>
      <c r="M490" s="1329">
        <v>0</v>
      </c>
      <c r="N490" s="1328">
        <v>0</v>
      </c>
      <c r="O490" s="1328">
        <v>0</v>
      </c>
      <c r="P490" s="1328">
        <v>0</v>
      </c>
      <c r="Q490" s="1328">
        <v>0</v>
      </c>
      <c r="R490" s="1328">
        <v>0</v>
      </c>
      <c r="S490" s="1328">
        <v>2664.48</v>
      </c>
      <c r="T490" s="1328">
        <v>12771999</v>
      </c>
      <c r="U490" s="1328">
        <v>0</v>
      </c>
      <c r="V490" s="1328">
        <v>0</v>
      </c>
      <c r="W490" s="1328">
        <v>0</v>
      </c>
      <c r="X490" s="1289">
        <v>1172147</v>
      </c>
      <c r="Y490" s="1289">
        <v>0</v>
      </c>
    </row>
    <row r="491" spans="1:25" s="1299" customFormat="1">
      <c r="A491" s="1281">
        <v>47</v>
      </c>
      <c r="B491" s="1267" t="s">
        <v>470</v>
      </c>
      <c r="C491" s="1289">
        <f t="shared" si="203"/>
        <v>6386358</v>
      </c>
      <c r="D491" s="1289">
        <f t="shared" si="204"/>
        <v>0</v>
      </c>
      <c r="E491" s="1328">
        <v>0</v>
      </c>
      <c r="F491" s="1328">
        <v>0</v>
      </c>
      <c r="G491" s="1328">
        <v>0</v>
      </c>
      <c r="H491" s="1328">
        <v>0</v>
      </c>
      <c r="I491" s="1328">
        <v>0</v>
      </c>
      <c r="J491" s="1328">
        <v>0</v>
      </c>
      <c r="K491" s="1329">
        <v>0</v>
      </c>
      <c r="L491" s="1328">
        <v>0</v>
      </c>
      <c r="M491" s="1329">
        <v>0</v>
      </c>
      <c r="N491" s="1328">
        <v>0</v>
      </c>
      <c r="O491" s="1328">
        <v>0</v>
      </c>
      <c r="P491" s="1328">
        <v>0</v>
      </c>
      <c r="Q491" s="1328">
        <v>0</v>
      </c>
      <c r="R491" s="1328">
        <v>0</v>
      </c>
      <c r="S491" s="1328">
        <v>2400</v>
      </c>
      <c r="T491" s="1328">
        <v>5922486</v>
      </c>
      <c r="U491" s="1328">
        <v>0</v>
      </c>
      <c r="V491" s="1328">
        <v>0</v>
      </c>
      <c r="W491" s="1268">
        <v>0</v>
      </c>
      <c r="X491" s="1289">
        <v>463872</v>
      </c>
      <c r="Y491" s="1289">
        <v>0</v>
      </c>
    </row>
    <row r="492" spans="1:25" s="1299" customFormat="1" ht="75.599999999999994">
      <c r="A492" s="1281">
        <v>48</v>
      </c>
      <c r="B492" s="1267" t="s">
        <v>2450</v>
      </c>
      <c r="C492" s="1289">
        <f t="shared" si="203"/>
        <v>5345250</v>
      </c>
      <c r="D492" s="1289">
        <f t="shared" si="204"/>
        <v>2607040</v>
      </c>
      <c r="E492" s="1328">
        <v>2607040</v>
      </c>
      <c r="F492" s="1328">
        <v>0</v>
      </c>
      <c r="G492" s="1328">
        <v>0</v>
      </c>
      <c r="H492" s="1328">
        <v>0</v>
      </c>
      <c r="I492" s="1328">
        <v>0</v>
      </c>
      <c r="J492" s="1328">
        <v>0</v>
      </c>
      <c r="K492" s="1329">
        <v>0</v>
      </c>
      <c r="L492" s="1328">
        <v>0</v>
      </c>
      <c r="M492" s="1329">
        <v>0</v>
      </c>
      <c r="N492" s="1328">
        <v>0</v>
      </c>
      <c r="O492" s="1328">
        <v>932.6</v>
      </c>
      <c r="P492" s="1328">
        <v>2349959</v>
      </c>
      <c r="Q492" s="1328">
        <v>0</v>
      </c>
      <c r="R492" s="1328">
        <v>0</v>
      </c>
      <c r="S492" s="1328">
        <v>0</v>
      </c>
      <c r="T492" s="1328">
        <v>0</v>
      </c>
      <c r="U492" s="1328">
        <v>0</v>
      </c>
      <c r="V492" s="1328">
        <v>0</v>
      </c>
      <c r="W492" s="1328">
        <v>0</v>
      </c>
      <c r="X492" s="1289">
        <v>388251</v>
      </c>
      <c r="Y492" s="1289">
        <v>0</v>
      </c>
    </row>
    <row r="493" spans="1:25" s="1299" customFormat="1">
      <c r="A493" s="1281">
        <v>49</v>
      </c>
      <c r="B493" s="1267" t="s">
        <v>315</v>
      </c>
      <c r="C493" s="1289">
        <f t="shared" si="203"/>
        <v>3334889</v>
      </c>
      <c r="D493" s="1289">
        <f t="shared" si="204"/>
        <v>595345</v>
      </c>
      <c r="E493" s="1328">
        <v>595345</v>
      </c>
      <c r="F493" s="1328">
        <v>0</v>
      </c>
      <c r="G493" s="1328">
        <v>0</v>
      </c>
      <c r="H493" s="1328">
        <v>0</v>
      </c>
      <c r="I493" s="1328">
        <v>0</v>
      </c>
      <c r="J493" s="1328">
        <v>0</v>
      </c>
      <c r="K493" s="1329">
        <v>0</v>
      </c>
      <c r="L493" s="1328">
        <v>0</v>
      </c>
      <c r="M493" s="1329">
        <v>0</v>
      </c>
      <c r="N493" s="1328">
        <v>0</v>
      </c>
      <c r="O493" s="1328">
        <v>0</v>
      </c>
      <c r="P493" s="1328">
        <v>0</v>
      </c>
      <c r="Q493" s="1328">
        <v>0</v>
      </c>
      <c r="R493" s="1328">
        <v>0</v>
      </c>
      <c r="S493" s="1328">
        <v>1012</v>
      </c>
      <c r="T493" s="1328">
        <v>2497315</v>
      </c>
      <c r="U493" s="1328">
        <v>0</v>
      </c>
      <c r="V493" s="1328">
        <v>0</v>
      </c>
      <c r="W493" s="1268">
        <v>0</v>
      </c>
      <c r="X493" s="1289">
        <v>242229</v>
      </c>
      <c r="Y493" s="1289">
        <v>0</v>
      </c>
    </row>
    <row r="494" spans="1:25" s="1299" customFormat="1">
      <c r="A494" s="1281">
        <v>50</v>
      </c>
      <c r="B494" s="1267" t="s">
        <v>1861</v>
      </c>
      <c r="C494" s="1289">
        <f t="shared" si="203"/>
        <v>3753928</v>
      </c>
      <c r="D494" s="1289">
        <f t="shared" si="204"/>
        <v>0</v>
      </c>
      <c r="E494" s="1328">
        <v>0</v>
      </c>
      <c r="F494" s="1328">
        <v>0</v>
      </c>
      <c r="G494" s="1328">
        <v>0</v>
      </c>
      <c r="H494" s="1328">
        <v>0</v>
      </c>
      <c r="I494" s="1328">
        <v>0</v>
      </c>
      <c r="J494" s="1328">
        <v>0</v>
      </c>
      <c r="K494" s="1329">
        <v>0</v>
      </c>
      <c r="L494" s="1328">
        <v>0</v>
      </c>
      <c r="M494" s="1329">
        <v>0</v>
      </c>
      <c r="N494" s="1328">
        <v>0</v>
      </c>
      <c r="O494" s="1328">
        <v>0</v>
      </c>
      <c r="P494" s="1328">
        <v>0</v>
      </c>
      <c r="Q494" s="1328">
        <v>0</v>
      </c>
      <c r="R494" s="1328">
        <v>0</v>
      </c>
      <c r="S494" s="1328">
        <v>1410.73</v>
      </c>
      <c r="T494" s="1328">
        <v>3481262</v>
      </c>
      <c r="U494" s="1328">
        <v>0</v>
      </c>
      <c r="V494" s="1328">
        <v>0</v>
      </c>
      <c r="W494" s="1328">
        <v>0</v>
      </c>
      <c r="X494" s="1289">
        <v>272666</v>
      </c>
      <c r="Y494" s="1289">
        <v>0</v>
      </c>
    </row>
    <row r="495" spans="1:25" s="1299" customFormat="1">
      <c r="A495" s="1281">
        <v>51</v>
      </c>
      <c r="B495" s="1267" t="s">
        <v>253</v>
      </c>
      <c r="C495" s="1289">
        <f t="shared" si="203"/>
        <v>1964050</v>
      </c>
      <c r="D495" s="1289">
        <f t="shared" si="204"/>
        <v>390273</v>
      </c>
      <c r="E495" s="1328">
        <v>0</v>
      </c>
      <c r="F495" s="1328">
        <v>0</v>
      </c>
      <c r="G495" s="1328">
        <v>0</v>
      </c>
      <c r="H495" s="1328">
        <v>390273</v>
      </c>
      <c r="I495" s="1328">
        <v>0</v>
      </c>
      <c r="J495" s="1328">
        <v>0</v>
      </c>
      <c r="K495" s="1329">
        <v>0</v>
      </c>
      <c r="L495" s="1328">
        <v>0</v>
      </c>
      <c r="M495" s="1329">
        <v>0</v>
      </c>
      <c r="N495" s="1328">
        <v>0</v>
      </c>
      <c r="O495" s="1328">
        <v>455.95</v>
      </c>
      <c r="P495" s="1328">
        <v>1431118</v>
      </c>
      <c r="Q495" s="1328">
        <v>0</v>
      </c>
      <c r="R495" s="1328">
        <v>0</v>
      </c>
      <c r="S495" s="1328">
        <v>0</v>
      </c>
      <c r="T495" s="1328">
        <v>0</v>
      </c>
      <c r="U495" s="1328">
        <v>0</v>
      </c>
      <c r="V495" s="1328">
        <v>0</v>
      </c>
      <c r="W495" s="1268">
        <v>0</v>
      </c>
      <c r="X495" s="1289">
        <v>142659</v>
      </c>
      <c r="Y495" s="1289">
        <v>0</v>
      </c>
    </row>
    <row r="496" spans="1:25" s="1299" customFormat="1" ht="75.599999999999994">
      <c r="A496" s="1281">
        <v>52</v>
      </c>
      <c r="B496" s="1267" t="s">
        <v>1862</v>
      </c>
      <c r="C496" s="1289">
        <f t="shared" si="203"/>
        <v>8165424</v>
      </c>
      <c r="D496" s="1289">
        <f t="shared" si="204"/>
        <v>2388130</v>
      </c>
      <c r="E496" s="1328">
        <v>2388130</v>
      </c>
      <c r="F496" s="1328">
        <v>0</v>
      </c>
      <c r="G496" s="1328">
        <v>0</v>
      </c>
      <c r="H496" s="1328">
        <v>0</v>
      </c>
      <c r="I496" s="1328">
        <v>0</v>
      </c>
      <c r="J496" s="1328">
        <v>0</v>
      </c>
      <c r="K496" s="1329">
        <v>0</v>
      </c>
      <c r="L496" s="1328">
        <v>17817</v>
      </c>
      <c r="M496" s="1329">
        <v>0</v>
      </c>
      <c r="N496" s="1328">
        <v>0</v>
      </c>
      <c r="O496" s="1328">
        <v>0</v>
      </c>
      <c r="P496" s="1328">
        <v>0</v>
      </c>
      <c r="Q496" s="1328">
        <v>0</v>
      </c>
      <c r="R496" s="1328">
        <v>0</v>
      </c>
      <c r="S496" s="1328">
        <v>2093.6</v>
      </c>
      <c r="T496" s="1328">
        <v>5166382</v>
      </c>
      <c r="U496" s="1328">
        <v>0</v>
      </c>
      <c r="V496" s="1328">
        <v>0</v>
      </c>
      <c r="W496" s="1328">
        <v>0</v>
      </c>
      <c r="X496" s="1289">
        <v>593095</v>
      </c>
      <c r="Y496" s="1289">
        <v>0</v>
      </c>
    </row>
    <row r="497" spans="1:25" s="1280" customFormat="1" ht="75.599999999999994">
      <c r="A497" s="1281">
        <v>53</v>
      </c>
      <c r="B497" s="1267" t="s">
        <v>1863</v>
      </c>
      <c r="C497" s="1289">
        <f t="shared" si="203"/>
        <v>5436704</v>
      </c>
      <c r="D497" s="1289">
        <f t="shared" si="204"/>
        <v>5041810</v>
      </c>
      <c r="E497" s="1328">
        <v>0</v>
      </c>
      <c r="F497" s="1328">
        <v>3631812</v>
      </c>
      <c r="G497" s="1328">
        <v>0</v>
      </c>
      <c r="H497" s="1328">
        <v>0</v>
      </c>
      <c r="I497" s="1328">
        <v>0</v>
      </c>
      <c r="J497" s="1328">
        <v>1409998</v>
      </c>
      <c r="K497" s="1329">
        <v>0</v>
      </c>
      <c r="L497" s="1328">
        <v>0</v>
      </c>
      <c r="M497" s="1329">
        <v>0</v>
      </c>
      <c r="N497" s="1328">
        <v>0</v>
      </c>
      <c r="O497" s="1328">
        <v>0</v>
      </c>
      <c r="P497" s="1328">
        <v>0</v>
      </c>
      <c r="Q497" s="1328">
        <v>0</v>
      </c>
      <c r="R497" s="1328">
        <v>0</v>
      </c>
      <c r="S497" s="1328">
        <v>0</v>
      </c>
      <c r="T497" s="1328">
        <v>0</v>
      </c>
      <c r="U497" s="1328">
        <v>0</v>
      </c>
      <c r="V497" s="1328">
        <v>0</v>
      </c>
      <c r="W497" s="1268">
        <v>0</v>
      </c>
      <c r="X497" s="1289">
        <v>394894</v>
      </c>
      <c r="Y497" s="1289">
        <v>0</v>
      </c>
    </row>
    <row r="498" spans="1:25" s="1280" customFormat="1">
      <c r="A498" s="1281">
        <v>54</v>
      </c>
      <c r="B498" s="1267" t="s">
        <v>1864</v>
      </c>
      <c r="C498" s="1289">
        <f t="shared" si="203"/>
        <v>15288517</v>
      </c>
      <c r="D498" s="1289">
        <f t="shared" si="204"/>
        <v>3013105</v>
      </c>
      <c r="E498" s="1328">
        <v>0</v>
      </c>
      <c r="F498" s="1328">
        <v>3013105</v>
      </c>
      <c r="G498" s="1328">
        <v>0</v>
      </c>
      <c r="H498" s="1328">
        <v>0</v>
      </c>
      <c r="I498" s="1328">
        <v>0</v>
      </c>
      <c r="J498" s="1328">
        <v>0</v>
      </c>
      <c r="K498" s="1329">
        <v>0</v>
      </c>
      <c r="L498" s="1328">
        <v>0</v>
      </c>
      <c r="M498" s="1329">
        <v>0</v>
      </c>
      <c r="N498" s="1328">
        <v>0</v>
      </c>
      <c r="O498" s="1328">
        <v>855</v>
      </c>
      <c r="P498" s="1328">
        <v>3873072</v>
      </c>
      <c r="Q498" s="1328">
        <v>0</v>
      </c>
      <c r="R498" s="1328">
        <v>0</v>
      </c>
      <c r="S498" s="1328">
        <v>1521.22</v>
      </c>
      <c r="T498" s="1328">
        <v>7291861</v>
      </c>
      <c r="U498" s="1328">
        <v>0</v>
      </c>
      <c r="V498" s="1328">
        <v>0</v>
      </c>
      <c r="W498" s="1328">
        <v>0</v>
      </c>
      <c r="X498" s="1289">
        <v>1110479</v>
      </c>
      <c r="Y498" s="1289">
        <v>0</v>
      </c>
    </row>
    <row r="499" spans="1:25" s="1280" customFormat="1" ht="75.599999999999994">
      <c r="A499" s="1281">
        <v>55</v>
      </c>
      <c r="B499" s="1267" t="s">
        <v>2451</v>
      </c>
      <c r="C499" s="1289">
        <f t="shared" si="203"/>
        <v>1834028</v>
      </c>
      <c r="D499" s="1289">
        <f t="shared" si="204"/>
        <v>1700813</v>
      </c>
      <c r="E499" s="1328">
        <v>0</v>
      </c>
      <c r="F499" s="1328">
        <v>0</v>
      </c>
      <c r="G499" s="1328">
        <v>0</v>
      </c>
      <c r="H499" s="1328">
        <v>0</v>
      </c>
      <c r="I499" s="1328">
        <v>1041951</v>
      </c>
      <c r="J499" s="1328">
        <v>658862</v>
      </c>
      <c r="K499" s="1329">
        <v>0</v>
      </c>
      <c r="L499" s="1328">
        <v>0</v>
      </c>
      <c r="M499" s="1329">
        <v>0</v>
      </c>
      <c r="N499" s="1328">
        <v>0</v>
      </c>
      <c r="O499" s="1328">
        <v>0</v>
      </c>
      <c r="P499" s="1328">
        <v>0</v>
      </c>
      <c r="Q499" s="1328">
        <v>0</v>
      </c>
      <c r="R499" s="1328">
        <v>0</v>
      </c>
      <c r="S499" s="1328">
        <v>0</v>
      </c>
      <c r="T499" s="1328">
        <v>0</v>
      </c>
      <c r="U499" s="1328">
        <v>0</v>
      </c>
      <c r="V499" s="1328">
        <v>0</v>
      </c>
      <c r="W499" s="1268">
        <v>0</v>
      </c>
      <c r="X499" s="1289">
        <v>133215</v>
      </c>
      <c r="Y499" s="1289">
        <v>0</v>
      </c>
    </row>
    <row r="500" spans="1:25" s="1280" customFormat="1" ht="76.2" thickBot="1">
      <c r="A500" s="1281">
        <v>56</v>
      </c>
      <c r="B500" s="1267" t="s">
        <v>347</v>
      </c>
      <c r="C500" s="1289">
        <f t="shared" si="203"/>
        <v>1702263</v>
      </c>
      <c r="D500" s="1289">
        <f t="shared" si="204"/>
        <v>294960</v>
      </c>
      <c r="E500" s="1330">
        <v>294960</v>
      </c>
      <c r="F500" s="1330">
        <v>0</v>
      </c>
      <c r="G500" s="1330">
        <v>0</v>
      </c>
      <c r="H500" s="1330">
        <v>0</v>
      </c>
      <c r="I500" s="1330">
        <v>0</v>
      </c>
      <c r="J500" s="1330">
        <v>0</v>
      </c>
      <c r="K500" s="1331">
        <v>0</v>
      </c>
      <c r="L500" s="1330">
        <v>0</v>
      </c>
      <c r="M500" s="1331">
        <v>0</v>
      </c>
      <c r="N500" s="1330">
        <v>0</v>
      </c>
      <c r="O500" s="1328">
        <v>408.97</v>
      </c>
      <c r="P500" s="1330">
        <v>1283660</v>
      </c>
      <c r="Q500" s="1330">
        <v>0</v>
      </c>
      <c r="R500" s="1330">
        <v>0</v>
      </c>
      <c r="S500" s="1330">
        <v>0</v>
      </c>
      <c r="T500" s="1330">
        <v>0</v>
      </c>
      <c r="U500" s="1330">
        <v>0</v>
      </c>
      <c r="V500" s="1330">
        <v>0</v>
      </c>
      <c r="W500" s="1328">
        <v>0</v>
      </c>
      <c r="X500" s="1289">
        <v>123643</v>
      </c>
      <c r="Y500" s="1289">
        <v>0</v>
      </c>
    </row>
    <row r="501" spans="1:25" s="1280" customFormat="1" ht="113.4">
      <c r="A501" s="1281"/>
      <c r="B501" s="1267" t="s">
        <v>1619</v>
      </c>
      <c r="C501" s="1268">
        <f>SUM(C502:C519)</f>
        <v>31581042</v>
      </c>
      <c r="D501" s="1268">
        <f t="shared" ref="D501:Y501" si="205">SUM(D502:D519)</f>
        <v>281191</v>
      </c>
      <c r="E501" s="1268">
        <f t="shared" si="205"/>
        <v>0</v>
      </c>
      <c r="F501" s="1268">
        <f t="shared" si="205"/>
        <v>0</v>
      </c>
      <c r="G501" s="1268">
        <f t="shared" si="205"/>
        <v>0</v>
      </c>
      <c r="H501" s="1268">
        <f t="shared" si="205"/>
        <v>0</v>
      </c>
      <c r="I501" s="1268">
        <f t="shared" si="205"/>
        <v>0</v>
      </c>
      <c r="J501" s="1268">
        <f t="shared" si="205"/>
        <v>281191</v>
      </c>
      <c r="K501" s="1278">
        <f t="shared" si="205"/>
        <v>0</v>
      </c>
      <c r="L501" s="1268">
        <f t="shared" si="205"/>
        <v>0</v>
      </c>
      <c r="M501" s="1278">
        <f t="shared" si="205"/>
        <v>0</v>
      </c>
      <c r="N501" s="1268">
        <f t="shared" si="205"/>
        <v>0</v>
      </c>
      <c r="O501" s="1268">
        <f t="shared" si="205"/>
        <v>10108.36</v>
      </c>
      <c r="P501" s="1268">
        <f t="shared" si="205"/>
        <v>27787524</v>
      </c>
      <c r="Q501" s="1268">
        <f t="shared" si="205"/>
        <v>0</v>
      </c>
      <c r="R501" s="1268">
        <f t="shared" si="205"/>
        <v>0</v>
      </c>
      <c r="S501" s="1268">
        <f t="shared" si="205"/>
        <v>456</v>
      </c>
      <c r="T501" s="1268">
        <f t="shared" si="205"/>
        <v>1125272</v>
      </c>
      <c r="U501" s="1268">
        <f t="shared" si="205"/>
        <v>0</v>
      </c>
      <c r="V501" s="1268">
        <f t="shared" si="205"/>
        <v>0</v>
      </c>
      <c r="W501" s="1328">
        <v>0</v>
      </c>
      <c r="X501" s="1268">
        <f t="shared" si="205"/>
        <v>2387055</v>
      </c>
      <c r="Y501" s="1268">
        <f t="shared" si="205"/>
        <v>0</v>
      </c>
    </row>
    <row r="502" spans="1:25" s="1280" customFormat="1">
      <c r="A502" s="1281">
        <v>57</v>
      </c>
      <c r="B502" s="1267" t="s">
        <v>413</v>
      </c>
      <c r="C502" s="1268">
        <f>D502+N502+P502+R502+T502+V502+X502</f>
        <v>1213408</v>
      </c>
      <c r="D502" s="1268">
        <f t="shared" ref="D502" si="206">SUM(E502:J502)</f>
        <v>0</v>
      </c>
      <c r="E502" s="1289">
        <v>0</v>
      </c>
      <c r="F502" s="1289">
        <v>0</v>
      </c>
      <c r="G502" s="1289">
        <v>0</v>
      </c>
      <c r="H502" s="1289">
        <v>0</v>
      </c>
      <c r="I502" s="1289">
        <v>0</v>
      </c>
      <c r="J502" s="1289">
        <v>0</v>
      </c>
      <c r="K502" s="1278">
        <v>0</v>
      </c>
      <c r="L502" s="1289">
        <v>0</v>
      </c>
      <c r="M502" s="1278">
        <v>0</v>
      </c>
      <c r="N502" s="1289">
        <v>0</v>
      </c>
      <c r="O502" s="1289">
        <v>0</v>
      </c>
      <c r="P502" s="1289">
        <v>0</v>
      </c>
      <c r="Q502" s="1289">
        <v>0</v>
      </c>
      <c r="R502" s="1289">
        <v>0</v>
      </c>
      <c r="S502" s="1289">
        <v>456</v>
      </c>
      <c r="T502" s="1289">
        <v>1125272</v>
      </c>
      <c r="U502" s="1289">
        <v>0</v>
      </c>
      <c r="V502" s="1289">
        <v>0</v>
      </c>
      <c r="W502" s="1268">
        <v>0</v>
      </c>
      <c r="X502" s="1289">
        <v>88136</v>
      </c>
      <c r="Y502" s="1289">
        <v>0</v>
      </c>
    </row>
    <row r="503" spans="1:25" s="1280" customFormat="1" ht="75.599999999999994">
      <c r="A503" s="1281">
        <v>58</v>
      </c>
      <c r="B503" s="1267" t="s">
        <v>2452</v>
      </c>
      <c r="C503" s="1268">
        <f t="shared" ref="C503:C515" si="207">D503+N503+P503+R503+T503+V503+X503</f>
        <v>426257</v>
      </c>
      <c r="D503" s="1268">
        <f t="shared" ref="D503:D515" si="208">SUM(E503:J503)</f>
        <v>0</v>
      </c>
      <c r="E503" s="1289">
        <v>0</v>
      </c>
      <c r="F503" s="1289">
        <v>0</v>
      </c>
      <c r="G503" s="1289">
        <v>0</v>
      </c>
      <c r="H503" s="1289">
        <v>0</v>
      </c>
      <c r="I503" s="1289">
        <v>0</v>
      </c>
      <c r="J503" s="1289">
        <v>0</v>
      </c>
      <c r="K503" s="1278">
        <v>0</v>
      </c>
      <c r="L503" s="1289">
        <v>0</v>
      </c>
      <c r="M503" s="1278">
        <v>0</v>
      </c>
      <c r="N503" s="1289">
        <v>0</v>
      </c>
      <c r="O503" s="1289">
        <v>125.94</v>
      </c>
      <c r="P503" s="1289">
        <v>395296</v>
      </c>
      <c r="Q503" s="1289">
        <v>0</v>
      </c>
      <c r="R503" s="1289">
        <v>0</v>
      </c>
      <c r="S503" s="1289">
        <v>0</v>
      </c>
      <c r="T503" s="1289">
        <v>0</v>
      </c>
      <c r="U503" s="1289">
        <v>0</v>
      </c>
      <c r="V503" s="1289">
        <v>0</v>
      </c>
      <c r="W503" s="1328">
        <v>0</v>
      </c>
      <c r="X503" s="1289">
        <v>30961</v>
      </c>
      <c r="Y503" s="1289">
        <v>0</v>
      </c>
    </row>
    <row r="504" spans="1:25" s="1280" customFormat="1">
      <c r="A504" s="1281">
        <v>59</v>
      </c>
      <c r="B504" s="1267" t="s">
        <v>1507</v>
      </c>
      <c r="C504" s="1268">
        <f t="shared" si="207"/>
        <v>638674</v>
      </c>
      <c r="D504" s="1268">
        <f t="shared" si="208"/>
        <v>0</v>
      </c>
      <c r="E504" s="1289">
        <v>0</v>
      </c>
      <c r="F504" s="1289">
        <v>0</v>
      </c>
      <c r="G504" s="1289">
        <v>0</v>
      </c>
      <c r="H504" s="1289">
        <v>0</v>
      </c>
      <c r="I504" s="1289">
        <v>0</v>
      </c>
      <c r="J504" s="1289">
        <v>0</v>
      </c>
      <c r="K504" s="1278">
        <v>0</v>
      </c>
      <c r="L504" s="1289">
        <v>0</v>
      </c>
      <c r="M504" s="1278">
        <v>0</v>
      </c>
      <c r="N504" s="1289">
        <v>0</v>
      </c>
      <c r="O504" s="1289">
        <v>188.7</v>
      </c>
      <c r="P504" s="1289">
        <v>592284</v>
      </c>
      <c r="Q504" s="1289">
        <v>0</v>
      </c>
      <c r="R504" s="1289">
        <v>0</v>
      </c>
      <c r="S504" s="1289">
        <v>0</v>
      </c>
      <c r="T504" s="1289">
        <v>0</v>
      </c>
      <c r="U504" s="1289">
        <v>0</v>
      </c>
      <c r="V504" s="1289">
        <v>0</v>
      </c>
      <c r="W504" s="1268">
        <v>0</v>
      </c>
      <c r="X504" s="1289">
        <v>46390</v>
      </c>
      <c r="Y504" s="1289">
        <v>0</v>
      </c>
    </row>
    <row r="505" spans="1:25" s="1280" customFormat="1">
      <c r="A505" s="1281">
        <v>60</v>
      </c>
      <c r="B505" s="1267" t="s">
        <v>1486</v>
      </c>
      <c r="C505" s="1268">
        <f t="shared" si="207"/>
        <v>2167882</v>
      </c>
      <c r="D505" s="1268">
        <f t="shared" si="208"/>
        <v>0</v>
      </c>
      <c r="E505" s="1289">
        <v>0</v>
      </c>
      <c r="F505" s="1289">
        <v>0</v>
      </c>
      <c r="G505" s="1289">
        <v>0</v>
      </c>
      <c r="H505" s="1289">
        <v>0</v>
      </c>
      <c r="I505" s="1289">
        <v>0</v>
      </c>
      <c r="J505" s="1289">
        <v>0</v>
      </c>
      <c r="K505" s="1278">
        <v>0</v>
      </c>
      <c r="L505" s="1289">
        <v>0</v>
      </c>
      <c r="M505" s="1278">
        <v>0</v>
      </c>
      <c r="N505" s="1289">
        <v>0</v>
      </c>
      <c r="O505" s="1289">
        <v>797.85</v>
      </c>
      <c r="P505" s="1289">
        <v>2010418</v>
      </c>
      <c r="Q505" s="1289">
        <v>0</v>
      </c>
      <c r="R505" s="1289">
        <v>0</v>
      </c>
      <c r="S505" s="1289">
        <v>0</v>
      </c>
      <c r="T505" s="1289">
        <v>0</v>
      </c>
      <c r="U505" s="1289">
        <v>0</v>
      </c>
      <c r="V505" s="1289">
        <v>0</v>
      </c>
      <c r="W505" s="1328">
        <v>0</v>
      </c>
      <c r="X505" s="1289">
        <v>157464</v>
      </c>
      <c r="Y505" s="1289">
        <v>0</v>
      </c>
    </row>
    <row r="506" spans="1:25" s="1280" customFormat="1">
      <c r="A506" s="1281">
        <v>61</v>
      </c>
      <c r="B506" s="1267" t="s">
        <v>1487</v>
      </c>
      <c r="C506" s="1268">
        <f t="shared" si="207"/>
        <v>3923905</v>
      </c>
      <c r="D506" s="1268">
        <f t="shared" si="208"/>
        <v>0</v>
      </c>
      <c r="E506" s="1289">
        <v>0</v>
      </c>
      <c r="F506" s="1289">
        <v>0</v>
      </c>
      <c r="G506" s="1289">
        <v>0</v>
      </c>
      <c r="H506" s="1289">
        <v>0</v>
      </c>
      <c r="I506" s="1289">
        <v>0</v>
      </c>
      <c r="J506" s="1289">
        <v>0</v>
      </c>
      <c r="K506" s="1278">
        <v>0</v>
      </c>
      <c r="L506" s="1289">
        <v>0</v>
      </c>
      <c r="M506" s="1278">
        <v>0</v>
      </c>
      <c r="N506" s="1289">
        <v>0</v>
      </c>
      <c r="O506" s="1289">
        <v>1159.3399999999999</v>
      </c>
      <c r="P506" s="1289">
        <v>3638893</v>
      </c>
      <c r="Q506" s="1289">
        <v>0</v>
      </c>
      <c r="R506" s="1289">
        <v>0</v>
      </c>
      <c r="S506" s="1289">
        <v>0</v>
      </c>
      <c r="T506" s="1289">
        <v>0</v>
      </c>
      <c r="U506" s="1289">
        <v>0</v>
      </c>
      <c r="V506" s="1289">
        <v>0</v>
      </c>
      <c r="W506" s="1268">
        <v>0</v>
      </c>
      <c r="X506" s="1289">
        <v>285012</v>
      </c>
      <c r="Y506" s="1289">
        <v>0</v>
      </c>
    </row>
    <row r="507" spans="1:25" s="1280" customFormat="1">
      <c r="A507" s="1281">
        <v>62</v>
      </c>
      <c r="B507" s="1267" t="s">
        <v>1488</v>
      </c>
      <c r="C507" s="1268">
        <f t="shared" si="207"/>
        <v>2425060</v>
      </c>
      <c r="D507" s="1268">
        <f t="shared" si="208"/>
        <v>0</v>
      </c>
      <c r="E507" s="1289">
        <v>0</v>
      </c>
      <c r="F507" s="1289">
        <v>0</v>
      </c>
      <c r="G507" s="1289">
        <v>0</v>
      </c>
      <c r="H507" s="1289">
        <v>0</v>
      </c>
      <c r="I507" s="1289">
        <v>0</v>
      </c>
      <c r="J507" s="1289">
        <v>0</v>
      </c>
      <c r="K507" s="1278">
        <v>0</v>
      </c>
      <c r="L507" s="1289">
        <v>0</v>
      </c>
      <c r="M507" s="1278">
        <v>0</v>
      </c>
      <c r="N507" s="1289">
        <v>0</v>
      </c>
      <c r="O507" s="1289">
        <v>892.5</v>
      </c>
      <c r="P507" s="1289">
        <v>2248916</v>
      </c>
      <c r="Q507" s="1289">
        <v>0</v>
      </c>
      <c r="R507" s="1289">
        <v>0</v>
      </c>
      <c r="S507" s="1289">
        <v>0</v>
      </c>
      <c r="T507" s="1289">
        <v>0</v>
      </c>
      <c r="U507" s="1289">
        <v>0</v>
      </c>
      <c r="V507" s="1289">
        <v>0</v>
      </c>
      <c r="W507" s="1328">
        <v>0</v>
      </c>
      <c r="X507" s="1289">
        <v>176144</v>
      </c>
      <c r="Y507" s="1289">
        <v>0</v>
      </c>
    </row>
    <row r="508" spans="1:25" s="1280" customFormat="1">
      <c r="A508" s="1281">
        <v>63</v>
      </c>
      <c r="B508" s="1267" t="s">
        <v>1865</v>
      </c>
      <c r="C508" s="1268">
        <f t="shared" si="207"/>
        <v>2549778</v>
      </c>
      <c r="D508" s="1268">
        <f t="shared" si="208"/>
        <v>0</v>
      </c>
      <c r="E508" s="1289">
        <v>0</v>
      </c>
      <c r="F508" s="1289">
        <v>0</v>
      </c>
      <c r="G508" s="1289">
        <v>0</v>
      </c>
      <c r="H508" s="1289">
        <v>0</v>
      </c>
      <c r="I508" s="1289">
        <v>0</v>
      </c>
      <c r="J508" s="1289">
        <v>0</v>
      </c>
      <c r="K508" s="1278">
        <v>0</v>
      </c>
      <c r="L508" s="1289">
        <v>0</v>
      </c>
      <c r="M508" s="1278">
        <v>0</v>
      </c>
      <c r="N508" s="1289">
        <v>0</v>
      </c>
      <c r="O508" s="1289">
        <v>938.4</v>
      </c>
      <c r="P508" s="1289">
        <v>2364575</v>
      </c>
      <c r="Q508" s="1289">
        <v>0</v>
      </c>
      <c r="R508" s="1289">
        <v>0</v>
      </c>
      <c r="S508" s="1289">
        <v>0</v>
      </c>
      <c r="T508" s="1289">
        <v>0</v>
      </c>
      <c r="U508" s="1289">
        <v>0</v>
      </c>
      <c r="V508" s="1289">
        <v>0</v>
      </c>
      <c r="W508" s="1268">
        <v>0</v>
      </c>
      <c r="X508" s="1289">
        <v>185203</v>
      </c>
      <c r="Y508" s="1289">
        <v>0</v>
      </c>
    </row>
    <row r="509" spans="1:25" s="1280" customFormat="1">
      <c r="A509" s="1281">
        <v>64</v>
      </c>
      <c r="B509" s="1267" t="s">
        <v>1866</v>
      </c>
      <c r="C509" s="1268">
        <f t="shared" si="207"/>
        <v>1912301</v>
      </c>
      <c r="D509" s="1268">
        <f t="shared" si="208"/>
        <v>0</v>
      </c>
      <c r="E509" s="1289">
        <v>0</v>
      </c>
      <c r="F509" s="1289">
        <v>0</v>
      </c>
      <c r="G509" s="1289">
        <v>0</v>
      </c>
      <c r="H509" s="1289">
        <v>0</v>
      </c>
      <c r="I509" s="1289">
        <v>0</v>
      </c>
      <c r="J509" s="1289">
        <v>0</v>
      </c>
      <c r="K509" s="1278">
        <v>0</v>
      </c>
      <c r="L509" s="1289">
        <v>0</v>
      </c>
      <c r="M509" s="1278">
        <v>0</v>
      </c>
      <c r="N509" s="1289">
        <v>0</v>
      </c>
      <c r="O509" s="1289">
        <v>565</v>
      </c>
      <c r="P509" s="1289">
        <v>1773401</v>
      </c>
      <c r="Q509" s="1289">
        <v>0</v>
      </c>
      <c r="R509" s="1289">
        <v>0</v>
      </c>
      <c r="S509" s="1289">
        <v>0</v>
      </c>
      <c r="T509" s="1289">
        <v>0</v>
      </c>
      <c r="U509" s="1289">
        <v>0</v>
      </c>
      <c r="V509" s="1289">
        <v>0</v>
      </c>
      <c r="W509" s="1328">
        <v>0</v>
      </c>
      <c r="X509" s="1289">
        <v>138900</v>
      </c>
      <c r="Y509" s="1289">
        <v>0</v>
      </c>
    </row>
    <row r="510" spans="1:25" s="1280" customFormat="1">
      <c r="A510" s="1281">
        <v>65</v>
      </c>
      <c r="B510" s="1267" t="s">
        <v>1490</v>
      </c>
      <c r="C510" s="1268">
        <f t="shared" si="207"/>
        <v>6155169</v>
      </c>
      <c r="D510" s="1268">
        <f t="shared" si="208"/>
        <v>0</v>
      </c>
      <c r="E510" s="1289">
        <v>0</v>
      </c>
      <c r="F510" s="1289">
        <v>0</v>
      </c>
      <c r="G510" s="1289">
        <v>0</v>
      </c>
      <c r="H510" s="1289">
        <v>0</v>
      </c>
      <c r="I510" s="1289">
        <v>0</v>
      </c>
      <c r="J510" s="1289">
        <v>0</v>
      </c>
      <c r="K510" s="1278">
        <v>0</v>
      </c>
      <c r="L510" s="1289">
        <v>0</v>
      </c>
      <c r="M510" s="1278">
        <v>0</v>
      </c>
      <c r="N510" s="1289">
        <v>0</v>
      </c>
      <c r="O510" s="1289">
        <v>2265.3000000000002</v>
      </c>
      <c r="P510" s="1289">
        <v>5708089</v>
      </c>
      <c r="Q510" s="1289">
        <v>0</v>
      </c>
      <c r="R510" s="1289">
        <v>0</v>
      </c>
      <c r="S510" s="1289">
        <v>0</v>
      </c>
      <c r="T510" s="1289">
        <v>0</v>
      </c>
      <c r="U510" s="1289">
        <v>0</v>
      </c>
      <c r="V510" s="1289">
        <v>0</v>
      </c>
      <c r="W510" s="1268">
        <v>0</v>
      </c>
      <c r="X510" s="1289">
        <v>447080</v>
      </c>
      <c r="Y510" s="1289">
        <v>0</v>
      </c>
    </row>
    <row r="511" spans="1:25" s="1280" customFormat="1" ht="113.4">
      <c r="A511" s="1281">
        <v>66</v>
      </c>
      <c r="B511" s="1267" t="s">
        <v>1491</v>
      </c>
      <c r="C511" s="1268">
        <f t="shared" si="207"/>
        <v>609228</v>
      </c>
      <c r="D511" s="1268">
        <f t="shared" si="208"/>
        <v>0</v>
      </c>
      <c r="E511" s="1289">
        <v>0</v>
      </c>
      <c r="F511" s="1289">
        <v>0</v>
      </c>
      <c r="G511" s="1289">
        <v>0</v>
      </c>
      <c r="H511" s="1289">
        <v>0</v>
      </c>
      <c r="I511" s="1289">
        <v>0</v>
      </c>
      <c r="J511" s="1289">
        <v>0</v>
      </c>
      <c r="K511" s="1278">
        <v>0</v>
      </c>
      <c r="L511" s="1289">
        <v>0</v>
      </c>
      <c r="M511" s="1278">
        <v>0</v>
      </c>
      <c r="N511" s="1289">
        <v>0</v>
      </c>
      <c r="O511" s="1289">
        <v>180</v>
      </c>
      <c r="P511" s="1289">
        <v>564977</v>
      </c>
      <c r="Q511" s="1289">
        <v>0</v>
      </c>
      <c r="R511" s="1289">
        <v>0</v>
      </c>
      <c r="S511" s="1289">
        <v>0</v>
      </c>
      <c r="T511" s="1289">
        <v>0</v>
      </c>
      <c r="U511" s="1289">
        <v>0</v>
      </c>
      <c r="V511" s="1289">
        <v>0</v>
      </c>
      <c r="W511" s="1328">
        <v>0</v>
      </c>
      <c r="X511" s="1289">
        <v>44251</v>
      </c>
      <c r="Y511" s="1289">
        <v>0</v>
      </c>
    </row>
    <row r="512" spans="1:25" s="1280" customFormat="1" ht="113.4">
      <c r="A512" s="1281">
        <v>67</v>
      </c>
      <c r="B512" s="1267" t="s">
        <v>1492</v>
      </c>
      <c r="C512" s="1268">
        <f t="shared" si="207"/>
        <v>100468</v>
      </c>
      <c r="D512" s="1268">
        <f t="shared" si="208"/>
        <v>0</v>
      </c>
      <c r="E512" s="1289">
        <v>0</v>
      </c>
      <c r="F512" s="1289">
        <v>0</v>
      </c>
      <c r="G512" s="1289">
        <v>0</v>
      </c>
      <c r="H512" s="1289">
        <v>0</v>
      </c>
      <c r="I512" s="1289">
        <v>0</v>
      </c>
      <c r="J512" s="1289">
        <v>0</v>
      </c>
      <c r="K512" s="1278">
        <v>0</v>
      </c>
      <c r="L512" s="1289">
        <v>0</v>
      </c>
      <c r="M512" s="1278">
        <v>0</v>
      </c>
      <c r="N512" s="1289">
        <v>0</v>
      </c>
      <c r="O512" s="1289"/>
      <c r="P512" s="1289"/>
      <c r="Q512" s="1289">
        <v>0</v>
      </c>
      <c r="R512" s="1289">
        <v>0</v>
      </c>
      <c r="S512" s="1289">
        <v>0</v>
      </c>
      <c r="T512" s="1289">
        <v>0</v>
      </c>
      <c r="U512" s="1289">
        <v>0</v>
      </c>
      <c r="V512" s="1289">
        <v>0</v>
      </c>
      <c r="W512" s="1268">
        <v>0</v>
      </c>
      <c r="X512" s="1289">
        <v>100468</v>
      </c>
      <c r="Y512" s="1289">
        <v>0</v>
      </c>
    </row>
    <row r="513" spans="1:16331" s="1280" customFormat="1">
      <c r="A513" s="1281">
        <v>68</v>
      </c>
      <c r="B513" s="1267" t="s">
        <v>1986</v>
      </c>
      <c r="C513" s="1268">
        <f t="shared" si="207"/>
        <v>807619</v>
      </c>
      <c r="D513" s="1268">
        <f t="shared" si="208"/>
        <v>0</v>
      </c>
      <c r="E513" s="1289">
        <v>0</v>
      </c>
      <c r="F513" s="1289">
        <v>0</v>
      </c>
      <c r="G513" s="1289">
        <v>0</v>
      </c>
      <c r="H513" s="1289">
        <v>0</v>
      </c>
      <c r="I513" s="1289">
        <v>0</v>
      </c>
      <c r="J513" s="1289">
        <v>0</v>
      </c>
      <c r="K513" s="1278">
        <v>0</v>
      </c>
      <c r="L513" s="1289">
        <v>0</v>
      </c>
      <c r="M513" s="1278">
        <v>0</v>
      </c>
      <c r="N513" s="1289">
        <v>0</v>
      </c>
      <c r="O513" s="1289">
        <v>297.23</v>
      </c>
      <c r="P513" s="1289">
        <v>748958</v>
      </c>
      <c r="Q513" s="1289">
        <v>0</v>
      </c>
      <c r="R513" s="1289">
        <v>0</v>
      </c>
      <c r="S513" s="1289">
        <v>0</v>
      </c>
      <c r="T513" s="1289">
        <v>0</v>
      </c>
      <c r="U513" s="1289">
        <v>0</v>
      </c>
      <c r="V513" s="1289">
        <v>0</v>
      </c>
      <c r="W513" s="1328">
        <v>0</v>
      </c>
      <c r="X513" s="1289">
        <v>58661</v>
      </c>
      <c r="Y513" s="1289">
        <v>0</v>
      </c>
    </row>
    <row r="514" spans="1:16331" s="1280" customFormat="1">
      <c r="A514" s="1281">
        <v>69</v>
      </c>
      <c r="B514" s="1267" t="s">
        <v>1867</v>
      </c>
      <c r="C514" s="1268">
        <f t="shared" si="207"/>
        <v>1827686</v>
      </c>
      <c r="D514" s="1268">
        <f t="shared" si="208"/>
        <v>0</v>
      </c>
      <c r="E514" s="1289">
        <v>0</v>
      </c>
      <c r="F514" s="1289">
        <v>0</v>
      </c>
      <c r="G514" s="1289">
        <v>0</v>
      </c>
      <c r="H514" s="1289">
        <v>0</v>
      </c>
      <c r="I514" s="1289">
        <v>0</v>
      </c>
      <c r="J514" s="1289">
        <v>0</v>
      </c>
      <c r="K514" s="1278">
        <v>0</v>
      </c>
      <c r="L514" s="1289">
        <v>0</v>
      </c>
      <c r="M514" s="1278">
        <v>0</v>
      </c>
      <c r="N514" s="1289">
        <v>0</v>
      </c>
      <c r="O514" s="1289">
        <v>540</v>
      </c>
      <c r="P514" s="1289">
        <v>1694932</v>
      </c>
      <c r="Q514" s="1289">
        <v>0</v>
      </c>
      <c r="R514" s="1289">
        <v>0</v>
      </c>
      <c r="S514" s="1289">
        <v>0</v>
      </c>
      <c r="T514" s="1289">
        <v>0</v>
      </c>
      <c r="U514" s="1289">
        <v>0</v>
      </c>
      <c r="V514" s="1289">
        <v>0</v>
      </c>
      <c r="W514" s="1268">
        <v>0</v>
      </c>
      <c r="X514" s="1289">
        <v>132754</v>
      </c>
      <c r="Y514" s="1289">
        <v>0</v>
      </c>
    </row>
    <row r="515" spans="1:16331" s="1280" customFormat="1">
      <c r="A515" s="1281">
        <v>70</v>
      </c>
      <c r="B515" s="1267" t="s">
        <v>1868</v>
      </c>
      <c r="C515" s="1268">
        <f t="shared" si="207"/>
        <v>3191297</v>
      </c>
      <c r="D515" s="1268">
        <f t="shared" si="208"/>
        <v>0</v>
      </c>
      <c r="E515" s="1289">
        <v>0</v>
      </c>
      <c r="F515" s="1289">
        <v>0</v>
      </c>
      <c r="G515" s="1289">
        <v>0</v>
      </c>
      <c r="H515" s="1289">
        <v>0</v>
      </c>
      <c r="I515" s="1289">
        <v>0</v>
      </c>
      <c r="J515" s="1289">
        <v>0</v>
      </c>
      <c r="K515" s="1278">
        <v>0</v>
      </c>
      <c r="L515" s="1289">
        <v>0</v>
      </c>
      <c r="M515" s="1278">
        <v>0</v>
      </c>
      <c r="N515" s="1289">
        <v>0</v>
      </c>
      <c r="O515" s="1289">
        <v>1174.5</v>
      </c>
      <c r="P515" s="1289">
        <v>2959498</v>
      </c>
      <c r="Q515" s="1289">
        <v>0</v>
      </c>
      <c r="R515" s="1289">
        <v>0</v>
      </c>
      <c r="S515" s="1289">
        <v>0</v>
      </c>
      <c r="T515" s="1289">
        <v>0</v>
      </c>
      <c r="U515" s="1289">
        <v>0</v>
      </c>
      <c r="V515" s="1289">
        <v>0</v>
      </c>
      <c r="W515" s="1328">
        <v>0</v>
      </c>
      <c r="X515" s="1289">
        <v>231799</v>
      </c>
      <c r="Y515" s="1289">
        <v>0</v>
      </c>
    </row>
    <row r="516" spans="1:16331" s="1280" customFormat="1">
      <c r="A516" s="1281">
        <v>71</v>
      </c>
      <c r="B516" s="1267" t="s">
        <v>1502</v>
      </c>
      <c r="C516" s="1268">
        <f t="shared" ref="C516:C519" si="209">D516+N516+P516+R516+T516+V516+X516</f>
        <v>2436914</v>
      </c>
      <c r="D516" s="1268">
        <f t="shared" ref="D516:D519" si="210">SUM(E516:J516)</f>
        <v>0</v>
      </c>
      <c r="E516" s="1289">
        <v>0</v>
      </c>
      <c r="F516" s="1289">
        <v>0</v>
      </c>
      <c r="G516" s="1289">
        <v>0</v>
      </c>
      <c r="H516" s="1289">
        <v>0</v>
      </c>
      <c r="I516" s="1289">
        <v>0</v>
      </c>
      <c r="J516" s="1289">
        <v>0</v>
      </c>
      <c r="K516" s="1278">
        <v>0</v>
      </c>
      <c r="L516" s="1289">
        <v>0</v>
      </c>
      <c r="M516" s="1278">
        <v>0</v>
      </c>
      <c r="N516" s="1289">
        <v>0</v>
      </c>
      <c r="O516" s="1289">
        <v>720</v>
      </c>
      <c r="P516" s="1289">
        <v>2259909</v>
      </c>
      <c r="Q516" s="1289">
        <v>0</v>
      </c>
      <c r="R516" s="1289">
        <v>0</v>
      </c>
      <c r="S516" s="1289">
        <v>0</v>
      </c>
      <c r="T516" s="1289">
        <v>0</v>
      </c>
      <c r="U516" s="1289">
        <v>0</v>
      </c>
      <c r="V516" s="1289">
        <v>0</v>
      </c>
      <c r="W516" s="1268">
        <v>0</v>
      </c>
      <c r="X516" s="1289">
        <v>177005</v>
      </c>
      <c r="Y516" s="1289">
        <v>0</v>
      </c>
    </row>
    <row r="517" spans="1:16331" s="1280" customFormat="1" ht="75.599999999999994">
      <c r="A517" s="1281">
        <v>72</v>
      </c>
      <c r="B517" s="1267" t="s">
        <v>2453</v>
      </c>
      <c r="C517" s="1268">
        <f t="shared" si="209"/>
        <v>171264</v>
      </c>
      <c r="D517" s="1268">
        <f t="shared" si="210"/>
        <v>158824</v>
      </c>
      <c r="E517" s="1289">
        <v>0</v>
      </c>
      <c r="F517" s="1289">
        <v>0</v>
      </c>
      <c r="G517" s="1289">
        <v>0</v>
      </c>
      <c r="H517" s="1289">
        <v>0</v>
      </c>
      <c r="I517" s="1289">
        <v>0</v>
      </c>
      <c r="J517" s="1289">
        <v>158824</v>
      </c>
      <c r="K517" s="1278">
        <v>0</v>
      </c>
      <c r="L517" s="1289">
        <v>0</v>
      </c>
      <c r="M517" s="1278">
        <v>0</v>
      </c>
      <c r="N517" s="1289">
        <v>0</v>
      </c>
      <c r="O517" s="1289">
        <v>0</v>
      </c>
      <c r="P517" s="1289">
        <v>0</v>
      </c>
      <c r="Q517" s="1289">
        <v>0</v>
      </c>
      <c r="R517" s="1320">
        <v>0</v>
      </c>
      <c r="S517" s="1320">
        <v>0</v>
      </c>
      <c r="T517" s="1320">
        <v>0</v>
      </c>
      <c r="U517" s="1320">
        <v>0</v>
      </c>
      <c r="V517" s="1320">
        <v>0</v>
      </c>
      <c r="W517" s="1328">
        <v>0</v>
      </c>
      <c r="X517" s="1289">
        <v>12440</v>
      </c>
      <c r="Y517" s="1289">
        <v>0</v>
      </c>
    </row>
    <row r="518" spans="1:16331" s="1280" customFormat="1" ht="75.599999999999994">
      <c r="A518" s="1281">
        <v>73</v>
      </c>
      <c r="B518" s="1267" t="s">
        <v>2455</v>
      </c>
      <c r="C518" s="1268">
        <f t="shared" si="209"/>
        <v>131951</v>
      </c>
      <c r="D518" s="1268">
        <f t="shared" si="210"/>
        <v>122367</v>
      </c>
      <c r="E518" s="1289">
        <v>0</v>
      </c>
      <c r="F518" s="1289">
        <v>0</v>
      </c>
      <c r="G518" s="1289">
        <v>0</v>
      </c>
      <c r="H518" s="1289">
        <v>0</v>
      </c>
      <c r="I518" s="1289">
        <v>0</v>
      </c>
      <c r="J518" s="1289">
        <v>122367</v>
      </c>
      <c r="K518" s="1278">
        <v>0</v>
      </c>
      <c r="L518" s="1289">
        <v>0</v>
      </c>
      <c r="M518" s="1278">
        <v>0</v>
      </c>
      <c r="N518" s="1289">
        <v>0</v>
      </c>
      <c r="O518" s="1289">
        <v>0</v>
      </c>
      <c r="P518" s="1289">
        <v>0</v>
      </c>
      <c r="Q518" s="1289">
        <v>0</v>
      </c>
      <c r="R518" s="1320">
        <v>0</v>
      </c>
      <c r="S518" s="1320">
        <v>0</v>
      </c>
      <c r="T518" s="1320">
        <v>0</v>
      </c>
      <c r="U518" s="1320">
        <v>0</v>
      </c>
      <c r="V518" s="1320">
        <v>0</v>
      </c>
      <c r="W518" s="1268">
        <v>0</v>
      </c>
      <c r="X518" s="1289">
        <v>9584</v>
      </c>
      <c r="Y518" s="1289">
        <v>0</v>
      </c>
    </row>
    <row r="519" spans="1:16331" s="1280" customFormat="1" ht="75.599999999999994">
      <c r="A519" s="1281">
        <v>74</v>
      </c>
      <c r="B519" s="1267" t="s">
        <v>2454</v>
      </c>
      <c r="C519" s="1268">
        <f t="shared" si="209"/>
        <v>892181</v>
      </c>
      <c r="D519" s="1268">
        <f t="shared" si="210"/>
        <v>0</v>
      </c>
      <c r="E519" s="1289">
        <v>0</v>
      </c>
      <c r="F519" s="1289">
        <v>0</v>
      </c>
      <c r="G519" s="1289">
        <v>0</v>
      </c>
      <c r="H519" s="1289">
        <v>0</v>
      </c>
      <c r="I519" s="1289">
        <v>0</v>
      </c>
      <c r="J519" s="1289">
        <v>0</v>
      </c>
      <c r="K519" s="1278">
        <v>0</v>
      </c>
      <c r="L519" s="1289">
        <v>0</v>
      </c>
      <c r="M519" s="1278">
        <v>0</v>
      </c>
      <c r="N519" s="1289">
        <v>0</v>
      </c>
      <c r="O519" s="1289">
        <v>263.60000000000002</v>
      </c>
      <c r="P519" s="1289">
        <v>827378</v>
      </c>
      <c r="Q519" s="1289">
        <v>0</v>
      </c>
      <c r="R519" s="1320">
        <v>0</v>
      </c>
      <c r="S519" s="1320">
        <v>0</v>
      </c>
      <c r="T519" s="1320">
        <v>0</v>
      </c>
      <c r="U519" s="1320">
        <v>0</v>
      </c>
      <c r="V519" s="1320">
        <v>0</v>
      </c>
      <c r="W519" s="1328">
        <v>0</v>
      </c>
      <c r="X519" s="1289">
        <v>64803</v>
      </c>
      <c r="Y519" s="1289">
        <v>0</v>
      </c>
    </row>
    <row r="520" spans="1:16331" s="1280" customFormat="1" ht="75.599999999999994">
      <c r="A520" s="1281"/>
      <c r="B520" s="1267" t="s">
        <v>1072</v>
      </c>
      <c r="C520" s="1268">
        <f>C521</f>
        <v>1253323</v>
      </c>
      <c r="D520" s="1268">
        <f t="shared" ref="D520:Y520" si="211">D521</f>
        <v>0</v>
      </c>
      <c r="E520" s="1268">
        <f t="shared" si="211"/>
        <v>0</v>
      </c>
      <c r="F520" s="1268">
        <f t="shared" si="211"/>
        <v>0</v>
      </c>
      <c r="G520" s="1268">
        <f t="shared" si="211"/>
        <v>0</v>
      </c>
      <c r="H520" s="1268">
        <f t="shared" si="211"/>
        <v>0</v>
      </c>
      <c r="I520" s="1268">
        <f t="shared" si="211"/>
        <v>0</v>
      </c>
      <c r="J520" s="1268">
        <f t="shared" si="211"/>
        <v>0</v>
      </c>
      <c r="K520" s="1278">
        <f t="shared" si="211"/>
        <v>0</v>
      </c>
      <c r="L520" s="1268">
        <f t="shared" si="211"/>
        <v>0</v>
      </c>
      <c r="M520" s="1278">
        <f t="shared" si="211"/>
        <v>0</v>
      </c>
      <c r="N520" s="1268">
        <f t="shared" si="211"/>
        <v>0</v>
      </c>
      <c r="O520" s="1268">
        <f t="shared" si="211"/>
        <v>0</v>
      </c>
      <c r="P520" s="1268">
        <f t="shared" si="211"/>
        <v>0</v>
      </c>
      <c r="Q520" s="1268">
        <f t="shared" si="211"/>
        <v>0</v>
      </c>
      <c r="R520" s="1268">
        <f t="shared" si="211"/>
        <v>0</v>
      </c>
      <c r="S520" s="1268">
        <f t="shared" si="211"/>
        <v>471</v>
      </c>
      <c r="T520" s="1268">
        <f t="shared" si="211"/>
        <v>1162288</v>
      </c>
      <c r="U520" s="1268">
        <f t="shared" si="211"/>
        <v>0</v>
      </c>
      <c r="V520" s="1268">
        <f t="shared" si="211"/>
        <v>0</v>
      </c>
      <c r="W520" s="1328">
        <v>0</v>
      </c>
      <c r="X520" s="1268">
        <f t="shared" si="211"/>
        <v>91035</v>
      </c>
      <c r="Y520" s="1268">
        <f t="shared" si="211"/>
        <v>0</v>
      </c>
    </row>
    <row r="521" spans="1:16331" s="1299" customFormat="1">
      <c r="A521" s="1281">
        <v>75</v>
      </c>
      <c r="B521" s="1277" t="s">
        <v>1870</v>
      </c>
      <c r="C521" s="1268">
        <f>D521+N521+P521+R521+T521+V521+X521</f>
        <v>1253323</v>
      </c>
      <c r="D521" s="1268">
        <f t="shared" ref="D521" si="212">SUM(E521:J521)</f>
        <v>0</v>
      </c>
      <c r="E521" s="1268">
        <v>0</v>
      </c>
      <c r="F521" s="1268">
        <v>0</v>
      </c>
      <c r="G521" s="1268">
        <v>0</v>
      </c>
      <c r="H521" s="1268">
        <v>0</v>
      </c>
      <c r="I521" s="1268">
        <v>0</v>
      </c>
      <c r="J521" s="1268">
        <v>0</v>
      </c>
      <c r="K521" s="1278">
        <v>0</v>
      </c>
      <c r="L521" s="1268">
        <v>0</v>
      </c>
      <c r="M521" s="1278">
        <v>0</v>
      </c>
      <c r="N521" s="1268">
        <v>0</v>
      </c>
      <c r="O521" s="1268">
        <v>0</v>
      </c>
      <c r="P521" s="1268">
        <v>0</v>
      </c>
      <c r="Q521" s="1268">
        <v>0</v>
      </c>
      <c r="R521" s="1268">
        <v>0</v>
      </c>
      <c r="S521" s="1268">
        <v>471</v>
      </c>
      <c r="T521" s="1268">
        <v>1162288</v>
      </c>
      <c r="U521" s="1268">
        <v>0</v>
      </c>
      <c r="V521" s="1268">
        <v>0</v>
      </c>
      <c r="W521" s="1268">
        <v>0</v>
      </c>
      <c r="X521" s="1268">
        <v>91035</v>
      </c>
      <c r="Y521" s="1268">
        <v>0</v>
      </c>
    </row>
    <row r="522" spans="1:16331" s="1280" customFormat="1" ht="75.599999999999994">
      <c r="A522" s="1281"/>
      <c r="B522" s="1267" t="s">
        <v>1073</v>
      </c>
      <c r="C522" s="1268">
        <f>SUM(C523:C529)</f>
        <v>33193387</v>
      </c>
      <c r="D522" s="1268">
        <f t="shared" ref="D522:Y522" si="213">SUM(D523:D529)</f>
        <v>0</v>
      </c>
      <c r="E522" s="1268">
        <f t="shared" si="213"/>
        <v>0</v>
      </c>
      <c r="F522" s="1268">
        <f t="shared" si="213"/>
        <v>0</v>
      </c>
      <c r="G522" s="1268">
        <f t="shared" si="213"/>
        <v>0</v>
      </c>
      <c r="H522" s="1268">
        <f t="shared" si="213"/>
        <v>0</v>
      </c>
      <c r="I522" s="1268">
        <f t="shared" si="213"/>
        <v>0</v>
      </c>
      <c r="J522" s="1268">
        <f t="shared" si="213"/>
        <v>0</v>
      </c>
      <c r="K522" s="1278">
        <f t="shared" si="213"/>
        <v>0</v>
      </c>
      <c r="L522" s="1268">
        <f t="shared" si="213"/>
        <v>0</v>
      </c>
      <c r="M522" s="1278">
        <f t="shared" si="213"/>
        <v>0</v>
      </c>
      <c r="N522" s="1268">
        <f t="shared" si="213"/>
        <v>0</v>
      </c>
      <c r="O522" s="1268">
        <f t="shared" si="213"/>
        <v>4694.5</v>
      </c>
      <c r="P522" s="1268">
        <f t="shared" si="213"/>
        <v>14734921</v>
      </c>
      <c r="Q522" s="1268">
        <f t="shared" si="213"/>
        <v>0</v>
      </c>
      <c r="R522" s="1268">
        <f t="shared" si="213"/>
        <v>0</v>
      </c>
      <c r="S522" s="1268">
        <f t="shared" si="213"/>
        <v>6112</v>
      </c>
      <c r="T522" s="1268">
        <f t="shared" si="213"/>
        <v>16047469</v>
      </c>
      <c r="U522" s="1268">
        <f t="shared" si="213"/>
        <v>0</v>
      </c>
      <c r="V522" s="1268">
        <f t="shared" si="213"/>
        <v>0</v>
      </c>
      <c r="W522" s="1328">
        <v>0</v>
      </c>
      <c r="X522" s="1268">
        <f t="shared" si="213"/>
        <v>2410997</v>
      </c>
      <c r="Y522" s="1268">
        <f t="shared" si="213"/>
        <v>0</v>
      </c>
    </row>
    <row r="523" spans="1:16331" s="1280" customFormat="1">
      <c r="A523" s="1281">
        <v>76</v>
      </c>
      <c r="B523" s="1332" t="s">
        <v>1632</v>
      </c>
      <c r="C523" s="1268">
        <f t="shared" ref="C523" si="214">D523+N523+P523+R523+T523+V523+X523</f>
        <v>5015952</v>
      </c>
      <c r="D523" s="1268">
        <f t="shared" ref="D523" si="215">SUM(E523:J523)</f>
        <v>0</v>
      </c>
      <c r="E523" s="1268">
        <v>0</v>
      </c>
      <c r="F523" s="1268">
        <v>0</v>
      </c>
      <c r="G523" s="1268">
        <v>0</v>
      </c>
      <c r="H523" s="1268">
        <v>0</v>
      </c>
      <c r="I523" s="1268">
        <v>0</v>
      </c>
      <c r="J523" s="1268">
        <v>0</v>
      </c>
      <c r="K523" s="1278">
        <v>0</v>
      </c>
      <c r="L523" s="1268">
        <v>0</v>
      </c>
      <c r="M523" s="1278">
        <v>0</v>
      </c>
      <c r="N523" s="1268">
        <v>0</v>
      </c>
      <c r="O523" s="1268">
        <v>0</v>
      </c>
      <c r="P523" s="1268">
        <v>0</v>
      </c>
      <c r="Q523" s="1268">
        <v>0</v>
      </c>
      <c r="R523" s="1268">
        <v>0</v>
      </c>
      <c r="S523" s="1268">
        <v>1885</v>
      </c>
      <c r="T523" s="1268">
        <v>4651619</v>
      </c>
      <c r="U523" s="1268">
        <v>0</v>
      </c>
      <c r="V523" s="1268">
        <v>0</v>
      </c>
      <c r="W523" s="1268">
        <v>0</v>
      </c>
      <c r="X523" s="1268">
        <v>364333</v>
      </c>
      <c r="Y523" s="1268">
        <v>0</v>
      </c>
    </row>
    <row r="524" spans="1:16331" s="1280" customFormat="1">
      <c r="A524" s="1281">
        <v>77</v>
      </c>
      <c r="B524" s="1332" t="s">
        <v>1633</v>
      </c>
      <c r="C524" s="1268">
        <f t="shared" ref="C524:C529" si="216">D524+N524+P524+R524+T524+V524+X524</f>
        <v>3621525</v>
      </c>
      <c r="D524" s="1268">
        <f t="shared" ref="D524:D529" si="217">SUM(E524:J524)</f>
        <v>0</v>
      </c>
      <c r="E524" s="1268">
        <v>0</v>
      </c>
      <c r="F524" s="1268">
        <v>0</v>
      </c>
      <c r="G524" s="1268">
        <v>0</v>
      </c>
      <c r="H524" s="1268">
        <v>0</v>
      </c>
      <c r="I524" s="1268">
        <v>0</v>
      </c>
      <c r="J524" s="1268">
        <v>0</v>
      </c>
      <c r="K524" s="1278">
        <v>0</v>
      </c>
      <c r="L524" s="1268">
        <v>0</v>
      </c>
      <c r="M524" s="1278">
        <v>0</v>
      </c>
      <c r="N524" s="1268">
        <v>0</v>
      </c>
      <c r="O524" s="1268">
        <v>1070</v>
      </c>
      <c r="P524" s="1268">
        <v>3358476</v>
      </c>
      <c r="Q524" s="1268">
        <v>0</v>
      </c>
      <c r="R524" s="1268">
        <v>0</v>
      </c>
      <c r="S524" s="1268">
        <v>0</v>
      </c>
      <c r="T524" s="1268">
        <v>0</v>
      </c>
      <c r="U524" s="1268">
        <v>0</v>
      </c>
      <c r="V524" s="1268">
        <v>0</v>
      </c>
      <c r="W524" s="1328">
        <v>0</v>
      </c>
      <c r="X524" s="1268">
        <v>263049</v>
      </c>
      <c r="Y524" s="1268">
        <v>0</v>
      </c>
    </row>
    <row r="525" spans="1:16331" s="1280" customFormat="1">
      <c r="A525" s="1281">
        <v>78</v>
      </c>
      <c r="B525" s="1332" t="s">
        <v>1634</v>
      </c>
      <c r="C525" s="1268">
        <f t="shared" si="216"/>
        <v>1827686</v>
      </c>
      <c r="D525" s="1268">
        <f t="shared" si="217"/>
        <v>0</v>
      </c>
      <c r="E525" s="1268">
        <v>0</v>
      </c>
      <c r="F525" s="1268">
        <v>0</v>
      </c>
      <c r="G525" s="1268">
        <v>0</v>
      </c>
      <c r="H525" s="1268">
        <v>0</v>
      </c>
      <c r="I525" s="1268">
        <v>0</v>
      </c>
      <c r="J525" s="1268">
        <v>0</v>
      </c>
      <c r="K525" s="1278">
        <v>0</v>
      </c>
      <c r="L525" s="1268">
        <v>0</v>
      </c>
      <c r="M525" s="1278">
        <v>0</v>
      </c>
      <c r="N525" s="1268">
        <v>0</v>
      </c>
      <c r="O525" s="1268">
        <v>540</v>
      </c>
      <c r="P525" s="1268">
        <v>1694932</v>
      </c>
      <c r="Q525" s="1268">
        <v>0</v>
      </c>
      <c r="R525" s="1268">
        <v>0</v>
      </c>
      <c r="S525" s="1268">
        <v>0</v>
      </c>
      <c r="T525" s="1268">
        <v>0</v>
      </c>
      <c r="U525" s="1268">
        <v>0</v>
      </c>
      <c r="V525" s="1268">
        <v>0</v>
      </c>
      <c r="W525" s="1268">
        <v>0</v>
      </c>
      <c r="X525" s="1268">
        <v>132754</v>
      </c>
      <c r="Y525" s="1333">
        <v>0</v>
      </c>
      <c r="Z525" s="1334"/>
      <c r="AA525" s="1334"/>
      <c r="AB525" s="1335"/>
      <c r="AC525" s="1336"/>
      <c r="AD525" s="1334"/>
      <c r="AE525" s="1334"/>
      <c r="AF525" s="1334"/>
      <c r="AG525" s="1334"/>
      <c r="AH525" s="1334"/>
      <c r="AI525" s="1334"/>
      <c r="AJ525" s="1334"/>
      <c r="AK525" s="1334"/>
      <c r="AL525" s="1334"/>
      <c r="AM525" s="1334"/>
      <c r="AN525" s="1334"/>
      <c r="AO525" s="1334"/>
      <c r="AP525" s="1334"/>
      <c r="AQ525" s="1334"/>
      <c r="AR525" s="1334"/>
      <c r="AS525" s="1334"/>
      <c r="AT525" s="1334"/>
      <c r="AU525" s="1334"/>
      <c r="AV525" s="1334"/>
      <c r="AW525" s="1334"/>
      <c r="AX525" s="1334"/>
      <c r="AY525" s="1334"/>
      <c r="AZ525" s="1334"/>
      <c r="BA525" s="1334"/>
      <c r="BB525" s="1334"/>
      <c r="BC525" s="1334"/>
      <c r="BD525" s="1334"/>
      <c r="BE525" s="1334"/>
      <c r="BF525" s="1334"/>
      <c r="BG525" s="1334"/>
      <c r="BH525" s="1334"/>
      <c r="BI525" s="1334"/>
      <c r="BJ525" s="1334"/>
      <c r="BK525" s="1334"/>
      <c r="BL525" s="1334"/>
      <c r="BM525" s="1334"/>
      <c r="BN525" s="1334"/>
      <c r="BO525" s="1334"/>
      <c r="BP525" s="1334"/>
      <c r="BQ525" s="1334"/>
      <c r="BR525" s="1334"/>
      <c r="BS525" s="1334"/>
      <c r="BT525" s="1334"/>
      <c r="BU525" s="1334"/>
      <c r="BV525" s="1334"/>
      <c r="BW525" s="1334"/>
      <c r="BX525" s="1334"/>
      <c r="BY525" s="1334"/>
      <c r="BZ525" s="1334"/>
      <c r="CA525" s="1334"/>
      <c r="CB525" s="1334"/>
      <c r="CC525" s="1334"/>
      <c r="CD525" s="1334"/>
      <c r="CE525" s="1334"/>
      <c r="CF525" s="1334"/>
      <c r="CG525" s="1334"/>
      <c r="CH525" s="1334"/>
      <c r="CI525" s="1334"/>
      <c r="CJ525" s="1334"/>
      <c r="CK525" s="1334"/>
      <c r="CL525" s="1334"/>
      <c r="CM525" s="1334"/>
      <c r="CN525" s="1334"/>
      <c r="CO525" s="1334"/>
      <c r="CP525" s="1334"/>
      <c r="CQ525" s="1334"/>
      <c r="CR525" s="1334"/>
      <c r="CS525" s="1334"/>
      <c r="CT525" s="1334"/>
      <c r="CU525" s="1334"/>
      <c r="CV525" s="1334"/>
      <c r="CW525" s="1334"/>
      <c r="CX525" s="1334"/>
      <c r="CY525" s="1334"/>
      <c r="CZ525" s="1334"/>
      <c r="DA525" s="1334"/>
      <c r="DB525" s="1334"/>
      <c r="DC525" s="1334"/>
      <c r="DD525" s="1334"/>
      <c r="DE525" s="1334"/>
      <c r="DF525" s="1334"/>
      <c r="DG525" s="1334"/>
      <c r="DH525" s="1334"/>
      <c r="DI525" s="1334"/>
      <c r="DJ525" s="1334"/>
      <c r="DK525" s="1334"/>
      <c r="DL525" s="1334"/>
      <c r="DM525" s="1334"/>
      <c r="DN525" s="1334"/>
      <c r="DO525" s="1334"/>
      <c r="DP525" s="1334"/>
      <c r="DQ525" s="1334"/>
      <c r="DR525" s="1334"/>
      <c r="DS525" s="1334"/>
      <c r="DT525" s="1334"/>
      <c r="DU525" s="1334"/>
      <c r="DV525" s="1334"/>
      <c r="DW525" s="1334"/>
      <c r="DX525" s="1334"/>
      <c r="DY525" s="1334"/>
      <c r="DZ525" s="1334"/>
      <c r="EA525" s="1334"/>
      <c r="EB525" s="1334"/>
      <c r="EC525" s="1334"/>
      <c r="ED525" s="1334"/>
      <c r="EE525" s="1334"/>
      <c r="EF525" s="1334"/>
      <c r="EG525" s="1334"/>
      <c r="EH525" s="1334"/>
      <c r="EI525" s="1334"/>
      <c r="EJ525" s="1334"/>
      <c r="EK525" s="1334"/>
      <c r="EL525" s="1334"/>
      <c r="EM525" s="1334"/>
      <c r="EN525" s="1334"/>
      <c r="EO525" s="1334"/>
      <c r="EP525" s="1334"/>
      <c r="EQ525" s="1334"/>
      <c r="ER525" s="1334"/>
      <c r="ES525" s="1334"/>
      <c r="ET525" s="1334"/>
      <c r="EU525" s="1334"/>
      <c r="EV525" s="1334"/>
      <c r="EW525" s="1334"/>
      <c r="EX525" s="1334"/>
      <c r="EY525" s="1334"/>
      <c r="EZ525" s="1334"/>
      <c r="FA525" s="1334"/>
      <c r="FB525" s="1334"/>
      <c r="FC525" s="1334">
        <v>8298541</v>
      </c>
      <c r="FD525" s="1334">
        <v>8298541</v>
      </c>
      <c r="FE525" s="1334">
        <v>8298541</v>
      </c>
      <c r="FF525" s="1334">
        <v>8298541</v>
      </c>
      <c r="FG525" s="1334">
        <v>8298541</v>
      </c>
      <c r="FH525" s="1334">
        <v>8298541</v>
      </c>
      <c r="FI525" s="1334">
        <v>8298541</v>
      </c>
      <c r="FJ525" s="1334">
        <v>8298541</v>
      </c>
      <c r="FK525" s="1334">
        <v>8298541</v>
      </c>
      <c r="FL525" s="1334">
        <v>8298541</v>
      </c>
      <c r="FM525" s="1334">
        <v>8298541</v>
      </c>
      <c r="FN525" s="1334">
        <v>8298541</v>
      </c>
      <c r="FO525" s="1334">
        <v>8298541</v>
      </c>
      <c r="FP525" s="1334">
        <v>8298541</v>
      </c>
      <c r="FQ525" s="1334">
        <v>8298541</v>
      </c>
      <c r="FR525" s="1334">
        <v>8298541</v>
      </c>
      <c r="FS525" s="1334">
        <v>8298541</v>
      </c>
      <c r="FT525" s="1334">
        <v>8298541</v>
      </c>
      <c r="FU525" s="1334">
        <v>8298541</v>
      </c>
      <c r="FV525" s="1334">
        <v>8298541</v>
      </c>
      <c r="FW525" s="1334">
        <v>8298541</v>
      </c>
      <c r="FX525" s="1334">
        <v>8298541</v>
      </c>
      <c r="FY525" s="1334">
        <v>8298541</v>
      </c>
      <c r="FZ525" s="1334">
        <v>8298541</v>
      </c>
      <c r="GA525" s="1334">
        <v>8298541</v>
      </c>
      <c r="GB525" s="1334">
        <v>8298541</v>
      </c>
      <c r="GC525" s="1334">
        <v>8298541</v>
      </c>
      <c r="GD525" s="1334">
        <v>8298541</v>
      </c>
      <c r="GE525" s="1334">
        <v>8298541</v>
      </c>
      <c r="GF525" s="1334">
        <v>8298541</v>
      </c>
      <c r="GG525" s="1334">
        <v>8298541</v>
      </c>
      <c r="GH525" s="1334">
        <v>8298541</v>
      </c>
      <c r="GI525" s="1334">
        <v>8298541</v>
      </c>
      <c r="GJ525" s="1334">
        <v>8298541</v>
      </c>
      <c r="GK525" s="1334">
        <v>8298541</v>
      </c>
      <c r="GL525" s="1334">
        <v>8298541</v>
      </c>
      <c r="GM525" s="1334">
        <v>8298541</v>
      </c>
      <c r="GN525" s="1334">
        <v>8298541</v>
      </c>
      <c r="GO525" s="1334">
        <v>8298541</v>
      </c>
      <c r="GP525" s="1334">
        <v>8298541</v>
      </c>
      <c r="GQ525" s="1334">
        <v>8298541</v>
      </c>
      <c r="GR525" s="1334">
        <v>8298541</v>
      </c>
      <c r="GS525" s="1334">
        <v>8298541</v>
      </c>
      <c r="GT525" s="1334">
        <v>8298541</v>
      </c>
      <c r="GU525" s="1334">
        <v>8298541</v>
      </c>
      <c r="GV525" s="1334">
        <v>8298541</v>
      </c>
      <c r="GW525" s="1334">
        <v>8298541</v>
      </c>
      <c r="GX525" s="1334">
        <v>8298541</v>
      </c>
      <c r="GY525" s="1334">
        <v>8298541</v>
      </c>
      <c r="GZ525" s="1334">
        <v>8298541</v>
      </c>
      <c r="HA525" s="1334">
        <v>8298541</v>
      </c>
      <c r="HB525" s="1334">
        <v>8298541</v>
      </c>
      <c r="HC525" s="1334">
        <v>8298541</v>
      </c>
      <c r="HD525" s="1334">
        <v>8298541</v>
      </c>
      <c r="HE525" s="1334">
        <v>8298541</v>
      </c>
      <c r="HF525" s="1334">
        <v>8298541</v>
      </c>
      <c r="HG525" s="1334">
        <v>8298541</v>
      </c>
      <c r="HH525" s="1334">
        <v>8298541</v>
      </c>
      <c r="HI525" s="1334">
        <v>8298541</v>
      </c>
      <c r="HJ525" s="1334">
        <v>8298541</v>
      </c>
      <c r="HK525" s="1334">
        <v>8298541</v>
      </c>
      <c r="HL525" s="1334">
        <v>8298541</v>
      </c>
      <c r="HM525" s="1334">
        <v>8298541</v>
      </c>
      <c r="HN525" s="1334">
        <v>8298541</v>
      </c>
      <c r="HO525" s="1334">
        <v>8298541</v>
      </c>
      <c r="HP525" s="1334">
        <v>8298541</v>
      </c>
      <c r="HQ525" s="1334">
        <v>8298541</v>
      </c>
      <c r="HR525" s="1334">
        <v>8298541</v>
      </c>
      <c r="HS525" s="1334">
        <v>8298541</v>
      </c>
      <c r="HT525" s="1334">
        <v>8298541</v>
      </c>
      <c r="HU525" s="1334">
        <v>8298541</v>
      </c>
      <c r="HV525" s="1334">
        <v>8298541</v>
      </c>
      <c r="HW525" s="1334">
        <v>8298541</v>
      </c>
      <c r="HX525" s="1334">
        <v>8298541</v>
      </c>
      <c r="HY525" s="1334">
        <v>8298541</v>
      </c>
      <c r="HZ525" s="1334">
        <v>8298541</v>
      </c>
      <c r="IA525" s="1334">
        <v>8298541</v>
      </c>
      <c r="IB525" s="1334">
        <v>8298541</v>
      </c>
      <c r="IC525" s="1334">
        <v>8298541</v>
      </c>
      <c r="ID525" s="1334">
        <v>8298541</v>
      </c>
      <c r="IE525" s="1334">
        <v>8298541</v>
      </c>
      <c r="IF525" s="1334">
        <v>8298541</v>
      </c>
      <c r="IG525" s="1334">
        <v>8298541</v>
      </c>
      <c r="IH525" s="1334">
        <v>8298541</v>
      </c>
      <c r="II525" s="1334">
        <v>8298541</v>
      </c>
      <c r="IJ525" s="1334">
        <v>8298541</v>
      </c>
      <c r="IK525" s="1334">
        <v>8298541</v>
      </c>
      <c r="IL525" s="1334">
        <v>8298541</v>
      </c>
      <c r="IM525" s="1334">
        <v>8298541</v>
      </c>
      <c r="IN525" s="1334">
        <v>8298541</v>
      </c>
      <c r="IO525" s="1334">
        <v>8298541</v>
      </c>
      <c r="IP525" s="1334">
        <v>8298541</v>
      </c>
      <c r="IQ525" s="1334">
        <v>8298541</v>
      </c>
      <c r="IR525" s="1334">
        <v>8298541</v>
      </c>
      <c r="IS525" s="1334">
        <v>8298541</v>
      </c>
      <c r="IT525" s="1334">
        <v>8298541</v>
      </c>
      <c r="IU525" s="1334">
        <v>8298541</v>
      </c>
      <c r="IV525" s="1334">
        <v>8298541</v>
      </c>
      <c r="IW525" s="1334">
        <v>8298541</v>
      </c>
      <c r="IX525" s="1334">
        <v>8298541</v>
      </c>
      <c r="IY525" s="1334">
        <v>8298541</v>
      </c>
      <c r="IZ525" s="1334">
        <v>8298541</v>
      </c>
      <c r="JA525" s="1334">
        <v>8298541</v>
      </c>
      <c r="JB525" s="1334">
        <v>8298541</v>
      </c>
      <c r="JC525" s="1334">
        <v>8298541</v>
      </c>
      <c r="JD525" s="1334">
        <v>8298541</v>
      </c>
      <c r="JE525" s="1334">
        <v>8298541</v>
      </c>
      <c r="JF525" s="1334">
        <v>8298541</v>
      </c>
      <c r="JG525" s="1334">
        <v>8298541</v>
      </c>
      <c r="JH525" s="1334">
        <v>8298541</v>
      </c>
      <c r="JI525" s="1334">
        <v>8298541</v>
      </c>
      <c r="JJ525" s="1334">
        <v>8298541</v>
      </c>
      <c r="JK525" s="1334">
        <v>8298541</v>
      </c>
      <c r="JL525" s="1334">
        <v>8298541</v>
      </c>
      <c r="JM525" s="1334">
        <v>8298541</v>
      </c>
      <c r="JN525" s="1334">
        <v>8298541</v>
      </c>
      <c r="JO525" s="1334">
        <v>8298541</v>
      </c>
      <c r="JP525" s="1334">
        <v>8298541</v>
      </c>
      <c r="JQ525" s="1334">
        <v>8298541</v>
      </c>
      <c r="JR525" s="1334">
        <v>8298541</v>
      </c>
      <c r="JS525" s="1334">
        <v>8298541</v>
      </c>
      <c r="JT525" s="1334">
        <v>8298541</v>
      </c>
      <c r="JU525" s="1334">
        <v>8298541</v>
      </c>
      <c r="JV525" s="1334">
        <v>8298541</v>
      </c>
      <c r="JW525" s="1334">
        <v>8298541</v>
      </c>
      <c r="JX525" s="1334">
        <v>8298541</v>
      </c>
      <c r="JY525" s="1334">
        <v>8298541</v>
      </c>
      <c r="JZ525" s="1334">
        <v>8298541</v>
      </c>
      <c r="KA525" s="1334">
        <v>8298541</v>
      </c>
      <c r="KB525" s="1334">
        <v>8298541</v>
      </c>
      <c r="KC525" s="1334">
        <v>8298541</v>
      </c>
      <c r="KD525" s="1334">
        <v>8298541</v>
      </c>
      <c r="KE525" s="1334">
        <v>8298541</v>
      </c>
      <c r="KF525" s="1334">
        <v>8298541</v>
      </c>
      <c r="KG525" s="1334">
        <v>8298541</v>
      </c>
      <c r="KH525" s="1334">
        <v>8298541</v>
      </c>
      <c r="KI525" s="1334">
        <v>8298541</v>
      </c>
      <c r="KJ525" s="1334">
        <v>8298541</v>
      </c>
      <c r="KK525" s="1334">
        <v>8298541</v>
      </c>
      <c r="KL525" s="1334">
        <v>8298541</v>
      </c>
      <c r="KM525" s="1334">
        <v>8298541</v>
      </c>
      <c r="KN525" s="1334">
        <v>8298541</v>
      </c>
      <c r="KO525" s="1334">
        <v>8298541</v>
      </c>
      <c r="KP525" s="1334">
        <v>8298541</v>
      </c>
      <c r="KQ525" s="1334">
        <v>8298541</v>
      </c>
      <c r="KR525" s="1334">
        <v>8298541</v>
      </c>
      <c r="KS525" s="1334">
        <v>8298541</v>
      </c>
      <c r="KT525" s="1334">
        <v>8298541</v>
      </c>
      <c r="KU525" s="1334">
        <v>8298541</v>
      </c>
      <c r="KV525" s="1334">
        <v>8298541</v>
      </c>
      <c r="KW525" s="1334">
        <v>8298541</v>
      </c>
      <c r="KX525" s="1334">
        <v>8298541</v>
      </c>
      <c r="KY525" s="1334">
        <v>8298541</v>
      </c>
      <c r="KZ525" s="1334">
        <v>8298541</v>
      </c>
      <c r="LA525" s="1334">
        <v>8298541</v>
      </c>
      <c r="LB525" s="1334">
        <v>8298541</v>
      </c>
      <c r="LC525" s="1334">
        <v>8298541</v>
      </c>
      <c r="LD525" s="1334">
        <v>8298541</v>
      </c>
      <c r="LE525" s="1334">
        <v>8298541</v>
      </c>
      <c r="LF525" s="1334">
        <v>8298541</v>
      </c>
      <c r="LG525" s="1334">
        <v>8298541</v>
      </c>
      <c r="LH525" s="1334">
        <v>8298541</v>
      </c>
      <c r="LI525" s="1334">
        <v>8298541</v>
      </c>
      <c r="LJ525" s="1334">
        <v>8298541</v>
      </c>
      <c r="LK525" s="1334">
        <v>8298541</v>
      </c>
      <c r="LL525" s="1334">
        <v>8298541</v>
      </c>
      <c r="LM525" s="1334">
        <v>8298541</v>
      </c>
      <c r="LN525" s="1334">
        <v>8298541</v>
      </c>
      <c r="LO525" s="1334">
        <v>8298541</v>
      </c>
      <c r="LP525" s="1334">
        <v>8298541</v>
      </c>
      <c r="LQ525" s="1334">
        <v>8298541</v>
      </c>
      <c r="LR525" s="1334">
        <v>8298541</v>
      </c>
      <c r="LS525" s="1334">
        <v>8298541</v>
      </c>
      <c r="LT525" s="1334">
        <v>8298541</v>
      </c>
      <c r="LU525" s="1334">
        <v>8298541</v>
      </c>
      <c r="LV525" s="1334">
        <v>8298541</v>
      </c>
      <c r="LW525" s="1334">
        <v>8298541</v>
      </c>
      <c r="LX525" s="1334">
        <v>8298541</v>
      </c>
      <c r="LY525" s="1334">
        <v>8298541</v>
      </c>
      <c r="LZ525" s="1334">
        <v>8298541</v>
      </c>
      <c r="MA525" s="1334">
        <v>8298541</v>
      </c>
      <c r="MB525" s="1334">
        <v>8298541</v>
      </c>
      <c r="MC525" s="1334">
        <v>8298541</v>
      </c>
      <c r="MD525" s="1334">
        <v>8298541</v>
      </c>
      <c r="ME525" s="1334">
        <v>8298541</v>
      </c>
      <c r="MF525" s="1334">
        <v>8298541</v>
      </c>
      <c r="MG525" s="1334">
        <v>8298541</v>
      </c>
      <c r="MH525" s="1334">
        <v>8298541</v>
      </c>
      <c r="MI525" s="1334">
        <v>8298541</v>
      </c>
      <c r="MJ525" s="1334">
        <v>8298541</v>
      </c>
      <c r="MK525" s="1334">
        <v>8298541</v>
      </c>
      <c r="ML525" s="1334">
        <v>8298541</v>
      </c>
      <c r="MM525" s="1334">
        <v>8298541</v>
      </c>
      <c r="MN525" s="1334">
        <v>8298541</v>
      </c>
      <c r="MO525" s="1334">
        <v>8298541</v>
      </c>
      <c r="MP525" s="1334">
        <v>8298541</v>
      </c>
      <c r="MQ525" s="1334">
        <v>8298541</v>
      </c>
      <c r="MR525" s="1334">
        <v>8298541</v>
      </c>
      <c r="MS525" s="1334">
        <v>8298541</v>
      </c>
      <c r="MT525" s="1334">
        <v>8298541</v>
      </c>
      <c r="MU525" s="1334">
        <v>8298541</v>
      </c>
      <c r="MV525" s="1334">
        <v>8298541</v>
      </c>
      <c r="MW525" s="1334">
        <v>8298541</v>
      </c>
      <c r="MX525" s="1334">
        <v>8298541</v>
      </c>
      <c r="MY525" s="1334">
        <v>8298541</v>
      </c>
      <c r="MZ525" s="1334">
        <v>8298541</v>
      </c>
      <c r="NA525" s="1334">
        <v>8298541</v>
      </c>
      <c r="NB525" s="1334">
        <v>8298541</v>
      </c>
      <c r="NC525" s="1334">
        <v>8298541</v>
      </c>
      <c r="ND525" s="1334">
        <v>8298541</v>
      </c>
      <c r="NE525" s="1334">
        <v>8298541</v>
      </c>
      <c r="NF525" s="1334">
        <v>8298541</v>
      </c>
      <c r="NG525" s="1334">
        <v>8298541</v>
      </c>
      <c r="NH525" s="1334">
        <v>8298541</v>
      </c>
      <c r="NI525" s="1334">
        <v>8298541</v>
      </c>
      <c r="NJ525" s="1334">
        <v>8298541</v>
      </c>
      <c r="NK525" s="1334">
        <v>8298541</v>
      </c>
      <c r="NL525" s="1334">
        <v>8298541</v>
      </c>
      <c r="NM525" s="1334">
        <v>8298541</v>
      </c>
      <c r="NN525" s="1334">
        <v>8298541</v>
      </c>
      <c r="NO525" s="1334">
        <v>8298541</v>
      </c>
      <c r="NP525" s="1334">
        <v>8298541</v>
      </c>
      <c r="NQ525" s="1334">
        <v>8298541</v>
      </c>
      <c r="NR525" s="1334">
        <v>8298541</v>
      </c>
      <c r="NS525" s="1334">
        <v>8298541</v>
      </c>
      <c r="NT525" s="1334">
        <v>8298541</v>
      </c>
      <c r="NU525" s="1334">
        <v>8298541</v>
      </c>
      <c r="NV525" s="1334">
        <v>8298541</v>
      </c>
      <c r="NW525" s="1334">
        <v>8298541</v>
      </c>
      <c r="NX525" s="1334">
        <v>8298541</v>
      </c>
      <c r="NY525" s="1334">
        <v>8298541</v>
      </c>
      <c r="NZ525" s="1334">
        <v>8298541</v>
      </c>
      <c r="OA525" s="1334">
        <v>8298541</v>
      </c>
      <c r="OB525" s="1334">
        <v>8298541</v>
      </c>
      <c r="OC525" s="1334">
        <v>8298541</v>
      </c>
      <c r="OD525" s="1334">
        <v>8298541</v>
      </c>
      <c r="OE525" s="1334">
        <v>8298541</v>
      </c>
      <c r="OF525" s="1334">
        <v>8298541</v>
      </c>
      <c r="OG525" s="1334">
        <v>8298541</v>
      </c>
      <c r="OH525" s="1334">
        <v>8298541</v>
      </c>
      <c r="OI525" s="1334">
        <v>8298541</v>
      </c>
      <c r="OJ525" s="1334">
        <v>8298541</v>
      </c>
      <c r="OK525" s="1334">
        <v>8298541</v>
      </c>
      <c r="OL525" s="1334">
        <v>8298541</v>
      </c>
      <c r="OM525" s="1334">
        <v>8298541</v>
      </c>
      <c r="ON525" s="1334">
        <v>8298541</v>
      </c>
      <c r="OO525" s="1334">
        <v>8298541</v>
      </c>
      <c r="OP525" s="1334">
        <v>8298541</v>
      </c>
      <c r="OQ525" s="1334">
        <v>8298541</v>
      </c>
      <c r="OR525" s="1334">
        <v>8298541</v>
      </c>
      <c r="OS525" s="1334">
        <v>8298541</v>
      </c>
      <c r="OT525" s="1334">
        <v>8298541</v>
      </c>
      <c r="OU525" s="1334">
        <v>8298541</v>
      </c>
      <c r="OV525" s="1334">
        <v>8298541</v>
      </c>
      <c r="OW525" s="1334">
        <v>8298541</v>
      </c>
      <c r="OX525" s="1334">
        <v>8298541</v>
      </c>
      <c r="OY525" s="1334">
        <v>8298541</v>
      </c>
      <c r="OZ525" s="1334">
        <v>8298541</v>
      </c>
      <c r="PA525" s="1334">
        <v>8298541</v>
      </c>
      <c r="PB525" s="1334">
        <v>8298541</v>
      </c>
      <c r="PC525" s="1334">
        <v>8298541</v>
      </c>
      <c r="PD525" s="1334">
        <v>8298541</v>
      </c>
      <c r="PE525" s="1334">
        <v>8298541</v>
      </c>
      <c r="PF525" s="1334">
        <v>8298541</v>
      </c>
      <c r="PG525" s="1334">
        <v>8298541</v>
      </c>
      <c r="PH525" s="1334">
        <v>8298541</v>
      </c>
      <c r="PI525" s="1334">
        <v>8298541</v>
      </c>
      <c r="PJ525" s="1334">
        <v>8298541</v>
      </c>
      <c r="PK525" s="1334">
        <v>8298541</v>
      </c>
      <c r="PL525" s="1334">
        <v>8298541</v>
      </c>
      <c r="PM525" s="1334">
        <v>8298541</v>
      </c>
      <c r="PN525" s="1334">
        <v>8298541</v>
      </c>
      <c r="PO525" s="1334">
        <v>8298541</v>
      </c>
      <c r="PP525" s="1334">
        <v>8298541</v>
      </c>
      <c r="PQ525" s="1334">
        <v>8298541</v>
      </c>
      <c r="PR525" s="1334">
        <v>8298541</v>
      </c>
      <c r="PS525" s="1334">
        <v>8298541</v>
      </c>
      <c r="PT525" s="1334">
        <v>8298541</v>
      </c>
      <c r="PU525" s="1334">
        <v>8298541</v>
      </c>
      <c r="PV525" s="1334">
        <v>8298541</v>
      </c>
      <c r="PW525" s="1334">
        <v>8298541</v>
      </c>
      <c r="PX525" s="1334">
        <v>8298541</v>
      </c>
      <c r="PY525" s="1334">
        <v>8298541</v>
      </c>
      <c r="PZ525" s="1334">
        <v>8298541</v>
      </c>
      <c r="QA525" s="1334">
        <v>8298541</v>
      </c>
      <c r="QB525" s="1334">
        <v>8298541</v>
      </c>
      <c r="QC525" s="1334">
        <v>8298541</v>
      </c>
      <c r="QD525" s="1334">
        <v>8298541</v>
      </c>
      <c r="QE525" s="1334">
        <v>8298541</v>
      </c>
      <c r="QF525" s="1334">
        <v>8298541</v>
      </c>
      <c r="QG525" s="1334">
        <v>8298541</v>
      </c>
      <c r="QH525" s="1334">
        <v>8298541</v>
      </c>
      <c r="QI525" s="1334">
        <v>8298541</v>
      </c>
      <c r="QJ525" s="1334">
        <v>8298541</v>
      </c>
      <c r="QK525" s="1334">
        <v>8298541</v>
      </c>
      <c r="QL525" s="1334">
        <v>8298541</v>
      </c>
      <c r="QM525" s="1334">
        <v>8298541</v>
      </c>
      <c r="QN525" s="1334">
        <v>8298541</v>
      </c>
      <c r="QO525" s="1334">
        <v>8298541</v>
      </c>
      <c r="QP525" s="1334">
        <v>8298541</v>
      </c>
      <c r="QQ525" s="1334">
        <v>8298541</v>
      </c>
      <c r="QR525" s="1334">
        <v>8298541</v>
      </c>
      <c r="QS525" s="1334">
        <v>8298541</v>
      </c>
      <c r="QT525" s="1334">
        <v>8298541</v>
      </c>
      <c r="QU525" s="1334">
        <v>8298541</v>
      </c>
      <c r="QV525" s="1334">
        <v>8298541</v>
      </c>
      <c r="QW525" s="1334">
        <v>8298541</v>
      </c>
      <c r="QX525" s="1334">
        <v>8298541</v>
      </c>
      <c r="QY525" s="1334">
        <v>8298541</v>
      </c>
      <c r="QZ525" s="1334">
        <v>8298541</v>
      </c>
      <c r="RA525" s="1334">
        <v>8298541</v>
      </c>
      <c r="RB525" s="1334">
        <v>8298541</v>
      </c>
      <c r="RC525" s="1334">
        <v>8298541</v>
      </c>
      <c r="RD525" s="1334">
        <v>8298541</v>
      </c>
      <c r="RE525" s="1334">
        <v>8298541</v>
      </c>
      <c r="RF525" s="1334">
        <v>8298541</v>
      </c>
      <c r="RG525" s="1334">
        <v>8298541</v>
      </c>
      <c r="RH525" s="1334">
        <v>8298541</v>
      </c>
      <c r="RI525" s="1334">
        <v>8298541</v>
      </c>
      <c r="RJ525" s="1334">
        <v>8298541</v>
      </c>
      <c r="RK525" s="1334">
        <v>8298541</v>
      </c>
      <c r="RL525" s="1334">
        <v>8298541</v>
      </c>
      <c r="RM525" s="1334">
        <v>8298541</v>
      </c>
      <c r="RN525" s="1334">
        <v>8298541</v>
      </c>
      <c r="RO525" s="1334">
        <v>8298541</v>
      </c>
      <c r="RP525" s="1334">
        <v>8298541</v>
      </c>
      <c r="RQ525" s="1334">
        <v>8298541</v>
      </c>
      <c r="RR525" s="1334">
        <v>8298541</v>
      </c>
      <c r="RS525" s="1334">
        <v>8298541</v>
      </c>
      <c r="RT525" s="1334">
        <v>8298541</v>
      </c>
      <c r="RU525" s="1334">
        <v>8298541</v>
      </c>
      <c r="RV525" s="1334">
        <v>8298541</v>
      </c>
      <c r="RW525" s="1334">
        <v>8298541</v>
      </c>
      <c r="RX525" s="1334">
        <v>8298541</v>
      </c>
      <c r="RY525" s="1334">
        <v>8298541</v>
      </c>
      <c r="RZ525" s="1334">
        <v>8298541</v>
      </c>
      <c r="SA525" s="1334">
        <v>8298541</v>
      </c>
      <c r="SB525" s="1334">
        <v>8298541</v>
      </c>
      <c r="SC525" s="1334">
        <v>8298541</v>
      </c>
      <c r="SD525" s="1334">
        <v>8298541</v>
      </c>
      <c r="SE525" s="1334">
        <v>8298541</v>
      </c>
      <c r="SF525" s="1334">
        <v>8298541</v>
      </c>
      <c r="SG525" s="1334">
        <v>8298541</v>
      </c>
      <c r="SH525" s="1334">
        <v>8298541</v>
      </c>
      <c r="SI525" s="1334">
        <v>8298541</v>
      </c>
      <c r="SJ525" s="1334">
        <v>8298541</v>
      </c>
      <c r="SK525" s="1334">
        <v>8298541</v>
      </c>
      <c r="SL525" s="1334">
        <v>8298541</v>
      </c>
      <c r="SM525" s="1334">
        <v>8298541</v>
      </c>
      <c r="SN525" s="1334">
        <v>8298541</v>
      </c>
      <c r="SO525" s="1334">
        <v>8298541</v>
      </c>
      <c r="SP525" s="1334">
        <v>8298541</v>
      </c>
      <c r="SQ525" s="1334">
        <v>8298541</v>
      </c>
      <c r="SR525" s="1334">
        <v>8298541</v>
      </c>
      <c r="SS525" s="1334">
        <v>8298541</v>
      </c>
      <c r="ST525" s="1334">
        <v>8298541</v>
      </c>
      <c r="SU525" s="1334">
        <v>8298541</v>
      </c>
      <c r="SV525" s="1334">
        <v>8298541</v>
      </c>
      <c r="SW525" s="1334">
        <v>8298541</v>
      </c>
      <c r="SX525" s="1334">
        <v>8298541</v>
      </c>
      <c r="SY525" s="1334">
        <v>8298541</v>
      </c>
      <c r="SZ525" s="1334">
        <v>8298541</v>
      </c>
      <c r="TA525" s="1334">
        <v>8298541</v>
      </c>
      <c r="TB525" s="1334">
        <v>8298541</v>
      </c>
      <c r="TC525" s="1334">
        <v>8298541</v>
      </c>
      <c r="TD525" s="1334">
        <v>8298541</v>
      </c>
      <c r="TE525" s="1334">
        <v>8298541</v>
      </c>
      <c r="TF525" s="1334">
        <v>8298541</v>
      </c>
      <c r="TG525" s="1334">
        <v>8298541</v>
      </c>
      <c r="TH525" s="1334">
        <v>8298541</v>
      </c>
      <c r="TI525" s="1334">
        <v>8298541</v>
      </c>
      <c r="TJ525" s="1334">
        <v>8298541</v>
      </c>
      <c r="TK525" s="1334">
        <v>8298541</v>
      </c>
      <c r="TL525" s="1334">
        <v>8298541</v>
      </c>
      <c r="TM525" s="1334">
        <v>8298541</v>
      </c>
      <c r="TN525" s="1334">
        <v>8298541</v>
      </c>
      <c r="TO525" s="1334">
        <v>8298541</v>
      </c>
      <c r="TP525" s="1334">
        <v>8298541</v>
      </c>
      <c r="TQ525" s="1334">
        <v>8298541</v>
      </c>
      <c r="TR525" s="1334">
        <v>8298541</v>
      </c>
      <c r="TS525" s="1334">
        <v>8298541</v>
      </c>
      <c r="TT525" s="1334">
        <v>8298541</v>
      </c>
      <c r="TU525" s="1334">
        <v>8298541</v>
      </c>
      <c r="TV525" s="1334">
        <v>8298541</v>
      </c>
      <c r="TW525" s="1334">
        <v>8298541</v>
      </c>
      <c r="TX525" s="1334">
        <v>8298541</v>
      </c>
      <c r="TY525" s="1334">
        <v>8298541</v>
      </c>
      <c r="TZ525" s="1334">
        <v>8298541</v>
      </c>
      <c r="UA525" s="1334">
        <v>8298541</v>
      </c>
      <c r="UB525" s="1334">
        <v>8298541</v>
      </c>
      <c r="UC525" s="1334">
        <v>8298541</v>
      </c>
      <c r="UD525" s="1334">
        <v>8298541</v>
      </c>
      <c r="UE525" s="1334">
        <v>8298541</v>
      </c>
      <c r="UF525" s="1334">
        <v>8298541</v>
      </c>
      <c r="UG525" s="1334">
        <v>8298541</v>
      </c>
      <c r="UH525" s="1334">
        <v>8298541</v>
      </c>
      <c r="UI525" s="1334">
        <v>8298541</v>
      </c>
      <c r="UJ525" s="1334">
        <v>8298541</v>
      </c>
      <c r="UK525" s="1334">
        <v>8298541</v>
      </c>
      <c r="UL525" s="1334">
        <v>8298541</v>
      </c>
      <c r="UM525" s="1334">
        <v>8298541</v>
      </c>
      <c r="UN525" s="1334">
        <v>8298541</v>
      </c>
      <c r="UO525" s="1334">
        <v>8298541</v>
      </c>
      <c r="UP525" s="1334">
        <v>8298541</v>
      </c>
      <c r="UQ525" s="1334">
        <v>8298541</v>
      </c>
      <c r="UR525" s="1334">
        <v>8298541</v>
      </c>
      <c r="US525" s="1334">
        <v>8298541</v>
      </c>
      <c r="UT525" s="1334">
        <v>8298541</v>
      </c>
      <c r="UU525" s="1334">
        <v>8298541</v>
      </c>
      <c r="UV525" s="1334">
        <v>8298541</v>
      </c>
      <c r="UW525" s="1334">
        <v>8298541</v>
      </c>
      <c r="UX525" s="1334">
        <v>8298541</v>
      </c>
      <c r="UY525" s="1334">
        <v>8298541</v>
      </c>
      <c r="UZ525" s="1334">
        <v>8298541</v>
      </c>
      <c r="VA525" s="1334">
        <v>8298541</v>
      </c>
      <c r="VB525" s="1334">
        <v>8298541</v>
      </c>
      <c r="VC525" s="1334">
        <v>8298541</v>
      </c>
      <c r="VD525" s="1334">
        <v>8298541</v>
      </c>
      <c r="VE525" s="1334">
        <v>8298541</v>
      </c>
      <c r="VF525" s="1334">
        <v>8298541</v>
      </c>
      <c r="VG525" s="1334">
        <v>8298541</v>
      </c>
      <c r="VH525" s="1334">
        <v>8298541</v>
      </c>
      <c r="VI525" s="1334">
        <v>8298541</v>
      </c>
      <c r="VJ525" s="1334">
        <v>8298541</v>
      </c>
      <c r="VK525" s="1334">
        <v>8298541</v>
      </c>
      <c r="VL525" s="1334">
        <v>8298541</v>
      </c>
      <c r="VM525" s="1334">
        <v>8298541</v>
      </c>
      <c r="VN525" s="1334">
        <v>8298541</v>
      </c>
      <c r="VO525" s="1334">
        <v>8298541</v>
      </c>
      <c r="VP525" s="1334">
        <v>8298541</v>
      </c>
      <c r="VQ525" s="1334">
        <v>8298541</v>
      </c>
      <c r="VR525" s="1334">
        <v>8298541</v>
      </c>
      <c r="VS525" s="1334">
        <v>8298541</v>
      </c>
      <c r="VT525" s="1334">
        <v>8298541</v>
      </c>
      <c r="VU525" s="1334">
        <v>8298541</v>
      </c>
      <c r="VV525" s="1334">
        <v>8298541</v>
      </c>
      <c r="VW525" s="1334">
        <v>8298541</v>
      </c>
      <c r="VX525" s="1334">
        <v>8298541</v>
      </c>
      <c r="VY525" s="1334">
        <v>8298541</v>
      </c>
      <c r="VZ525" s="1334">
        <v>8298541</v>
      </c>
      <c r="WA525" s="1334">
        <v>8298541</v>
      </c>
      <c r="WB525" s="1334">
        <v>8298541</v>
      </c>
      <c r="WC525" s="1334">
        <v>8298541</v>
      </c>
      <c r="WD525" s="1334">
        <v>8298541</v>
      </c>
      <c r="WE525" s="1334">
        <v>8298541</v>
      </c>
      <c r="WF525" s="1334">
        <v>8298541</v>
      </c>
      <c r="WG525" s="1334">
        <v>8298541</v>
      </c>
      <c r="WH525" s="1334">
        <v>8298541</v>
      </c>
      <c r="WI525" s="1334">
        <v>8298541</v>
      </c>
      <c r="WJ525" s="1334">
        <v>8298541</v>
      </c>
      <c r="WK525" s="1334">
        <v>8298541</v>
      </c>
      <c r="WL525" s="1334">
        <v>8298541</v>
      </c>
      <c r="WM525" s="1334">
        <v>8298541</v>
      </c>
      <c r="WN525" s="1334">
        <v>8298541</v>
      </c>
      <c r="WO525" s="1334">
        <v>8298541</v>
      </c>
      <c r="WP525" s="1334">
        <v>8298541</v>
      </c>
      <c r="WQ525" s="1334">
        <v>8298541</v>
      </c>
      <c r="WR525" s="1334">
        <v>8298541</v>
      </c>
      <c r="WS525" s="1334">
        <v>8298541</v>
      </c>
      <c r="WT525" s="1334">
        <v>8298541</v>
      </c>
      <c r="WU525" s="1334">
        <v>8298541</v>
      </c>
      <c r="WV525" s="1334">
        <v>8298541</v>
      </c>
      <c r="WW525" s="1334">
        <v>8298541</v>
      </c>
      <c r="WX525" s="1334">
        <v>8298541</v>
      </c>
      <c r="WY525" s="1334">
        <v>8298541</v>
      </c>
      <c r="WZ525" s="1334">
        <v>8298541</v>
      </c>
      <c r="XA525" s="1334">
        <v>8298541</v>
      </c>
      <c r="XB525" s="1334">
        <v>8298541</v>
      </c>
      <c r="XC525" s="1334">
        <v>8298541</v>
      </c>
      <c r="XD525" s="1334">
        <v>8298541</v>
      </c>
      <c r="XE525" s="1334">
        <v>8298541</v>
      </c>
      <c r="XF525" s="1334">
        <v>8298541</v>
      </c>
      <c r="XG525" s="1334">
        <v>8298541</v>
      </c>
      <c r="XH525" s="1334">
        <v>8298541</v>
      </c>
      <c r="XI525" s="1334">
        <v>8298541</v>
      </c>
      <c r="XJ525" s="1334">
        <v>8298541</v>
      </c>
      <c r="XK525" s="1334">
        <v>8298541</v>
      </c>
      <c r="XL525" s="1334">
        <v>8298541</v>
      </c>
      <c r="XM525" s="1334">
        <v>8298541</v>
      </c>
      <c r="XN525" s="1334">
        <v>8298541</v>
      </c>
      <c r="XO525" s="1334">
        <v>8298541</v>
      </c>
      <c r="XP525" s="1334">
        <v>8298541</v>
      </c>
      <c r="XQ525" s="1334">
        <v>8298541</v>
      </c>
      <c r="XR525" s="1334">
        <v>8298541</v>
      </c>
      <c r="XS525" s="1334">
        <v>8298541</v>
      </c>
      <c r="XT525" s="1334">
        <v>8298541</v>
      </c>
      <c r="XU525" s="1334">
        <v>8298541</v>
      </c>
      <c r="XV525" s="1334">
        <v>8298541</v>
      </c>
      <c r="XW525" s="1334">
        <v>8298541</v>
      </c>
      <c r="XX525" s="1334">
        <v>8298541</v>
      </c>
      <c r="XY525" s="1334">
        <v>8298541</v>
      </c>
      <c r="XZ525" s="1334">
        <v>8298541</v>
      </c>
      <c r="YA525" s="1334">
        <v>8298541</v>
      </c>
      <c r="YB525" s="1334">
        <v>8298541</v>
      </c>
      <c r="YC525" s="1334">
        <v>8298541</v>
      </c>
      <c r="YD525" s="1334">
        <v>8298541</v>
      </c>
      <c r="YE525" s="1334">
        <v>8298541</v>
      </c>
      <c r="YF525" s="1334">
        <v>8298541</v>
      </c>
      <c r="YG525" s="1334">
        <v>8298541</v>
      </c>
      <c r="YH525" s="1334">
        <v>8298541</v>
      </c>
      <c r="YI525" s="1334">
        <v>8298541</v>
      </c>
      <c r="YJ525" s="1334">
        <v>8298541</v>
      </c>
      <c r="YK525" s="1334">
        <v>8298541</v>
      </c>
      <c r="YL525" s="1334">
        <v>8298541</v>
      </c>
      <c r="YM525" s="1334">
        <v>8298541</v>
      </c>
      <c r="YN525" s="1334">
        <v>8298541</v>
      </c>
      <c r="YO525" s="1334">
        <v>8298541</v>
      </c>
      <c r="YP525" s="1334">
        <v>8298541</v>
      </c>
      <c r="YQ525" s="1334">
        <v>8298541</v>
      </c>
      <c r="YR525" s="1334">
        <v>8298541</v>
      </c>
      <c r="YS525" s="1334">
        <v>8298541</v>
      </c>
      <c r="YT525" s="1334">
        <v>8298541</v>
      </c>
      <c r="YU525" s="1334">
        <v>8298541</v>
      </c>
      <c r="YV525" s="1334">
        <v>8298541</v>
      </c>
      <c r="YW525" s="1334">
        <v>8298541</v>
      </c>
      <c r="YX525" s="1334">
        <v>8298541</v>
      </c>
      <c r="YY525" s="1334">
        <v>8298541</v>
      </c>
      <c r="YZ525" s="1334">
        <v>8298541</v>
      </c>
      <c r="ZA525" s="1334">
        <v>8298541</v>
      </c>
      <c r="ZB525" s="1334">
        <v>8298541</v>
      </c>
      <c r="ZC525" s="1334">
        <v>8298541</v>
      </c>
      <c r="ZD525" s="1334">
        <v>8298541</v>
      </c>
      <c r="ZE525" s="1334">
        <v>8298541</v>
      </c>
      <c r="ZF525" s="1334">
        <v>8298541</v>
      </c>
      <c r="ZG525" s="1334">
        <v>8298541</v>
      </c>
      <c r="ZH525" s="1334">
        <v>8298541</v>
      </c>
      <c r="ZI525" s="1334">
        <v>8298541</v>
      </c>
      <c r="ZJ525" s="1334">
        <v>8298541</v>
      </c>
      <c r="ZK525" s="1334">
        <v>8298541</v>
      </c>
      <c r="ZL525" s="1334">
        <v>8298541</v>
      </c>
      <c r="ZM525" s="1334">
        <v>8298541</v>
      </c>
      <c r="ZN525" s="1334">
        <v>8298541</v>
      </c>
      <c r="ZO525" s="1334">
        <v>8298541</v>
      </c>
      <c r="ZP525" s="1334">
        <v>8298541</v>
      </c>
      <c r="ZQ525" s="1334">
        <v>8298541</v>
      </c>
      <c r="ZR525" s="1334">
        <v>8298541</v>
      </c>
      <c r="ZS525" s="1334">
        <v>8298541</v>
      </c>
      <c r="ZT525" s="1334">
        <v>8298541</v>
      </c>
      <c r="ZU525" s="1334">
        <v>8298541</v>
      </c>
      <c r="ZV525" s="1334">
        <v>8298541</v>
      </c>
      <c r="ZW525" s="1334">
        <v>8298541</v>
      </c>
      <c r="ZX525" s="1334">
        <v>8298541</v>
      </c>
      <c r="ZY525" s="1334">
        <v>8298541</v>
      </c>
      <c r="ZZ525" s="1334">
        <v>8298541</v>
      </c>
      <c r="AAA525" s="1334">
        <v>8298541</v>
      </c>
      <c r="AAB525" s="1334">
        <v>8298541</v>
      </c>
      <c r="AAC525" s="1334">
        <v>8298541</v>
      </c>
      <c r="AAD525" s="1334">
        <v>8298541</v>
      </c>
      <c r="AAE525" s="1334">
        <v>8298541</v>
      </c>
      <c r="AAF525" s="1334">
        <v>8298541</v>
      </c>
      <c r="AAG525" s="1334">
        <v>8298541</v>
      </c>
      <c r="AAH525" s="1334">
        <v>8298541</v>
      </c>
      <c r="AAI525" s="1334">
        <v>8298541</v>
      </c>
      <c r="AAJ525" s="1334">
        <v>8298541</v>
      </c>
      <c r="AAK525" s="1334">
        <v>8298541</v>
      </c>
      <c r="AAL525" s="1334">
        <v>8298541</v>
      </c>
      <c r="AAM525" s="1334">
        <v>8298541</v>
      </c>
      <c r="AAN525" s="1334">
        <v>8298541</v>
      </c>
      <c r="AAO525" s="1334">
        <v>8298541</v>
      </c>
      <c r="AAP525" s="1334">
        <v>8298541</v>
      </c>
      <c r="AAQ525" s="1334">
        <v>8298541</v>
      </c>
      <c r="AAR525" s="1334">
        <v>8298541</v>
      </c>
      <c r="AAS525" s="1334">
        <v>8298541</v>
      </c>
      <c r="AAT525" s="1334">
        <v>8298541</v>
      </c>
      <c r="AAU525" s="1334">
        <v>8298541</v>
      </c>
      <c r="AAV525" s="1334">
        <v>8298541</v>
      </c>
      <c r="AAW525" s="1334">
        <v>8298541</v>
      </c>
      <c r="AAX525" s="1334">
        <v>8298541</v>
      </c>
      <c r="AAY525" s="1334">
        <v>8298541</v>
      </c>
      <c r="AAZ525" s="1334">
        <v>8298541</v>
      </c>
      <c r="ABA525" s="1334">
        <v>8298541</v>
      </c>
      <c r="ABB525" s="1334">
        <v>8298541</v>
      </c>
      <c r="ABC525" s="1334">
        <v>8298541</v>
      </c>
      <c r="ABD525" s="1334">
        <v>8298541</v>
      </c>
      <c r="ABE525" s="1334">
        <v>8298541</v>
      </c>
      <c r="ABF525" s="1334">
        <v>8298541</v>
      </c>
      <c r="ABG525" s="1334">
        <v>8298541</v>
      </c>
      <c r="ABH525" s="1334">
        <v>8298541</v>
      </c>
      <c r="ABI525" s="1334">
        <v>8298541</v>
      </c>
      <c r="ABJ525" s="1334">
        <v>8298541</v>
      </c>
      <c r="ABK525" s="1334">
        <v>8298541</v>
      </c>
      <c r="ABL525" s="1334">
        <v>8298541</v>
      </c>
      <c r="ABM525" s="1334">
        <v>8298541</v>
      </c>
      <c r="ABN525" s="1334">
        <v>8298541</v>
      </c>
      <c r="ABO525" s="1334">
        <v>8298541</v>
      </c>
      <c r="ABP525" s="1334">
        <v>8298541</v>
      </c>
      <c r="ABQ525" s="1334">
        <v>8298541</v>
      </c>
      <c r="ABR525" s="1334">
        <v>8298541</v>
      </c>
      <c r="ABS525" s="1334">
        <v>8298541</v>
      </c>
      <c r="ABT525" s="1334">
        <v>8298541</v>
      </c>
      <c r="ABU525" s="1334">
        <v>8298541</v>
      </c>
      <c r="ABV525" s="1334">
        <v>8298541</v>
      </c>
      <c r="ABW525" s="1334">
        <v>8298541</v>
      </c>
      <c r="ABX525" s="1334">
        <v>8298541</v>
      </c>
      <c r="ABY525" s="1334">
        <v>8298541</v>
      </c>
      <c r="ABZ525" s="1334">
        <v>8298541</v>
      </c>
      <c r="ACA525" s="1334">
        <v>8298541</v>
      </c>
      <c r="ACB525" s="1334">
        <v>8298541</v>
      </c>
      <c r="ACC525" s="1334">
        <v>8298541</v>
      </c>
      <c r="ACD525" s="1334">
        <v>8298541</v>
      </c>
      <c r="ACE525" s="1334">
        <v>8298541</v>
      </c>
      <c r="ACF525" s="1334">
        <v>8298541</v>
      </c>
      <c r="ACG525" s="1334">
        <v>8298541</v>
      </c>
      <c r="ACH525" s="1334">
        <v>8298541</v>
      </c>
      <c r="ACI525" s="1334">
        <v>8298541</v>
      </c>
      <c r="ACJ525" s="1334">
        <v>8298541</v>
      </c>
      <c r="ACK525" s="1334">
        <v>8298541</v>
      </c>
      <c r="ACL525" s="1334">
        <v>8298541</v>
      </c>
      <c r="ACM525" s="1334">
        <v>8298541</v>
      </c>
      <c r="ACN525" s="1334">
        <v>8298541</v>
      </c>
      <c r="ACO525" s="1334">
        <v>8298541</v>
      </c>
      <c r="ACP525" s="1334">
        <v>8298541</v>
      </c>
      <c r="ACQ525" s="1334">
        <v>8298541</v>
      </c>
      <c r="ACR525" s="1334">
        <v>8298541</v>
      </c>
      <c r="ACS525" s="1334">
        <v>8298541</v>
      </c>
      <c r="ACT525" s="1334">
        <v>8298541</v>
      </c>
      <c r="ACU525" s="1334">
        <v>8298541</v>
      </c>
      <c r="ACV525" s="1334">
        <v>8298541</v>
      </c>
      <c r="ACW525" s="1334">
        <v>8298541</v>
      </c>
      <c r="ACX525" s="1334">
        <v>8298541</v>
      </c>
      <c r="ACY525" s="1334">
        <v>8298541</v>
      </c>
      <c r="ACZ525" s="1334">
        <v>8298541</v>
      </c>
      <c r="ADA525" s="1334">
        <v>8298541</v>
      </c>
      <c r="ADB525" s="1334">
        <v>8298541</v>
      </c>
      <c r="ADC525" s="1334">
        <v>8298541</v>
      </c>
      <c r="ADD525" s="1334">
        <v>8298541</v>
      </c>
      <c r="ADE525" s="1334">
        <v>8298541</v>
      </c>
      <c r="ADF525" s="1334">
        <v>8298541</v>
      </c>
      <c r="ADG525" s="1334">
        <v>8298541</v>
      </c>
      <c r="ADH525" s="1334">
        <v>8298541</v>
      </c>
      <c r="ADI525" s="1334">
        <v>8298541</v>
      </c>
      <c r="ADJ525" s="1334">
        <v>8298541</v>
      </c>
      <c r="ADK525" s="1334">
        <v>8298541</v>
      </c>
      <c r="ADL525" s="1334">
        <v>8298541</v>
      </c>
      <c r="ADM525" s="1334">
        <v>8298541</v>
      </c>
      <c r="ADN525" s="1334">
        <v>8298541</v>
      </c>
      <c r="ADO525" s="1334">
        <v>8298541</v>
      </c>
      <c r="ADP525" s="1334">
        <v>8298541</v>
      </c>
      <c r="ADQ525" s="1334">
        <v>8298541</v>
      </c>
      <c r="ADR525" s="1334">
        <v>8298541</v>
      </c>
      <c r="ADS525" s="1334">
        <v>8298541</v>
      </c>
      <c r="ADT525" s="1334">
        <v>8298541</v>
      </c>
      <c r="ADU525" s="1334">
        <v>8298541</v>
      </c>
      <c r="ADV525" s="1334">
        <v>8298541</v>
      </c>
      <c r="ADW525" s="1334">
        <v>8298541</v>
      </c>
      <c r="ADX525" s="1334">
        <v>8298541</v>
      </c>
      <c r="ADY525" s="1334">
        <v>8298541</v>
      </c>
      <c r="ADZ525" s="1334">
        <v>8298541</v>
      </c>
      <c r="AEA525" s="1334">
        <v>8298541</v>
      </c>
      <c r="AEB525" s="1334">
        <v>8298541</v>
      </c>
      <c r="AEC525" s="1334">
        <v>8298541</v>
      </c>
      <c r="AED525" s="1334">
        <v>8298541</v>
      </c>
      <c r="AEE525" s="1334">
        <v>8298541</v>
      </c>
      <c r="AEF525" s="1334">
        <v>8298541</v>
      </c>
      <c r="AEG525" s="1334">
        <v>8298541</v>
      </c>
      <c r="AEH525" s="1334">
        <v>8298541</v>
      </c>
      <c r="AEI525" s="1334">
        <v>8298541</v>
      </c>
      <c r="AEJ525" s="1334">
        <v>8298541</v>
      </c>
      <c r="AEK525" s="1334">
        <v>8298541</v>
      </c>
      <c r="AEL525" s="1334">
        <v>8298541</v>
      </c>
      <c r="AEM525" s="1334">
        <v>8298541</v>
      </c>
      <c r="AEN525" s="1334">
        <v>8298541</v>
      </c>
      <c r="AEO525" s="1334">
        <v>8298541</v>
      </c>
      <c r="AEP525" s="1334">
        <v>8298541</v>
      </c>
      <c r="AEQ525" s="1334">
        <v>8298541</v>
      </c>
      <c r="AER525" s="1334">
        <v>8298541</v>
      </c>
      <c r="AES525" s="1334">
        <v>8298541</v>
      </c>
      <c r="AET525" s="1334">
        <v>8298541</v>
      </c>
      <c r="AEU525" s="1334">
        <v>8298541</v>
      </c>
      <c r="AEV525" s="1334">
        <v>8298541</v>
      </c>
      <c r="AEW525" s="1334">
        <v>8298541</v>
      </c>
      <c r="AEX525" s="1334">
        <v>8298541</v>
      </c>
      <c r="AEY525" s="1334">
        <v>8298541</v>
      </c>
      <c r="AEZ525" s="1334">
        <v>8298541</v>
      </c>
      <c r="AFA525" s="1334">
        <v>8298541</v>
      </c>
      <c r="AFB525" s="1334">
        <v>8298541</v>
      </c>
      <c r="AFC525" s="1334">
        <v>8298541</v>
      </c>
      <c r="AFD525" s="1334">
        <v>8298541</v>
      </c>
      <c r="AFE525" s="1334">
        <v>8298541</v>
      </c>
      <c r="AFF525" s="1334">
        <v>8298541</v>
      </c>
      <c r="AFG525" s="1334">
        <v>8298541</v>
      </c>
      <c r="AFH525" s="1334">
        <v>8298541</v>
      </c>
      <c r="AFI525" s="1334">
        <v>8298541</v>
      </c>
      <c r="AFJ525" s="1334">
        <v>8298541</v>
      </c>
      <c r="AFK525" s="1334">
        <v>8298541</v>
      </c>
      <c r="AFL525" s="1334">
        <v>8298541</v>
      </c>
      <c r="AFM525" s="1334">
        <v>8298541</v>
      </c>
      <c r="AFN525" s="1334">
        <v>8298541</v>
      </c>
      <c r="AFO525" s="1334">
        <v>8298541</v>
      </c>
      <c r="AFP525" s="1334">
        <v>8298541</v>
      </c>
      <c r="AFQ525" s="1334">
        <v>8298541</v>
      </c>
      <c r="AFR525" s="1334">
        <v>8298541</v>
      </c>
      <c r="AFS525" s="1334">
        <v>8298541</v>
      </c>
      <c r="AFT525" s="1334">
        <v>8298541</v>
      </c>
      <c r="AFU525" s="1334">
        <v>8298541</v>
      </c>
      <c r="AFV525" s="1334">
        <v>8298541</v>
      </c>
      <c r="AFW525" s="1334">
        <v>8298541</v>
      </c>
      <c r="AFX525" s="1334">
        <v>8298541</v>
      </c>
      <c r="AFY525" s="1334">
        <v>8298541</v>
      </c>
      <c r="AFZ525" s="1334">
        <v>8298541</v>
      </c>
      <c r="AGA525" s="1334">
        <v>8298541</v>
      </c>
      <c r="AGB525" s="1334">
        <v>8298541</v>
      </c>
      <c r="AGC525" s="1334">
        <v>8298541</v>
      </c>
      <c r="AGD525" s="1334">
        <v>8298541</v>
      </c>
      <c r="AGE525" s="1334">
        <v>8298541</v>
      </c>
      <c r="AGF525" s="1334">
        <v>8298541</v>
      </c>
      <c r="AGG525" s="1334">
        <v>8298541</v>
      </c>
      <c r="AGH525" s="1334">
        <v>8298541</v>
      </c>
      <c r="AGI525" s="1334">
        <v>8298541</v>
      </c>
      <c r="AGJ525" s="1334">
        <v>8298541</v>
      </c>
      <c r="AGK525" s="1334">
        <v>8298541</v>
      </c>
      <c r="AGL525" s="1334">
        <v>8298541</v>
      </c>
      <c r="AGM525" s="1334">
        <v>8298541</v>
      </c>
      <c r="AGN525" s="1334">
        <v>8298541</v>
      </c>
      <c r="AGO525" s="1334">
        <v>8298541</v>
      </c>
      <c r="AGP525" s="1334">
        <v>8298541</v>
      </c>
      <c r="AGQ525" s="1334">
        <v>8298541</v>
      </c>
      <c r="AGR525" s="1334">
        <v>8298541</v>
      </c>
      <c r="AGS525" s="1334">
        <v>8298541</v>
      </c>
      <c r="AGT525" s="1334">
        <v>8298541</v>
      </c>
      <c r="AGU525" s="1334">
        <v>8298541</v>
      </c>
      <c r="AGV525" s="1334">
        <v>8298541</v>
      </c>
      <c r="AGW525" s="1334">
        <v>8298541</v>
      </c>
      <c r="AGX525" s="1334">
        <v>8298541</v>
      </c>
      <c r="AGY525" s="1334">
        <v>8298541</v>
      </c>
      <c r="AGZ525" s="1334">
        <v>8298541</v>
      </c>
      <c r="AHA525" s="1334">
        <v>8298541</v>
      </c>
      <c r="AHB525" s="1334">
        <v>8298541</v>
      </c>
      <c r="AHC525" s="1334">
        <v>8298541</v>
      </c>
      <c r="AHD525" s="1334">
        <v>8298541</v>
      </c>
      <c r="AHE525" s="1334">
        <v>8298541</v>
      </c>
      <c r="AHF525" s="1334">
        <v>8298541</v>
      </c>
      <c r="AHG525" s="1334">
        <v>8298541</v>
      </c>
      <c r="AHH525" s="1334">
        <v>8298541</v>
      </c>
      <c r="AHI525" s="1334">
        <v>8298541</v>
      </c>
      <c r="AHJ525" s="1334">
        <v>8298541</v>
      </c>
      <c r="AHK525" s="1334">
        <v>8298541</v>
      </c>
      <c r="AHL525" s="1334">
        <v>8298541</v>
      </c>
      <c r="AHM525" s="1334">
        <v>8298541</v>
      </c>
      <c r="AHN525" s="1334">
        <v>8298541</v>
      </c>
      <c r="AHO525" s="1334">
        <v>8298541</v>
      </c>
      <c r="AHP525" s="1334">
        <v>8298541</v>
      </c>
      <c r="AHQ525" s="1334">
        <v>8298541</v>
      </c>
      <c r="AHR525" s="1334">
        <v>8298541</v>
      </c>
      <c r="AHS525" s="1334">
        <v>8298541</v>
      </c>
      <c r="AHT525" s="1334">
        <v>8298541</v>
      </c>
      <c r="AHU525" s="1334">
        <v>8298541</v>
      </c>
      <c r="AHV525" s="1334">
        <v>8298541</v>
      </c>
      <c r="AHW525" s="1334">
        <v>8298541</v>
      </c>
      <c r="AHX525" s="1334">
        <v>8298541</v>
      </c>
      <c r="AHY525" s="1334">
        <v>8298541</v>
      </c>
      <c r="AHZ525" s="1334">
        <v>8298541</v>
      </c>
      <c r="AIA525" s="1334">
        <v>8298541</v>
      </c>
      <c r="AIB525" s="1334">
        <v>8298541</v>
      </c>
      <c r="AIC525" s="1334">
        <v>8298541</v>
      </c>
      <c r="AID525" s="1334">
        <v>8298541</v>
      </c>
      <c r="AIE525" s="1334">
        <v>8298541</v>
      </c>
      <c r="AIF525" s="1334">
        <v>8298541</v>
      </c>
      <c r="AIG525" s="1334">
        <v>8298541</v>
      </c>
      <c r="AIH525" s="1334">
        <v>8298541</v>
      </c>
      <c r="AII525" s="1334">
        <v>8298541</v>
      </c>
      <c r="AIJ525" s="1334">
        <v>8298541</v>
      </c>
      <c r="AIK525" s="1334">
        <v>8298541</v>
      </c>
      <c r="AIL525" s="1334">
        <v>8298541</v>
      </c>
      <c r="AIM525" s="1334">
        <v>8298541</v>
      </c>
      <c r="AIN525" s="1334">
        <v>8298541</v>
      </c>
      <c r="AIO525" s="1334">
        <v>8298541</v>
      </c>
      <c r="AIP525" s="1334">
        <v>8298541</v>
      </c>
      <c r="AIQ525" s="1334">
        <v>8298541</v>
      </c>
      <c r="AIR525" s="1334">
        <v>8298541</v>
      </c>
      <c r="AIS525" s="1334">
        <v>8298541</v>
      </c>
      <c r="AIT525" s="1334">
        <v>8298541</v>
      </c>
      <c r="AIU525" s="1334">
        <v>8298541</v>
      </c>
      <c r="AIV525" s="1334">
        <v>8298541</v>
      </c>
      <c r="AIW525" s="1334">
        <v>8298541</v>
      </c>
      <c r="AIX525" s="1334">
        <v>8298541</v>
      </c>
      <c r="AIY525" s="1334">
        <v>8298541</v>
      </c>
      <c r="AIZ525" s="1334">
        <v>8298541</v>
      </c>
      <c r="AJA525" s="1334">
        <v>8298541</v>
      </c>
      <c r="AJB525" s="1334">
        <v>8298541</v>
      </c>
      <c r="AJC525" s="1334">
        <v>8298541</v>
      </c>
      <c r="AJD525" s="1334">
        <v>8298541</v>
      </c>
      <c r="AJE525" s="1334">
        <v>8298541</v>
      </c>
      <c r="AJF525" s="1334">
        <v>8298541</v>
      </c>
      <c r="AJG525" s="1334">
        <v>8298541</v>
      </c>
      <c r="AJH525" s="1334">
        <v>8298541</v>
      </c>
      <c r="AJI525" s="1334">
        <v>8298541</v>
      </c>
      <c r="AJJ525" s="1334">
        <v>8298541</v>
      </c>
      <c r="AJK525" s="1334">
        <v>8298541</v>
      </c>
      <c r="AJL525" s="1334">
        <v>8298541</v>
      </c>
      <c r="AJM525" s="1334">
        <v>8298541</v>
      </c>
      <c r="AJN525" s="1334">
        <v>8298541</v>
      </c>
      <c r="AJO525" s="1334">
        <v>8298541</v>
      </c>
      <c r="AJP525" s="1334">
        <v>8298541</v>
      </c>
      <c r="AJQ525" s="1334">
        <v>8298541</v>
      </c>
      <c r="AJR525" s="1334">
        <v>8298541</v>
      </c>
      <c r="AJS525" s="1334">
        <v>8298541</v>
      </c>
      <c r="AJT525" s="1334">
        <v>8298541</v>
      </c>
      <c r="AJU525" s="1334">
        <v>8298541</v>
      </c>
      <c r="AJV525" s="1334">
        <v>8298541</v>
      </c>
      <c r="AJW525" s="1334">
        <v>8298541</v>
      </c>
      <c r="AJX525" s="1334">
        <v>8298541</v>
      </c>
      <c r="AJY525" s="1334">
        <v>8298541</v>
      </c>
      <c r="AJZ525" s="1334">
        <v>8298541</v>
      </c>
      <c r="AKA525" s="1334">
        <v>8298541</v>
      </c>
      <c r="AKB525" s="1334">
        <v>8298541</v>
      </c>
      <c r="AKC525" s="1334">
        <v>8298541</v>
      </c>
      <c r="AKD525" s="1334">
        <v>8298541</v>
      </c>
      <c r="AKE525" s="1334">
        <v>8298541</v>
      </c>
      <c r="AKF525" s="1334">
        <v>8298541</v>
      </c>
      <c r="AKG525" s="1334">
        <v>8298541</v>
      </c>
      <c r="AKH525" s="1334">
        <v>8298541</v>
      </c>
      <c r="AKI525" s="1334">
        <v>8298541</v>
      </c>
      <c r="AKJ525" s="1334">
        <v>8298541</v>
      </c>
      <c r="AKK525" s="1334">
        <v>8298541</v>
      </c>
      <c r="AKL525" s="1334">
        <v>8298541</v>
      </c>
      <c r="AKM525" s="1334">
        <v>8298541</v>
      </c>
      <c r="AKN525" s="1334">
        <v>8298541</v>
      </c>
      <c r="AKO525" s="1334">
        <v>8298541</v>
      </c>
      <c r="AKP525" s="1334">
        <v>8298541</v>
      </c>
      <c r="AKQ525" s="1334">
        <v>8298541</v>
      </c>
      <c r="AKR525" s="1334">
        <v>8298541</v>
      </c>
      <c r="AKS525" s="1334">
        <v>8298541</v>
      </c>
      <c r="AKT525" s="1334">
        <v>8298541</v>
      </c>
      <c r="AKU525" s="1334">
        <v>8298541</v>
      </c>
      <c r="AKV525" s="1334">
        <v>8298541</v>
      </c>
      <c r="AKW525" s="1334">
        <v>8298541</v>
      </c>
      <c r="AKX525" s="1334">
        <v>8298541</v>
      </c>
      <c r="AKY525" s="1334">
        <v>8298541</v>
      </c>
      <c r="AKZ525" s="1334">
        <v>8298541</v>
      </c>
      <c r="ALA525" s="1334">
        <v>8298541</v>
      </c>
      <c r="ALB525" s="1334">
        <v>8298541</v>
      </c>
      <c r="ALC525" s="1334">
        <v>8298541</v>
      </c>
      <c r="ALD525" s="1334">
        <v>8298541</v>
      </c>
      <c r="ALE525" s="1334">
        <v>8298541</v>
      </c>
      <c r="ALF525" s="1334">
        <v>8298541</v>
      </c>
      <c r="ALG525" s="1334">
        <v>8298541</v>
      </c>
      <c r="ALH525" s="1334">
        <v>8298541</v>
      </c>
      <c r="ALI525" s="1334">
        <v>8298541</v>
      </c>
      <c r="ALJ525" s="1334">
        <v>8298541</v>
      </c>
      <c r="ALK525" s="1334">
        <v>8298541</v>
      </c>
      <c r="ALL525" s="1334">
        <v>8298541</v>
      </c>
      <c r="ALM525" s="1334">
        <v>8298541</v>
      </c>
      <c r="ALN525" s="1334">
        <v>8298541</v>
      </c>
      <c r="ALO525" s="1334">
        <v>8298541</v>
      </c>
      <c r="ALP525" s="1334">
        <v>8298541</v>
      </c>
      <c r="ALQ525" s="1334">
        <v>8298541</v>
      </c>
      <c r="ALR525" s="1334">
        <v>8298541</v>
      </c>
      <c r="ALS525" s="1334">
        <v>8298541</v>
      </c>
      <c r="ALT525" s="1334">
        <v>8298541</v>
      </c>
      <c r="ALU525" s="1334">
        <v>8298541</v>
      </c>
      <c r="ALV525" s="1334">
        <v>8298541</v>
      </c>
      <c r="ALW525" s="1334">
        <v>8298541</v>
      </c>
      <c r="ALX525" s="1334">
        <v>8298541</v>
      </c>
      <c r="ALY525" s="1334">
        <v>8298541</v>
      </c>
      <c r="ALZ525" s="1334">
        <v>8298541</v>
      </c>
      <c r="AMA525" s="1334">
        <v>8298541</v>
      </c>
      <c r="AMB525" s="1334">
        <v>8298541</v>
      </c>
      <c r="AMC525" s="1334">
        <v>8298541</v>
      </c>
      <c r="AMD525" s="1334">
        <v>8298541</v>
      </c>
      <c r="AME525" s="1334">
        <v>8298541</v>
      </c>
      <c r="AMF525" s="1334">
        <v>8298541</v>
      </c>
      <c r="AMG525" s="1334">
        <v>8298541</v>
      </c>
      <c r="AMH525" s="1334">
        <v>8298541</v>
      </c>
      <c r="AMI525" s="1334">
        <v>8298541</v>
      </c>
      <c r="AMJ525" s="1334">
        <v>8298541</v>
      </c>
      <c r="AMK525" s="1334">
        <v>8298541</v>
      </c>
      <c r="AML525" s="1334">
        <v>8298541</v>
      </c>
      <c r="AMM525" s="1334">
        <v>8298541</v>
      </c>
      <c r="AMN525" s="1334">
        <v>8298541</v>
      </c>
      <c r="AMO525" s="1334">
        <v>8298541</v>
      </c>
      <c r="AMP525" s="1334">
        <v>8298541</v>
      </c>
      <c r="AMQ525" s="1334">
        <v>8298541</v>
      </c>
      <c r="AMR525" s="1334">
        <v>8298541</v>
      </c>
      <c r="AMS525" s="1334">
        <v>8298541</v>
      </c>
      <c r="AMT525" s="1334">
        <v>8298541</v>
      </c>
      <c r="AMU525" s="1334">
        <v>8298541</v>
      </c>
      <c r="AMV525" s="1334">
        <v>8298541</v>
      </c>
      <c r="AMW525" s="1334">
        <v>8298541</v>
      </c>
      <c r="AMX525" s="1334">
        <v>8298541</v>
      </c>
      <c r="AMY525" s="1334">
        <v>8298541</v>
      </c>
      <c r="AMZ525" s="1334">
        <v>8298541</v>
      </c>
      <c r="ANA525" s="1334">
        <v>8298541</v>
      </c>
      <c r="ANB525" s="1334">
        <v>8298541</v>
      </c>
      <c r="ANC525" s="1334">
        <v>8298541</v>
      </c>
      <c r="AND525" s="1334">
        <v>8298541</v>
      </c>
      <c r="ANE525" s="1334">
        <v>8298541</v>
      </c>
      <c r="ANF525" s="1334">
        <v>8298541</v>
      </c>
      <c r="ANG525" s="1334">
        <v>8298541</v>
      </c>
      <c r="ANH525" s="1334">
        <v>8298541</v>
      </c>
      <c r="ANI525" s="1334">
        <v>8298541</v>
      </c>
      <c r="ANJ525" s="1334">
        <v>8298541</v>
      </c>
      <c r="ANK525" s="1334">
        <v>8298541</v>
      </c>
      <c r="ANL525" s="1334">
        <v>8298541</v>
      </c>
      <c r="ANM525" s="1334">
        <v>8298541</v>
      </c>
      <c r="ANN525" s="1334">
        <v>8298541</v>
      </c>
      <c r="ANO525" s="1334">
        <v>8298541</v>
      </c>
      <c r="ANP525" s="1334">
        <v>8298541</v>
      </c>
      <c r="ANQ525" s="1334">
        <v>8298541</v>
      </c>
      <c r="ANR525" s="1334">
        <v>8298541</v>
      </c>
      <c r="ANS525" s="1334">
        <v>8298541</v>
      </c>
      <c r="ANT525" s="1334">
        <v>8298541</v>
      </c>
      <c r="ANU525" s="1334">
        <v>8298541</v>
      </c>
      <c r="ANV525" s="1334">
        <v>8298541</v>
      </c>
      <c r="ANW525" s="1334">
        <v>8298541</v>
      </c>
      <c r="ANX525" s="1334">
        <v>8298541</v>
      </c>
      <c r="ANY525" s="1334">
        <v>8298541</v>
      </c>
      <c r="ANZ525" s="1334">
        <v>8298541</v>
      </c>
      <c r="AOA525" s="1334">
        <v>8298541</v>
      </c>
      <c r="AOB525" s="1334">
        <v>8298541</v>
      </c>
      <c r="AOC525" s="1334">
        <v>8298541</v>
      </c>
      <c r="AOD525" s="1334">
        <v>8298541</v>
      </c>
      <c r="AOE525" s="1334">
        <v>8298541</v>
      </c>
      <c r="AOF525" s="1334">
        <v>8298541</v>
      </c>
      <c r="AOG525" s="1334">
        <v>8298541</v>
      </c>
      <c r="AOH525" s="1334">
        <v>8298541</v>
      </c>
      <c r="AOI525" s="1334">
        <v>8298541</v>
      </c>
      <c r="AOJ525" s="1334">
        <v>8298541</v>
      </c>
      <c r="AOK525" s="1334">
        <v>8298541</v>
      </c>
      <c r="AOL525" s="1334">
        <v>8298541</v>
      </c>
      <c r="AOM525" s="1334">
        <v>8298541</v>
      </c>
      <c r="AON525" s="1334">
        <v>8298541</v>
      </c>
      <c r="AOO525" s="1334">
        <v>8298541</v>
      </c>
      <c r="AOP525" s="1334">
        <v>8298541</v>
      </c>
      <c r="AOQ525" s="1334">
        <v>8298541</v>
      </c>
      <c r="AOR525" s="1334">
        <v>8298541</v>
      </c>
      <c r="AOS525" s="1334">
        <v>8298541</v>
      </c>
      <c r="AOT525" s="1334">
        <v>8298541</v>
      </c>
      <c r="AOU525" s="1334">
        <v>8298541</v>
      </c>
      <c r="AOV525" s="1334">
        <v>8298541</v>
      </c>
      <c r="AOW525" s="1334">
        <v>8298541</v>
      </c>
      <c r="AOX525" s="1334">
        <v>8298541</v>
      </c>
      <c r="AOY525" s="1334">
        <v>8298541</v>
      </c>
      <c r="AOZ525" s="1334">
        <v>8298541</v>
      </c>
      <c r="APA525" s="1334">
        <v>8298541</v>
      </c>
      <c r="APB525" s="1334">
        <v>8298541</v>
      </c>
      <c r="APC525" s="1334">
        <v>8298541</v>
      </c>
      <c r="APD525" s="1334">
        <v>8298541</v>
      </c>
      <c r="APE525" s="1334">
        <v>8298541</v>
      </c>
      <c r="APF525" s="1334">
        <v>8298541</v>
      </c>
      <c r="APG525" s="1334">
        <v>8298541</v>
      </c>
      <c r="APH525" s="1334">
        <v>8298541</v>
      </c>
      <c r="API525" s="1334">
        <v>8298541</v>
      </c>
      <c r="APJ525" s="1334">
        <v>8298541</v>
      </c>
      <c r="APK525" s="1334">
        <v>8298541</v>
      </c>
      <c r="APL525" s="1334">
        <v>8298541</v>
      </c>
      <c r="APM525" s="1334">
        <v>8298541</v>
      </c>
      <c r="APN525" s="1334">
        <v>8298541</v>
      </c>
      <c r="APO525" s="1334">
        <v>8298541</v>
      </c>
      <c r="APP525" s="1334">
        <v>8298541</v>
      </c>
      <c r="APQ525" s="1334">
        <v>8298541</v>
      </c>
      <c r="APR525" s="1334">
        <v>8298541</v>
      </c>
      <c r="APS525" s="1334">
        <v>8298541</v>
      </c>
      <c r="APT525" s="1334">
        <v>8298541</v>
      </c>
      <c r="APU525" s="1334">
        <v>8298541</v>
      </c>
      <c r="APV525" s="1334">
        <v>8298541</v>
      </c>
      <c r="APW525" s="1334">
        <v>8298541</v>
      </c>
      <c r="APX525" s="1334">
        <v>8298541</v>
      </c>
      <c r="APY525" s="1334">
        <v>8298541</v>
      </c>
      <c r="APZ525" s="1334">
        <v>8298541</v>
      </c>
      <c r="AQA525" s="1334">
        <v>8298541</v>
      </c>
      <c r="AQB525" s="1334">
        <v>8298541</v>
      </c>
      <c r="AQC525" s="1334">
        <v>8298541</v>
      </c>
      <c r="AQD525" s="1334">
        <v>8298541</v>
      </c>
      <c r="AQE525" s="1334">
        <v>8298541</v>
      </c>
      <c r="AQF525" s="1334">
        <v>8298541</v>
      </c>
      <c r="AQG525" s="1334">
        <v>8298541</v>
      </c>
      <c r="AQH525" s="1334">
        <v>8298541</v>
      </c>
      <c r="AQI525" s="1334">
        <v>8298541</v>
      </c>
      <c r="AQJ525" s="1334">
        <v>8298541</v>
      </c>
      <c r="AQK525" s="1334">
        <v>8298541</v>
      </c>
      <c r="AQL525" s="1334">
        <v>8298541</v>
      </c>
      <c r="AQM525" s="1334">
        <v>8298541</v>
      </c>
      <c r="AQN525" s="1334">
        <v>8298541</v>
      </c>
      <c r="AQO525" s="1334">
        <v>8298541</v>
      </c>
      <c r="AQP525" s="1334">
        <v>8298541</v>
      </c>
      <c r="AQQ525" s="1334">
        <v>8298541</v>
      </c>
      <c r="AQR525" s="1334">
        <v>8298541</v>
      </c>
      <c r="AQS525" s="1334">
        <v>8298541</v>
      </c>
      <c r="AQT525" s="1334">
        <v>8298541</v>
      </c>
      <c r="AQU525" s="1334">
        <v>8298541</v>
      </c>
      <c r="AQV525" s="1334">
        <v>8298541</v>
      </c>
      <c r="AQW525" s="1334">
        <v>8298541</v>
      </c>
      <c r="AQX525" s="1334">
        <v>8298541</v>
      </c>
      <c r="AQY525" s="1334">
        <v>8298541</v>
      </c>
      <c r="AQZ525" s="1334">
        <v>8298541</v>
      </c>
      <c r="ARA525" s="1334">
        <v>8298541</v>
      </c>
      <c r="ARB525" s="1334">
        <v>8298541</v>
      </c>
      <c r="ARC525" s="1334">
        <v>8298541</v>
      </c>
      <c r="ARD525" s="1334">
        <v>8298541</v>
      </c>
      <c r="ARE525" s="1334">
        <v>8298541</v>
      </c>
      <c r="ARF525" s="1334">
        <v>8298541</v>
      </c>
      <c r="ARG525" s="1334">
        <v>8298541</v>
      </c>
      <c r="ARH525" s="1334">
        <v>8298541</v>
      </c>
      <c r="ARI525" s="1334">
        <v>8298541</v>
      </c>
      <c r="ARJ525" s="1334">
        <v>8298541</v>
      </c>
      <c r="ARK525" s="1334">
        <v>8298541</v>
      </c>
      <c r="ARL525" s="1334">
        <v>8298541</v>
      </c>
      <c r="ARM525" s="1334">
        <v>8298541</v>
      </c>
      <c r="ARN525" s="1334">
        <v>8298541</v>
      </c>
      <c r="ARO525" s="1334">
        <v>8298541</v>
      </c>
      <c r="ARP525" s="1334">
        <v>8298541</v>
      </c>
      <c r="ARQ525" s="1334">
        <v>8298541</v>
      </c>
      <c r="ARR525" s="1334">
        <v>8298541</v>
      </c>
      <c r="ARS525" s="1334">
        <v>8298541</v>
      </c>
      <c r="ART525" s="1334">
        <v>8298541</v>
      </c>
      <c r="ARU525" s="1334">
        <v>8298541</v>
      </c>
      <c r="ARV525" s="1334">
        <v>8298541</v>
      </c>
      <c r="ARW525" s="1334">
        <v>8298541</v>
      </c>
      <c r="ARX525" s="1334">
        <v>8298541</v>
      </c>
      <c r="ARY525" s="1334">
        <v>8298541</v>
      </c>
      <c r="ARZ525" s="1334">
        <v>8298541</v>
      </c>
      <c r="ASA525" s="1334">
        <v>8298541</v>
      </c>
      <c r="ASB525" s="1334">
        <v>8298541</v>
      </c>
      <c r="ASC525" s="1334">
        <v>8298541</v>
      </c>
      <c r="ASD525" s="1334">
        <v>8298541</v>
      </c>
      <c r="ASE525" s="1334">
        <v>8298541</v>
      </c>
      <c r="ASF525" s="1334">
        <v>8298541</v>
      </c>
      <c r="ASG525" s="1334">
        <v>8298541</v>
      </c>
      <c r="ASH525" s="1334">
        <v>8298541</v>
      </c>
      <c r="ASI525" s="1334">
        <v>8298541</v>
      </c>
      <c r="ASJ525" s="1334">
        <v>8298541</v>
      </c>
      <c r="ASK525" s="1334">
        <v>8298541</v>
      </c>
      <c r="ASL525" s="1334">
        <v>8298541</v>
      </c>
      <c r="ASM525" s="1334">
        <v>8298541</v>
      </c>
      <c r="ASN525" s="1334">
        <v>8298541</v>
      </c>
      <c r="ASO525" s="1334">
        <v>8298541</v>
      </c>
      <c r="ASP525" s="1334">
        <v>8298541</v>
      </c>
      <c r="ASQ525" s="1334">
        <v>8298541</v>
      </c>
      <c r="ASR525" s="1334">
        <v>8298541</v>
      </c>
      <c r="ASS525" s="1334">
        <v>8298541</v>
      </c>
      <c r="AST525" s="1334">
        <v>8298541</v>
      </c>
      <c r="ASU525" s="1334">
        <v>8298541</v>
      </c>
      <c r="ASV525" s="1334">
        <v>8298541</v>
      </c>
      <c r="ASW525" s="1334">
        <v>8298541</v>
      </c>
      <c r="ASX525" s="1334">
        <v>8298541</v>
      </c>
      <c r="ASY525" s="1334">
        <v>8298541</v>
      </c>
      <c r="ASZ525" s="1334">
        <v>8298541</v>
      </c>
      <c r="ATA525" s="1334">
        <v>8298541</v>
      </c>
      <c r="ATB525" s="1334">
        <v>8298541</v>
      </c>
      <c r="ATC525" s="1334">
        <v>8298541</v>
      </c>
      <c r="ATD525" s="1334">
        <v>8298541</v>
      </c>
      <c r="ATE525" s="1334">
        <v>8298541</v>
      </c>
      <c r="ATF525" s="1334">
        <v>8298541</v>
      </c>
      <c r="ATG525" s="1334">
        <v>8298541</v>
      </c>
      <c r="ATH525" s="1334">
        <v>8298541</v>
      </c>
      <c r="ATI525" s="1334">
        <v>8298541</v>
      </c>
      <c r="ATJ525" s="1334">
        <v>8298541</v>
      </c>
      <c r="ATK525" s="1334">
        <v>8298541</v>
      </c>
      <c r="ATL525" s="1334">
        <v>8298541</v>
      </c>
      <c r="ATM525" s="1334">
        <v>8298541</v>
      </c>
      <c r="ATN525" s="1334">
        <v>8298541</v>
      </c>
      <c r="ATO525" s="1334">
        <v>8298541</v>
      </c>
      <c r="ATP525" s="1334">
        <v>8298541</v>
      </c>
      <c r="ATQ525" s="1334">
        <v>8298541</v>
      </c>
      <c r="ATR525" s="1334">
        <v>8298541</v>
      </c>
      <c r="ATS525" s="1334">
        <v>8298541</v>
      </c>
      <c r="ATT525" s="1334">
        <v>8298541</v>
      </c>
      <c r="ATU525" s="1334">
        <v>8298541</v>
      </c>
      <c r="ATV525" s="1334">
        <v>8298541</v>
      </c>
      <c r="ATW525" s="1334">
        <v>8298541</v>
      </c>
      <c r="ATX525" s="1334">
        <v>8298541</v>
      </c>
      <c r="ATY525" s="1334">
        <v>8298541</v>
      </c>
      <c r="ATZ525" s="1334">
        <v>8298541</v>
      </c>
      <c r="AUA525" s="1334">
        <v>8298541</v>
      </c>
      <c r="AUB525" s="1334">
        <v>8298541</v>
      </c>
      <c r="AUC525" s="1334">
        <v>8298541</v>
      </c>
      <c r="AUD525" s="1334">
        <v>8298541</v>
      </c>
      <c r="AUE525" s="1334">
        <v>8298541</v>
      </c>
      <c r="AUF525" s="1334">
        <v>8298541</v>
      </c>
      <c r="AUG525" s="1334">
        <v>8298541</v>
      </c>
      <c r="AUH525" s="1334">
        <v>8298541</v>
      </c>
      <c r="AUI525" s="1334">
        <v>8298541</v>
      </c>
      <c r="AUJ525" s="1334">
        <v>8298541</v>
      </c>
      <c r="AUK525" s="1334">
        <v>8298541</v>
      </c>
      <c r="AUL525" s="1334">
        <v>8298541</v>
      </c>
      <c r="AUM525" s="1334">
        <v>8298541</v>
      </c>
      <c r="AUN525" s="1334">
        <v>8298541</v>
      </c>
      <c r="AUO525" s="1334">
        <v>8298541</v>
      </c>
      <c r="AUP525" s="1334">
        <v>8298541</v>
      </c>
      <c r="AUQ525" s="1334">
        <v>8298541</v>
      </c>
      <c r="AUR525" s="1334">
        <v>8298541</v>
      </c>
      <c r="AUS525" s="1334">
        <v>8298541</v>
      </c>
      <c r="AUT525" s="1334">
        <v>8298541</v>
      </c>
      <c r="AUU525" s="1334">
        <v>8298541</v>
      </c>
      <c r="AUV525" s="1334">
        <v>8298541</v>
      </c>
      <c r="AUW525" s="1334">
        <v>8298541</v>
      </c>
      <c r="AUX525" s="1334">
        <v>8298541</v>
      </c>
      <c r="AUY525" s="1334">
        <v>8298541</v>
      </c>
      <c r="AUZ525" s="1334">
        <v>8298541</v>
      </c>
      <c r="AVA525" s="1334">
        <v>8298541</v>
      </c>
      <c r="AVB525" s="1334">
        <v>8298541</v>
      </c>
      <c r="AVC525" s="1334">
        <v>8298541</v>
      </c>
      <c r="AVD525" s="1334">
        <v>8298541</v>
      </c>
      <c r="AVE525" s="1334">
        <v>8298541</v>
      </c>
      <c r="AVF525" s="1334">
        <v>8298541</v>
      </c>
      <c r="AVG525" s="1334">
        <v>8298541</v>
      </c>
      <c r="AVH525" s="1334">
        <v>8298541</v>
      </c>
      <c r="AVI525" s="1334">
        <v>8298541</v>
      </c>
      <c r="AVJ525" s="1334">
        <v>8298541</v>
      </c>
      <c r="AVK525" s="1334">
        <v>8298541</v>
      </c>
      <c r="AVL525" s="1334">
        <v>8298541</v>
      </c>
      <c r="AVM525" s="1334">
        <v>8298541</v>
      </c>
      <c r="AVN525" s="1334">
        <v>8298541</v>
      </c>
      <c r="AVO525" s="1334">
        <v>8298541</v>
      </c>
      <c r="AVP525" s="1334">
        <v>8298541</v>
      </c>
      <c r="AVQ525" s="1334">
        <v>8298541</v>
      </c>
      <c r="AVR525" s="1334">
        <v>8298541</v>
      </c>
      <c r="AVS525" s="1334">
        <v>8298541</v>
      </c>
      <c r="AVT525" s="1334">
        <v>8298541</v>
      </c>
      <c r="AVU525" s="1334">
        <v>8298541</v>
      </c>
      <c r="AVV525" s="1334">
        <v>8298541</v>
      </c>
      <c r="AVW525" s="1334">
        <v>8298541</v>
      </c>
      <c r="AVX525" s="1334">
        <v>8298541</v>
      </c>
      <c r="AVY525" s="1334">
        <v>8298541</v>
      </c>
      <c r="AVZ525" s="1334">
        <v>8298541</v>
      </c>
      <c r="AWA525" s="1334">
        <v>8298541</v>
      </c>
      <c r="AWB525" s="1334">
        <v>8298541</v>
      </c>
      <c r="AWC525" s="1334">
        <v>8298541</v>
      </c>
      <c r="AWD525" s="1334">
        <v>8298541</v>
      </c>
      <c r="AWE525" s="1334">
        <v>8298541</v>
      </c>
      <c r="AWF525" s="1334">
        <v>8298541</v>
      </c>
      <c r="AWG525" s="1334">
        <v>8298541</v>
      </c>
      <c r="AWH525" s="1334">
        <v>8298541</v>
      </c>
      <c r="AWI525" s="1334">
        <v>8298541</v>
      </c>
      <c r="AWJ525" s="1334">
        <v>8298541</v>
      </c>
      <c r="AWK525" s="1334">
        <v>8298541</v>
      </c>
      <c r="AWL525" s="1334">
        <v>8298541</v>
      </c>
      <c r="AWM525" s="1334">
        <v>8298541</v>
      </c>
      <c r="AWN525" s="1334">
        <v>8298541</v>
      </c>
      <c r="AWO525" s="1334">
        <v>8298541</v>
      </c>
      <c r="AWP525" s="1334">
        <v>8298541</v>
      </c>
      <c r="AWQ525" s="1334">
        <v>8298541</v>
      </c>
      <c r="AWR525" s="1334">
        <v>8298541</v>
      </c>
      <c r="AWS525" s="1334">
        <v>8298541</v>
      </c>
      <c r="AWT525" s="1334">
        <v>8298541</v>
      </c>
      <c r="AWU525" s="1334">
        <v>8298541</v>
      </c>
      <c r="AWV525" s="1334">
        <v>8298541</v>
      </c>
      <c r="AWW525" s="1334">
        <v>8298541</v>
      </c>
      <c r="AWX525" s="1334">
        <v>8298541</v>
      </c>
      <c r="AWY525" s="1334">
        <v>8298541</v>
      </c>
      <c r="AWZ525" s="1334">
        <v>8298541</v>
      </c>
      <c r="AXA525" s="1334">
        <v>8298541</v>
      </c>
      <c r="AXB525" s="1334">
        <v>8298541</v>
      </c>
      <c r="AXC525" s="1334">
        <v>8298541</v>
      </c>
      <c r="AXD525" s="1334">
        <v>8298541</v>
      </c>
      <c r="AXE525" s="1334">
        <v>8298541</v>
      </c>
      <c r="AXF525" s="1334">
        <v>8298541</v>
      </c>
      <c r="AXG525" s="1334">
        <v>8298541</v>
      </c>
      <c r="AXH525" s="1334">
        <v>8298541</v>
      </c>
      <c r="AXI525" s="1334">
        <v>8298541</v>
      </c>
      <c r="AXJ525" s="1334">
        <v>8298541</v>
      </c>
      <c r="AXK525" s="1334">
        <v>8298541</v>
      </c>
      <c r="AXL525" s="1334">
        <v>8298541</v>
      </c>
      <c r="AXM525" s="1334">
        <v>8298541</v>
      </c>
      <c r="AXN525" s="1334">
        <v>8298541</v>
      </c>
      <c r="AXO525" s="1334">
        <v>8298541</v>
      </c>
      <c r="AXP525" s="1334">
        <v>8298541</v>
      </c>
      <c r="AXQ525" s="1334">
        <v>8298541</v>
      </c>
      <c r="AXR525" s="1334">
        <v>8298541</v>
      </c>
      <c r="AXS525" s="1334">
        <v>8298541</v>
      </c>
      <c r="AXT525" s="1334">
        <v>8298541</v>
      </c>
      <c r="AXU525" s="1334">
        <v>8298541</v>
      </c>
      <c r="AXV525" s="1334">
        <v>8298541</v>
      </c>
      <c r="AXW525" s="1334">
        <v>8298541</v>
      </c>
      <c r="AXX525" s="1334">
        <v>8298541</v>
      </c>
      <c r="AXY525" s="1334">
        <v>8298541</v>
      </c>
      <c r="AXZ525" s="1334">
        <v>8298541</v>
      </c>
      <c r="AYA525" s="1334">
        <v>8298541</v>
      </c>
      <c r="AYB525" s="1334">
        <v>8298541</v>
      </c>
      <c r="AYC525" s="1334">
        <v>8298541</v>
      </c>
      <c r="AYD525" s="1334">
        <v>8298541</v>
      </c>
      <c r="AYE525" s="1334">
        <v>8298541</v>
      </c>
      <c r="AYF525" s="1334">
        <v>8298541</v>
      </c>
      <c r="AYG525" s="1334">
        <v>8298541</v>
      </c>
      <c r="AYH525" s="1334">
        <v>8298541</v>
      </c>
      <c r="AYI525" s="1334">
        <v>8298541</v>
      </c>
      <c r="AYJ525" s="1334">
        <v>8298541</v>
      </c>
      <c r="AYK525" s="1334">
        <v>8298541</v>
      </c>
      <c r="AYL525" s="1334">
        <v>8298541</v>
      </c>
      <c r="AYM525" s="1334">
        <v>8298541</v>
      </c>
      <c r="AYN525" s="1334">
        <v>8298541</v>
      </c>
      <c r="AYO525" s="1334">
        <v>8298541</v>
      </c>
      <c r="AYP525" s="1334">
        <v>8298541</v>
      </c>
      <c r="AYQ525" s="1334">
        <v>8298541</v>
      </c>
      <c r="AYR525" s="1334">
        <v>8298541</v>
      </c>
      <c r="AYS525" s="1334">
        <v>8298541</v>
      </c>
      <c r="AYT525" s="1334">
        <v>8298541</v>
      </c>
      <c r="AYU525" s="1334">
        <v>8298541</v>
      </c>
      <c r="AYV525" s="1334">
        <v>8298541</v>
      </c>
      <c r="AYW525" s="1334">
        <v>8298541</v>
      </c>
      <c r="AYX525" s="1334">
        <v>8298541</v>
      </c>
      <c r="AYY525" s="1334">
        <v>8298541</v>
      </c>
      <c r="AYZ525" s="1334">
        <v>8298541</v>
      </c>
      <c r="AZA525" s="1334">
        <v>8298541</v>
      </c>
      <c r="AZB525" s="1334">
        <v>8298541</v>
      </c>
      <c r="AZC525" s="1334">
        <v>8298541</v>
      </c>
      <c r="AZD525" s="1334">
        <v>8298541</v>
      </c>
      <c r="AZE525" s="1334">
        <v>8298541</v>
      </c>
      <c r="AZF525" s="1334">
        <v>8298541</v>
      </c>
      <c r="AZG525" s="1334">
        <v>8298541</v>
      </c>
      <c r="AZH525" s="1334">
        <v>8298541</v>
      </c>
      <c r="AZI525" s="1334">
        <v>8298541</v>
      </c>
      <c r="AZJ525" s="1334">
        <v>8298541</v>
      </c>
      <c r="AZK525" s="1334">
        <v>8298541</v>
      </c>
      <c r="AZL525" s="1334">
        <v>8298541</v>
      </c>
      <c r="AZM525" s="1334">
        <v>8298541</v>
      </c>
      <c r="AZN525" s="1334">
        <v>8298541</v>
      </c>
      <c r="AZO525" s="1334">
        <v>8298541</v>
      </c>
      <c r="AZP525" s="1334">
        <v>8298541</v>
      </c>
      <c r="AZQ525" s="1334">
        <v>8298541</v>
      </c>
      <c r="AZR525" s="1334">
        <v>8298541</v>
      </c>
      <c r="AZS525" s="1334">
        <v>8298541</v>
      </c>
      <c r="AZT525" s="1334">
        <v>8298541</v>
      </c>
      <c r="AZU525" s="1334">
        <v>8298541</v>
      </c>
      <c r="AZV525" s="1334">
        <v>8298541</v>
      </c>
      <c r="AZW525" s="1334">
        <v>8298541</v>
      </c>
      <c r="AZX525" s="1334">
        <v>8298541</v>
      </c>
      <c r="AZY525" s="1334">
        <v>8298541</v>
      </c>
      <c r="AZZ525" s="1334">
        <v>8298541</v>
      </c>
      <c r="BAA525" s="1334">
        <v>8298541</v>
      </c>
      <c r="BAB525" s="1334">
        <v>8298541</v>
      </c>
      <c r="BAC525" s="1334">
        <v>8298541</v>
      </c>
      <c r="BAD525" s="1334">
        <v>8298541</v>
      </c>
      <c r="BAE525" s="1334">
        <v>8298541</v>
      </c>
      <c r="BAF525" s="1334">
        <v>8298541</v>
      </c>
      <c r="BAG525" s="1334">
        <v>8298541</v>
      </c>
      <c r="BAH525" s="1334">
        <v>8298541</v>
      </c>
      <c r="BAI525" s="1334">
        <v>8298541</v>
      </c>
      <c r="BAJ525" s="1334">
        <v>8298541</v>
      </c>
      <c r="BAK525" s="1334">
        <v>8298541</v>
      </c>
      <c r="BAL525" s="1334">
        <v>8298541</v>
      </c>
      <c r="BAM525" s="1334">
        <v>8298541</v>
      </c>
      <c r="BAN525" s="1334">
        <v>8298541</v>
      </c>
      <c r="BAO525" s="1334">
        <v>8298541</v>
      </c>
      <c r="BAP525" s="1334">
        <v>8298541</v>
      </c>
      <c r="BAQ525" s="1334">
        <v>8298541</v>
      </c>
      <c r="BAR525" s="1334">
        <v>8298541</v>
      </c>
      <c r="BAS525" s="1334">
        <v>8298541</v>
      </c>
      <c r="BAT525" s="1334">
        <v>8298541</v>
      </c>
      <c r="BAU525" s="1334">
        <v>8298541</v>
      </c>
      <c r="BAV525" s="1334">
        <v>8298541</v>
      </c>
      <c r="BAW525" s="1334">
        <v>8298541</v>
      </c>
      <c r="BAX525" s="1334">
        <v>8298541</v>
      </c>
      <c r="BAY525" s="1334">
        <v>8298541</v>
      </c>
      <c r="BAZ525" s="1334">
        <v>8298541</v>
      </c>
      <c r="BBA525" s="1334">
        <v>8298541</v>
      </c>
      <c r="BBB525" s="1334">
        <v>8298541</v>
      </c>
      <c r="BBC525" s="1334">
        <v>8298541</v>
      </c>
      <c r="BBD525" s="1334">
        <v>8298541</v>
      </c>
      <c r="BBE525" s="1334">
        <v>8298541</v>
      </c>
      <c r="BBF525" s="1334">
        <v>8298541</v>
      </c>
      <c r="BBG525" s="1334">
        <v>8298541</v>
      </c>
      <c r="BBH525" s="1334">
        <v>8298541</v>
      </c>
      <c r="BBI525" s="1334">
        <v>8298541</v>
      </c>
      <c r="BBJ525" s="1334">
        <v>8298541</v>
      </c>
      <c r="BBK525" s="1334">
        <v>8298541</v>
      </c>
      <c r="BBL525" s="1334">
        <v>8298541</v>
      </c>
      <c r="BBM525" s="1334">
        <v>8298541</v>
      </c>
      <c r="BBN525" s="1334">
        <v>8298541</v>
      </c>
      <c r="BBO525" s="1334">
        <v>8298541</v>
      </c>
      <c r="BBP525" s="1334">
        <v>8298541</v>
      </c>
      <c r="BBQ525" s="1334">
        <v>8298541</v>
      </c>
      <c r="BBR525" s="1334">
        <v>8298541</v>
      </c>
      <c r="BBS525" s="1334">
        <v>8298541</v>
      </c>
      <c r="BBT525" s="1334">
        <v>8298541</v>
      </c>
      <c r="BBU525" s="1334">
        <v>8298541</v>
      </c>
      <c r="BBV525" s="1334">
        <v>8298541</v>
      </c>
      <c r="BBW525" s="1334">
        <v>8298541</v>
      </c>
      <c r="BBX525" s="1334">
        <v>8298541</v>
      </c>
      <c r="BBY525" s="1334">
        <v>8298541</v>
      </c>
      <c r="BBZ525" s="1334">
        <v>8298541</v>
      </c>
      <c r="BCA525" s="1334">
        <v>8298541</v>
      </c>
      <c r="BCB525" s="1334">
        <v>8298541</v>
      </c>
      <c r="BCC525" s="1334">
        <v>8298541</v>
      </c>
      <c r="BCD525" s="1334">
        <v>8298541</v>
      </c>
      <c r="BCE525" s="1334">
        <v>8298541</v>
      </c>
      <c r="BCF525" s="1334">
        <v>8298541</v>
      </c>
      <c r="BCG525" s="1334">
        <v>8298541</v>
      </c>
      <c r="BCH525" s="1334">
        <v>8298541</v>
      </c>
      <c r="BCI525" s="1334">
        <v>8298541</v>
      </c>
      <c r="BCJ525" s="1334">
        <v>8298541</v>
      </c>
      <c r="BCK525" s="1334">
        <v>8298541</v>
      </c>
      <c r="BCL525" s="1334">
        <v>8298541</v>
      </c>
      <c r="BCM525" s="1334">
        <v>8298541</v>
      </c>
      <c r="BCN525" s="1334">
        <v>8298541</v>
      </c>
      <c r="BCO525" s="1334">
        <v>8298541</v>
      </c>
      <c r="BCP525" s="1334">
        <v>8298541</v>
      </c>
      <c r="BCQ525" s="1334">
        <v>8298541</v>
      </c>
      <c r="BCR525" s="1334">
        <v>8298541</v>
      </c>
      <c r="BCS525" s="1334">
        <v>8298541</v>
      </c>
      <c r="BCT525" s="1334">
        <v>8298541</v>
      </c>
      <c r="BCU525" s="1334">
        <v>8298541</v>
      </c>
      <c r="BCV525" s="1334">
        <v>8298541</v>
      </c>
      <c r="BCW525" s="1334">
        <v>8298541</v>
      </c>
      <c r="BCX525" s="1334">
        <v>8298541</v>
      </c>
      <c r="BCY525" s="1334">
        <v>8298541</v>
      </c>
      <c r="BCZ525" s="1334">
        <v>8298541</v>
      </c>
      <c r="BDA525" s="1334">
        <v>8298541</v>
      </c>
      <c r="BDB525" s="1334">
        <v>8298541</v>
      </c>
      <c r="BDC525" s="1334">
        <v>8298541</v>
      </c>
      <c r="BDD525" s="1334">
        <v>8298541</v>
      </c>
      <c r="BDE525" s="1334">
        <v>8298541</v>
      </c>
      <c r="BDF525" s="1334">
        <v>8298541</v>
      </c>
      <c r="BDG525" s="1334">
        <v>8298541</v>
      </c>
      <c r="BDH525" s="1334">
        <v>8298541</v>
      </c>
      <c r="BDI525" s="1334">
        <v>8298541</v>
      </c>
      <c r="BDJ525" s="1334">
        <v>8298541</v>
      </c>
      <c r="BDK525" s="1334">
        <v>8298541</v>
      </c>
      <c r="BDL525" s="1334">
        <v>8298541</v>
      </c>
      <c r="BDM525" s="1334">
        <v>8298541</v>
      </c>
      <c r="BDN525" s="1334">
        <v>8298541</v>
      </c>
      <c r="BDO525" s="1334">
        <v>8298541</v>
      </c>
      <c r="BDP525" s="1334">
        <v>8298541</v>
      </c>
      <c r="BDQ525" s="1334">
        <v>8298541</v>
      </c>
      <c r="BDR525" s="1334">
        <v>8298541</v>
      </c>
      <c r="BDS525" s="1334">
        <v>8298541</v>
      </c>
      <c r="BDT525" s="1334">
        <v>8298541</v>
      </c>
      <c r="BDU525" s="1334">
        <v>8298541</v>
      </c>
      <c r="BDV525" s="1334">
        <v>8298541</v>
      </c>
      <c r="BDW525" s="1334">
        <v>8298541</v>
      </c>
      <c r="BDX525" s="1334">
        <v>8298541</v>
      </c>
      <c r="BDY525" s="1334">
        <v>8298541</v>
      </c>
      <c r="BDZ525" s="1334">
        <v>8298541</v>
      </c>
      <c r="BEA525" s="1334">
        <v>8298541</v>
      </c>
      <c r="BEB525" s="1334">
        <v>8298541</v>
      </c>
      <c r="BEC525" s="1334">
        <v>8298541</v>
      </c>
      <c r="BED525" s="1334">
        <v>8298541</v>
      </c>
      <c r="BEE525" s="1334">
        <v>8298541</v>
      </c>
      <c r="BEF525" s="1334">
        <v>8298541</v>
      </c>
      <c r="BEG525" s="1334">
        <v>8298541</v>
      </c>
      <c r="BEH525" s="1334">
        <v>8298541</v>
      </c>
      <c r="BEI525" s="1334">
        <v>8298541</v>
      </c>
      <c r="BEJ525" s="1334">
        <v>8298541</v>
      </c>
      <c r="BEK525" s="1334">
        <v>8298541</v>
      </c>
      <c r="BEL525" s="1334">
        <v>8298541</v>
      </c>
      <c r="BEM525" s="1334">
        <v>8298541</v>
      </c>
      <c r="BEN525" s="1334">
        <v>8298541</v>
      </c>
      <c r="BEO525" s="1334">
        <v>8298541</v>
      </c>
      <c r="BEP525" s="1334">
        <v>8298541</v>
      </c>
      <c r="BEQ525" s="1334">
        <v>8298541</v>
      </c>
      <c r="BER525" s="1334">
        <v>8298541</v>
      </c>
      <c r="BES525" s="1334">
        <v>8298541</v>
      </c>
      <c r="BET525" s="1334">
        <v>8298541</v>
      </c>
      <c r="BEU525" s="1334">
        <v>8298541</v>
      </c>
      <c r="BEV525" s="1334">
        <v>8298541</v>
      </c>
      <c r="BEW525" s="1334">
        <v>8298541</v>
      </c>
      <c r="BEX525" s="1334">
        <v>8298541</v>
      </c>
      <c r="BEY525" s="1334">
        <v>8298541</v>
      </c>
      <c r="BEZ525" s="1334">
        <v>8298541</v>
      </c>
      <c r="BFA525" s="1334">
        <v>8298541</v>
      </c>
      <c r="BFB525" s="1334">
        <v>8298541</v>
      </c>
      <c r="BFC525" s="1334">
        <v>8298541</v>
      </c>
      <c r="BFD525" s="1334">
        <v>8298541</v>
      </c>
      <c r="BFE525" s="1334">
        <v>8298541</v>
      </c>
      <c r="BFF525" s="1334">
        <v>8298541</v>
      </c>
      <c r="BFG525" s="1334">
        <v>8298541</v>
      </c>
      <c r="BFH525" s="1334">
        <v>8298541</v>
      </c>
      <c r="BFI525" s="1334">
        <v>8298541</v>
      </c>
      <c r="BFJ525" s="1334">
        <v>8298541</v>
      </c>
      <c r="BFK525" s="1334">
        <v>8298541</v>
      </c>
      <c r="BFL525" s="1334">
        <v>8298541</v>
      </c>
      <c r="BFM525" s="1334">
        <v>8298541</v>
      </c>
      <c r="BFN525" s="1334">
        <v>8298541</v>
      </c>
      <c r="BFO525" s="1334">
        <v>8298541</v>
      </c>
      <c r="BFP525" s="1334">
        <v>8298541</v>
      </c>
      <c r="BFQ525" s="1334">
        <v>8298541</v>
      </c>
      <c r="BFR525" s="1334">
        <v>8298541</v>
      </c>
      <c r="BFS525" s="1334">
        <v>8298541</v>
      </c>
      <c r="BFT525" s="1334">
        <v>8298541</v>
      </c>
      <c r="BFU525" s="1334">
        <v>8298541</v>
      </c>
      <c r="BFV525" s="1334">
        <v>8298541</v>
      </c>
      <c r="BFW525" s="1334">
        <v>8298541</v>
      </c>
      <c r="BFX525" s="1334">
        <v>8298541</v>
      </c>
      <c r="BFY525" s="1334">
        <v>8298541</v>
      </c>
      <c r="BFZ525" s="1334">
        <v>8298541</v>
      </c>
      <c r="BGA525" s="1334">
        <v>8298541</v>
      </c>
      <c r="BGB525" s="1334">
        <v>8298541</v>
      </c>
      <c r="BGC525" s="1334">
        <v>8298541</v>
      </c>
      <c r="BGD525" s="1334">
        <v>8298541</v>
      </c>
      <c r="BGE525" s="1334">
        <v>8298541</v>
      </c>
      <c r="BGF525" s="1334">
        <v>8298541</v>
      </c>
      <c r="BGG525" s="1334">
        <v>8298541</v>
      </c>
      <c r="BGH525" s="1334">
        <v>8298541</v>
      </c>
      <c r="BGI525" s="1334">
        <v>8298541</v>
      </c>
      <c r="BGJ525" s="1334">
        <v>8298541</v>
      </c>
      <c r="BGK525" s="1334">
        <v>8298541</v>
      </c>
      <c r="BGL525" s="1334">
        <v>8298541</v>
      </c>
      <c r="BGM525" s="1334">
        <v>8298541</v>
      </c>
      <c r="BGN525" s="1334">
        <v>8298541</v>
      </c>
      <c r="BGO525" s="1334">
        <v>8298541</v>
      </c>
      <c r="BGP525" s="1334">
        <v>8298541</v>
      </c>
      <c r="BGQ525" s="1334">
        <v>8298541</v>
      </c>
      <c r="BGR525" s="1334">
        <v>8298541</v>
      </c>
      <c r="BGS525" s="1334">
        <v>8298541</v>
      </c>
      <c r="BGT525" s="1334">
        <v>8298541</v>
      </c>
      <c r="BGU525" s="1334">
        <v>8298541</v>
      </c>
      <c r="BGV525" s="1334">
        <v>8298541</v>
      </c>
      <c r="BGW525" s="1334">
        <v>8298541</v>
      </c>
      <c r="BGX525" s="1334">
        <v>8298541</v>
      </c>
      <c r="BGY525" s="1334">
        <v>8298541</v>
      </c>
      <c r="BGZ525" s="1334">
        <v>8298541</v>
      </c>
      <c r="BHA525" s="1334">
        <v>8298541</v>
      </c>
      <c r="BHB525" s="1334">
        <v>8298541</v>
      </c>
      <c r="BHC525" s="1334">
        <v>8298541</v>
      </c>
      <c r="BHD525" s="1334">
        <v>8298541</v>
      </c>
      <c r="BHE525" s="1334">
        <v>8298541</v>
      </c>
      <c r="BHF525" s="1334">
        <v>8298541</v>
      </c>
      <c r="BHG525" s="1334">
        <v>8298541</v>
      </c>
      <c r="BHH525" s="1334">
        <v>8298541</v>
      </c>
      <c r="BHI525" s="1334">
        <v>8298541</v>
      </c>
      <c r="BHJ525" s="1334">
        <v>8298541</v>
      </c>
      <c r="BHK525" s="1334">
        <v>8298541</v>
      </c>
      <c r="BHL525" s="1334">
        <v>8298541</v>
      </c>
      <c r="BHM525" s="1334">
        <v>8298541</v>
      </c>
      <c r="BHN525" s="1334">
        <v>8298541</v>
      </c>
      <c r="BHO525" s="1334">
        <v>8298541</v>
      </c>
      <c r="BHP525" s="1334">
        <v>8298541</v>
      </c>
      <c r="BHQ525" s="1334">
        <v>8298541</v>
      </c>
      <c r="BHR525" s="1334">
        <v>8298541</v>
      </c>
      <c r="BHS525" s="1334">
        <v>8298541</v>
      </c>
      <c r="BHT525" s="1334">
        <v>8298541</v>
      </c>
      <c r="BHU525" s="1334">
        <v>8298541</v>
      </c>
      <c r="BHV525" s="1334">
        <v>8298541</v>
      </c>
      <c r="BHW525" s="1334">
        <v>8298541</v>
      </c>
      <c r="BHX525" s="1334">
        <v>8298541</v>
      </c>
      <c r="BHY525" s="1334">
        <v>8298541</v>
      </c>
      <c r="BHZ525" s="1334">
        <v>8298541</v>
      </c>
      <c r="BIA525" s="1334">
        <v>8298541</v>
      </c>
      <c r="BIB525" s="1334">
        <v>8298541</v>
      </c>
      <c r="BIC525" s="1334">
        <v>8298541</v>
      </c>
      <c r="BID525" s="1334">
        <v>8298541</v>
      </c>
      <c r="BIE525" s="1334">
        <v>8298541</v>
      </c>
      <c r="BIF525" s="1334">
        <v>8298541</v>
      </c>
      <c r="BIG525" s="1334">
        <v>8298541</v>
      </c>
      <c r="BIH525" s="1334">
        <v>8298541</v>
      </c>
      <c r="BII525" s="1334">
        <v>8298541</v>
      </c>
      <c r="BIJ525" s="1334">
        <v>8298541</v>
      </c>
      <c r="BIK525" s="1334">
        <v>8298541</v>
      </c>
      <c r="BIL525" s="1334">
        <v>8298541</v>
      </c>
      <c r="BIM525" s="1334">
        <v>8298541</v>
      </c>
      <c r="BIN525" s="1334">
        <v>8298541</v>
      </c>
      <c r="BIO525" s="1334">
        <v>8298541</v>
      </c>
      <c r="BIP525" s="1334">
        <v>8298541</v>
      </c>
      <c r="BIQ525" s="1334">
        <v>8298541</v>
      </c>
      <c r="BIR525" s="1334">
        <v>8298541</v>
      </c>
      <c r="BIS525" s="1334">
        <v>8298541</v>
      </c>
      <c r="BIT525" s="1334">
        <v>8298541</v>
      </c>
      <c r="BIU525" s="1334">
        <v>8298541</v>
      </c>
      <c r="BIV525" s="1334">
        <v>8298541</v>
      </c>
      <c r="BIW525" s="1334">
        <v>8298541</v>
      </c>
      <c r="BIX525" s="1334">
        <v>8298541</v>
      </c>
      <c r="BIY525" s="1334">
        <v>8298541</v>
      </c>
      <c r="BIZ525" s="1334">
        <v>8298541</v>
      </c>
      <c r="BJA525" s="1334">
        <v>8298541</v>
      </c>
      <c r="BJB525" s="1334">
        <v>8298541</v>
      </c>
      <c r="BJC525" s="1334">
        <v>8298541</v>
      </c>
      <c r="BJD525" s="1334">
        <v>8298541</v>
      </c>
      <c r="BJE525" s="1334">
        <v>8298541</v>
      </c>
      <c r="BJF525" s="1334">
        <v>8298541</v>
      </c>
      <c r="BJG525" s="1334">
        <v>8298541</v>
      </c>
      <c r="BJH525" s="1334">
        <v>8298541</v>
      </c>
      <c r="BJI525" s="1334">
        <v>8298541</v>
      </c>
      <c r="BJJ525" s="1334">
        <v>8298541</v>
      </c>
      <c r="BJK525" s="1334">
        <v>8298541</v>
      </c>
      <c r="BJL525" s="1334">
        <v>8298541</v>
      </c>
      <c r="BJM525" s="1334">
        <v>8298541</v>
      </c>
      <c r="BJN525" s="1334">
        <v>8298541</v>
      </c>
      <c r="BJO525" s="1334">
        <v>8298541</v>
      </c>
      <c r="BJP525" s="1334">
        <v>8298541</v>
      </c>
      <c r="BJQ525" s="1334">
        <v>8298541</v>
      </c>
      <c r="BJR525" s="1334">
        <v>8298541</v>
      </c>
      <c r="BJS525" s="1334">
        <v>8298541</v>
      </c>
      <c r="BJT525" s="1334">
        <v>8298541</v>
      </c>
      <c r="BJU525" s="1334">
        <v>8298541</v>
      </c>
      <c r="BJV525" s="1334">
        <v>8298541</v>
      </c>
      <c r="BJW525" s="1334">
        <v>8298541</v>
      </c>
      <c r="BJX525" s="1334">
        <v>8298541</v>
      </c>
      <c r="BJY525" s="1334">
        <v>8298541</v>
      </c>
      <c r="BJZ525" s="1334">
        <v>8298541</v>
      </c>
      <c r="BKA525" s="1334">
        <v>8298541</v>
      </c>
      <c r="BKB525" s="1334">
        <v>8298541</v>
      </c>
      <c r="BKC525" s="1334">
        <v>8298541</v>
      </c>
      <c r="BKD525" s="1334">
        <v>8298541</v>
      </c>
      <c r="BKE525" s="1334">
        <v>8298541</v>
      </c>
      <c r="BKF525" s="1334">
        <v>8298541</v>
      </c>
      <c r="BKG525" s="1334">
        <v>8298541</v>
      </c>
      <c r="BKH525" s="1334">
        <v>8298541</v>
      </c>
      <c r="BKI525" s="1334">
        <v>8298541</v>
      </c>
      <c r="BKJ525" s="1334">
        <v>8298541</v>
      </c>
      <c r="BKK525" s="1334">
        <v>8298541</v>
      </c>
      <c r="BKL525" s="1334">
        <v>8298541</v>
      </c>
      <c r="BKM525" s="1334">
        <v>8298541</v>
      </c>
      <c r="BKN525" s="1334">
        <v>8298541</v>
      </c>
      <c r="BKO525" s="1334">
        <v>8298541</v>
      </c>
      <c r="BKP525" s="1334">
        <v>8298541</v>
      </c>
      <c r="BKQ525" s="1334">
        <v>8298541</v>
      </c>
      <c r="BKR525" s="1334">
        <v>8298541</v>
      </c>
      <c r="BKS525" s="1334">
        <v>8298541</v>
      </c>
      <c r="BKT525" s="1334">
        <v>8298541</v>
      </c>
      <c r="BKU525" s="1334">
        <v>8298541</v>
      </c>
      <c r="BKV525" s="1334">
        <v>8298541</v>
      </c>
      <c r="BKW525" s="1334">
        <v>8298541</v>
      </c>
      <c r="BKX525" s="1334">
        <v>8298541</v>
      </c>
      <c r="BKY525" s="1334">
        <v>8298541</v>
      </c>
      <c r="BKZ525" s="1334">
        <v>8298541</v>
      </c>
      <c r="BLA525" s="1334">
        <v>8298541</v>
      </c>
      <c r="BLB525" s="1334">
        <v>8298541</v>
      </c>
      <c r="BLC525" s="1334">
        <v>8298541</v>
      </c>
      <c r="BLD525" s="1334">
        <v>8298541</v>
      </c>
      <c r="BLE525" s="1334">
        <v>8298541</v>
      </c>
      <c r="BLF525" s="1334">
        <v>8298541</v>
      </c>
      <c r="BLG525" s="1334">
        <v>8298541</v>
      </c>
      <c r="BLH525" s="1334">
        <v>8298541</v>
      </c>
      <c r="BLI525" s="1334">
        <v>8298541</v>
      </c>
      <c r="BLJ525" s="1334">
        <v>8298541</v>
      </c>
      <c r="BLK525" s="1334">
        <v>8298541</v>
      </c>
      <c r="BLL525" s="1334">
        <v>8298541</v>
      </c>
      <c r="BLM525" s="1334">
        <v>8298541</v>
      </c>
      <c r="BLN525" s="1334">
        <v>8298541</v>
      </c>
      <c r="BLO525" s="1334">
        <v>8298541</v>
      </c>
      <c r="BLP525" s="1334">
        <v>8298541</v>
      </c>
      <c r="BLQ525" s="1334">
        <v>8298541</v>
      </c>
      <c r="BLR525" s="1334">
        <v>8298541</v>
      </c>
      <c r="BLS525" s="1334">
        <v>8298541</v>
      </c>
      <c r="BLT525" s="1334">
        <v>8298541</v>
      </c>
      <c r="BLU525" s="1334">
        <v>8298541</v>
      </c>
      <c r="BLV525" s="1334">
        <v>8298541</v>
      </c>
      <c r="BLW525" s="1334">
        <v>8298541</v>
      </c>
      <c r="BLX525" s="1334">
        <v>8298541</v>
      </c>
      <c r="BLY525" s="1334">
        <v>8298541</v>
      </c>
      <c r="BLZ525" s="1334">
        <v>8298541</v>
      </c>
      <c r="BMA525" s="1334">
        <v>8298541</v>
      </c>
      <c r="BMB525" s="1334">
        <v>8298541</v>
      </c>
      <c r="BMC525" s="1334">
        <v>8298541</v>
      </c>
      <c r="BMD525" s="1334">
        <v>8298541</v>
      </c>
      <c r="BME525" s="1334">
        <v>8298541</v>
      </c>
      <c r="BMF525" s="1334">
        <v>8298541</v>
      </c>
      <c r="BMG525" s="1334">
        <v>8298541</v>
      </c>
      <c r="BMH525" s="1334">
        <v>8298541</v>
      </c>
      <c r="BMI525" s="1334">
        <v>8298541</v>
      </c>
      <c r="BMJ525" s="1334">
        <v>8298541</v>
      </c>
      <c r="BMK525" s="1334">
        <v>8298541</v>
      </c>
      <c r="BML525" s="1334">
        <v>8298541</v>
      </c>
      <c r="BMM525" s="1334">
        <v>8298541</v>
      </c>
      <c r="BMN525" s="1334">
        <v>8298541</v>
      </c>
      <c r="BMO525" s="1334">
        <v>8298541</v>
      </c>
      <c r="BMP525" s="1334">
        <v>8298541</v>
      </c>
      <c r="BMQ525" s="1334">
        <v>8298541</v>
      </c>
      <c r="BMR525" s="1334">
        <v>8298541</v>
      </c>
      <c r="BMS525" s="1334">
        <v>8298541</v>
      </c>
      <c r="BMT525" s="1334">
        <v>8298541</v>
      </c>
      <c r="BMU525" s="1334">
        <v>8298541</v>
      </c>
      <c r="BMV525" s="1334">
        <v>8298541</v>
      </c>
      <c r="BMW525" s="1334">
        <v>8298541</v>
      </c>
      <c r="BMX525" s="1334">
        <v>8298541</v>
      </c>
      <c r="BMY525" s="1334">
        <v>8298541</v>
      </c>
      <c r="BMZ525" s="1334">
        <v>8298541</v>
      </c>
      <c r="BNA525" s="1334">
        <v>8298541</v>
      </c>
      <c r="BNB525" s="1334">
        <v>8298541</v>
      </c>
      <c r="BNC525" s="1334">
        <v>8298541</v>
      </c>
      <c r="BND525" s="1334">
        <v>8298541</v>
      </c>
      <c r="BNE525" s="1334">
        <v>8298541</v>
      </c>
      <c r="BNF525" s="1334">
        <v>8298541</v>
      </c>
      <c r="BNG525" s="1334">
        <v>8298541</v>
      </c>
      <c r="BNH525" s="1334">
        <v>8298541</v>
      </c>
      <c r="BNI525" s="1334">
        <v>8298541</v>
      </c>
      <c r="BNJ525" s="1334">
        <v>8298541</v>
      </c>
      <c r="BNK525" s="1334">
        <v>8298541</v>
      </c>
      <c r="BNL525" s="1334">
        <v>8298541</v>
      </c>
      <c r="BNM525" s="1334">
        <v>8298541</v>
      </c>
      <c r="BNN525" s="1334">
        <v>8298541</v>
      </c>
      <c r="BNO525" s="1334">
        <v>8298541</v>
      </c>
      <c r="BNP525" s="1334">
        <v>8298541</v>
      </c>
      <c r="BNQ525" s="1334">
        <v>8298541</v>
      </c>
      <c r="BNR525" s="1334">
        <v>8298541</v>
      </c>
      <c r="BNS525" s="1334">
        <v>8298541</v>
      </c>
      <c r="BNT525" s="1334">
        <v>8298541</v>
      </c>
      <c r="BNU525" s="1334">
        <v>8298541</v>
      </c>
      <c r="BNV525" s="1334">
        <v>8298541</v>
      </c>
      <c r="BNW525" s="1334">
        <v>8298541</v>
      </c>
      <c r="BNX525" s="1334">
        <v>8298541</v>
      </c>
      <c r="BNY525" s="1334">
        <v>8298541</v>
      </c>
      <c r="BNZ525" s="1334">
        <v>8298541</v>
      </c>
      <c r="BOA525" s="1334">
        <v>8298541</v>
      </c>
      <c r="BOB525" s="1334">
        <v>8298541</v>
      </c>
      <c r="BOC525" s="1334">
        <v>8298541</v>
      </c>
      <c r="BOD525" s="1334">
        <v>8298541</v>
      </c>
      <c r="BOE525" s="1334">
        <v>8298541</v>
      </c>
      <c r="BOF525" s="1334">
        <v>8298541</v>
      </c>
      <c r="BOG525" s="1334">
        <v>8298541</v>
      </c>
      <c r="BOH525" s="1334">
        <v>8298541</v>
      </c>
      <c r="BOI525" s="1334">
        <v>8298541</v>
      </c>
      <c r="BOJ525" s="1334">
        <v>8298541</v>
      </c>
      <c r="BOK525" s="1334">
        <v>8298541</v>
      </c>
      <c r="BOL525" s="1334">
        <v>8298541</v>
      </c>
      <c r="BOM525" s="1334">
        <v>8298541</v>
      </c>
      <c r="BON525" s="1334">
        <v>8298541</v>
      </c>
      <c r="BOO525" s="1334">
        <v>8298541</v>
      </c>
      <c r="BOP525" s="1334">
        <v>8298541</v>
      </c>
      <c r="BOQ525" s="1334">
        <v>8298541</v>
      </c>
      <c r="BOR525" s="1334">
        <v>8298541</v>
      </c>
      <c r="BOS525" s="1334">
        <v>8298541</v>
      </c>
      <c r="BOT525" s="1334">
        <v>8298541</v>
      </c>
      <c r="BOU525" s="1334">
        <v>8298541</v>
      </c>
      <c r="BOV525" s="1334">
        <v>8298541</v>
      </c>
      <c r="BOW525" s="1334">
        <v>8298541</v>
      </c>
      <c r="BOX525" s="1334">
        <v>8298541</v>
      </c>
      <c r="BOY525" s="1334">
        <v>8298541</v>
      </c>
      <c r="BOZ525" s="1334">
        <v>8298541</v>
      </c>
      <c r="BPA525" s="1334">
        <v>8298541</v>
      </c>
      <c r="BPB525" s="1334">
        <v>8298541</v>
      </c>
      <c r="BPC525" s="1334">
        <v>8298541</v>
      </c>
      <c r="BPD525" s="1334">
        <v>8298541</v>
      </c>
      <c r="BPE525" s="1334">
        <v>8298541</v>
      </c>
      <c r="BPF525" s="1334">
        <v>8298541</v>
      </c>
      <c r="BPG525" s="1334">
        <v>8298541</v>
      </c>
      <c r="BPH525" s="1334">
        <v>8298541</v>
      </c>
      <c r="BPI525" s="1334">
        <v>8298541</v>
      </c>
      <c r="BPJ525" s="1334">
        <v>8298541</v>
      </c>
      <c r="BPK525" s="1334">
        <v>8298541</v>
      </c>
      <c r="BPL525" s="1334">
        <v>8298541</v>
      </c>
      <c r="BPM525" s="1334">
        <v>8298541</v>
      </c>
      <c r="BPN525" s="1334">
        <v>8298541</v>
      </c>
      <c r="BPO525" s="1334">
        <v>8298541</v>
      </c>
      <c r="BPP525" s="1334">
        <v>8298541</v>
      </c>
      <c r="BPQ525" s="1334">
        <v>8298541</v>
      </c>
      <c r="BPR525" s="1334">
        <v>8298541</v>
      </c>
      <c r="BPS525" s="1334">
        <v>8298541</v>
      </c>
      <c r="BPT525" s="1334">
        <v>8298541</v>
      </c>
      <c r="BPU525" s="1334">
        <v>8298541</v>
      </c>
      <c r="BPV525" s="1334">
        <v>8298541</v>
      </c>
      <c r="BPW525" s="1334">
        <v>8298541</v>
      </c>
      <c r="BPX525" s="1334">
        <v>8298541</v>
      </c>
      <c r="BPY525" s="1334">
        <v>8298541</v>
      </c>
      <c r="BPZ525" s="1334">
        <v>8298541</v>
      </c>
      <c r="BQA525" s="1334">
        <v>8298541</v>
      </c>
      <c r="BQB525" s="1334">
        <v>8298541</v>
      </c>
      <c r="BQC525" s="1334">
        <v>8298541</v>
      </c>
      <c r="BQD525" s="1334">
        <v>8298541</v>
      </c>
      <c r="BQE525" s="1334">
        <v>8298541</v>
      </c>
      <c r="BQF525" s="1334">
        <v>8298541</v>
      </c>
      <c r="BQG525" s="1334">
        <v>8298541</v>
      </c>
      <c r="BQH525" s="1334">
        <v>8298541</v>
      </c>
      <c r="BQI525" s="1334">
        <v>8298541</v>
      </c>
      <c r="BQJ525" s="1334">
        <v>8298541</v>
      </c>
      <c r="BQK525" s="1334">
        <v>8298541</v>
      </c>
      <c r="BQL525" s="1334">
        <v>8298541</v>
      </c>
      <c r="BQM525" s="1334">
        <v>8298541</v>
      </c>
      <c r="BQN525" s="1334">
        <v>8298541</v>
      </c>
      <c r="BQO525" s="1334">
        <v>8298541</v>
      </c>
      <c r="BQP525" s="1334">
        <v>8298541</v>
      </c>
      <c r="BQQ525" s="1334">
        <v>8298541</v>
      </c>
      <c r="BQR525" s="1334">
        <v>8298541</v>
      </c>
      <c r="BQS525" s="1334">
        <v>8298541</v>
      </c>
      <c r="BQT525" s="1334">
        <v>8298541</v>
      </c>
      <c r="BQU525" s="1334">
        <v>8298541</v>
      </c>
      <c r="BQV525" s="1334">
        <v>8298541</v>
      </c>
      <c r="BQW525" s="1334">
        <v>8298541</v>
      </c>
      <c r="BQX525" s="1334">
        <v>8298541</v>
      </c>
      <c r="BQY525" s="1334">
        <v>8298541</v>
      </c>
      <c r="BQZ525" s="1334">
        <v>8298541</v>
      </c>
      <c r="BRA525" s="1334">
        <v>8298541</v>
      </c>
      <c r="BRB525" s="1334">
        <v>8298541</v>
      </c>
      <c r="BRC525" s="1334">
        <v>8298541</v>
      </c>
      <c r="BRD525" s="1334">
        <v>8298541</v>
      </c>
      <c r="BRE525" s="1334">
        <v>8298541</v>
      </c>
      <c r="BRF525" s="1334">
        <v>8298541</v>
      </c>
      <c r="BRG525" s="1334">
        <v>8298541</v>
      </c>
      <c r="BRH525" s="1334">
        <v>8298541</v>
      </c>
      <c r="BRI525" s="1334">
        <v>8298541</v>
      </c>
      <c r="BRJ525" s="1334">
        <v>8298541</v>
      </c>
      <c r="BRK525" s="1334">
        <v>8298541</v>
      </c>
      <c r="BRL525" s="1334">
        <v>8298541</v>
      </c>
      <c r="BRM525" s="1334">
        <v>8298541</v>
      </c>
      <c r="BRN525" s="1334">
        <v>8298541</v>
      </c>
      <c r="BRO525" s="1334">
        <v>8298541</v>
      </c>
      <c r="BRP525" s="1334">
        <v>8298541</v>
      </c>
      <c r="BRQ525" s="1334">
        <v>8298541</v>
      </c>
      <c r="BRR525" s="1334">
        <v>8298541</v>
      </c>
      <c r="BRS525" s="1334">
        <v>8298541</v>
      </c>
      <c r="BRT525" s="1334">
        <v>8298541</v>
      </c>
      <c r="BRU525" s="1334">
        <v>8298541</v>
      </c>
      <c r="BRV525" s="1334">
        <v>8298541</v>
      </c>
      <c r="BRW525" s="1334">
        <v>8298541</v>
      </c>
      <c r="BRX525" s="1334">
        <v>8298541</v>
      </c>
      <c r="BRY525" s="1334">
        <v>8298541</v>
      </c>
      <c r="BRZ525" s="1334">
        <v>8298541</v>
      </c>
      <c r="BSA525" s="1334">
        <v>8298541</v>
      </c>
      <c r="BSB525" s="1334">
        <v>8298541</v>
      </c>
      <c r="BSC525" s="1334">
        <v>8298541</v>
      </c>
      <c r="BSD525" s="1334">
        <v>8298541</v>
      </c>
      <c r="BSE525" s="1334">
        <v>8298541</v>
      </c>
      <c r="BSF525" s="1334">
        <v>8298541</v>
      </c>
      <c r="BSG525" s="1334">
        <v>8298541</v>
      </c>
      <c r="BSH525" s="1334">
        <v>8298541</v>
      </c>
      <c r="BSI525" s="1334">
        <v>8298541</v>
      </c>
      <c r="BSJ525" s="1334">
        <v>8298541</v>
      </c>
      <c r="BSK525" s="1334">
        <v>8298541</v>
      </c>
      <c r="BSL525" s="1334">
        <v>8298541</v>
      </c>
      <c r="BSM525" s="1334">
        <v>8298541</v>
      </c>
      <c r="BSN525" s="1334">
        <v>8298541</v>
      </c>
      <c r="BSO525" s="1334">
        <v>8298541</v>
      </c>
      <c r="BSP525" s="1334">
        <v>8298541</v>
      </c>
      <c r="BSQ525" s="1334">
        <v>8298541</v>
      </c>
      <c r="BSR525" s="1334">
        <v>8298541</v>
      </c>
      <c r="BSS525" s="1334">
        <v>8298541</v>
      </c>
      <c r="BST525" s="1334">
        <v>8298541</v>
      </c>
      <c r="BSU525" s="1334">
        <v>8298541</v>
      </c>
      <c r="BSV525" s="1334">
        <v>8298541</v>
      </c>
      <c r="BSW525" s="1334">
        <v>8298541</v>
      </c>
      <c r="BSX525" s="1334">
        <v>8298541</v>
      </c>
      <c r="BSY525" s="1334">
        <v>8298541</v>
      </c>
      <c r="BSZ525" s="1334">
        <v>8298541</v>
      </c>
      <c r="BTA525" s="1334">
        <v>8298541</v>
      </c>
      <c r="BTB525" s="1334">
        <v>8298541</v>
      </c>
      <c r="BTC525" s="1334">
        <v>8298541</v>
      </c>
      <c r="BTD525" s="1334">
        <v>8298541</v>
      </c>
      <c r="BTE525" s="1334">
        <v>8298541</v>
      </c>
      <c r="BTF525" s="1334">
        <v>8298541</v>
      </c>
      <c r="BTG525" s="1334">
        <v>8298541</v>
      </c>
      <c r="BTH525" s="1334">
        <v>8298541</v>
      </c>
      <c r="BTI525" s="1334">
        <v>8298541</v>
      </c>
      <c r="BTJ525" s="1334">
        <v>8298541</v>
      </c>
      <c r="BTK525" s="1334">
        <v>8298541</v>
      </c>
      <c r="BTL525" s="1334">
        <v>8298541</v>
      </c>
      <c r="BTM525" s="1334">
        <v>8298541</v>
      </c>
      <c r="BTN525" s="1334">
        <v>8298541</v>
      </c>
      <c r="BTO525" s="1334">
        <v>8298541</v>
      </c>
      <c r="BTP525" s="1334">
        <v>8298541</v>
      </c>
      <c r="BTQ525" s="1334">
        <v>8298541</v>
      </c>
      <c r="BTR525" s="1334">
        <v>8298541</v>
      </c>
      <c r="BTS525" s="1334">
        <v>8298541</v>
      </c>
      <c r="BTT525" s="1334">
        <v>8298541</v>
      </c>
      <c r="BTU525" s="1334">
        <v>8298541</v>
      </c>
      <c r="BTV525" s="1334">
        <v>8298541</v>
      </c>
      <c r="BTW525" s="1334">
        <v>8298541</v>
      </c>
      <c r="BTX525" s="1334">
        <v>8298541</v>
      </c>
      <c r="BTY525" s="1334">
        <v>8298541</v>
      </c>
      <c r="BTZ525" s="1334">
        <v>8298541</v>
      </c>
      <c r="BUA525" s="1334">
        <v>8298541</v>
      </c>
      <c r="BUB525" s="1334">
        <v>8298541</v>
      </c>
      <c r="BUC525" s="1334">
        <v>8298541</v>
      </c>
      <c r="BUD525" s="1334">
        <v>8298541</v>
      </c>
      <c r="BUE525" s="1334">
        <v>8298541</v>
      </c>
      <c r="BUF525" s="1334">
        <v>8298541</v>
      </c>
      <c r="BUG525" s="1334">
        <v>8298541</v>
      </c>
      <c r="BUH525" s="1334">
        <v>8298541</v>
      </c>
      <c r="BUI525" s="1334">
        <v>8298541</v>
      </c>
      <c r="BUJ525" s="1334">
        <v>8298541</v>
      </c>
      <c r="BUK525" s="1334">
        <v>8298541</v>
      </c>
      <c r="BUL525" s="1334">
        <v>8298541</v>
      </c>
      <c r="BUM525" s="1334">
        <v>8298541</v>
      </c>
      <c r="BUN525" s="1334">
        <v>8298541</v>
      </c>
      <c r="BUO525" s="1334">
        <v>8298541</v>
      </c>
      <c r="BUP525" s="1334">
        <v>8298541</v>
      </c>
      <c r="BUQ525" s="1334">
        <v>8298541</v>
      </c>
      <c r="BUR525" s="1334">
        <v>8298541</v>
      </c>
      <c r="BUS525" s="1334">
        <v>8298541</v>
      </c>
      <c r="BUT525" s="1334">
        <v>8298541</v>
      </c>
      <c r="BUU525" s="1334">
        <v>8298541</v>
      </c>
      <c r="BUV525" s="1334">
        <v>8298541</v>
      </c>
      <c r="BUW525" s="1334">
        <v>8298541</v>
      </c>
      <c r="BUX525" s="1334">
        <v>8298541</v>
      </c>
      <c r="BUY525" s="1334">
        <v>8298541</v>
      </c>
      <c r="BUZ525" s="1334">
        <v>8298541</v>
      </c>
      <c r="BVA525" s="1334">
        <v>8298541</v>
      </c>
      <c r="BVB525" s="1334">
        <v>8298541</v>
      </c>
      <c r="BVC525" s="1334">
        <v>8298541</v>
      </c>
      <c r="BVD525" s="1334">
        <v>8298541</v>
      </c>
      <c r="BVE525" s="1334">
        <v>8298541</v>
      </c>
      <c r="BVF525" s="1334">
        <v>8298541</v>
      </c>
      <c r="BVG525" s="1334">
        <v>8298541</v>
      </c>
      <c r="BVH525" s="1334">
        <v>8298541</v>
      </c>
      <c r="BVI525" s="1334">
        <v>8298541</v>
      </c>
      <c r="BVJ525" s="1334">
        <v>8298541</v>
      </c>
      <c r="BVK525" s="1334">
        <v>8298541</v>
      </c>
      <c r="BVL525" s="1334">
        <v>8298541</v>
      </c>
      <c r="BVM525" s="1334">
        <v>8298541</v>
      </c>
      <c r="BVN525" s="1334">
        <v>8298541</v>
      </c>
      <c r="BVO525" s="1334">
        <v>8298541</v>
      </c>
      <c r="BVP525" s="1334">
        <v>8298541</v>
      </c>
      <c r="BVQ525" s="1334">
        <v>8298541</v>
      </c>
      <c r="BVR525" s="1334">
        <v>8298541</v>
      </c>
      <c r="BVS525" s="1334">
        <v>8298541</v>
      </c>
      <c r="BVT525" s="1334">
        <v>8298541</v>
      </c>
      <c r="BVU525" s="1334">
        <v>8298541</v>
      </c>
      <c r="BVV525" s="1334">
        <v>8298541</v>
      </c>
      <c r="BVW525" s="1334">
        <v>8298541</v>
      </c>
      <c r="BVX525" s="1334">
        <v>8298541</v>
      </c>
      <c r="BVY525" s="1334">
        <v>8298541</v>
      </c>
      <c r="BVZ525" s="1334">
        <v>8298541</v>
      </c>
      <c r="BWA525" s="1334">
        <v>8298541</v>
      </c>
      <c r="BWB525" s="1334">
        <v>8298541</v>
      </c>
      <c r="BWC525" s="1334">
        <v>8298541</v>
      </c>
      <c r="BWD525" s="1334">
        <v>8298541</v>
      </c>
      <c r="BWE525" s="1334">
        <v>8298541</v>
      </c>
      <c r="BWF525" s="1334">
        <v>8298541</v>
      </c>
      <c r="BWG525" s="1334">
        <v>8298541</v>
      </c>
      <c r="BWH525" s="1334">
        <v>8298541</v>
      </c>
      <c r="BWI525" s="1334">
        <v>8298541</v>
      </c>
      <c r="BWJ525" s="1334">
        <v>8298541</v>
      </c>
      <c r="BWK525" s="1334">
        <v>8298541</v>
      </c>
      <c r="BWL525" s="1334">
        <v>8298541</v>
      </c>
      <c r="BWM525" s="1334">
        <v>8298541</v>
      </c>
      <c r="BWN525" s="1334">
        <v>8298541</v>
      </c>
      <c r="BWO525" s="1334">
        <v>8298541</v>
      </c>
      <c r="BWP525" s="1334">
        <v>8298541</v>
      </c>
      <c r="BWQ525" s="1334">
        <v>8298541</v>
      </c>
      <c r="BWR525" s="1334">
        <v>8298541</v>
      </c>
      <c r="BWS525" s="1334">
        <v>8298541</v>
      </c>
      <c r="BWT525" s="1334">
        <v>8298541</v>
      </c>
      <c r="BWU525" s="1334">
        <v>8298541</v>
      </c>
      <c r="BWV525" s="1334">
        <v>8298541</v>
      </c>
      <c r="BWW525" s="1334">
        <v>8298541</v>
      </c>
      <c r="BWX525" s="1334">
        <v>8298541</v>
      </c>
      <c r="BWY525" s="1334">
        <v>8298541</v>
      </c>
      <c r="BWZ525" s="1334">
        <v>8298541</v>
      </c>
      <c r="BXA525" s="1334">
        <v>8298541</v>
      </c>
      <c r="BXB525" s="1334">
        <v>8298541</v>
      </c>
      <c r="BXC525" s="1334">
        <v>8298541</v>
      </c>
      <c r="BXD525" s="1334">
        <v>8298541</v>
      </c>
      <c r="BXE525" s="1334">
        <v>8298541</v>
      </c>
      <c r="BXF525" s="1334">
        <v>8298541</v>
      </c>
      <c r="BXG525" s="1334">
        <v>8298541</v>
      </c>
      <c r="BXH525" s="1334">
        <v>8298541</v>
      </c>
      <c r="BXI525" s="1334">
        <v>8298541</v>
      </c>
      <c r="BXJ525" s="1334">
        <v>8298541</v>
      </c>
      <c r="BXK525" s="1334">
        <v>8298541</v>
      </c>
      <c r="BXL525" s="1334">
        <v>8298541</v>
      </c>
      <c r="BXM525" s="1334">
        <v>8298541</v>
      </c>
      <c r="BXN525" s="1334">
        <v>8298541</v>
      </c>
      <c r="BXO525" s="1334">
        <v>8298541</v>
      </c>
      <c r="BXP525" s="1334">
        <v>8298541</v>
      </c>
      <c r="BXQ525" s="1334">
        <v>8298541</v>
      </c>
      <c r="BXR525" s="1334">
        <v>8298541</v>
      </c>
      <c r="BXS525" s="1334">
        <v>8298541</v>
      </c>
      <c r="BXT525" s="1334">
        <v>8298541</v>
      </c>
      <c r="BXU525" s="1334">
        <v>8298541</v>
      </c>
      <c r="BXV525" s="1334">
        <v>8298541</v>
      </c>
      <c r="BXW525" s="1334">
        <v>8298541</v>
      </c>
      <c r="BXX525" s="1334">
        <v>8298541</v>
      </c>
      <c r="BXY525" s="1334">
        <v>8298541</v>
      </c>
      <c r="BXZ525" s="1334">
        <v>8298541</v>
      </c>
      <c r="BYA525" s="1334">
        <v>8298541</v>
      </c>
      <c r="BYB525" s="1334">
        <v>8298541</v>
      </c>
      <c r="BYC525" s="1334">
        <v>8298541</v>
      </c>
      <c r="BYD525" s="1334">
        <v>8298541</v>
      </c>
      <c r="BYE525" s="1334">
        <v>8298541</v>
      </c>
      <c r="BYF525" s="1334">
        <v>8298541</v>
      </c>
      <c r="BYG525" s="1334">
        <v>8298541</v>
      </c>
      <c r="BYH525" s="1334">
        <v>8298541</v>
      </c>
      <c r="BYI525" s="1334">
        <v>8298541</v>
      </c>
      <c r="BYJ525" s="1334">
        <v>8298541</v>
      </c>
      <c r="BYK525" s="1334">
        <v>8298541</v>
      </c>
      <c r="BYL525" s="1334">
        <v>8298541</v>
      </c>
      <c r="BYM525" s="1334">
        <v>8298541</v>
      </c>
      <c r="BYN525" s="1334">
        <v>8298541</v>
      </c>
      <c r="BYO525" s="1334">
        <v>8298541</v>
      </c>
      <c r="BYP525" s="1334">
        <v>8298541</v>
      </c>
      <c r="BYQ525" s="1334">
        <v>8298541</v>
      </c>
      <c r="BYR525" s="1334">
        <v>8298541</v>
      </c>
      <c r="BYS525" s="1334">
        <v>8298541</v>
      </c>
      <c r="BYT525" s="1334">
        <v>8298541</v>
      </c>
      <c r="BYU525" s="1334">
        <v>8298541</v>
      </c>
      <c r="BYV525" s="1334">
        <v>8298541</v>
      </c>
      <c r="BYW525" s="1334">
        <v>8298541</v>
      </c>
      <c r="BYX525" s="1334">
        <v>8298541</v>
      </c>
      <c r="BYY525" s="1334">
        <v>8298541</v>
      </c>
      <c r="BYZ525" s="1334">
        <v>8298541</v>
      </c>
      <c r="BZA525" s="1334">
        <v>8298541</v>
      </c>
      <c r="BZB525" s="1334">
        <v>8298541</v>
      </c>
      <c r="BZC525" s="1334">
        <v>8298541</v>
      </c>
      <c r="BZD525" s="1334">
        <v>8298541</v>
      </c>
      <c r="BZE525" s="1334">
        <v>8298541</v>
      </c>
      <c r="BZF525" s="1334">
        <v>8298541</v>
      </c>
      <c r="BZG525" s="1334">
        <v>8298541</v>
      </c>
      <c r="BZH525" s="1334">
        <v>8298541</v>
      </c>
      <c r="BZI525" s="1334">
        <v>8298541</v>
      </c>
      <c r="BZJ525" s="1334">
        <v>8298541</v>
      </c>
      <c r="BZK525" s="1334">
        <v>8298541</v>
      </c>
      <c r="BZL525" s="1334">
        <v>8298541</v>
      </c>
      <c r="BZM525" s="1334">
        <v>8298541</v>
      </c>
      <c r="BZN525" s="1334">
        <v>8298541</v>
      </c>
      <c r="BZO525" s="1334">
        <v>8298541</v>
      </c>
      <c r="BZP525" s="1334">
        <v>8298541</v>
      </c>
      <c r="BZQ525" s="1334">
        <v>8298541</v>
      </c>
      <c r="BZR525" s="1334">
        <v>8298541</v>
      </c>
      <c r="BZS525" s="1334">
        <v>8298541</v>
      </c>
      <c r="BZT525" s="1334">
        <v>8298541</v>
      </c>
      <c r="BZU525" s="1334">
        <v>8298541</v>
      </c>
      <c r="BZV525" s="1334">
        <v>8298541</v>
      </c>
      <c r="BZW525" s="1334">
        <v>8298541</v>
      </c>
      <c r="BZX525" s="1334">
        <v>8298541</v>
      </c>
      <c r="BZY525" s="1334">
        <v>8298541</v>
      </c>
      <c r="BZZ525" s="1334">
        <v>8298541</v>
      </c>
      <c r="CAA525" s="1334">
        <v>8298541</v>
      </c>
      <c r="CAB525" s="1334">
        <v>8298541</v>
      </c>
      <c r="CAC525" s="1334">
        <v>8298541</v>
      </c>
      <c r="CAD525" s="1334">
        <v>8298541</v>
      </c>
      <c r="CAE525" s="1334">
        <v>8298541</v>
      </c>
      <c r="CAF525" s="1334">
        <v>8298541</v>
      </c>
      <c r="CAG525" s="1334">
        <v>8298541</v>
      </c>
      <c r="CAH525" s="1334">
        <v>8298541</v>
      </c>
      <c r="CAI525" s="1334">
        <v>8298541</v>
      </c>
      <c r="CAJ525" s="1334">
        <v>8298541</v>
      </c>
      <c r="CAK525" s="1334">
        <v>8298541</v>
      </c>
      <c r="CAL525" s="1334">
        <v>8298541</v>
      </c>
      <c r="CAM525" s="1334">
        <v>8298541</v>
      </c>
      <c r="CAN525" s="1334">
        <v>8298541</v>
      </c>
      <c r="CAO525" s="1334">
        <v>8298541</v>
      </c>
      <c r="CAP525" s="1334">
        <v>8298541</v>
      </c>
      <c r="CAQ525" s="1334">
        <v>8298541</v>
      </c>
      <c r="CAR525" s="1334">
        <v>8298541</v>
      </c>
      <c r="CAS525" s="1334">
        <v>8298541</v>
      </c>
      <c r="CAT525" s="1334">
        <v>8298541</v>
      </c>
      <c r="CAU525" s="1334">
        <v>8298541</v>
      </c>
      <c r="CAV525" s="1334">
        <v>8298541</v>
      </c>
      <c r="CAW525" s="1334">
        <v>8298541</v>
      </c>
      <c r="CAX525" s="1334">
        <v>8298541</v>
      </c>
      <c r="CAY525" s="1334">
        <v>8298541</v>
      </c>
      <c r="CAZ525" s="1334">
        <v>8298541</v>
      </c>
      <c r="CBA525" s="1334">
        <v>8298541</v>
      </c>
      <c r="CBB525" s="1334">
        <v>8298541</v>
      </c>
      <c r="CBC525" s="1334">
        <v>8298541</v>
      </c>
      <c r="CBD525" s="1334">
        <v>8298541</v>
      </c>
      <c r="CBE525" s="1334">
        <v>8298541</v>
      </c>
      <c r="CBF525" s="1334">
        <v>8298541</v>
      </c>
      <c r="CBG525" s="1334">
        <v>8298541</v>
      </c>
      <c r="CBH525" s="1334">
        <v>8298541</v>
      </c>
      <c r="CBI525" s="1334">
        <v>8298541</v>
      </c>
      <c r="CBJ525" s="1334">
        <v>8298541</v>
      </c>
      <c r="CBK525" s="1334">
        <v>8298541</v>
      </c>
      <c r="CBL525" s="1334">
        <v>8298541</v>
      </c>
      <c r="CBM525" s="1334">
        <v>8298541</v>
      </c>
      <c r="CBN525" s="1334">
        <v>8298541</v>
      </c>
      <c r="CBO525" s="1334">
        <v>8298541</v>
      </c>
      <c r="CBP525" s="1334">
        <v>8298541</v>
      </c>
      <c r="CBQ525" s="1334">
        <v>8298541</v>
      </c>
      <c r="CBR525" s="1334">
        <v>8298541</v>
      </c>
      <c r="CBS525" s="1334">
        <v>8298541</v>
      </c>
      <c r="CBT525" s="1334">
        <v>8298541</v>
      </c>
      <c r="CBU525" s="1334">
        <v>8298541</v>
      </c>
      <c r="CBV525" s="1334">
        <v>8298541</v>
      </c>
      <c r="CBW525" s="1334">
        <v>8298541</v>
      </c>
      <c r="CBX525" s="1334">
        <v>8298541</v>
      </c>
      <c r="CBY525" s="1334">
        <v>8298541</v>
      </c>
      <c r="CBZ525" s="1334">
        <v>8298541</v>
      </c>
      <c r="CCA525" s="1334">
        <v>8298541</v>
      </c>
      <c r="CCB525" s="1334">
        <v>8298541</v>
      </c>
      <c r="CCC525" s="1334">
        <v>8298541</v>
      </c>
      <c r="CCD525" s="1334">
        <v>8298541</v>
      </c>
      <c r="CCE525" s="1334">
        <v>8298541</v>
      </c>
      <c r="CCF525" s="1334">
        <v>8298541</v>
      </c>
      <c r="CCG525" s="1334">
        <v>8298541</v>
      </c>
      <c r="CCH525" s="1334">
        <v>8298541</v>
      </c>
      <c r="CCI525" s="1334">
        <v>8298541</v>
      </c>
      <c r="CCJ525" s="1334">
        <v>8298541</v>
      </c>
      <c r="CCK525" s="1334">
        <v>8298541</v>
      </c>
      <c r="CCL525" s="1334">
        <v>8298541</v>
      </c>
      <c r="CCM525" s="1334">
        <v>8298541</v>
      </c>
      <c r="CCN525" s="1334">
        <v>8298541</v>
      </c>
      <c r="CCO525" s="1334">
        <v>8298541</v>
      </c>
      <c r="CCP525" s="1334">
        <v>8298541</v>
      </c>
      <c r="CCQ525" s="1334">
        <v>8298541</v>
      </c>
      <c r="CCR525" s="1334">
        <v>8298541</v>
      </c>
      <c r="CCS525" s="1334">
        <v>8298541</v>
      </c>
      <c r="CCT525" s="1334">
        <v>8298541</v>
      </c>
      <c r="CCU525" s="1334">
        <v>8298541</v>
      </c>
      <c r="CCV525" s="1334">
        <v>8298541</v>
      </c>
      <c r="CCW525" s="1334">
        <v>8298541</v>
      </c>
      <c r="CCX525" s="1334">
        <v>8298541</v>
      </c>
      <c r="CCY525" s="1334">
        <v>8298541</v>
      </c>
      <c r="CCZ525" s="1334">
        <v>8298541</v>
      </c>
      <c r="CDA525" s="1334">
        <v>8298541</v>
      </c>
      <c r="CDB525" s="1334">
        <v>8298541</v>
      </c>
      <c r="CDC525" s="1334">
        <v>8298541</v>
      </c>
      <c r="CDD525" s="1334">
        <v>8298541</v>
      </c>
      <c r="CDE525" s="1334">
        <v>8298541</v>
      </c>
      <c r="CDF525" s="1334">
        <v>8298541</v>
      </c>
      <c r="CDG525" s="1334">
        <v>8298541</v>
      </c>
      <c r="CDH525" s="1334">
        <v>8298541</v>
      </c>
      <c r="CDI525" s="1334">
        <v>8298541</v>
      </c>
      <c r="CDJ525" s="1334">
        <v>8298541</v>
      </c>
      <c r="CDK525" s="1334">
        <v>8298541</v>
      </c>
      <c r="CDL525" s="1334">
        <v>8298541</v>
      </c>
      <c r="CDM525" s="1334">
        <v>8298541</v>
      </c>
      <c r="CDN525" s="1334">
        <v>8298541</v>
      </c>
      <c r="CDO525" s="1334">
        <v>8298541</v>
      </c>
      <c r="CDP525" s="1334">
        <v>8298541</v>
      </c>
      <c r="CDQ525" s="1334">
        <v>8298541</v>
      </c>
      <c r="CDR525" s="1334">
        <v>8298541</v>
      </c>
      <c r="CDS525" s="1334">
        <v>8298541</v>
      </c>
      <c r="CDT525" s="1334">
        <v>8298541</v>
      </c>
      <c r="CDU525" s="1334">
        <v>8298541</v>
      </c>
      <c r="CDV525" s="1334">
        <v>8298541</v>
      </c>
      <c r="CDW525" s="1334">
        <v>8298541</v>
      </c>
      <c r="CDX525" s="1334">
        <v>8298541</v>
      </c>
      <c r="CDY525" s="1334">
        <v>8298541</v>
      </c>
      <c r="CDZ525" s="1334">
        <v>8298541</v>
      </c>
      <c r="CEA525" s="1334">
        <v>8298541</v>
      </c>
      <c r="CEB525" s="1334">
        <v>8298541</v>
      </c>
      <c r="CEC525" s="1334">
        <v>8298541</v>
      </c>
      <c r="CED525" s="1334">
        <v>8298541</v>
      </c>
      <c r="CEE525" s="1334">
        <v>8298541</v>
      </c>
      <c r="CEF525" s="1334">
        <v>8298541</v>
      </c>
      <c r="CEG525" s="1334">
        <v>8298541</v>
      </c>
      <c r="CEH525" s="1334">
        <v>8298541</v>
      </c>
      <c r="CEI525" s="1334">
        <v>8298541</v>
      </c>
      <c r="CEJ525" s="1334">
        <v>8298541</v>
      </c>
      <c r="CEK525" s="1334">
        <v>8298541</v>
      </c>
      <c r="CEL525" s="1334">
        <v>8298541</v>
      </c>
      <c r="CEM525" s="1334">
        <v>8298541</v>
      </c>
      <c r="CEN525" s="1334">
        <v>8298541</v>
      </c>
      <c r="CEO525" s="1334">
        <v>8298541</v>
      </c>
      <c r="CEP525" s="1334">
        <v>8298541</v>
      </c>
      <c r="CEQ525" s="1334">
        <v>8298541</v>
      </c>
      <c r="CER525" s="1334">
        <v>8298541</v>
      </c>
      <c r="CES525" s="1334">
        <v>8298541</v>
      </c>
      <c r="CET525" s="1334">
        <v>8298541</v>
      </c>
      <c r="CEU525" s="1334">
        <v>8298541</v>
      </c>
      <c r="CEV525" s="1334">
        <v>8298541</v>
      </c>
      <c r="CEW525" s="1334">
        <v>8298541</v>
      </c>
      <c r="CEX525" s="1334">
        <v>8298541</v>
      </c>
      <c r="CEY525" s="1334">
        <v>8298541</v>
      </c>
      <c r="CEZ525" s="1334">
        <v>8298541</v>
      </c>
      <c r="CFA525" s="1334">
        <v>8298541</v>
      </c>
      <c r="CFB525" s="1334">
        <v>8298541</v>
      </c>
      <c r="CFC525" s="1334">
        <v>8298541</v>
      </c>
      <c r="CFD525" s="1334">
        <v>8298541</v>
      </c>
      <c r="CFE525" s="1334">
        <v>8298541</v>
      </c>
      <c r="CFF525" s="1334">
        <v>8298541</v>
      </c>
      <c r="CFG525" s="1334">
        <v>8298541</v>
      </c>
      <c r="CFH525" s="1334">
        <v>8298541</v>
      </c>
      <c r="CFI525" s="1334">
        <v>8298541</v>
      </c>
      <c r="CFJ525" s="1334">
        <v>8298541</v>
      </c>
      <c r="CFK525" s="1334">
        <v>8298541</v>
      </c>
      <c r="CFL525" s="1334">
        <v>8298541</v>
      </c>
      <c r="CFM525" s="1334">
        <v>8298541</v>
      </c>
      <c r="CFN525" s="1334">
        <v>8298541</v>
      </c>
      <c r="CFO525" s="1334">
        <v>8298541</v>
      </c>
      <c r="CFP525" s="1334">
        <v>8298541</v>
      </c>
      <c r="CFQ525" s="1334">
        <v>8298541</v>
      </c>
      <c r="CFR525" s="1334">
        <v>8298541</v>
      </c>
      <c r="CFS525" s="1334">
        <v>8298541</v>
      </c>
      <c r="CFT525" s="1334">
        <v>8298541</v>
      </c>
      <c r="CFU525" s="1334">
        <v>8298541</v>
      </c>
      <c r="CFV525" s="1334">
        <v>8298541</v>
      </c>
      <c r="CFW525" s="1334">
        <v>8298541</v>
      </c>
      <c r="CFX525" s="1334">
        <v>8298541</v>
      </c>
      <c r="CFY525" s="1334">
        <v>8298541</v>
      </c>
      <c r="CFZ525" s="1334">
        <v>8298541</v>
      </c>
      <c r="CGA525" s="1334">
        <v>8298541</v>
      </c>
      <c r="CGB525" s="1334">
        <v>8298541</v>
      </c>
      <c r="CGC525" s="1334">
        <v>8298541</v>
      </c>
      <c r="CGD525" s="1334">
        <v>8298541</v>
      </c>
      <c r="CGE525" s="1334">
        <v>8298541</v>
      </c>
      <c r="CGF525" s="1334">
        <v>8298541</v>
      </c>
      <c r="CGG525" s="1334">
        <v>8298541</v>
      </c>
      <c r="CGH525" s="1334">
        <v>8298541</v>
      </c>
      <c r="CGI525" s="1334">
        <v>8298541</v>
      </c>
      <c r="CGJ525" s="1334">
        <v>8298541</v>
      </c>
      <c r="CGK525" s="1334">
        <v>8298541</v>
      </c>
      <c r="CGL525" s="1334">
        <v>8298541</v>
      </c>
      <c r="CGM525" s="1334">
        <v>8298541</v>
      </c>
      <c r="CGN525" s="1334">
        <v>8298541</v>
      </c>
      <c r="CGO525" s="1334">
        <v>8298541</v>
      </c>
      <c r="CGP525" s="1334">
        <v>8298541</v>
      </c>
      <c r="CGQ525" s="1334">
        <v>8298541</v>
      </c>
      <c r="CGR525" s="1334">
        <v>8298541</v>
      </c>
      <c r="CGS525" s="1334">
        <v>8298541</v>
      </c>
      <c r="CGT525" s="1334">
        <v>8298541</v>
      </c>
      <c r="CGU525" s="1334">
        <v>8298541</v>
      </c>
      <c r="CGV525" s="1334">
        <v>8298541</v>
      </c>
      <c r="CGW525" s="1334">
        <v>8298541</v>
      </c>
      <c r="CGX525" s="1334">
        <v>8298541</v>
      </c>
      <c r="CGY525" s="1334">
        <v>8298541</v>
      </c>
      <c r="CGZ525" s="1334">
        <v>8298541</v>
      </c>
      <c r="CHA525" s="1334">
        <v>8298541</v>
      </c>
      <c r="CHB525" s="1334">
        <v>8298541</v>
      </c>
      <c r="CHC525" s="1334">
        <v>8298541</v>
      </c>
      <c r="CHD525" s="1334">
        <v>8298541</v>
      </c>
      <c r="CHE525" s="1334">
        <v>8298541</v>
      </c>
      <c r="CHF525" s="1334">
        <v>8298541</v>
      </c>
      <c r="CHG525" s="1334">
        <v>8298541</v>
      </c>
      <c r="CHH525" s="1334">
        <v>8298541</v>
      </c>
      <c r="CHI525" s="1334">
        <v>8298541</v>
      </c>
      <c r="CHJ525" s="1334">
        <v>8298541</v>
      </c>
      <c r="CHK525" s="1334">
        <v>8298541</v>
      </c>
      <c r="CHL525" s="1334">
        <v>8298541</v>
      </c>
      <c r="CHM525" s="1334">
        <v>8298541</v>
      </c>
      <c r="CHN525" s="1334">
        <v>8298541</v>
      </c>
      <c r="CHO525" s="1334">
        <v>8298541</v>
      </c>
      <c r="CHP525" s="1334">
        <v>8298541</v>
      </c>
      <c r="CHQ525" s="1334">
        <v>8298541</v>
      </c>
      <c r="CHR525" s="1334">
        <v>8298541</v>
      </c>
      <c r="CHS525" s="1334">
        <v>8298541</v>
      </c>
      <c r="CHT525" s="1334">
        <v>8298541</v>
      </c>
      <c r="CHU525" s="1334">
        <v>8298541</v>
      </c>
      <c r="CHV525" s="1334">
        <v>8298541</v>
      </c>
      <c r="CHW525" s="1334">
        <v>8298541</v>
      </c>
      <c r="CHX525" s="1334">
        <v>8298541</v>
      </c>
      <c r="CHY525" s="1334">
        <v>8298541</v>
      </c>
      <c r="CHZ525" s="1334">
        <v>8298541</v>
      </c>
      <c r="CIA525" s="1334">
        <v>8298541</v>
      </c>
      <c r="CIB525" s="1334">
        <v>8298541</v>
      </c>
      <c r="CIC525" s="1334">
        <v>8298541</v>
      </c>
      <c r="CID525" s="1334">
        <v>8298541</v>
      </c>
      <c r="CIE525" s="1334">
        <v>8298541</v>
      </c>
      <c r="CIF525" s="1334">
        <v>8298541</v>
      </c>
      <c r="CIG525" s="1334">
        <v>8298541</v>
      </c>
      <c r="CIH525" s="1334">
        <v>8298541</v>
      </c>
      <c r="CII525" s="1334">
        <v>8298541</v>
      </c>
      <c r="CIJ525" s="1334">
        <v>8298541</v>
      </c>
      <c r="CIK525" s="1334">
        <v>8298541</v>
      </c>
      <c r="CIL525" s="1334">
        <v>8298541</v>
      </c>
      <c r="CIM525" s="1334">
        <v>8298541</v>
      </c>
      <c r="CIN525" s="1334">
        <v>8298541</v>
      </c>
      <c r="CIO525" s="1334">
        <v>8298541</v>
      </c>
      <c r="CIP525" s="1334">
        <v>8298541</v>
      </c>
      <c r="CIQ525" s="1334">
        <v>8298541</v>
      </c>
      <c r="CIR525" s="1334">
        <v>8298541</v>
      </c>
      <c r="CIS525" s="1334">
        <v>8298541</v>
      </c>
      <c r="CIT525" s="1334">
        <v>8298541</v>
      </c>
      <c r="CIU525" s="1334">
        <v>8298541</v>
      </c>
      <c r="CIV525" s="1334">
        <v>8298541</v>
      </c>
      <c r="CIW525" s="1334">
        <v>8298541</v>
      </c>
      <c r="CIX525" s="1334">
        <v>8298541</v>
      </c>
      <c r="CIY525" s="1334">
        <v>8298541</v>
      </c>
      <c r="CIZ525" s="1334">
        <v>8298541</v>
      </c>
      <c r="CJA525" s="1334">
        <v>8298541</v>
      </c>
      <c r="CJB525" s="1334">
        <v>8298541</v>
      </c>
      <c r="CJC525" s="1334">
        <v>8298541</v>
      </c>
      <c r="CJD525" s="1334">
        <v>8298541</v>
      </c>
      <c r="CJE525" s="1334">
        <v>8298541</v>
      </c>
      <c r="CJF525" s="1334">
        <v>8298541</v>
      </c>
      <c r="CJG525" s="1334">
        <v>8298541</v>
      </c>
      <c r="CJH525" s="1334">
        <v>8298541</v>
      </c>
      <c r="CJI525" s="1334">
        <v>8298541</v>
      </c>
      <c r="CJJ525" s="1334">
        <v>8298541</v>
      </c>
      <c r="CJK525" s="1334">
        <v>8298541</v>
      </c>
      <c r="CJL525" s="1334">
        <v>8298541</v>
      </c>
      <c r="CJM525" s="1334">
        <v>8298541</v>
      </c>
      <c r="CJN525" s="1334">
        <v>8298541</v>
      </c>
      <c r="CJO525" s="1334">
        <v>8298541</v>
      </c>
      <c r="CJP525" s="1334">
        <v>8298541</v>
      </c>
      <c r="CJQ525" s="1334">
        <v>8298541</v>
      </c>
      <c r="CJR525" s="1334">
        <v>8298541</v>
      </c>
      <c r="CJS525" s="1334">
        <v>8298541</v>
      </c>
      <c r="CJT525" s="1334">
        <v>8298541</v>
      </c>
      <c r="CJU525" s="1334">
        <v>8298541</v>
      </c>
      <c r="CJV525" s="1334">
        <v>8298541</v>
      </c>
      <c r="CJW525" s="1334">
        <v>8298541</v>
      </c>
      <c r="CJX525" s="1334">
        <v>8298541</v>
      </c>
      <c r="CJY525" s="1334">
        <v>8298541</v>
      </c>
      <c r="CJZ525" s="1334">
        <v>8298541</v>
      </c>
      <c r="CKA525" s="1334">
        <v>8298541</v>
      </c>
      <c r="CKB525" s="1334">
        <v>8298541</v>
      </c>
      <c r="CKC525" s="1334">
        <v>8298541</v>
      </c>
      <c r="CKD525" s="1334">
        <v>8298541</v>
      </c>
      <c r="CKE525" s="1334">
        <v>8298541</v>
      </c>
      <c r="CKF525" s="1334">
        <v>8298541</v>
      </c>
      <c r="CKG525" s="1334">
        <v>8298541</v>
      </c>
      <c r="CKH525" s="1334">
        <v>8298541</v>
      </c>
      <c r="CKI525" s="1334">
        <v>8298541</v>
      </c>
      <c r="CKJ525" s="1334">
        <v>8298541</v>
      </c>
      <c r="CKK525" s="1334">
        <v>8298541</v>
      </c>
      <c r="CKL525" s="1334">
        <v>8298541</v>
      </c>
      <c r="CKM525" s="1334">
        <v>8298541</v>
      </c>
      <c r="CKN525" s="1334">
        <v>8298541</v>
      </c>
      <c r="CKO525" s="1334">
        <v>8298541</v>
      </c>
      <c r="CKP525" s="1334">
        <v>8298541</v>
      </c>
      <c r="CKQ525" s="1334">
        <v>8298541</v>
      </c>
      <c r="CKR525" s="1334">
        <v>8298541</v>
      </c>
      <c r="CKS525" s="1334">
        <v>8298541</v>
      </c>
      <c r="CKT525" s="1334">
        <v>8298541</v>
      </c>
      <c r="CKU525" s="1334">
        <v>8298541</v>
      </c>
      <c r="CKV525" s="1334">
        <v>8298541</v>
      </c>
      <c r="CKW525" s="1334">
        <v>8298541</v>
      </c>
      <c r="CKX525" s="1334">
        <v>8298541</v>
      </c>
      <c r="CKY525" s="1334">
        <v>8298541</v>
      </c>
      <c r="CKZ525" s="1334">
        <v>8298541</v>
      </c>
      <c r="CLA525" s="1334">
        <v>8298541</v>
      </c>
      <c r="CLB525" s="1334">
        <v>8298541</v>
      </c>
      <c r="CLC525" s="1334">
        <v>8298541</v>
      </c>
      <c r="CLD525" s="1334">
        <v>8298541</v>
      </c>
      <c r="CLE525" s="1334">
        <v>8298541</v>
      </c>
      <c r="CLF525" s="1334">
        <v>8298541</v>
      </c>
      <c r="CLG525" s="1334">
        <v>8298541</v>
      </c>
      <c r="CLH525" s="1334">
        <v>8298541</v>
      </c>
      <c r="CLI525" s="1334">
        <v>8298541</v>
      </c>
      <c r="CLJ525" s="1334">
        <v>8298541</v>
      </c>
      <c r="CLK525" s="1334">
        <v>8298541</v>
      </c>
      <c r="CLL525" s="1334">
        <v>8298541</v>
      </c>
      <c r="CLM525" s="1334">
        <v>8298541</v>
      </c>
      <c r="CLN525" s="1334">
        <v>8298541</v>
      </c>
      <c r="CLO525" s="1334">
        <v>8298541</v>
      </c>
      <c r="CLP525" s="1334">
        <v>8298541</v>
      </c>
      <c r="CLQ525" s="1334">
        <v>8298541</v>
      </c>
      <c r="CLR525" s="1334">
        <v>8298541</v>
      </c>
      <c r="CLS525" s="1334">
        <v>8298541</v>
      </c>
      <c r="CLT525" s="1334">
        <v>8298541</v>
      </c>
      <c r="CLU525" s="1334">
        <v>8298541</v>
      </c>
      <c r="CLV525" s="1334">
        <v>8298541</v>
      </c>
      <c r="CLW525" s="1334">
        <v>8298541</v>
      </c>
      <c r="CLX525" s="1334">
        <v>8298541</v>
      </c>
      <c r="CLY525" s="1334">
        <v>8298541</v>
      </c>
      <c r="CLZ525" s="1334">
        <v>8298541</v>
      </c>
      <c r="CMA525" s="1334">
        <v>8298541</v>
      </c>
      <c r="CMB525" s="1334">
        <v>8298541</v>
      </c>
      <c r="CMC525" s="1334">
        <v>8298541</v>
      </c>
      <c r="CMD525" s="1334">
        <v>8298541</v>
      </c>
      <c r="CME525" s="1334">
        <v>8298541</v>
      </c>
      <c r="CMF525" s="1334">
        <v>8298541</v>
      </c>
      <c r="CMG525" s="1334">
        <v>8298541</v>
      </c>
      <c r="CMH525" s="1334">
        <v>8298541</v>
      </c>
      <c r="CMI525" s="1334">
        <v>8298541</v>
      </c>
      <c r="CMJ525" s="1334">
        <v>8298541</v>
      </c>
      <c r="CMK525" s="1334">
        <v>8298541</v>
      </c>
      <c r="CML525" s="1334">
        <v>8298541</v>
      </c>
      <c r="CMM525" s="1334">
        <v>8298541</v>
      </c>
      <c r="CMN525" s="1334">
        <v>8298541</v>
      </c>
      <c r="CMO525" s="1334">
        <v>8298541</v>
      </c>
      <c r="CMP525" s="1334">
        <v>8298541</v>
      </c>
      <c r="CMQ525" s="1334">
        <v>8298541</v>
      </c>
      <c r="CMR525" s="1334">
        <v>8298541</v>
      </c>
      <c r="CMS525" s="1334">
        <v>8298541</v>
      </c>
      <c r="CMT525" s="1334">
        <v>8298541</v>
      </c>
      <c r="CMU525" s="1334">
        <v>8298541</v>
      </c>
      <c r="CMV525" s="1334">
        <v>8298541</v>
      </c>
      <c r="CMW525" s="1334">
        <v>8298541</v>
      </c>
      <c r="CMX525" s="1334">
        <v>8298541</v>
      </c>
      <c r="CMY525" s="1334">
        <v>8298541</v>
      </c>
      <c r="CMZ525" s="1334">
        <v>8298541</v>
      </c>
      <c r="CNA525" s="1334">
        <v>8298541</v>
      </c>
      <c r="CNB525" s="1334">
        <v>8298541</v>
      </c>
      <c r="CNC525" s="1334">
        <v>8298541</v>
      </c>
      <c r="CND525" s="1334">
        <v>8298541</v>
      </c>
      <c r="CNE525" s="1334">
        <v>8298541</v>
      </c>
      <c r="CNF525" s="1334">
        <v>8298541</v>
      </c>
      <c r="CNG525" s="1334">
        <v>8298541</v>
      </c>
      <c r="CNH525" s="1334">
        <v>8298541</v>
      </c>
      <c r="CNI525" s="1334">
        <v>8298541</v>
      </c>
      <c r="CNJ525" s="1334">
        <v>8298541</v>
      </c>
      <c r="CNK525" s="1334">
        <v>8298541</v>
      </c>
      <c r="CNL525" s="1334">
        <v>8298541</v>
      </c>
      <c r="CNM525" s="1334">
        <v>8298541</v>
      </c>
      <c r="CNN525" s="1334">
        <v>8298541</v>
      </c>
      <c r="CNO525" s="1334">
        <v>8298541</v>
      </c>
      <c r="CNP525" s="1334">
        <v>8298541</v>
      </c>
      <c r="CNQ525" s="1334">
        <v>8298541</v>
      </c>
      <c r="CNR525" s="1334">
        <v>8298541</v>
      </c>
      <c r="CNS525" s="1334">
        <v>8298541</v>
      </c>
      <c r="CNT525" s="1334">
        <v>8298541</v>
      </c>
      <c r="CNU525" s="1334">
        <v>8298541</v>
      </c>
      <c r="CNV525" s="1334">
        <v>8298541</v>
      </c>
      <c r="CNW525" s="1334">
        <v>8298541</v>
      </c>
      <c r="CNX525" s="1334">
        <v>8298541</v>
      </c>
      <c r="CNY525" s="1334">
        <v>8298541</v>
      </c>
      <c r="CNZ525" s="1334">
        <v>8298541</v>
      </c>
      <c r="COA525" s="1334">
        <v>8298541</v>
      </c>
      <c r="COB525" s="1334">
        <v>8298541</v>
      </c>
      <c r="COC525" s="1334">
        <v>8298541</v>
      </c>
      <c r="COD525" s="1334">
        <v>8298541</v>
      </c>
      <c r="COE525" s="1334">
        <v>8298541</v>
      </c>
      <c r="COF525" s="1334">
        <v>8298541</v>
      </c>
      <c r="COG525" s="1334">
        <v>8298541</v>
      </c>
      <c r="COH525" s="1334">
        <v>8298541</v>
      </c>
      <c r="COI525" s="1334">
        <v>8298541</v>
      </c>
      <c r="COJ525" s="1334">
        <v>8298541</v>
      </c>
      <c r="COK525" s="1334">
        <v>8298541</v>
      </c>
      <c r="COL525" s="1334">
        <v>8298541</v>
      </c>
      <c r="COM525" s="1334">
        <v>8298541</v>
      </c>
      <c r="CON525" s="1334">
        <v>8298541</v>
      </c>
      <c r="COO525" s="1334">
        <v>8298541</v>
      </c>
      <c r="COP525" s="1334">
        <v>8298541</v>
      </c>
      <c r="COQ525" s="1334">
        <v>8298541</v>
      </c>
      <c r="COR525" s="1334">
        <v>8298541</v>
      </c>
      <c r="COS525" s="1334">
        <v>8298541</v>
      </c>
      <c r="COT525" s="1334">
        <v>8298541</v>
      </c>
      <c r="COU525" s="1334">
        <v>8298541</v>
      </c>
      <c r="COV525" s="1334">
        <v>8298541</v>
      </c>
      <c r="COW525" s="1334">
        <v>8298541</v>
      </c>
      <c r="COX525" s="1334">
        <v>8298541</v>
      </c>
      <c r="COY525" s="1334">
        <v>8298541</v>
      </c>
      <c r="COZ525" s="1334">
        <v>8298541</v>
      </c>
      <c r="CPA525" s="1334">
        <v>8298541</v>
      </c>
      <c r="CPB525" s="1334">
        <v>8298541</v>
      </c>
      <c r="CPC525" s="1334">
        <v>8298541</v>
      </c>
      <c r="CPD525" s="1334">
        <v>8298541</v>
      </c>
      <c r="CPE525" s="1334">
        <v>8298541</v>
      </c>
      <c r="CPF525" s="1334">
        <v>8298541</v>
      </c>
      <c r="CPG525" s="1334">
        <v>8298541</v>
      </c>
      <c r="CPH525" s="1334">
        <v>8298541</v>
      </c>
      <c r="CPI525" s="1334">
        <v>8298541</v>
      </c>
      <c r="CPJ525" s="1334">
        <v>8298541</v>
      </c>
      <c r="CPK525" s="1334">
        <v>8298541</v>
      </c>
      <c r="CPL525" s="1334">
        <v>8298541</v>
      </c>
      <c r="CPM525" s="1334">
        <v>8298541</v>
      </c>
      <c r="CPN525" s="1334">
        <v>8298541</v>
      </c>
      <c r="CPO525" s="1334">
        <v>8298541</v>
      </c>
      <c r="CPP525" s="1334">
        <v>8298541</v>
      </c>
      <c r="CPQ525" s="1334">
        <v>8298541</v>
      </c>
      <c r="CPR525" s="1334">
        <v>8298541</v>
      </c>
      <c r="CPS525" s="1334">
        <v>8298541</v>
      </c>
      <c r="CPT525" s="1334">
        <v>8298541</v>
      </c>
      <c r="CPU525" s="1334">
        <v>8298541</v>
      </c>
      <c r="CPV525" s="1334">
        <v>8298541</v>
      </c>
      <c r="CPW525" s="1334">
        <v>8298541</v>
      </c>
      <c r="CPX525" s="1334">
        <v>8298541</v>
      </c>
      <c r="CPY525" s="1334">
        <v>8298541</v>
      </c>
      <c r="CPZ525" s="1334">
        <v>8298541</v>
      </c>
      <c r="CQA525" s="1334">
        <v>8298541</v>
      </c>
      <c r="CQB525" s="1334">
        <v>8298541</v>
      </c>
      <c r="CQC525" s="1334">
        <v>8298541</v>
      </c>
      <c r="CQD525" s="1334">
        <v>8298541</v>
      </c>
      <c r="CQE525" s="1334">
        <v>8298541</v>
      </c>
      <c r="CQF525" s="1334">
        <v>8298541</v>
      </c>
      <c r="CQG525" s="1334">
        <v>8298541</v>
      </c>
      <c r="CQH525" s="1334">
        <v>8298541</v>
      </c>
      <c r="CQI525" s="1334">
        <v>8298541</v>
      </c>
      <c r="CQJ525" s="1334">
        <v>8298541</v>
      </c>
      <c r="CQK525" s="1334">
        <v>8298541</v>
      </c>
      <c r="CQL525" s="1334">
        <v>8298541</v>
      </c>
      <c r="CQM525" s="1334">
        <v>8298541</v>
      </c>
      <c r="CQN525" s="1334">
        <v>8298541</v>
      </c>
      <c r="CQO525" s="1334">
        <v>8298541</v>
      </c>
      <c r="CQP525" s="1334">
        <v>8298541</v>
      </c>
      <c r="CQQ525" s="1334">
        <v>8298541</v>
      </c>
      <c r="CQR525" s="1334">
        <v>8298541</v>
      </c>
      <c r="CQS525" s="1334">
        <v>8298541</v>
      </c>
      <c r="CQT525" s="1334">
        <v>8298541</v>
      </c>
      <c r="CQU525" s="1334">
        <v>8298541</v>
      </c>
      <c r="CQV525" s="1334">
        <v>8298541</v>
      </c>
      <c r="CQW525" s="1334">
        <v>8298541</v>
      </c>
      <c r="CQX525" s="1334">
        <v>8298541</v>
      </c>
      <c r="CQY525" s="1334">
        <v>8298541</v>
      </c>
      <c r="CQZ525" s="1334">
        <v>8298541</v>
      </c>
      <c r="CRA525" s="1334">
        <v>8298541</v>
      </c>
      <c r="CRB525" s="1334">
        <v>8298541</v>
      </c>
      <c r="CRC525" s="1334">
        <v>8298541</v>
      </c>
      <c r="CRD525" s="1334">
        <v>8298541</v>
      </c>
      <c r="CRE525" s="1334">
        <v>8298541</v>
      </c>
      <c r="CRF525" s="1334">
        <v>8298541</v>
      </c>
      <c r="CRG525" s="1334">
        <v>8298541</v>
      </c>
      <c r="CRH525" s="1334">
        <v>8298541</v>
      </c>
      <c r="CRI525" s="1334">
        <v>8298541</v>
      </c>
      <c r="CRJ525" s="1334">
        <v>8298541</v>
      </c>
      <c r="CRK525" s="1334">
        <v>8298541</v>
      </c>
      <c r="CRL525" s="1334">
        <v>8298541</v>
      </c>
      <c r="CRM525" s="1334">
        <v>8298541</v>
      </c>
      <c r="CRN525" s="1334">
        <v>8298541</v>
      </c>
      <c r="CRO525" s="1334">
        <v>8298541</v>
      </c>
      <c r="CRP525" s="1334">
        <v>8298541</v>
      </c>
      <c r="CRQ525" s="1334">
        <v>8298541</v>
      </c>
      <c r="CRR525" s="1334">
        <v>8298541</v>
      </c>
      <c r="CRS525" s="1334">
        <v>8298541</v>
      </c>
      <c r="CRT525" s="1334">
        <v>8298541</v>
      </c>
      <c r="CRU525" s="1334">
        <v>8298541</v>
      </c>
      <c r="CRV525" s="1334">
        <v>8298541</v>
      </c>
      <c r="CRW525" s="1334">
        <v>8298541</v>
      </c>
      <c r="CRX525" s="1334">
        <v>8298541</v>
      </c>
      <c r="CRY525" s="1334">
        <v>8298541</v>
      </c>
      <c r="CRZ525" s="1334">
        <v>8298541</v>
      </c>
      <c r="CSA525" s="1334">
        <v>8298541</v>
      </c>
      <c r="CSB525" s="1334">
        <v>8298541</v>
      </c>
      <c r="CSC525" s="1334">
        <v>8298541</v>
      </c>
      <c r="CSD525" s="1334">
        <v>8298541</v>
      </c>
      <c r="CSE525" s="1334">
        <v>8298541</v>
      </c>
      <c r="CSF525" s="1334">
        <v>8298541</v>
      </c>
      <c r="CSG525" s="1334">
        <v>8298541</v>
      </c>
      <c r="CSH525" s="1334">
        <v>8298541</v>
      </c>
      <c r="CSI525" s="1334">
        <v>8298541</v>
      </c>
      <c r="CSJ525" s="1334">
        <v>8298541</v>
      </c>
      <c r="CSK525" s="1334">
        <v>8298541</v>
      </c>
      <c r="CSL525" s="1334">
        <v>8298541</v>
      </c>
      <c r="CSM525" s="1334">
        <v>8298541</v>
      </c>
      <c r="CSN525" s="1334">
        <v>8298541</v>
      </c>
      <c r="CSO525" s="1334">
        <v>8298541</v>
      </c>
      <c r="CSP525" s="1334">
        <v>8298541</v>
      </c>
      <c r="CSQ525" s="1334">
        <v>8298541</v>
      </c>
      <c r="CSR525" s="1334">
        <v>8298541</v>
      </c>
      <c r="CSS525" s="1334">
        <v>8298541</v>
      </c>
      <c r="CST525" s="1334">
        <v>8298541</v>
      </c>
      <c r="CSU525" s="1334">
        <v>8298541</v>
      </c>
      <c r="CSV525" s="1334">
        <v>8298541</v>
      </c>
      <c r="CSW525" s="1334">
        <v>8298541</v>
      </c>
      <c r="CSX525" s="1334">
        <v>8298541</v>
      </c>
      <c r="CSY525" s="1334">
        <v>8298541</v>
      </c>
      <c r="CSZ525" s="1334">
        <v>8298541</v>
      </c>
      <c r="CTA525" s="1334">
        <v>8298541</v>
      </c>
      <c r="CTB525" s="1334">
        <v>8298541</v>
      </c>
      <c r="CTC525" s="1334">
        <v>8298541</v>
      </c>
      <c r="CTD525" s="1334">
        <v>8298541</v>
      </c>
      <c r="CTE525" s="1334">
        <v>8298541</v>
      </c>
      <c r="CTF525" s="1334">
        <v>8298541</v>
      </c>
      <c r="CTG525" s="1334">
        <v>8298541</v>
      </c>
      <c r="CTH525" s="1334">
        <v>8298541</v>
      </c>
      <c r="CTI525" s="1334">
        <v>8298541</v>
      </c>
      <c r="CTJ525" s="1334">
        <v>8298541</v>
      </c>
      <c r="CTK525" s="1334">
        <v>8298541</v>
      </c>
      <c r="CTL525" s="1334">
        <v>8298541</v>
      </c>
      <c r="CTM525" s="1334">
        <v>8298541</v>
      </c>
      <c r="CTN525" s="1334">
        <v>8298541</v>
      </c>
      <c r="CTO525" s="1334">
        <v>8298541</v>
      </c>
      <c r="CTP525" s="1334">
        <v>8298541</v>
      </c>
      <c r="CTQ525" s="1334">
        <v>8298541</v>
      </c>
      <c r="CTR525" s="1334">
        <v>8298541</v>
      </c>
      <c r="CTS525" s="1334">
        <v>8298541</v>
      </c>
      <c r="CTT525" s="1334">
        <v>8298541</v>
      </c>
      <c r="CTU525" s="1334">
        <v>8298541</v>
      </c>
      <c r="CTV525" s="1334">
        <v>8298541</v>
      </c>
      <c r="CTW525" s="1334">
        <v>8298541</v>
      </c>
      <c r="CTX525" s="1334">
        <v>8298541</v>
      </c>
      <c r="CTY525" s="1334">
        <v>8298541</v>
      </c>
      <c r="CTZ525" s="1334">
        <v>8298541</v>
      </c>
      <c r="CUA525" s="1334">
        <v>8298541</v>
      </c>
      <c r="CUB525" s="1334">
        <v>8298541</v>
      </c>
      <c r="CUC525" s="1334">
        <v>8298541</v>
      </c>
      <c r="CUD525" s="1334">
        <v>8298541</v>
      </c>
      <c r="CUE525" s="1334">
        <v>8298541</v>
      </c>
      <c r="CUF525" s="1334">
        <v>8298541</v>
      </c>
      <c r="CUG525" s="1334">
        <v>8298541</v>
      </c>
      <c r="CUH525" s="1334">
        <v>8298541</v>
      </c>
      <c r="CUI525" s="1334">
        <v>8298541</v>
      </c>
      <c r="CUJ525" s="1334">
        <v>8298541</v>
      </c>
      <c r="CUK525" s="1334">
        <v>8298541</v>
      </c>
      <c r="CUL525" s="1334">
        <v>8298541</v>
      </c>
      <c r="CUM525" s="1334">
        <v>8298541</v>
      </c>
      <c r="CUN525" s="1334">
        <v>8298541</v>
      </c>
      <c r="CUO525" s="1334">
        <v>8298541</v>
      </c>
      <c r="CUP525" s="1334">
        <v>8298541</v>
      </c>
      <c r="CUQ525" s="1334">
        <v>8298541</v>
      </c>
      <c r="CUR525" s="1334">
        <v>8298541</v>
      </c>
      <c r="CUS525" s="1334">
        <v>8298541</v>
      </c>
      <c r="CUT525" s="1334">
        <v>8298541</v>
      </c>
      <c r="CUU525" s="1334">
        <v>8298541</v>
      </c>
      <c r="CUV525" s="1334">
        <v>8298541</v>
      </c>
      <c r="CUW525" s="1334">
        <v>8298541</v>
      </c>
      <c r="CUX525" s="1334">
        <v>8298541</v>
      </c>
      <c r="CUY525" s="1334">
        <v>8298541</v>
      </c>
      <c r="CUZ525" s="1334">
        <v>8298541</v>
      </c>
      <c r="CVA525" s="1334">
        <v>8298541</v>
      </c>
      <c r="CVB525" s="1334">
        <v>8298541</v>
      </c>
      <c r="CVC525" s="1334">
        <v>8298541</v>
      </c>
      <c r="CVD525" s="1334">
        <v>8298541</v>
      </c>
      <c r="CVE525" s="1334">
        <v>8298541</v>
      </c>
      <c r="CVF525" s="1334">
        <v>8298541</v>
      </c>
      <c r="CVG525" s="1334">
        <v>8298541</v>
      </c>
      <c r="CVH525" s="1334">
        <v>8298541</v>
      </c>
      <c r="CVI525" s="1334">
        <v>8298541</v>
      </c>
      <c r="CVJ525" s="1334">
        <v>8298541</v>
      </c>
      <c r="CVK525" s="1334">
        <v>8298541</v>
      </c>
      <c r="CVL525" s="1334">
        <v>8298541</v>
      </c>
      <c r="CVM525" s="1334">
        <v>8298541</v>
      </c>
      <c r="CVN525" s="1334">
        <v>8298541</v>
      </c>
      <c r="CVO525" s="1334">
        <v>8298541</v>
      </c>
      <c r="CVP525" s="1334">
        <v>8298541</v>
      </c>
      <c r="CVQ525" s="1334">
        <v>8298541</v>
      </c>
      <c r="CVR525" s="1334">
        <v>8298541</v>
      </c>
      <c r="CVS525" s="1334">
        <v>8298541</v>
      </c>
      <c r="CVT525" s="1334">
        <v>8298541</v>
      </c>
      <c r="CVU525" s="1334">
        <v>8298541</v>
      </c>
      <c r="CVV525" s="1334">
        <v>8298541</v>
      </c>
      <c r="CVW525" s="1334">
        <v>8298541</v>
      </c>
      <c r="CVX525" s="1334">
        <v>8298541</v>
      </c>
      <c r="CVY525" s="1334">
        <v>8298541</v>
      </c>
      <c r="CVZ525" s="1334">
        <v>8298541</v>
      </c>
      <c r="CWA525" s="1334">
        <v>8298541</v>
      </c>
      <c r="CWB525" s="1334">
        <v>8298541</v>
      </c>
      <c r="CWC525" s="1334">
        <v>8298541</v>
      </c>
      <c r="CWD525" s="1334">
        <v>8298541</v>
      </c>
      <c r="CWE525" s="1334">
        <v>8298541</v>
      </c>
      <c r="CWF525" s="1334">
        <v>8298541</v>
      </c>
      <c r="CWG525" s="1334">
        <v>8298541</v>
      </c>
      <c r="CWH525" s="1334">
        <v>8298541</v>
      </c>
      <c r="CWI525" s="1334">
        <v>8298541</v>
      </c>
      <c r="CWJ525" s="1334">
        <v>8298541</v>
      </c>
      <c r="CWK525" s="1334">
        <v>8298541</v>
      </c>
      <c r="CWL525" s="1334">
        <v>8298541</v>
      </c>
      <c r="CWM525" s="1334">
        <v>8298541</v>
      </c>
      <c r="CWN525" s="1334">
        <v>8298541</v>
      </c>
      <c r="CWO525" s="1334">
        <v>8298541</v>
      </c>
      <c r="CWP525" s="1334">
        <v>8298541</v>
      </c>
      <c r="CWQ525" s="1334">
        <v>8298541</v>
      </c>
      <c r="CWR525" s="1334">
        <v>8298541</v>
      </c>
      <c r="CWS525" s="1334">
        <v>8298541</v>
      </c>
      <c r="CWT525" s="1334">
        <v>8298541</v>
      </c>
      <c r="CWU525" s="1334">
        <v>8298541</v>
      </c>
      <c r="CWV525" s="1334">
        <v>8298541</v>
      </c>
      <c r="CWW525" s="1334">
        <v>8298541</v>
      </c>
      <c r="CWX525" s="1334">
        <v>8298541</v>
      </c>
      <c r="CWY525" s="1334">
        <v>8298541</v>
      </c>
      <c r="CWZ525" s="1334">
        <v>8298541</v>
      </c>
      <c r="CXA525" s="1334">
        <v>8298541</v>
      </c>
      <c r="CXB525" s="1334">
        <v>8298541</v>
      </c>
      <c r="CXC525" s="1334">
        <v>8298541</v>
      </c>
      <c r="CXD525" s="1334">
        <v>8298541</v>
      </c>
      <c r="CXE525" s="1334">
        <v>8298541</v>
      </c>
      <c r="CXF525" s="1334">
        <v>8298541</v>
      </c>
      <c r="CXG525" s="1334">
        <v>8298541</v>
      </c>
      <c r="CXH525" s="1334">
        <v>8298541</v>
      </c>
      <c r="CXI525" s="1334">
        <v>8298541</v>
      </c>
      <c r="CXJ525" s="1334">
        <v>8298541</v>
      </c>
      <c r="CXK525" s="1334">
        <v>8298541</v>
      </c>
      <c r="CXL525" s="1334">
        <v>8298541</v>
      </c>
      <c r="CXM525" s="1334">
        <v>8298541</v>
      </c>
      <c r="CXN525" s="1334">
        <v>8298541</v>
      </c>
      <c r="CXO525" s="1334">
        <v>8298541</v>
      </c>
      <c r="CXP525" s="1334">
        <v>8298541</v>
      </c>
      <c r="CXQ525" s="1334">
        <v>8298541</v>
      </c>
      <c r="CXR525" s="1334">
        <v>8298541</v>
      </c>
      <c r="CXS525" s="1334">
        <v>8298541</v>
      </c>
      <c r="CXT525" s="1334">
        <v>8298541</v>
      </c>
      <c r="CXU525" s="1334">
        <v>8298541</v>
      </c>
      <c r="CXV525" s="1334">
        <v>8298541</v>
      </c>
      <c r="CXW525" s="1334">
        <v>8298541</v>
      </c>
      <c r="CXX525" s="1334">
        <v>8298541</v>
      </c>
      <c r="CXY525" s="1334">
        <v>8298541</v>
      </c>
      <c r="CXZ525" s="1334">
        <v>8298541</v>
      </c>
      <c r="CYA525" s="1334">
        <v>8298541</v>
      </c>
      <c r="CYB525" s="1334">
        <v>8298541</v>
      </c>
      <c r="CYC525" s="1334">
        <v>8298541</v>
      </c>
      <c r="CYD525" s="1334">
        <v>8298541</v>
      </c>
      <c r="CYE525" s="1334">
        <v>8298541</v>
      </c>
      <c r="CYF525" s="1334">
        <v>8298541</v>
      </c>
      <c r="CYG525" s="1334">
        <v>8298541</v>
      </c>
      <c r="CYH525" s="1334">
        <v>8298541</v>
      </c>
      <c r="CYI525" s="1334">
        <v>8298541</v>
      </c>
      <c r="CYJ525" s="1334">
        <v>8298541</v>
      </c>
      <c r="CYK525" s="1334">
        <v>8298541</v>
      </c>
      <c r="CYL525" s="1334">
        <v>8298541</v>
      </c>
      <c r="CYM525" s="1334">
        <v>8298541</v>
      </c>
      <c r="CYN525" s="1334">
        <v>8298541</v>
      </c>
      <c r="CYO525" s="1334">
        <v>8298541</v>
      </c>
      <c r="CYP525" s="1334">
        <v>8298541</v>
      </c>
      <c r="CYQ525" s="1334">
        <v>8298541</v>
      </c>
      <c r="CYR525" s="1334">
        <v>8298541</v>
      </c>
      <c r="CYS525" s="1334">
        <v>8298541</v>
      </c>
      <c r="CYT525" s="1334">
        <v>8298541</v>
      </c>
      <c r="CYU525" s="1334">
        <v>8298541</v>
      </c>
      <c r="CYV525" s="1334">
        <v>8298541</v>
      </c>
      <c r="CYW525" s="1334">
        <v>8298541</v>
      </c>
      <c r="CYX525" s="1334">
        <v>8298541</v>
      </c>
      <c r="CYY525" s="1334">
        <v>8298541</v>
      </c>
      <c r="CYZ525" s="1334">
        <v>8298541</v>
      </c>
      <c r="CZA525" s="1334">
        <v>8298541</v>
      </c>
      <c r="CZB525" s="1334">
        <v>8298541</v>
      </c>
      <c r="CZC525" s="1334">
        <v>8298541</v>
      </c>
      <c r="CZD525" s="1334">
        <v>8298541</v>
      </c>
      <c r="CZE525" s="1334">
        <v>8298541</v>
      </c>
      <c r="CZF525" s="1334">
        <v>8298541</v>
      </c>
      <c r="CZG525" s="1334">
        <v>8298541</v>
      </c>
      <c r="CZH525" s="1334">
        <v>8298541</v>
      </c>
      <c r="CZI525" s="1334">
        <v>8298541</v>
      </c>
      <c r="CZJ525" s="1334">
        <v>8298541</v>
      </c>
      <c r="CZK525" s="1334">
        <v>8298541</v>
      </c>
      <c r="CZL525" s="1334">
        <v>8298541</v>
      </c>
      <c r="CZM525" s="1334">
        <v>8298541</v>
      </c>
      <c r="CZN525" s="1334">
        <v>8298541</v>
      </c>
      <c r="CZO525" s="1334">
        <v>8298541</v>
      </c>
      <c r="CZP525" s="1334">
        <v>8298541</v>
      </c>
      <c r="CZQ525" s="1334">
        <v>8298541</v>
      </c>
      <c r="CZR525" s="1334">
        <v>8298541</v>
      </c>
      <c r="CZS525" s="1334">
        <v>8298541</v>
      </c>
      <c r="CZT525" s="1334">
        <v>8298541</v>
      </c>
      <c r="CZU525" s="1334">
        <v>8298541</v>
      </c>
      <c r="CZV525" s="1334">
        <v>8298541</v>
      </c>
      <c r="CZW525" s="1334">
        <v>8298541</v>
      </c>
      <c r="CZX525" s="1334">
        <v>8298541</v>
      </c>
      <c r="CZY525" s="1334">
        <v>8298541</v>
      </c>
      <c r="CZZ525" s="1334">
        <v>8298541</v>
      </c>
      <c r="DAA525" s="1334">
        <v>8298541</v>
      </c>
      <c r="DAB525" s="1334">
        <v>8298541</v>
      </c>
      <c r="DAC525" s="1334">
        <v>8298541</v>
      </c>
      <c r="DAD525" s="1334">
        <v>8298541</v>
      </c>
      <c r="DAE525" s="1334">
        <v>8298541</v>
      </c>
      <c r="DAF525" s="1334">
        <v>8298541</v>
      </c>
      <c r="DAG525" s="1334">
        <v>8298541</v>
      </c>
      <c r="DAH525" s="1334">
        <v>8298541</v>
      </c>
      <c r="DAI525" s="1334">
        <v>8298541</v>
      </c>
      <c r="DAJ525" s="1334">
        <v>8298541</v>
      </c>
      <c r="DAK525" s="1334">
        <v>8298541</v>
      </c>
      <c r="DAL525" s="1334">
        <v>8298541</v>
      </c>
      <c r="DAM525" s="1334">
        <v>8298541</v>
      </c>
      <c r="DAN525" s="1334">
        <v>8298541</v>
      </c>
      <c r="DAO525" s="1334">
        <v>8298541</v>
      </c>
      <c r="DAP525" s="1334">
        <v>8298541</v>
      </c>
      <c r="DAQ525" s="1334">
        <v>8298541</v>
      </c>
      <c r="DAR525" s="1334">
        <v>8298541</v>
      </c>
      <c r="DAS525" s="1334">
        <v>8298541</v>
      </c>
      <c r="DAT525" s="1334">
        <v>8298541</v>
      </c>
      <c r="DAU525" s="1334">
        <v>8298541</v>
      </c>
      <c r="DAV525" s="1334">
        <v>8298541</v>
      </c>
      <c r="DAW525" s="1334">
        <v>8298541</v>
      </c>
      <c r="DAX525" s="1334">
        <v>8298541</v>
      </c>
      <c r="DAY525" s="1334">
        <v>8298541</v>
      </c>
      <c r="DAZ525" s="1334">
        <v>8298541</v>
      </c>
      <c r="DBA525" s="1334">
        <v>8298541</v>
      </c>
      <c r="DBB525" s="1334">
        <v>8298541</v>
      </c>
      <c r="DBC525" s="1334">
        <v>8298541</v>
      </c>
      <c r="DBD525" s="1334">
        <v>8298541</v>
      </c>
      <c r="DBE525" s="1334">
        <v>8298541</v>
      </c>
      <c r="DBF525" s="1334">
        <v>8298541</v>
      </c>
      <c r="DBG525" s="1334">
        <v>8298541</v>
      </c>
      <c r="DBH525" s="1334">
        <v>8298541</v>
      </c>
      <c r="DBI525" s="1334">
        <v>8298541</v>
      </c>
      <c r="DBJ525" s="1334">
        <v>8298541</v>
      </c>
      <c r="DBK525" s="1334">
        <v>8298541</v>
      </c>
      <c r="DBL525" s="1334">
        <v>8298541</v>
      </c>
      <c r="DBM525" s="1334">
        <v>8298541</v>
      </c>
      <c r="DBN525" s="1334">
        <v>8298541</v>
      </c>
      <c r="DBO525" s="1334">
        <v>8298541</v>
      </c>
      <c r="DBP525" s="1334">
        <v>8298541</v>
      </c>
      <c r="DBQ525" s="1334">
        <v>8298541</v>
      </c>
      <c r="DBR525" s="1334">
        <v>8298541</v>
      </c>
      <c r="DBS525" s="1334">
        <v>8298541</v>
      </c>
      <c r="DBT525" s="1334">
        <v>8298541</v>
      </c>
      <c r="DBU525" s="1334">
        <v>8298541</v>
      </c>
      <c r="DBV525" s="1334">
        <v>8298541</v>
      </c>
      <c r="DBW525" s="1334">
        <v>8298541</v>
      </c>
      <c r="DBX525" s="1334">
        <v>8298541</v>
      </c>
      <c r="DBY525" s="1334">
        <v>8298541</v>
      </c>
      <c r="DBZ525" s="1334">
        <v>8298541</v>
      </c>
      <c r="DCA525" s="1334">
        <v>8298541</v>
      </c>
      <c r="DCB525" s="1334">
        <v>8298541</v>
      </c>
      <c r="DCC525" s="1334">
        <v>8298541</v>
      </c>
      <c r="DCD525" s="1334">
        <v>8298541</v>
      </c>
      <c r="DCE525" s="1334">
        <v>8298541</v>
      </c>
      <c r="DCF525" s="1334">
        <v>8298541</v>
      </c>
      <c r="DCG525" s="1334">
        <v>8298541</v>
      </c>
      <c r="DCH525" s="1334">
        <v>8298541</v>
      </c>
      <c r="DCI525" s="1334">
        <v>8298541</v>
      </c>
      <c r="DCJ525" s="1334">
        <v>8298541</v>
      </c>
      <c r="DCK525" s="1334">
        <v>8298541</v>
      </c>
      <c r="DCL525" s="1334">
        <v>8298541</v>
      </c>
      <c r="DCM525" s="1334">
        <v>8298541</v>
      </c>
      <c r="DCN525" s="1334">
        <v>8298541</v>
      </c>
      <c r="DCO525" s="1334">
        <v>8298541</v>
      </c>
      <c r="DCP525" s="1334">
        <v>8298541</v>
      </c>
      <c r="DCQ525" s="1334">
        <v>8298541</v>
      </c>
      <c r="DCR525" s="1334">
        <v>8298541</v>
      </c>
      <c r="DCS525" s="1334">
        <v>8298541</v>
      </c>
      <c r="DCT525" s="1334">
        <v>8298541</v>
      </c>
      <c r="DCU525" s="1334">
        <v>8298541</v>
      </c>
      <c r="DCV525" s="1334">
        <v>8298541</v>
      </c>
      <c r="DCW525" s="1334">
        <v>8298541</v>
      </c>
      <c r="DCX525" s="1334">
        <v>8298541</v>
      </c>
      <c r="DCY525" s="1334">
        <v>8298541</v>
      </c>
      <c r="DCZ525" s="1334">
        <v>8298541</v>
      </c>
      <c r="DDA525" s="1334">
        <v>8298541</v>
      </c>
      <c r="DDB525" s="1334">
        <v>8298541</v>
      </c>
      <c r="DDC525" s="1334">
        <v>8298541</v>
      </c>
      <c r="DDD525" s="1334">
        <v>8298541</v>
      </c>
      <c r="DDE525" s="1334">
        <v>8298541</v>
      </c>
      <c r="DDF525" s="1334">
        <v>8298541</v>
      </c>
      <c r="DDG525" s="1334">
        <v>8298541</v>
      </c>
      <c r="DDH525" s="1334">
        <v>8298541</v>
      </c>
      <c r="DDI525" s="1334">
        <v>8298541</v>
      </c>
      <c r="DDJ525" s="1334">
        <v>8298541</v>
      </c>
      <c r="DDK525" s="1334">
        <v>8298541</v>
      </c>
      <c r="DDL525" s="1334">
        <v>8298541</v>
      </c>
      <c r="DDM525" s="1334">
        <v>8298541</v>
      </c>
      <c r="DDN525" s="1334">
        <v>8298541</v>
      </c>
      <c r="DDO525" s="1334">
        <v>8298541</v>
      </c>
      <c r="DDP525" s="1334">
        <v>8298541</v>
      </c>
      <c r="DDQ525" s="1334">
        <v>8298541</v>
      </c>
      <c r="DDR525" s="1334">
        <v>8298541</v>
      </c>
      <c r="DDS525" s="1334">
        <v>8298541</v>
      </c>
      <c r="DDT525" s="1334">
        <v>8298541</v>
      </c>
      <c r="DDU525" s="1334">
        <v>8298541</v>
      </c>
      <c r="DDV525" s="1334">
        <v>8298541</v>
      </c>
      <c r="DDW525" s="1334">
        <v>8298541</v>
      </c>
      <c r="DDX525" s="1334">
        <v>8298541</v>
      </c>
      <c r="DDY525" s="1334">
        <v>8298541</v>
      </c>
      <c r="DDZ525" s="1334">
        <v>8298541</v>
      </c>
      <c r="DEA525" s="1334">
        <v>8298541</v>
      </c>
      <c r="DEB525" s="1334">
        <v>8298541</v>
      </c>
      <c r="DEC525" s="1334">
        <v>8298541</v>
      </c>
      <c r="DED525" s="1334">
        <v>8298541</v>
      </c>
      <c r="DEE525" s="1334">
        <v>8298541</v>
      </c>
      <c r="DEF525" s="1334">
        <v>8298541</v>
      </c>
      <c r="DEG525" s="1334">
        <v>8298541</v>
      </c>
      <c r="DEH525" s="1334">
        <v>8298541</v>
      </c>
      <c r="DEI525" s="1334">
        <v>8298541</v>
      </c>
      <c r="DEJ525" s="1334">
        <v>8298541</v>
      </c>
      <c r="DEK525" s="1334">
        <v>8298541</v>
      </c>
      <c r="DEL525" s="1334">
        <v>8298541</v>
      </c>
      <c r="DEM525" s="1334">
        <v>8298541</v>
      </c>
      <c r="DEN525" s="1334">
        <v>8298541</v>
      </c>
      <c r="DEO525" s="1334">
        <v>8298541</v>
      </c>
      <c r="DEP525" s="1334">
        <v>8298541</v>
      </c>
      <c r="DEQ525" s="1334">
        <v>8298541</v>
      </c>
      <c r="DER525" s="1334">
        <v>8298541</v>
      </c>
      <c r="DES525" s="1334">
        <v>8298541</v>
      </c>
      <c r="DET525" s="1334">
        <v>8298541</v>
      </c>
      <c r="DEU525" s="1334">
        <v>8298541</v>
      </c>
      <c r="DEV525" s="1334">
        <v>8298541</v>
      </c>
      <c r="DEW525" s="1334">
        <v>8298541</v>
      </c>
      <c r="DEX525" s="1334">
        <v>8298541</v>
      </c>
      <c r="DEY525" s="1334">
        <v>8298541</v>
      </c>
      <c r="DEZ525" s="1334">
        <v>8298541</v>
      </c>
      <c r="DFA525" s="1334">
        <v>8298541</v>
      </c>
      <c r="DFB525" s="1334">
        <v>8298541</v>
      </c>
      <c r="DFC525" s="1334">
        <v>8298541</v>
      </c>
      <c r="DFD525" s="1334">
        <v>8298541</v>
      </c>
      <c r="DFE525" s="1334">
        <v>8298541</v>
      </c>
      <c r="DFF525" s="1334">
        <v>8298541</v>
      </c>
      <c r="DFG525" s="1334">
        <v>8298541</v>
      </c>
      <c r="DFH525" s="1334">
        <v>8298541</v>
      </c>
      <c r="DFI525" s="1334">
        <v>8298541</v>
      </c>
      <c r="DFJ525" s="1334">
        <v>8298541</v>
      </c>
      <c r="DFK525" s="1334">
        <v>8298541</v>
      </c>
      <c r="DFL525" s="1334">
        <v>8298541</v>
      </c>
      <c r="DFM525" s="1334">
        <v>8298541</v>
      </c>
      <c r="DFN525" s="1334">
        <v>8298541</v>
      </c>
      <c r="DFO525" s="1334">
        <v>8298541</v>
      </c>
      <c r="DFP525" s="1334">
        <v>8298541</v>
      </c>
      <c r="DFQ525" s="1334">
        <v>8298541</v>
      </c>
      <c r="DFR525" s="1334">
        <v>8298541</v>
      </c>
      <c r="DFS525" s="1334">
        <v>8298541</v>
      </c>
      <c r="DFT525" s="1334">
        <v>8298541</v>
      </c>
      <c r="DFU525" s="1334">
        <v>8298541</v>
      </c>
      <c r="DFV525" s="1334">
        <v>8298541</v>
      </c>
      <c r="DFW525" s="1334">
        <v>8298541</v>
      </c>
      <c r="DFX525" s="1334">
        <v>8298541</v>
      </c>
      <c r="DFY525" s="1334">
        <v>8298541</v>
      </c>
      <c r="DFZ525" s="1334">
        <v>8298541</v>
      </c>
      <c r="DGA525" s="1334">
        <v>8298541</v>
      </c>
      <c r="DGB525" s="1334">
        <v>8298541</v>
      </c>
      <c r="DGC525" s="1334">
        <v>8298541</v>
      </c>
      <c r="DGD525" s="1334">
        <v>8298541</v>
      </c>
      <c r="DGE525" s="1334">
        <v>8298541</v>
      </c>
      <c r="DGF525" s="1334">
        <v>8298541</v>
      </c>
      <c r="DGG525" s="1334">
        <v>8298541</v>
      </c>
      <c r="DGH525" s="1334">
        <v>8298541</v>
      </c>
      <c r="DGI525" s="1334">
        <v>8298541</v>
      </c>
      <c r="DGJ525" s="1334">
        <v>8298541</v>
      </c>
      <c r="DGK525" s="1334">
        <v>8298541</v>
      </c>
      <c r="DGL525" s="1334">
        <v>8298541</v>
      </c>
      <c r="DGM525" s="1334">
        <v>8298541</v>
      </c>
      <c r="DGN525" s="1334">
        <v>8298541</v>
      </c>
      <c r="DGO525" s="1334">
        <v>8298541</v>
      </c>
      <c r="DGP525" s="1334">
        <v>8298541</v>
      </c>
      <c r="DGQ525" s="1334">
        <v>8298541</v>
      </c>
      <c r="DGR525" s="1334">
        <v>8298541</v>
      </c>
      <c r="DGS525" s="1334">
        <v>8298541</v>
      </c>
      <c r="DGT525" s="1334">
        <v>8298541</v>
      </c>
      <c r="DGU525" s="1334">
        <v>8298541</v>
      </c>
      <c r="DGV525" s="1334">
        <v>8298541</v>
      </c>
      <c r="DGW525" s="1334">
        <v>8298541</v>
      </c>
      <c r="DGX525" s="1334">
        <v>8298541</v>
      </c>
      <c r="DGY525" s="1334">
        <v>8298541</v>
      </c>
      <c r="DGZ525" s="1334">
        <v>8298541</v>
      </c>
      <c r="DHA525" s="1334">
        <v>8298541</v>
      </c>
      <c r="DHB525" s="1334">
        <v>8298541</v>
      </c>
      <c r="DHC525" s="1334">
        <v>8298541</v>
      </c>
      <c r="DHD525" s="1334">
        <v>8298541</v>
      </c>
      <c r="DHE525" s="1334">
        <v>8298541</v>
      </c>
      <c r="DHF525" s="1334">
        <v>8298541</v>
      </c>
      <c r="DHG525" s="1334">
        <v>8298541</v>
      </c>
      <c r="DHH525" s="1334">
        <v>8298541</v>
      </c>
      <c r="DHI525" s="1334">
        <v>8298541</v>
      </c>
      <c r="DHJ525" s="1334">
        <v>8298541</v>
      </c>
      <c r="DHK525" s="1334">
        <v>8298541</v>
      </c>
      <c r="DHL525" s="1334">
        <v>8298541</v>
      </c>
      <c r="DHM525" s="1334">
        <v>8298541</v>
      </c>
      <c r="DHN525" s="1334">
        <v>8298541</v>
      </c>
      <c r="DHO525" s="1334">
        <v>8298541</v>
      </c>
      <c r="DHP525" s="1334">
        <v>8298541</v>
      </c>
      <c r="DHQ525" s="1334">
        <v>8298541</v>
      </c>
      <c r="DHR525" s="1334">
        <v>8298541</v>
      </c>
      <c r="DHS525" s="1334">
        <v>8298541</v>
      </c>
      <c r="DHT525" s="1334">
        <v>8298541</v>
      </c>
      <c r="DHU525" s="1334">
        <v>8298541</v>
      </c>
      <c r="DHV525" s="1334">
        <v>8298541</v>
      </c>
      <c r="DHW525" s="1334">
        <v>8298541</v>
      </c>
      <c r="DHX525" s="1334">
        <v>8298541</v>
      </c>
      <c r="DHY525" s="1334">
        <v>8298541</v>
      </c>
      <c r="DHZ525" s="1334">
        <v>8298541</v>
      </c>
      <c r="DIA525" s="1334">
        <v>8298541</v>
      </c>
      <c r="DIB525" s="1334">
        <v>8298541</v>
      </c>
      <c r="DIC525" s="1334">
        <v>8298541</v>
      </c>
      <c r="DID525" s="1334">
        <v>8298541</v>
      </c>
      <c r="DIE525" s="1334">
        <v>8298541</v>
      </c>
      <c r="DIF525" s="1334">
        <v>8298541</v>
      </c>
      <c r="DIG525" s="1334">
        <v>8298541</v>
      </c>
      <c r="DIH525" s="1334">
        <v>8298541</v>
      </c>
      <c r="DII525" s="1334">
        <v>8298541</v>
      </c>
      <c r="DIJ525" s="1334">
        <v>8298541</v>
      </c>
      <c r="DIK525" s="1334">
        <v>8298541</v>
      </c>
      <c r="DIL525" s="1334">
        <v>8298541</v>
      </c>
      <c r="DIM525" s="1334">
        <v>8298541</v>
      </c>
      <c r="DIN525" s="1334">
        <v>8298541</v>
      </c>
      <c r="DIO525" s="1334">
        <v>8298541</v>
      </c>
      <c r="DIP525" s="1334">
        <v>8298541</v>
      </c>
      <c r="DIQ525" s="1334">
        <v>8298541</v>
      </c>
      <c r="DIR525" s="1334">
        <v>8298541</v>
      </c>
      <c r="DIS525" s="1334">
        <v>8298541</v>
      </c>
      <c r="DIT525" s="1334">
        <v>8298541</v>
      </c>
      <c r="DIU525" s="1334">
        <v>8298541</v>
      </c>
      <c r="DIV525" s="1334">
        <v>8298541</v>
      </c>
      <c r="DIW525" s="1334">
        <v>8298541</v>
      </c>
      <c r="DIX525" s="1334">
        <v>8298541</v>
      </c>
      <c r="DIY525" s="1334">
        <v>8298541</v>
      </c>
      <c r="DIZ525" s="1334">
        <v>8298541</v>
      </c>
      <c r="DJA525" s="1334">
        <v>8298541</v>
      </c>
      <c r="DJB525" s="1334">
        <v>8298541</v>
      </c>
      <c r="DJC525" s="1334">
        <v>8298541</v>
      </c>
      <c r="DJD525" s="1334">
        <v>8298541</v>
      </c>
      <c r="DJE525" s="1334">
        <v>8298541</v>
      </c>
      <c r="DJF525" s="1334">
        <v>8298541</v>
      </c>
      <c r="DJG525" s="1334">
        <v>8298541</v>
      </c>
      <c r="DJH525" s="1334">
        <v>8298541</v>
      </c>
      <c r="DJI525" s="1334">
        <v>8298541</v>
      </c>
      <c r="DJJ525" s="1334">
        <v>8298541</v>
      </c>
      <c r="DJK525" s="1334">
        <v>8298541</v>
      </c>
      <c r="DJL525" s="1334">
        <v>8298541</v>
      </c>
      <c r="DJM525" s="1334">
        <v>8298541</v>
      </c>
      <c r="DJN525" s="1334">
        <v>8298541</v>
      </c>
      <c r="DJO525" s="1334">
        <v>8298541</v>
      </c>
      <c r="DJP525" s="1334">
        <v>8298541</v>
      </c>
      <c r="DJQ525" s="1334">
        <v>8298541</v>
      </c>
      <c r="DJR525" s="1334">
        <v>8298541</v>
      </c>
      <c r="DJS525" s="1334">
        <v>8298541</v>
      </c>
      <c r="DJT525" s="1334">
        <v>8298541</v>
      </c>
      <c r="DJU525" s="1334">
        <v>8298541</v>
      </c>
      <c r="DJV525" s="1334">
        <v>8298541</v>
      </c>
      <c r="DJW525" s="1334">
        <v>8298541</v>
      </c>
      <c r="DJX525" s="1334">
        <v>8298541</v>
      </c>
      <c r="DJY525" s="1334">
        <v>8298541</v>
      </c>
      <c r="DJZ525" s="1334">
        <v>8298541</v>
      </c>
      <c r="DKA525" s="1334">
        <v>8298541</v>
      </c>
      <c r="DKB525" s="1334">
        <v>8298541</v>
      </c>
      <c r="DKC525" s="1334">
        <v>8298541</v>
      </c>
      <c r="DKD525" s="1334">
        <v>8298541</v>
      </c>
      <c r="DKE525" s="1334">
        <v>8298541</v>
      </c>
      <c r="DKF525" s="1334">
        <v>8298541</v>
      </c>
      <c r="DKG525" s="1334">
        <v>8298541</v>
      </c>
      <c r="DKH525" s="1334">
        <v>8298541</v>
      </c>
      <c r="DKI525" s="1334">
        <v>8298541</v>
      </c>
      <c r="DKJ525" s="1334">
        <v>8298541</v>
      </c>
      <c r="DKK525" s="1334">
        <v>8298541</v>
      </c>
      <c r="DKL525" s="1334">
        <v>8298541</v>
      </c>
      <c r="DKM525" s="1334">
        <v>8298541</v>
      </c>
      <c r="DKN525" s="1334">
        <v>8298541</v>
      </c>
      <c r="DKO525" s="1334">
        <v>8298541</v>
      </c>
      <c r="DKP525" s="1334">
        <v>8298541</v>
      </c>
      <c r="DKQ525" s="1334">
        <v>8298541</v>
      </c>
      <c r="DKR525" s="1334">
        <v>8298541</v>
      </c>
      <c r="DKS525" s="1334">
        <v>8298541</v>
      </c>
      <c r="DKT525" s="1334">
        <v>8298541</v>
      </c>
      <c r="DKU525" s="1334">
        <v>8298541</v>
      </c>
      <c r="DKV525" s="1334">
        <v>8298541</v>
      </c>
      <c r="DKW525" s="1334">
        <v>8298541</v>
      </c>
      <c r="DKX525" s="1334">
        <v>8298541</v>
      </c>
      <c r="DKY525" s="1334">
        <v>8298541</v>
      </c>
      <c r="DKZ525" s="1334">
        <v>8298541</v>
      </c>
      <c r="DLA525" s="1334">
        <v>8298541</v>
      </c>
      <c r="DLB525" s="1334">
        <v>8298541</v>
      </c>
      <c r="DLC525" s="1334">
        <v>8298541</v>
      </c>
      <c r="DLD525" s="1334">
        <v>8298541</v>
      </c>
      <c r="DLE525" s="1334">
        <v>8298541</v>
      </c>
      <c r="DLF525" s="1334">
        <v>8298541</v>
      </c>
      <c r="DLG525" s="1334">
        <v>8298541</v>
      </c>
      <c r="DLH525" s="1334">
        <v>8298541</v>
      </c>
      <c r="DLI525" s="1334">
        <v>8298541</v>
      </c>
      <c r="DLJ525" s="1334">
        <v>8298541</v>
      </c>
      <c r="DLK525" s="1334">
        <v>8298541</v>
      </c>
      <c r="DLL525" s="1334">
        <v>8298541</v>
      </c>
      <c r="DLM525" s="1334">
        <v>8298541</v>
      </c>
      <c r="DLN525" s="1334">
        <v>8298541</v>
      </c>
      <c r="DLO525" s="1334">
        <v>8298541</v>
      </c>
      <c r="DLP525" s="1334">
        <v>8298541</v>
      </c>
      <c r="DLQ525" s="1334">
        <v>8298541</v>
      </c>
      <c r="DLR525" s="1334">
        <v>8298541</v>
      </c>
      <c r="DLS525" s="1334">
        <v>8298541</v>
      </c>
      <c r="DLT525" s="1334">
        <v>8298541</v>
      </c>
      <c r="DLU525" s="1334">
        <v>8298541</v>
      </c>
      <c r="DLV525" s="1334">
        <v>8298541</v>
      </c>
      <c r="DLW525" s="1334">
        <v>8298541</v>
      </c>
      <c r="DLX525" s="1334">
        <v>8298541</v>
      </c>
      <c r="DLY525" s="1334">
        <v>8298541</v>
      </c>
      <c r="DLZ525" s="1334">
        <v>8298541</v>
      </c>
      <c r="DMA525" s="1334">
        <v>8298541</v>
      </c>
      <c r="DMB525" s="1334">
        <v>8298541</v>
      </c>
      <c r="DMC525" s="1334">
        <v>8298541</v>
      </c>
      <c r="DMD525" s="1334">
        <v>8298541</v>
      </c>
      <c r="DME525" s="1334">
        <v>8298541</v>
      </c>
      <c r="DMF525" s="1334">
        <v>8298541</v>
      </c>
      <c r="DMG525" s="1334">
        <v>8298541</v>
      </c>
      <c r="DMH525" s="1334">
        <v>8298541</v>
      </c>
      <c r="DMI525" s="1334">
        <v>8298541</v>
      </c>
      <c r="DMJ525" s="1334">
        <v>8298541</v>
      </c>
      <c r="DMK525" s="1334">
        <v>8298541</v>
      </c>
      <c r="DML525" s="1334">
        <v>8298541</v>
      </c>
      <c r="DMM525" s="1334">
        <v>8298541</v>
      </c>
      <c r="DMN525" s="1334">
        <v>8298541</v>
      </c>
      <c r="DMO525" s="1334">
        <v>8298541</v>
      </c>
      <c r="DMP525" s="1334">
        <v>8298541</v>
      </c>
      <c r="DMQ525" s="1334">
        <v>8298541</v>
      </c>
      <c r="DMR525" s="1334">
        <v>8298541</v>
      </c>
      <c r="DMS525" s="1334">
        <v>8298541</v>
      </c>
      <c r="DMT525" s="1334">
        <v>8298541</v>
      </c>
      <c r="DMU525" s="1334">
        <v>8298541</v>
      </c>
      <c r="DMV525" s="1334">
        <v>8298541</v>
      </c>
      <c r="DMW525" s="1334">
        <v>8298541</v>
      </c>
      <c r="DMX525" s="1334">
        <v>8298541</v>
      </c>
      <c r="DMY525" s="1334">
        <v>8298541</v>
      </c>
      <c r="DMZ525" s="1334">
        <v>8298541</v>
      </c>
      <c r="DNA525" s="1334">
        <v>8298541</v>
      </c>
      <c r="DNB525" s="1334">
        <v>8298541</v>
      </c>
      <c r="DNC525" s="1334">
        <v>8298541</v>
      </c>
      <c r="DND525" s="1334">
        <v>8298541</v>
      </c>
      <c r="DNE525" s="1334">
        <v>8298541</v>
      </c>
      <c r="DNF525" s="1334">
        <v>8298541</v>
      </c>
      <c r="DNG525" s="1334">
        <v>8298541</v>
      </c>
      <c r="DNH525" s="1334">
        <v>8298541</v>
      </c>
      <c r="DNI525" s="1334">
        <v>8298541</v>
      </c>
      <c r="DNJ525" s="1334">
        <v>8298541</v>
      </c>
      <c r="DNK525" s="1334">
        <v>8298541</v>
      </c>
      <c r="DNL525" s="1334">
        <v>8298541</v>
      </c>
      <c r="DNM525" s="1334">
        <v>8298541</v>
      </c>
      <c r="DNN525" s="1334">
        <v>8298541</v>
      </c>
      <c r="DNO525" s="1334">
        <v>8298541</v>
      </c>
      <c r="DNP525" s="1334">
        <v>8298541</v>
      </c>
      <c r="DNQ525" s="1334">
        <v>8298541</v>
      </c>
      <c r="DNR525" s="1334">
        <v>8298541</v>
      </c>
      <c r="DNS525" s="1334">
        <v>8298541</v>
      </c>
      <c r="DNT525" s="1334">
        <v>8298541</v>
      </c>
      <c r="DNU525" s="1334">
        <v>8298541</v>
      </c>
      <c r="DNV525" s="1334">
        <v>8298541</v>
      </c>
      <c r="DNW525" s="1334">
        <v>8298541</v>
      </c>
      <c r="DNX525" s="1334">
        <v>8298541</v>
      </c>
      <c r="DNY525" s="1334">
        <v>8298541</v>
      </c>
      <c r="DNZ525" s="1334">
        <v>8298541</v>
      </c>
      <c r="DOA525" s="1334">
        <v>8298541</v>
      </c>
      <c r="DOB525" s="1334">
        <v>8298541</v>
      </c>
      <c r="DOC525" s="1334">
        <v>8298541</v>
      </c>
      <c r="DOD525" s="1334">
        <v>8298541</v>
      </c>
      <c r="DOE525" s="1334">
        <v>8298541</v>
      </c>
      <c r="DOF525" s="1334">
        <v>8298541</v>
      </c>
      <c r="DOG525" s="1334">
        <v>8298541</v>
      </c>
      <c r="DOH525" s="1334">
        <v>8298541</v>
      </c>
      <c r="DOI525" s="1334">
        <v>8298541</v>
      </c>
      <c r="DOJ525" s="1334">
        <v>8298541</v>
      </c>
      <c r="DOK525" s="1334">
        <v>8298541</v>
      </c>
      <c r="DOL525" s="1334">
        <v>8298541</v>
      </c>
      <c r="DOM525" s="1334">
        <v>8298541</v>
      </c>
      <c r="DON525" s="1334">
        <v>8298541</v>
      </c>
      <c r="DOO525" s="1334">
        <v>8298541</v>
      </c>
      <c r="DOP525" s="1334">
        <v>8298541</v>
      </c>
      <c r="DOQ525" s="1334">
        <v>8298541</v>
      </c>
      <c r="DOR525" s="1334">
        <v>8298541</v>
      </c>
      <c r="DOS525" s="1334">
        <v>8298541</v>
      </c>
      <c r="DOT525" s="1334">
        <v>8298541</v>
      </c>
      <c r="DOU525" s="1334">
        <v>8298541</v>
      </c>
      <c r="DOV525" s="1334">
        <v>8298541</v>
      </c>
      <c r="DOW525" s="1334">
        <v>8298541</v>
      </c>
      <c r="DOX525" s="1334">
        <v>8298541</v>
      </c>
      <c r="DOY525" s="1334">
        <v>8298541</v>
      </c>
      <c r="DOZ525" s="1334">
        <v>8298541</v>
      </c>
      <c r="DPA525" s="1334">
        <v>8298541</v>
      </c>
      <c r="DPB525" s="1334">
        <v>8298541</v>
      </c>
      <c r="DPC525" s="1334">
        <v>8298541</v>
      </c>
      <c r="DPD525" s="1334">
        <v>8298541</v>
      </c>
      <c r="DPE525" s="1334">
        <v>8298541</v>
      </c>
      <c r="DPF525" s="1334">
        <v>8298541</v>
      </c>
      <c r="DPG525" s="1334">
        <v>8298541</v>
      </c>
      <c r="DPH525" s="1334">
        <v>8298541</v>
      </c>
      <c r="DPI525" s="1334">
        <v>8298541</v>
      </c>
      <c r="DPJ525" s="1334">
        <v>8298541</v>
      </c>
      <c r="DPK525" s="1334">
        <v>8298541</v>
      </c>
      <c r="DPL525" s="1334">
        <v>8298541</v>
      </c>
      <c r="DPM525" s="1334">
        <v>8298541</v>
      </c>
      <c r="DPN525" s="1334">
        <v>8298541</v>
      </c>
      <c r="DPO525" s="1334">
        <v>8298541</v>
      </c>
      <c r="DPP525" s="1334">
        <v>8298541</v>
      </c>
      <c r="DPQ525" s="1334">
        <v>8298541</v>
      </c>
      <c r="DPR525" s="1334">
        <v>8298541</v>
      </c>
      <c r="DPS525" s="1334">
        <v>8298541</v>
      </c>
      <c r="DPT525" s="1334">
        <v>8298541</v>
      </c>
      <c r="DPU525" s="1334">
        <v>8298541</v>
      </c>
      <c r="DPV525" s="1334">
        <v>8298541</v>
      </c>
      <c r="DPW525" s="1334">
        <v>8298541</v>
      </c>
      <c r="DPX525" s="1334">
        <v>8298541</v>
      </c>
      <c r="DPY525" s="1334">
        <v>8298541</v>
      </c>
      <c r="DPZ525" s="1334">
        <v>8298541</v>
      </c>
      <c r="DQA525" s="1334">
        <v>8298541</v>
      </c>
      <c r="DQB525" s="1334">
        <v>8298541</v>
      </c>
      <c r="DQC525" s="1334">
        <v>8298541</v>
      </c>
      <c r="DQD525" s="1334">
        <v>8298541</v>
      </c>
      <c r="DQE525" s="1334">
        <v>8298541</v>
      </c>
      <c r="DQF525" s="1334">
        <v>8298541</v>
      </c>
      <c r="DQG525" s="1334">
        <v>8298541</v>
      </c>
      <c r="DQH525" s="1334">
        <v>8298541</v>
      </c>
      <c r="DQI525" s="1334">
        <v>8298541</v>
      </c>
      <c r="DQJ525" s="1334">
        <v>8298541</v>
      </c>
      <c r="DQK525" s="1334">
        <v>8298541</v>
      </c>
      <c r="DQL525" s="1334">
        <v>8298541</v>
      </c>
      <c r="DQM525" s="1334">
        <v>8298541</v>
      </c>
      <c r="DQN525" s="1334">
        <v>8298541</v>
      </c>
      <c r="DQO525" s="1334">
        <v>8298541</v>
      </c>
      <c r="DQP525" s="1334">
        <v>8298541</v>
      </c>
      <c r="DQQ525" s="1334">
        <v>8298541</v>
      </c>
      <c r="DQR525" s="1334">
        <v>8298541</v>
      </c>
      <c r="DQS525" s="1334">
        <v>8298541</v>
      </c>
      <c r="DQT525" s="1334">
        <v>8298541</v>
      </c>
      <c r="DQU525" s="1334">
        <v>8298541</v>
      </c>
      <c r="DQV525" s="1334">
        <v>8298541</v>
      </c>
      <c r="DQW525" s="1334">
        <v>8298541</v>
      </c>
      <c r="DQX525" s="1334">
        <v>8298541</v>
      </c>
      <c r="DQY525" s="1334">
        <v>8298541</v>
      </c>
      <c r="DQZ525" s="1334">
        <v>8298541</v>
      </c>
      <c r="DRA525" s="1334">
        <v>8298541</v>
      </c>
      <c r="DRB525" s="1334">
        <v>8298541</v>
      </c>
      <c r="DRC525" s="1334">
        <v>8298541</v>
      </c>
      <c r="DRD525" s="1334">
        <v>8298541</v>
      </c>
      <c r="DRE525" s="1334">
        <v>8298541</v>
      </c>
      <c r="DRF525" s="1334">
        <v>8298541</v>
      </c>
      <c r="DRG525" s="1334">
        <v>8298541</v>
      </c>
      <c r="DRH525" s="1334">
        <v>8298541</v>
      </c>
      <c r="DRI525" s="1334">
        <v>8298541</v>
      </c>
      <c r="DRJ525" s="1334">
        <v>8298541</v>
      </c>
      <c r="DRK525" s="1334">
        <v>8298541</v>
      </c>
      <c r="DRL525" s="1334">
        <v>8298541</v>
      </c>
      <c r="DRM525" s="1334">
        <v>8298541</v>
      </c>
      <c r="DRN525" s="1334">
        <v>8298541</v>
      </c>
      <c r="DRO525" s="1334">
        <v>8298541</v>
      </c>
      <c r="DRP525" s="1334">
        <v>8298541</v>
      </c>
      <c r="DRQ525" s="1334">
        <v>8298541</v>
      </c>
      <c r="DRR525" s="1334">
        <v>8298541</v>
      </c>
      <c r="DRS525" s="1334">
        <v>8298541</v>
      </c>
      <c r="DRT525" s="1334">
        <v>8298541</v>
      </c>
      <c r="DRU525" s="1334">
        <v>8298541</v>
      </c>
      <c r="DRV525" s="1334">
        <v>8298541</v>
      </c>
      <c r="DRW525" s="1334">
        <v>8298541</v>
      </c>
      <c r="DRX525" s="1334">
        <v>8298541</v>
      </c>
      <c r="DRY525" s="1334">
        <v>8298541</v>
      </c>
      <c r="DRZ525" s="1334">
        <v>8298541</v>
      </c>
      <c r="DSA525" s="1334">
        <v>8298541</v>
      </c>
      <c r="DSB525" s="1334">
        <v>8298541</v>
      </c>
      <c r="DSC525" s="1334">
        <v>8298541</v>
      </c>
      <c r="DSD525" s="1334">
        <v>8298541</v>
      </c>
      <c r="DSE525" s="1334">
        <v>8298541</v>
      </c>
      <c r="DSF525" s="1334">
        <v>8298541</v>
      </c>
      <c r="DSG525" s="1334">
        <v>8298541</v>
      </c>
      <c r="DSH525" s="1334">
        <v>8298541</v>
      </c>
      <c r="DSI525" s="1334">
        <v>8298541</v>
      </c>
      <c r="DSJ525" s="1334">
        <v>8298541</v>
      </c>
      <c r="DSK525" s="1334">
        <v>8298541</v>
      </c>
      <c r="DSL525" s="1334">
        <v>8298541</v>
      </c>
      <c r="DSM525" s="1334">
        <v>8298541</v>
      </c>
      <c r="DSN525" s="1334">
        <v>8298541</v>
      </c>
      <c r="DSO525" s="1334">
        <v>8298541</v>
      </c>
      <c r="DSP525" s="1334">
        <v>8298541</v>
      </c>
      <c r="DSQ525" s="1334">
        <v>8298541</v>
      </c>
      <c r="DSR525" s="1334">
        <v>8298541</v>
      </c>
      <c r="DSS525" s="1334">
        <v>8298541</v>
      </c>
      <c r="DST525" s="1334">
        <v>8298541</v>
      </c>
      <c r="DSU525" s="1334">
        <v>8298541</v>
      </c>
      <c r="DSV525" s="1334">
        <v>8298541</v>
      </c>
      <c r="DSW525" s="1334">
        <v>8298541</v>
      </c>
      <c r="DSX525" s="1334">
        <v>8298541</v>
      </c>
      <c r="DSY525" s="1334">
        <v>8298541</v>
      </c>
      <c r="DSZ525" s="1334">
        <v>8298541</v>
      </c>
      <c r="DTA525" s="1334">
        <v>8298541</v>
      </c>
      <c r="DTB525" s="1334">
        <v>8298541</v>
      </c>
      <c r="DTC525" s="1334">
        <v>8298541</v>
      </c>
      <c r="DTD525" s="1334">
        <v>8298541</v>
      </c>
      <c r="DTE525" s="1334">
        <v>8298541</v>
      </c>
      <c r="DTF525" s="1334">
        <v>8298541</v>
      </c>
      <c r="DTG525" s="1334">
        <v>8298541</v>
      </c>
      <c r="DTH525" s="1334">
        <v>8298541</v>
      </c>
      <c r="DTI525" s="1334">
        <v>8298541</v>
      </c>
      <c r="DTJ525" s="1334">
        <v>8298541</v>
      </c>
      <c r="DTK525" s="1334">
        <v>8298541</v>
      </c>
      <c r="DTL525" s="1334">
        <v>8298541</v>
      </c>
      <c r="DTM525" s="1334">
        <v>8298541</v>
      </c>
      <c r="DTN525" s="1334">
        <v>8298541</v>
      </c>
      <c r="DTO525" s="1334">
        <v>8298541</v>
      </c>
      <c r="DTP525" s="1334">
        <v>8298541</v>
      </c>
      <c r="DTQ525" s="1334">
        <v>8298541</v>
      </c>
      <c r="DTR525" s="1334">
        <v>8298541</v>
      </c>
      <c r="DTS525" s="1334">
        <v>8298541</v>
      </c>
      <c r="DTT525" s="1334">
        <v>8298541</v>
      </c>
      <c r="DTU525" s="1334">
        <v>8298541</v>
      </c>
      <c r="DTV525" s="1334">
        <v>8298541</v>
      </c>
      <c r="DTW525" s="1334">
        <v>8298541</v>
      </c>
      <c r="DTX525" s="1334">
        <v>8298541</v>
      </c>
      <c r="DTY525" s="1334">
        <v>8298541</v>
      </c>
      <c r="DTZ525" s="1334">
        <v>8298541</v>
      </c>
      <c r="DUA525" s="1334">
        <v>8298541</v>
      </c>
      <c r="DUB525" s="1334">
        <v>8298541</v>
      </c>
      <c r="DUC525" s="1334">
        <v>8298541</v>
      </c>
      <c r="DUD525" s="1334">
        <v>8298541</v>
      </c>
      <c r="DUE525" s="1334">
        <v>8298541</v>
      </c>
      <c r="DUF525" s="1334">
        <v>8298541</v>
      </c>
      <c r="DUG525" s="1334">
        <v>8298541</v>
      </c>
      <c r="DUH525" s="1334">
        <v>8298541</v>
      </c>
      <c r="DUI525" s="1334">
        <v>8298541</v>
      </c>
      <c r="DUJ525" s="1334">
        <v>8298541</v>
      </c>
      <c r="DUK525" s="1334">
        <v>8298541</v>
      </c>
      <c r="DUL525" s="1334">
        <v>8298541</v>
      </c>
      <c r="DUM525" s="1334">
        <v>8298541</v>
      </c>
      <c r="DUN525" s="1334">
        <v>8298541</v>
      </c>
      <c r="DUO525" s="1334">
        <v>8298541</v>
      </c>
      <c r="DUP525" s="1334">
        <v>8298541</v>
      </c>
      <c r="DUQ525" s="1334">
        <v>8298541</v>
      </c>
      <c r="DUR525" s="1334">
        <v>8298541</v>
      </c>
      <c r="DUS525" s="1334">
        <v>8298541</v>
      </c>
      <c r="DUT525" s="1334">
        <v>8298541</v>
      </c>
      <c r="DUU525" s="1334">
        <v>8298541</v>
      </c>
      <c r="DUV525" s="1334">
        <v>8298541</v>
      </c>
      <c r="DUW525" s="1334">
        <v>8298541</v>
      </c>
      <c r="DUX525" s="1334">
        <v>8298541</v>
      </c>
      <c r="DUY525" s="1334">
        <v>8298541</v>
      </c>
      <c r="DUZ525" s="1334">
        <v>8298541</v>
      </c>
      <c r="DVA525" s="1334">
        <v>8298541</v>
      </c>
      <c r="DVB525" s="1334">
        <v>8298541</v>
      </c>
      <c r="DVC525" s="1334">
        <v>8298541</v>
      </c>
      <c r="DVD525" s="1334">
        <v>8298541</v>
      </c>
      <c r="DVE525" s="1334">
        <v>8298541</v>
      </c>
      <c r="DVF525" s="1334">
        <v>8298541</v>
      </c>
      <c r="DVG525" s="1334">
        <v>8298541</v>
      </c>
      <c r="DVH525" s="1334">
        <v>8298541</v>
      </c>
      <c r="DVI525" s="1334">
        <v>8298541</v>
      </c>
      <c r="DVJ525" s="1334">
        <v>8298541</v>
      </c>
      <c r="DVK525" s="1334">
        <v>8298541</v>
      </c>
      <c r="DVL525" s="1334">
        <v>8298541</v>
      </c>
      <c r="DVM525" s="1334">
        <v>8298541</v>
      </c>
      <c r="DVN525" s="1334">
        <v>8298541</v>
      </c>
      <c r="DVO525" s="1334">
        <v>8298541</v>
      </c>
      <c r="DVP525" s="1334">
        <v>8298541</v>
      </c>
      <c r="DVQ525" s="1334">
        <v>8298541</v>
      </c>
      <c r="DVR525" s="1334">
        <v>8298541</v>
      </c>
      <c r="DVS525" s="1334">
        <v>8298541</v>
      </c>
      <c r="DVT525" s="1334">
        <v>8298541</v>
      </c>
      <c r="DVU525" s="1334">
        <v>8298541</v>
      </c>
      <c r="DVV525" s="1334">
        <v>8298541</v>
      </c>
      <c r="DVW525" s="1334">
        <v>8298541</v>
      </c>
      <c r="DVX525" s="1334">
        <v>8298541</v>
      </c>
      <c r="DVY525" s="1334">
        <v>8298541</v>
      </c>
      <c r="DVZ525" s="1334">
        <v>8298541</v>
      </c>
      <c r="DWA525" s="1334">
        <v>8298541</v>
      </c>
      <c r="DWB525" s="1334">
        <v>8298541</v>
      </c>
      <c r="DWC525" s="1334">
        <v>8298541</v>
      </c>
      <c r="DWD525" s="1334">
        <v>8298541</v>
      </c>
      <c r="DWE525" s="1334">
        <v>8298541</v>
      </c>
      <c r="DWF525" s="1334">
        <v>8298541</v>
      </c>
      <c r="DWG525" s="1334">
        <v>8298541</v>
      </c>
      <c r="DWH525" s="1334">
        <v>8298541</v>
      </c>
      <c r="DWI525" s="1334">
        <v>8298541</v>
      </c>
      <c r="DWJ525" s="1334">
        <v>8298541</v>
      </c>
      <c r="DWK525" s="1334">
        <v>8298541</v>
      </c>
      <c r="DWL525" s="1334">
        <v>8298541</v>
      </c>
      <c r="DWM525" s="1334">
        <v>8298541</v>
      </c>
      <c r="DWN525" s="1334">
        <v>8298541</v>
      </c>
      <c r="DWO525" s="1334">
        <v>8298541</v>
      </c>
      <c r="DWP525" s="1334">
        <v>8298541</v>
      </c>
      <c r="DWQ525" s="1334">
        <v>8298541</v>
      </c>
      <c r="DWR525" s="1334">
        <v>8298541</v>
      </c>
      <c r="DWS525" s="1334">
        <v>8298541</v>
      </c>
      <c r="DWT525" s="1334">
        <v>8298541</v>
      </c>
      <c r="DWU525" s="1334">
        <v>8298541</v>
      </c>
      <c r="DWV525" s="1334">
        <v>8298541</v>
      </c>
      <c r="DWW525" s="1334">
        <v>8298541</v>
      </c>
      <c r="DWX525" s="1334">
        <v>8298541</v>
      </c>
      <c r="DWY525" s="1334">
        <v>8298541</v>
      </c>
      <c r="DWZ525" s="1334">
        <v>8298541</v>
      </c>
      <c r="DXA525" s="1334">
        <v>8298541</v>
      </c>
      <c r="DXB525" s="1334">
        <v>8298541</v>
      </c>
      <c r="DXC525" s="1334">
        <v>8298541</v>
      </c>
      <c r="DXD525" s="1334">
        <v>8298541</v>
      </c>
      <c r="DXE525" s="1334">
        <v>8298541</v>
      </c>
      <c r="DXF525" s="1334">
        <v>8298541</v>
      </c>
      <c r="DXG525" s="1334">
        <v>8298541</v>
      </c>
      <c r="DXH525" s="1334">
        <v>8298541</v>
      </c>
      <c r="DXI525" s="1334">
        <v>8298541</v>
      </c>
      <c r="DXJ525" s="1334">
        <v>8298541</v>
      </c>
      <c r="DXK525" s="1334">
        <v>8298541</v>
      </c>
      <c r="DXL525" s="1334">
        <v>8298541</v>
      </c>
      <c r="DXM525" s="1334">
        <v>8298541</v>
      </c>
      <c r="DXN525" s="1334">
        <v>8298541</v>
      </c>
      <c r="DXO525" s="1334">
        <v>8298541</v>
      </c>
      <c r="DXP525" s="1334">
        <v>8298541</v>
      </c>
      <c r="DXQ525" s="1334">
        <v>8298541</v>
      </c>
      <c r="DXR525" s="1334">
        <v>8298541</v>
      </c>
      <c r="DXS525" s="1334">
        <v>8298541</v>
      </c>
      <c r="DXT525" s="1334">
        <v>8298541</v>
      </c>
      <c r="DXU525" s="1334">
        <v>8298541</v>
      </c>
      <c r="DXV525" s="1334">
        <v>8298541</v>
      </c>
      <c r="DXW525" s="1334">
        <v>8298541</v>
      </c>
      <c r="DXX525" s="1334">
        <v>8298541</v>
      </c>
      <c r="DXY525" s="1334">
        <v>8298541</v>
      </c>
      <c r="DXZ525" s="1334">
        <v>8298541</v>
      </c>
      <c r="DYA525" s="1334">
        <v>8298541</v>
      </c>
      <c r="DYB525" s="1334">
        <v>8298541</v>
      </c>
      <c r="DYC525" s="1334">
        <v>8298541</v>
      </c>
      <c r="DYD525" s="1334">
        <v>8298541</v>
      </c>
      <c r="DYE525" s="1334">
        <v>8298541</v>
      </c>
      <c r="DYF525" s="1334">
        <v>8298541</v>
      </c>
      <c r="DYG525" s="1334">
        <v>8298541</v>
      </c>
      <c r="DYH525" s="1334">
        <v>8298541</v>
      </c>
      <c r="DYI525" s="1334">
        <v>8298541</v>
      </c>
      <c r="DYJ525" s="1334">
        <v>8298541</v>
      </c>
      <c r="DYK525" s="1334">
        <v>8298541</v>
      </c>
      <c r="DYL525" s="1334">
        <v>8298541</v>
      </c>
      <c r="DYM525" s="1334">
        <v>8298541</v>
      </c>
      <c r="DYN525" s="1334">
        <v>8298541</v>
      </c>
      <c r="DYO525" s="1334">
        <v>8298541</v>
      </c>
      <c r="DYP525" s="1334">
        <v>8298541</v>
      </c>
      <c r="DYQ525" s="1334">
        <v>8298541</v>
      </c>
      <c r="DYR525" s="1334">
        <v>8298541</v>
      </c>
      <c r="DYS525" s="1334">
        <v>8298541</v>
      </c>
      <c r="DYT525" s="1334">
        <v>8298541</v>
      </c>
      <c r="DYU525" s="1334">
        <v>8298541</v>
      </c>
      <c r="DYV525" s="1334">
        <v>8298541</v>
      </c>
      <c r="DYW525" s="1334">
        <v>8298541</v>
      </c>
      <c r="DYX525" s="1334">
        <v>8298541</v>
      </c>
      <c r="DYY525" s="1334">
        <v>8298541</v>
      </c>
      <c r="DYZ525" s="1334">
        <v>8298541</v>
      </c>
      <c r="DZA525" s="1334">
        <v>8298541</v>
      </c>
      <c r="DZB525" s="1334">
        <v>8298541</v>
      </c>
      <c r="DZC525" s="1334">
        <v>8298541</v>
      </c>
      <c r="DZD525" s="1334">
        <v>8298541</v>
      </c>
      <c r="DZE525" s="1334">
        <v>8298541</v>
      </c>
      <c r="DZF525" s="1334">
        <v>8298541</v>
      </c>
      <c r="DZG525" s="1334">
        <v>8298541</v>
      </c>
      <c r="DZH525" s="1334">
        <v>8298541</v>
      </c>
      <c r="DZI525" s="1334">
        <v>8298541</v>
      </c>
      <c r="DZJ525" s="1334">
        <v>8298541</v>
      </c>
      <c r="DZK525" s="1334">
        <v>8298541</v>
      </c>
      <c r="DZL525" s="1334">
        <v>8298541</v>
      </c>
      <c r="DZM525" s="1334">
        <v>8298541</v>
      </c>
      <c r="DZN525" s="1334">
        <v>8298541</v>
      </c>
      <c r="DZO525" s="1334">
        <v>8298541</v>
      </c>
      <c r="DZP525" s="1334">
        <v>8298541</v>
      </c>
      <c r="DZQ525" s="1334">
        <v>8298541</v>
      </c>
      <c r="DZR525" s="1334">
        <v>8298541</v>
      </c>
      <c r="DZS525" s="1334">
        <v>8298541</v>
      </c>
      <c r="DZT525" s="1334">
        <v>8298541</v>
      </c>
      <c r="DZU525" s="1334">
        <v>8298541</v>
      </c>
      <c r="DZV525" s="1334">
        <v>8298541</v>
      </c>
      <c r="DZW525" s="1334">
        <v>8298541</v>
      </c>
      <c r="DZX525" s="1334">
        <v>8298541</v>
      </c>
      <c r="DZY525" s="1334">
        <v>8298541</v>
      </c>
      <c r="DZZ525" s="1334">
        <v>8298541</v>
      </c>
      <c r="EAA525" s="1334">
        <v>8298541</v>
      </c>
      <c r="EAB525" s="1334">
        <v>8298541</v>
      </c>
      <c r="EAC525" s="1334">
        <v>8298541</v>
      </c>
      <c r="EAD525" s="1334">
        <v>8298541</v>
      </c>
      <c r="EAE525" s="1334">
        <v>8298541</v>
      </c>
      <c r="EAF525" s="1334">
        <v>8298541</v>
      </c>
      <c r="EAG525" s="1334">
        <v>8298541</v>
      </c>
      <c r="EAH525" s="1334">
        <v>8298541</v>
      </c>
      <c r="EAI525" s="1334">
        <v>8298541</v>
      </c>
      <c r="EAJ525" s="1334">
        <v>8298541</v>
      </c>
      <c r="EAK525" s="1334">
        <v>8298541</v>
      </c>
      <c r="EAL525" s="1334">
        <v>8298541</v>
      </c>
      <c r="EAM525" s="1334">
        <v>8298541</v>
      </c>
      <c r="EAN525" s="1334">
        <v>8298541</v>
      </c>
      <c r="EAO525" s="1334">
        <v>8298541</v>
      </c>
      <c r="EAP525" s="1334">
        <v>8298541</v>
      </c>
      <c r="EAQ525" s="1334">
        <v>8298541</v>
      </c>
      <c r="EAR525" s="1334">
        <v>8298541</v>
      </c>
      <c r="EAS525" s="1334">
        <v>8298541</v>
      </c>
      <c r="EAT525" s="1334">
        <v>8298541</v>
      </c>
      <c r="EAU525" s="1334">
        <v>8298541</v>
      </c>
      <c r="EAV525" s="1334">
        <v>8298541</v>
      </c>
      <c r="EAW525" s="1334">
        <v>8298541</v>
      </c>
      <c r="EAX525" s="1334">
        <v>8298541</v>
      </c>
      <c r="EAY525" s="1334">
        <v>8298541</v>
      </c>
      <c r="EAZ525" s="1334">
        <v>8298541</v>
      </c>
      <c r="EBA525" s="1334">
        <v>8298541</v>
      </c>
      <c r="EBB525" s="1334">
        <v>8298541</v>
      </c>
      <c r="EBC525" s="1334">
        <v>8298541</v>
      </c>
      <c r="EBD525" s="1334">
        <v>8298541</v>
      </c>
      <c r="EBE525" s="1334">
        <v>8298541</v>
      </c>
      <c r="EBF525" s="1334">
        <v>8298541</v>
      </c>
      <c r="EBG525" s="1334">
        <v>8298541</v>
      </c>
      <c r="EBH525" s="1334">
        <v>8298541</v>
      </c>
      <c r="EBI525" s="1334">
        <v>8298541</v>
      </c>
      <c r="EBJ525" s="1334">
        <v>8298541</v>
      </c>
      <c r="EBK525" s="1334">
        <v>8298541</v>
      </c>
      <c r="EBL525" s="1334">
        <v>8298541</v>
      </c>
      <c r="EBM525" s="1334">
        <v>8298541</v>
      </c>
      <c r="EBN525" s="1334">
        <v>8298541</v>
      </c>
      <c r="EBO525" s="1334">
        <v>8298541</v>
      </c>
      <c r="EBP525" s="1334">
        <v>8298541</v>
      </c>
      <c r="EBQ525" s="1334">
        <v>8298541</v>
      </c>
      <c r="EBR525" s="1334">
        <v>8298541</v>
      </c>
      <c r="EBS525" s="1334">
        <v>8298541</v>
      </c>
      <c r="EBT525" s="1334">
        <v>8298541</v>
      </c>
      <c r="EBU525" s="1334">
        <v>8298541</v>
      </c>
      <c r="EBV525" s="1334">
        <v>8298541</v>
      </c>
      <c r="EBW525" s="1334">
        <v>8298541</v>
      </c>
      <c r="EBX525" s="1334">
        <v>8298541</v>
      </c>
      <c r="EBY525" s="1334">
        <v>8298541</v>
      </c>
      <c r="EBZ525" s="1334">
        <v>8298541</v>
      </c>
      <c r="ECA525" s="1334">
        <v>8298541</v>
      </c>
      <c r="ECB525" s="1334">
        <v>8298541</v>
      </c>
      <c r="ECC525" s="1334">
        <v>8298541</v>
      </c>
      <c r="ECD525" s="1334">
        <v>8298541</v>
      </c>
      <c r="ECE525" s="1334">
        <v>8298541</v>
      </c>
      <c r="ECF525" s="1334">
        <v>8298541</v>
      </c>
      <c r="ECG525" s="1334">
        <v>8298541</v>
      </c>
      <c r="ECH525" s="1334">
        <v>8298541</v>
      </c>
      <c r="ECI525" s="1334">
        <v>8298541</v>
      </c>
      <c r="ECJ525" s="1334">
        <v>8298541</v>
      </c>
      <c r="ECK525" s="1334">
        <v>8298541</v>
      </c>
      <c r="ECL525" s="1334">
        <v>8298541</v>
      </c>
      <c r="ECM525" s="1334">
        <v>8298541</v>
      </c>
      <c r="ECN525" s="1334">
        <v>8298541</v>
      </c>
      <c r="ECO525" s="1334">
        <v>8298541</v>
      </c>
      <c r="ECP525" s="1334">
        <v>8298541</v>
      </c>
      <c r="ECQ525" s="1334">
        <v>8298541</v>
      </c>
      <c r="ECR525" s="1334">
        <v>8298541</v>
      </c>
      <c r="ECS525" s="1334">
        <v>8298541</v>
      </c>
      <c r="ECT525" s="1334">
        <v>8298541</v>
      </c>
      <c r="ECU525" s="1334">
        <v>8298541</v>
      </c>
      <c r="ECV525" s="1334">
        <v>8298541</v>
      </c>
      <c r="ECW525" s="1334">
        <v>8298541</v>
      </c>
      <c r="ECX525" s="1334">
        <v>8298541</v>
      </c>
      <c r="ECY525" s="1334">
        <v>8298541</v>
      </c>
      <c r="ECZ525" s="1334">
        <v>8298541</v>
      </c>
      <c r="EDA525" s="1334">
        <v>8298541</v>
      </c>
      <c r="EDB525" s="1334">
        <v>8298541</v>
      </c>
      <c r="EDC525" s="1334">
        <v>8298541</v>
      </c>
      <c r="EDD525" s="1334">
        <v>8298541</v>
      </c>
      <c r="EDE525" s="1334">
        <v>8298541</v>
      </c>
      <c r="EDF525" s="1334">
        <v>8298541</v>
      </c>
      <c r="EDG525" s="1334">
        <v>8298541</v>
      </c>
      <c r="EDH525" s="1334">
        <v>8298541</v>
      </c>
      <c r="EDI525" s="1334">
        <v>8298541</v>
      </c>
      <c r="EDJ525" s="1334">
        <v>8298541</v>
      </c>
      <c r="EDK525" s="1334">
        <v>8298541</v>
      </c>
      <c r="EDL525" s="1334">
        <v>8298541</v>
      </c>
      <c r="EDM525" s="1334">
        <v>8298541</v>
      </c>
      <c r="EDN525" s="1334">
        <v>8298541</v>
      </c>
      <c r="EDO525" s="1334">
        <v>8298541</v>
      </c>
      <c r="EDP525" s="1334">
        <v>8298541</v>
      </c>
      <c r="EDQ525" s="1334">
        <v>8298541</v>
      </c>
      <c r="EDR525" s="1334">
        <v>8298541</v>
      </c>
      <c r="EDS525" s="1334">
        <v>8298541</v>
      </c>
      <c r="EDT525" s="1334">
        <v>8298541</v>
      </c>
      <c r="EDU525" s="1334">
        <v>8298541</v>
      </c>
      <c r="EDV525" s="1334">
        <v>8298541</v>
      </c>
      <c r="EDW525" s="1334">
        <v>8298541</v>
      </c>
      <c r="EDX525" s="1334">
        <v>8298541</v>
      </c>
      <c r="EDY525" s="1334">
        <v>8298541</v>
      </c>
      <c r="EDZ525" s="1334">
        <v>8298541</v>
      </c>
      <c r="EEA525" s="1334">
        <v>8298541</v>
      </c>
      <c r="EEB525" s="1334">
        <v>8298541</v>
      </c>
      <c r="EEC525" s="1334">
        <v>8298541</v>
      </c>
      <c r="EED525" s="1334">
        <v>8298541</v>
      </c>
      <c r="EEE525" s="1334">
        <v>8298541</v>
      </c>
      <c r="EEF525" s="1334">
        <v>8298541</v>
      </c>
      <c r="EEG525" s="1334">
        <v>8298541</v>
      </c>
      <c r="EEH525" s="1334">
        <v>8298541</v>
      </c>
      <c r="EEI525" s="1334">
        <v>8298541</v>
      </c>
      <c r="EEJ525" s="1334">
        <v>8298541</v>
      </c>
      <c r="EEK525" s="1334">
        <v>8298541</v>
      </c>
      <c r="EEL525" s="1334">
        <v>8298541</v>
      </c>
      <c r="EEM525" s="1334">
        <v>8298541</v>
      </c>
      <c r="EEN525" s="1334">
        <v>8298541</v>
      </c>
      <c r="EEO525" s="1334">
        <v>8298541</v>
      </c>
      <c r="EEP525" s="1334">
        <v>8298541</v>
      </c>
      <c r="EEQ525" s="1334">
        <v>8298541</v>
      </c>
      <c r="EER525" s="1334">
        <v>8298541</v>
      </c>
      <c r="EES525" s="1334">
        <v>8298541</v>
      </c>
      <c r="EET525" s="1334">
        <v>8298541</v>
      </c>
      <c r="EEU525" s="1334">
        <v>8298541</v>
      </c>
      <c r="EEV525" s="1334">
        <v>8298541</v>
      </c>
      <c r="EEW525" s="1334">
        <v>8298541</v>
      </c>
      <c r="EEX525" s="1334">
        <v>8298541</v>
      </c>
      <c r="EEY525" s="1334">
        <v>8298541</v>
      </c>
      <c r="EEZ525" s="1334">
        <v>8298541</v>
      </c>
      <c r="EFA525" s="1334">
        <v>8298541</v>
      </c>
      <c r="EFB525" s="1334">
        <v>8298541</v>
      </c>
      <c r="EFC525" s="1334">
        <v>8298541</v>
      </c>
      <c r="EFD525" s="1334">
        <v>8298541</v>
      </c>
      <c r="EFE525" s="1334">
        <v>8298541</v>
      </c>
      <c r="EFF525" s="1334">
        <v>8298541</v>
      </c>
      <c r="EFG525" s="1334">
        <v>8298541</v>
      </c>
      <c r="EFH525" s="1334">
        <v>8298541</v>
      </c>
      <c r="EFI525" s="1334">
        <v>8298541</v>
      </c>
      <c r="EFJ525" s="1334">
        <v>8298541</v>
      </c>
      <c r="EFK525" s="1334">
        <v>8298541</v>
      </c>
      <c r="EFL525" s="1334">
        <v>8298541</v>
      </c>
      <c r="EFM525" s="1334">
        <v>8298541</v>
      </c>
      <c r="EFN525" s="1334">
        <v>8298541</v>
      </c>
      <c r="EFO525" s="1334">
        <v>8298541</v>
      </c>
      <c r="EFP525" s="1334">
        <v>8298541</v>
      </c>
      <c r="EFQ525" s="1334">
        <v>8298541</v>
      </c>
      <c r="EFR525" s="1334">
        <v>8298541</v>
      </c>
      <c r="EFS525" s="1334">
        <v>8298541</v>
      </c>
      <c r="EFT525" s="1334">
        <v>8298541</v>
      </c>
      <c r="EFU525" s="1334">
        <v>8298541</v>
      </c>
      <c r="EFV525" s="1334">
        <v>8298541</v>
      </c>
      <c r="EFW525" s="1334">
        <v>8298541</v>
      </c>
      <c r="EFX525" s="1334">
        <v>8298541</v>
      </c>
      <c r="EFY525" s="1334">
        <v>8298541</v>
      </c>
      <c r="EFZ525" s="1334">
        <v>8298541</v>
      </c>
      <c r="EGA525" s="1334">
        <v>8298541</v>
      </c>
      <c r="EGB525" s="1334">
        <v>8298541</v>
      </c>
      <c r="EGC525" s="1334">
        <v>8298541</v>
      </c>
      <c r="EGD525" s="1334">
        <v>8298541</v>
      </c>
      <c r="EGE525" s="1334">
        <v>8298541</v>
      </c>
      <c r="EGF525" s="1334">
        <v>8298541</v>
      </c>
      <c r="EGG525" s="1334">
        <v>8298541</v>
      </c>
      <c r="EGH525" s="1334">
        <v>8298541</v>
      </c>
      <c r="EGI525" s="1334">
        <v>8298541</v>
      </c>
      <c r="EGJ525" s="1334">
        <v>8298541</v>
      </c>
      <c r="EGK525" s="1334">
        <v>8298541</v>
      </c>
      <c r="EGL525" s="1334">
        <v>8298541</v>
      </c>
      <c r="EGM525" s="1334">
        <v>8298541</v>
      </c>
      <c r="EGN525" s="1334">
        <v>8298541</v>
      </c>
      <c r="EGO525" s="1334">
        <v>8298541</v>
      </c>
      <c r="EGP525" s="1334">
        <v>8298541</v>
      </c>
      <c r="EGQ525" s="1334">
        <v>8298541</v>
      </c>
      <c r="EGR525" s="1334">
        <v>8298541</v>
      </c>
      <c r="EGS525" s="1334">
        <v>8298541</v>
      </c>
      <c r="EGT525" s="1334">
        <v>8298541</v>
      </c>
      <c r="EGU525" s="1334">
        <v>8298541</v>
      </c>
      <c r="EGV525" s="1334">
        <v>8298541</v>
      </c>
      <c r="EGW525" s="1334">
        <v>8298541</v>
      </c>
      <c r="EGX525" s="1334">
        <v>8298541</v>
      </c>
      <c r="EGY525" s="1334">
        <v>8298541</v>
      </c>
      <c r="EGZ525" s="1334">
        <v>8298541</v>
      </c>
      <c r="EHA525" s="1334">
        <v>8298541</v>
      </c>
      <c r="EHB525" s="1334">
        <v>8298541</v>
      </c>
      <c r="EHC525" s="1334">
        <v>8298541</v>
      </c>
      <c r="EHD525" s="1334">
        <v>8298541</v>
      </c>
      <c r="EHE525" s="1334">
        <v>8298541</v>
      </c>
      <c r="EHF525" s="1334">
        <v>8298541</v>
      </c>
      <c r="EHG525" s="1334">
        <v>8298541</v>
      </c>
      <c r="EHH525" s="1334">
        <v>8298541</v>
      </c>
      <c r="EHI525" s="1334">
        <v>8298541</v>
      </c>
      <c r="EHJ525" s="1334">
        <v>8298541</v>
      </c>
      <c r="EHK525" s="1334">
        <v>8298541</v>
      </c>
      <c r="EHL525" s="1334">
        <v>8298541</v>
      </c>
      <c r="EHM525" s="1334">
        <v>8298541</v>
      </c>
      <c r="EHN525" s="1334">
        <v>8298541</v>
      </c>
      <c r="EHO525" s="1334">
        <v>8298541</v>
      </c>
      <c r="EHP525" s="1334">
        <v>8298541</v>
      </c>
      <c r="EHQ525" s="1334">
        <v>8298541</v>
      </c>
      <c r="EHR525" s="1334">
        <v>8298541</v>
      </c>
      <c r="EHS525" s="1334">
        <v>8298541</v>
      </c>
      <c r="EHT525" s="1334">
        <v>8298541</v>
      </c>
      <c r="EHU525" s="1334">
        <v>8298541</v>
      </c>
      <c r="EHV525" s="1334">
        <v>8298541</v>
      </c>
      <c r="EHW525" s="1334">
        <v>8298541</v>
      </c>
      <c r="EHX525" s="1334">
        <v>8298541</v>
      </c>
      <c r="EHY525" s="1334">
        <v>8298541</v>
      </c>
      <c r="EHZ525" s="1334">
        <v>8298541</v>
      </c>
      <c r="EIA525" s="1334">
        <v>8298541</v>
      </c>
      <c r="EIB525" s="1334">
        <v>8298541</v>
      </c>
      <c r="EIC525" s="1334">
        <v>8298541</v>
      </c>
      <c r="EID525" s="1334">
        <v>8298541</v>
      </c>
      <c r="EIE525" s="1334">
        <v>8298541</v>
      </c>
      <c r="EIF525" s="1334">
        <v>8298541</v>
      </c>
      <c r="EIG525" s="1334">
        <v>8298541</v>
      </c>
      <c r="EIH525" s="1334">
        <v>8298541</v>
      </c>
      <c r="EII525" s="1334">
        <v>8298541</v>
      </c>
      <c r="EIJ525" s="1334">
        <v>8298541</v>
      </c>
      <c r="EIK525" s="1334">
        <v>8298541</v>
      </c>
      <c r="EIL525" s="1334">
        <v>8298541</v>
      </c>
      <c r="EIM525" s="1334">
        <v>8298541</v>
      </c>
      <c r="EIN525" s="1334">
        <v>8298541</v>
      </c>
      <c r="EIO525" s="1334">
        <v>8298541</v>
      </c>
      <c r="EIP525" s="1334">
        <v>8298541</v>
      </c>
      <c r="EIQ525" s="1334">
        <v>8298541</v>
      </c>
      <c r="EIR525" s="1334">
        <v>8298541</v>
      </c>
      <c r="EIS525" s="1334">
        <v>8298541</v>
      </c>
      <c r="EIT525" s="1334">
        <v>8298541</v>
      </c>
      <c r="EIU525" s="1334">
        <v>8298541</v>
      </c>
      <c r="EIV525" s="1334">
        <v>8298541</v>
      </c>
      <c r="EIW525" s="1334">
        <v>8298541</v>
      </c>
      <c r="EIX525" s="1334">
        <v>8298541</v>
      </c>
      <c r="EIY525" s="1334">
        <v>8298541</v>
      </c>
      <c r="EIZ525" s="1334">
        <v>8298541</v>
      </c>
      <c r="EJA525" s="1334">
        <v>8298541</v>
      </c>
      <c r="EJB525" s="1334">
        <v>8298541</v>
      </c>
      <c r="EJC525" s="1334">
        <v>8298541</v>
      </c>
      <c r="EJD525" s="1334">
        <v>8298541</v>
      </c>
      <c r="EJE525" s="1334">
        <v>8298541</v>
      </c>
      <c r="EJF525" s="1334">
        <v>8298541</v>
      </c>
      <c r="EJG525" s="1334">
        <v>8298541</v>
      </c>
      <c r="EJH525" s="1334">
        <v>8298541</v>
      </c>
      <c r="EJI525" s="1334">
        <v>8298541</v>
      </c>
      <c r="EJJ525" s="1334">
        <v>8298541</v>
      </c>
      <c r="EJK525" s="1334">
        <v>8298541</v>
      </c>
      <c r="EJL525" s="1334">
        <v>8298541</v>
      </c>
      <c r="EJM525" s="1334">
        <v>8298541</v>
      </c>
      <c r="EJN525" s="1334">
        <v>8298541</v>
      </c>
      <c r="EJO525" s="1334">
        <v>8298541</v>
      </c>
      <c r="EJP525" s="1334">
        <v>8298541</v>
      </c>
      <c r="EJQ525" s="1334">
        <v>8298541</v>
      </c>
      <c r="EJR525" s="1334">
        <v>8298541</v>
      </c>
      <c r="EJS525" s="1334">
        <v>8298541</v>
      </c>
      <c r="EJT525" s="1334">
        <v>8298541</v>
      </c>
      <c r="EJU525" s="1334">
        <v>8298541</v>
      </c>
      <c r="EJV525" s="1334">
        <v>8298541</v>
      </c>
      <c r="EJW525" s="1334">
        <v>8298541</v>
      </c>
      <c r="EJX525" s="1334">
        <v>8298541</v>
      </c>
      <c r="EJY525" s="1334">
        <v>8298541</v>
      </c>
      <c r="EJZ525" s="1334">
        <v>8298541</v>
      </c>
      <c r="EKA525" s="1334">
        <v>8298541</v>
      </c>
      <c r="EKB525" s="1334">
        <v>8298541</v>
      </c>
      <c r="EKC525" s="1334">
        <v>8298541</v>
      </c>
      <c r="EKD525" s="1334">
        <v>8298541</v>
      </c>
      <c r="EKE525" s="1334">
        <v>8298541</v>
      </c>
      <c r="EKF525" s="1334">
        <v>8298541</v>
      </c>
      <c r="EKG525" s="1334">
        <v>8298541</v>
      </c>
      <c r="EKH525" s="1334">
        <v>8298541</v>
      </c>
      <c r="EKI525" s="1334">
        <v>8298541</v>
      </c>
      <c r="EKJ525" s="1334">
        <v>8298541</v>
      </c>
      <c r="EKK525" s="1334">
        <v>8298541</v>
      </c>
      <c r="EKL525" s="1334">
        <v>8298541</v>
      </c>
      <c r="EKM525" s="1334">
        <v>8298541</v>
      </c>
      <c r="EKN525" s="1334">
        <v>8298541</v>
      </c>
      <c r="EKO525" s="1334">
        <v>8298541</v>
      </c>
      <c r="EKP525" s="1334">
        <v>8298541</v>
      </c>
      <c r="EKQ525" s="1334">
        <v>8298541</v>
      </c>
      <c r="EKR525" s="1334">
        <v>8298541</v>
      </c>
      <c r="EKS525" s="1334">
        <v>8298541</v>
      </c>
      <c r="EKT525" s="1334">
        <v>8298541</v>
      </c>
      <c r="EKU525" s="1334">
        <v>8298541</v>
      </c>
      <c r="EKV525" s="1334">
        <v>8298541</v>
      </c>
      <c r="EKW525" s="1334">
        <v>8298541</v>
      </c>
      <c r="EKX525" s="1334">
        <v>8298541</v>
      </c>
      <c r="EKY525" s="1334">
        <v>8298541</v>
      </c>
      <c r="EKZ525" s="1334">
        <v>8298541</v>
      </c>
      <c r="ELA525" s="1334">
        <v>8298541</v>
      </c>
      <c r="ELB525" s="1334">
        <v>8298541</v>
      </c>
      <c r="ELC525" s="1334">
        <v>8298541</v>
      </c>
      <c r="ELD525" s="1334">
        <v>8298541</v>
      </c>
      <c r="ELE525" s="1334">
        <v>8298541</v>
      </c>
      <c r="ELF525" s="1334">
        <v>8298541</v>
      </c>
      <c r="ELG525" s="1334">
        <v>8298541</v>
      </c>
      <c r="ELH525" s="1334">
        <v>8298541</v>
      </c>
      <c r="ELI525" s="1334">
        <v>8298541</v>
      </c>
      <c r="ELJ525" s="1334">
        <v>8298541</v>
      </c>
      <c r="ELK525" s="1334">
        <v>8298541</v>
      </c>
      <c r="ELL525" s="1334">
        <v>8298541</v>
      </c>
      <c r="ELM525" s="1334">
        <v>8298541</v>
      </c>
      <c r="ELN525" s="1334">
        <v>8298541</v>
      </c>
      <c r="ELO525" s="1334">
        <v>8298541</v>
      </c>
      <c r="ELP525" s="1334">
        <v>8298541</v>
      </c>
      <c r="ELQ525" s="1334">
        <v>8298541</v>
      </c>
      <c r="ELR525" s="1334">
        <v>8298541</v>
      </c>
      <c r="ELS525" s="1334">
        <v>8298541</v>
      </c>
      <c r="ELT525" s="1334">
        <v>8298541</v>
      </c>
      <c r="ELU525" s="1334">
        <v>8298541</v>
      </c>
      <c r="ELV525" s="1334">
        <v>8298541</v>
      </c>
      <c r="ELW525" s="1334">
        <v>8298541</v>
      </c>
      <c r="ELX525" s="1334">
        <v>8298541</v>
      </c>
      <c r="ELY525" s="1334">
        <v>8298541</v>
      </c>
      <c r="ELZ525" s="1334">
        <v>8298541</v>
      </c>
      <c r="EMA525" s="1334">
        <v>8298541</v>
      </c>
      <c r="EMB525" s="1334">
        <v>8298541</v>
      </c>
      <c r="EMC525" s="1334">
        <v>8298541</v>
      </c>
      <c r="EMD525" s="1334">
        <v>8298541</v>
      </c>
      <c r="EME525" s="1334">
        <v>8298541</v>
      </c>
      <c r="EMF525" s="1334">
        <v>8298541</v>
      </c>
      <c r="EMG525" s="1334">
        <v>8298541</v>
      </c>
      <c r="EMH525" s="1334">
        <v>8298541</v>
      </c>
      <c r="EMI525" s="1334">
        <v>8298541</v>
      </c>
      <c r="EMJ525" s="1334">
        <v>8298541</v>
      </c>
      <c r="EMK525" s="1334">
        <v>8298541</v>
      </c>
      <c r="EML525" s="1334">
        <v>8298541</v>
      </c>
      <c r="EMM525" s="1334">
        <v>8298541</v>
      </c>
      <c r="EMN525" s="1334">
        <v>8298541</v>
      </c>
      <c r="EMO525" s="1334">
        <v>8298541</v>
      </c>
      <c r="EMP525" s="1334">
        <v>8298541</v>
      </c>
      <c r="EMQ525" s="1334">
        <v>8298541</v>
      </c>
      <c r="EMR525" s="1334">
        <v>8298541</v>
      </c>
      <c r="EMS525" s="1334">
        <v>8298541</v>
      </c>
      <c r="EMT525" s="1334">
        <v>8298541</v>
      </c>
      <c r="EMU525" s="1334">
        <v>8298541</v>
      </c>
      <c r="EMV525" s="1334">
        <v>8298541</v>
      </c>
      <c r="EMW525" s="1334">
        <v>8298541</v>
      </c>
      <c r="EMX525" s="1334">
        <v>8298541</v>
      </c>
      <c r="EMY525" s="1334">
        <v>8298541</v>
      </c>
      <c r="EMZ525" s="1334">
        <v>8298541</v>
      </c>
      <c r="ENA525" s="1334">
        <v>8298541</v>
      </c>
      <c r="ENB525" s="1334">
        <v>8298541</v>
      </c>
      <c r="ENC525" s="1334">
        <v>8298541</v>
      </c>
      <c r="END525" s="1334">
        <v>8298541</v>
      </c>
      <c r="ENE525" s="1334">
        <v>8298541</v>
      </c>
      <c r="ENF525" s="1334">
        <v>8298541</v>
      </c>
      <c r="ENG525" s="1334">
        <v>8298541</v>
      </c>
      <c r="ENH525" s="1334">
        <v>8298541</v>
      </c>
      <c r="ENI525" s="1334">
        <v>8298541</v>
      </c>
      <c r="ENJ525" s="1334">
        <v>8298541</v>
      </c>
      <c r="ENK525" s="1334">
        <v>8298541</v>
      </c>
      <c r="ENL525" s="1334">
        <v>8298541</v>
      </c>
      <c r="ENM525" s="1334">
        <v>8298541</v>
      </c>
      <c r="ENN525" s="1334">
        <v>8298541</v>
      </c>
      <c r="ENO525" s="1334">
        <v>8298541</v>
      </c>
      <c r="ENP525" s="1334">
        <v>8298541</v>
      </c>
      <c r="ENQ525" s="1334">
        <v>8298541</v>
      </c>
      <c r="ENR525" s="1334">
        <v>8298541</v>
      </c>
      <c r="ENS525" s="1334">
        <v>8298541</v>
      </c>
      <c r="ENT525" s="1334">
        <v>8298541</v>
      </c>
      <c r="ENU525" s="1334">
        <v>8298541</v>
      </c>
      <c r="ENV525" s="1334">
        <v>8298541</v>
      </c>
      <c r="ENW525" s="1334">
        <v>8298541</v>
      </c>
      <c r="ENX525" s="1334">
        <v>8298541</v>
      </c>
      <c r="ENY525" s="1334">
        <v>8298541</v>
      </c>
      <c r="ENZ525" s="1334">
        <v>8298541</v>
      </c>
      <c r="EOA525" s="1334">
        <v>8298541</v>
      </c>
      <c r="EOB525" s="1334">
        <v>8298541</v>
      </c>
      <c r="EOC525" s="1334">
        <v>8298541</v>
      </c>
      <c r="EOD525" s="1334">
        <v>8298541</v>
      </c>
      <c r="EOE525" s="1334">
        <v>8298541</v>
      </c>
      <c r="EOF525" s="1334">
        <v>8298541</v>
      </c>
      <c r="EOG525" s="1334">
        <v>8298541</v>
      </c>
      <c r="EOH525" s="1334">
        <v>8298541</v>
      </c>
      <c r="EOI525" s="1334">
        <v>8298541</v>
      </c>
      <c r="EOJ525" s="1334">
        <v>8298541</v>
      </c>
      <c r="EOK525" s="1334">
        <v>8298541</v>
      </c>
      <c r="EOL525" s="1334">
        <v>8298541</v>
      </c>
      <c r="EOM525" s="1334">
        <v>8298541</v>
      </c>
      <c r="EON525" s="1334">
        <v>8298541</v>
      </c>
      <c r="EOO525" s="1334">
        <v>8298541</v>
      </c>
      <c r="EOP525" s="1334">
        <v>8298541</v>
      </c>
      <c r="EOQ525" s="1334">
        <v>8298541</v>
      </c>
      <c r="EOR525" s="1334">
        <v>8298541</v>
      </c>
      <c r="EOS525" s="1334">
        <v>8298541</v>
      </c>
      <c r="EOT525" s="1334">
        <v>8298541</v>
      </c>
      <c r="EOU525" s="1334">
        <v>8298541</v>
      </c>
      <c r="EOV525" s="1334">
        <v>8298541</v>
      </c>
      <c r="EOW525" s="1334">
        <v>8298541</v>
      </c>
      <c r="EOX525" s="1334">
        <v>8298541</v>
      </c>
      <c r="EOY525" s="1334">
        <v>8298541</v>
      </c>
      <c r="EOZ525" s="1334">
        <v>8298541</v>
      </c>
      <c r="EPA525" s="1334">
        <v>8298541</v>
      </c>
      <c r="EPB525" s="1334">
        <v>8298541</v>
      </c>
      <c r="EPC525" s="1334">
        <v>8298541</v>
      </c>
      <c r="EPD525" s="1334">
        <v>8298541</v>
      </c>
      <c r="EPE525" s="1334">
        <v>8298541</v>
      </c>
      <c r="EPF525" s="1334">
        <v>8298541</v>
      </c>
      <c r="EPG525" s="1334">
        <v>8298541</v>
      </c>
      <c r="EPH525" s="1334">
        <v>8298541</v>
      </c>
      <c r="EPI525" s="1334">
        <v>8298541</v>
      </c>
      <c r="EPJ525" s="1334">
        <v>8298541</v>
      </c>
      <c r="EPK525" s="1334">
        <v>8298541</v>
      </c>
      <c r="EPL525" s="1334">
        <v>8298541</v>
      </c>
      <c r="EPM525" s="1334">
        <v>8298541</v>
      </c>
      <c r="EPN525" s="1334">
        <v>8298541</v>
      </c>
      <c r="EPO525" s="1334">
        <v>8298541</v>
      </c>
      <c r="EPP525" s="1334">
        <v>8298541</v>
      </c>
      <c r="EPQ525" s="1334">
        <v>8298541</v>
      </c>
      <c r="EPR525" s="1334">
        <v>8298541</v>
      </c>
      <c r="EPS525" s="1334">
        <v>8298541</v>
      </c>
      <c r="EPT525" s="1334">
        <v>8298541</v>
      </c>
      <c r="EPU525" s="1334">
        <v>8298541</v>
      </c>
      <c r="EPV525" s="1334">
        <v>8298541</v>
      </c>
      <c r="EPW525" s="1334">
        <v>8298541</v>
      </c>
      <c r="EPX525" s="1334">
        <v>8298541</v>
      </c>
      <c r="EPY525" s="1334">
        <v>8298541</v>
      </c>
      <c r="EPZ525" s="1334">
        <v>8298541</v>
      </c>
      <c r="EQA525" s="1334">
        <v>8298541</v>
      </c>
      <c r="EQB525" s="1334">
        <v>8298541</v>
      </c>
      <c r="EQC525" s="1334">
        <v>8298541</v>
      </c>
      <c r="EQD525" s="1334">
        <v>8298541</v>
      </c>
      <c r="EQE525" s="1334">
        <v>8298541</v>
      </c>
      <c r="EQF525" s="1334">
        <v>8298541</v>
      </c>
      <c r="EQG525" s="1334">
        <v>8298541</v>
      </c>
      <c r="EQH525" s="1334">
        <v>8298541</v>
      </c>
      <c r="EQI525" s="1334">
        <v>8298541</v>
      </c>
      <c r="EQJ525" s="1334">
        <v>8298541</v>
      </c>
      <c r="EQK525" s="1334">
        <v>8298541</v>
      </c>
      <c r="EQL525" s="1334">
        <v>8298541</v>
      </c>
      <c r="EQM525" s="1334">
        <v>8298541</v>
      </c>
      <c r="EQN525" s="1334">
        <v>8298541</v>
      </c>
      <c r="EQO525" s="1334">
        <v>8298541</v>
      </c>
      <c r="EQP525" s="1334">
        <v>8298541</v>
      </c>
      <c r="EQQ525" s="1334">
        <v>8298541</v>
      </c>
      <c r="EQR525" s="1334">
        <v>8298541</v>
      </c>
      <c r="EQS525" s="1334">
        <v>8298541</v>
      </c>
      <c r="EQT525" s="1334">
        <v>8298541</v>
      </c>
      <c r="EQU525" s="1334">
        <v>8298541</v>
      </c>
      <c r="EQV525" s="1334">
        <v>8298541</v>
      </c>
      <c r="EQW525" s="1334">
        <v>8298541</v>
      </c>
      <c r="EQX525" s="1334">
        <v>8298541</v>
      </c>
      <c r="EQY525" s="1334">
        <v>8298541</v>
      </c>
      <c r="EQZ525" s="1334">
        <v>8298541</v>
      </c>
      <c r="ERA525" s="1334">
        <v>8298541</v>
      </c>
      <c r="ERB525" s="1334">
        <v>8298541</v>
      </c>
      <c r="ERC525" s="1334">
        <v>8298541</v>
      </c>
      <c r="ERD525" s="1334">
        <v>8298541</v>
      </c>
      <c r="ERE525" s="1334">
        <v>8298541</v>
      </c>
      <c r="ERF525" s="1334">
        <v>8298541</v>
      </c>
      <c r="ERG525" s="1334">
        <v>8298541</v>
      </c>
      <c r="ERH525" s="1334">
        <v>8298541</v>
      </c>
      <c r="ERI525" s="1334">
        <v>8298541</v>
      </c>
      <c r="ERJ525" s="1334">
        <v>8298541</v>
      </c>
      <c r="ERK525" s="1334">
        <v>8298541</v>
      </c>
      <c r="ERL525" s="1334">
        <v>8298541</v>
      </c>
      <c r="ERM525" s="1334">
        <v>8298541</v>
      </c>
      <c r="ERN525" s="1334">
        <v>8298541</v>
      </c>
      <c r="ERO525" s="1334">
        <v>8298541</v>
      </c>
      <c r="ERP525" s="1334">
        <v>8298541</v>
      </c>
      <c r="ERQ525" s="1334">
        <v>8298541</v>
      </c>
      <c r="ERR525" s="1334">
        <v>8298541</v>
      </c>
      <c r="ERS525" s="1334">
        <v>8298541</v>
      </c>
      <c r="ERT525" s="1334">
        <v>8298541</v>
      </c>
      <c r="ERU525" s="1334">
        <v>8298541</v>
      </c>
      <c r="ERV525" s="1334">
        <v>8298541</v>
      </c>
      <c r="ERW525" s="1334">
        <v>8298541</v>
      </c>
      <c r="ERX525" s="1334">
        <v>8298541</v>
      </c>
      <c r="ERY525" s="1334">
        <v>8298541</v>
      </c>
      <c r="ERZ525" s="1334">
        <v>8298541</v>
      </c>
      <c r="ESA525" s="1334">
        <v>8298541</v>
      </c>
      <c r="ESB525" s="1334">
        <v>8298541</v>
      </c>
      <c r="ESC525" s="1334">
        <v>8298541</v>
      </c>
      <c r="ESD525" s="1334">
        <v>8298541</v>
      </c>
      <c r="ESE525" s="1334">
        <v>8298541</v>
      </c>
      <c r="ESF525" s="1334">
        <v>8298541</v>
      </c>
      <c r="ESG525" s="1334">
        <v>8298541</v>
      </c>
      <c r="ESH525" s="1334">
        <v>8298541</v>
      </c>
      <c r="ESI525" s="1334">
        <v>8298541</v>
      </c>
      <c r="ESJ525" s="1334">
        <v>8298541</v>
      </c>
      <c r="ESK525" s="1334">
        <v>8298541</v>
      </c>
      <c r="ESL525" s="1334">
        <v>8298541</v>
      </c>
      <c r="ESM525" s="1334">
        <v>8298541</v>
      </c>
      <c r="ESN525" s="1334">
        <v>8298541</v>
      </c>
      <c r="ESO525" s="1334">
        <v>8298541</v>
      </c>
      <c r="ESP525" s="1334">
        <v>8298541</v>
      </c>
      <c r="ESQ525" s="1334">
        <v>8298541</v>
      </c>
      <c r="ESR525" s="1334">
        <v>8298541</v>
      </c>
      <c r="ESS525" s="1334">
        <v>8298541</v>
      </c>
      <c r="EST525" s="1334">
        <v>8298541</v>
      </c>
      <c r="ESU525" s="1334">
        <v>8298541</v>
      </c>
      <c r="ESV525" s="1334">
        <v>8298541</v>
      </c>
      <c r="ESW525" s="1334">
        <v>8298541</v>
      </c>
      <c r="ESX525" s="1334">
        <v>8298541</v>
      </c>
      <c r="ESY525" s="1334">
        <v>8298541</v>
      </c>
      <c r="ESZ525" s="1334">
        <v>8298541</v>
      </c>
      <c r="ETA525" s="1334">
        <v>8298541</v>
      </c>
      <c r="ETB525" s="1334">
        <v>8298541</v>
      </c>
      <c r="ETC525" s="1334">
        <v>8298541</v>
      </c>
      <c r="ETD525" s="1334">
        <v>8298541</v>
      </c>
      <c r="ETE525" s="1334">
        <v>8298541</v>
      </c>
      <c r="ETF525" s="1334">
        <v>8298541</v>
      </c>
      <c r="ETG525" s="1334">
        <v>8298541</v>
      </c>
      <c r="ETH525" s="1334">
        <v>8298541</v>
      </c>
      <c r="ETI525" s="1334">
        <v>8298541</v>
      </c>
      <c r="ETJ525" s="1334">
        <v>8298541</v>
      </c>
      <c r="ETK525" s="1334">
        <v>8298541</v>
      </c>
      <c r="ETL525" s="1334">
        <v>8298541</v>
      </c>
      <c r="ETM525" s="1334">
        <v>8298541</v>
      </c>
      <c r="ETN525" s="1334">
        <v>8298541</v>
      </c>
      <c r="ETO525" s="1334">
        <v>8298541</v>
      </c>
      <c r="ETP525" s="1334">
        <v>8298541</v>
      </c>
      <c r="ETQ525" s="1334">
        <v>8298541</v>
      </c>
      <c r="ETR525" s="1334">
        <v>8298541</v>
      </c>
      <c r="ETS525" s="1334">
        <v>8298541</v>
      </c>
      <c r="ETT525" s="1334">
        <v>8298541</v>
      </c>
      <c r="ETU525" s="1334">
        <v>8298541</v>
      </c>
      <c r="ETV525" s="1334">
        <v>8298541</v>
      </c>
      <c r="ETW525" s="1334">
        <v>8298541</v>
      </c>
      <c r="ETX525" s="1334">
        <v>8298541</v>
      </c>
      <c r="ETY525" s="1334">
        <v>8298541</v>
      </c>
      <c r="ETZ525" s="1334">
        <v>8298541</v>
      </c>
      <c r="EUA525" s="1334">
        <v>8298541</v>
      </c>
      <c r="EUB525" s="1334">
        <v>8298541</v>
      </c>
      <c r="EUC525" s="1334">
        <v>8298541</v>
      </c>
      <c r="EUD525" s="1334">
        <v>8298541</v>
      </c>
      <c r="EUE525" s="1334">
        <v>8298541</v>
      </c>
      <c r="EUF525" s="1334">
        <v>8298541</v>
      </c>
      <c r="EUG525" s="1334">
        <v>8298541</v>
      </c>
      <c r="EUH525" s="1334">
        <v>8298541</v>
      </c>
      <c r="EUI525" s="1334">
        <v>8298541</v>
      </c>
      <c r="EUJ525" s="1334">
        <v>8298541</v>
      </c>
      <c r="EUK525" s="1334">
        <v>8298541</v>
      </c>
      <c r="EUL525" s="1334">
        <v>8298541</v>
      </c>
      <c r="EUM525" s="1334">
        <v>8298541</v>
      </c>
      <c r="EUN525" s="1334">
        <v>8298541</v>
      </c>
      <c r="EUO525" s="1334">
        <v>8298541</v>
      </c>
      <c r="EUP525" s="1334">
        <v>8298541</v>
      </c>
      <c r="EUQ525" s="1334">
        <v>8298541</v>
      </c>
      <c r="EUR525" s="1334">
        <v>8298541</v>
      </c>
      <c r="EUS525" s="1334">
        <v>8298541</v>
      </c>
      <c r="EUT525" s="1334">
        <v>8298541</v>
      </c>
      <c r="EUU525" s="1334">
        <v>8298541</v>
      </c>
      <c r="EUV525" s="1334">
        <v>8298541</v>
      </c>
      <c r="EUW525" s="1334">
        <v>8298541</v>
      </c>
      <c r="EUX525" s="1334">
        <v>8298541</v>
      </c>
      <c r="EUY525" s="1334">
        <v>8298541</v>
      </c>
      <c r="EUZ525" s="1334">
        <v>8298541</v>
      </c>
      <c r="EVA525" s="1334">
        <v>8298541</v>
      </c>
      <c r="EVB525" s="1334">
        <v>8298541</v>
      </c>
      <c r="EVC525" s="1334">
        <v>8298541</v>
      </c>
      <c r="EVD525" s="1334">
        <v>8298541</v>
      </c>
      <c r="EVE525" s="1334">
        <v>8298541</v>
      </c>
      <c r="EVF525" s="1334">
        <v>8298541</v>
      </c>
      <c r="EVG525" s="1334">
        <v>8298541</v>
      </c>
      <c r="EVH525" s="1334">
        <v>8298541</v>
      </c>
      <c r="EVI525" s="1334">
        <v>8298541</v>
      </c>
      <c r="EVJ525" s="1334">
        <v>8298541</v>
      </c>
      <c r="EVK525" s="1334">
        <v>8298541</v>
      </c>
      <c r="EVL525" s="1334">
        <v>8298541</v>
      </c>
      <c r="EVM525" s="1334">
        <v>8298541</v>
      </c>
      <c r="EVN525" s="1334">
        <v>8298541</v>
      </c>
      <c r="EVO525" s="1334">
        <v>8298541</v>
      </c>
      <c r="EVP525" s="1334">
        <v>8298541</v>
      </c>
      <c r="EVQ525" s="1334">
        <v>8298541</v>
      </c>
      <c r="EVR525" s="1334">
        <v>8298541</v>
      </c>
      <c r="EVS525" s="1334">
        <v>8298541</v>
      </c>
      <c r="EVT525" s="1334">
        <v>8298541</v>
      </c>
      <c r="EVU525" s="1334">
        <v>8298541</v>
      </c>
      <c r="EVV525" s="1334">
        <v>8298541</v>
      </c>
      <c r="EVW525" s="1334">
        <v>8298541</v>
      </c>
      <c r="EVX525" s="1334">
        <v>8298541</v>
      </c>
      <c r="EVY525" s="1334">
        <v>8298541</v>
      </c>
      <c r="EVZ525" s="1334">
        <v>8298541</v>
      </c>
      <c r="EWA525" s="1334">
        <v>8298541</v>
      </c>
      <c r="EWB525" s="1334">
        <v>8298541</v>
      </c>
      <c r="EWC525" s="1334">
        <v>8298541</v>
      </c>
      <c r="EWD525" s="1334">
        <v>8298541</v>
      </c>
      <c r="EWE525" s="1334">
        <v>8298541</v>
      </c>
      <c r="EWF525" s="1334">
        <v>8298541</v>
      </c>
      <c r="EWG525" s="1334">
        <v>8298541</v>
      </c>
      <c r="EWH525" s="1334">
        <v>8298541</v>
      </c>
      <c r="EWI525" s="1334">
        <v>8298541</v>
      </c>
      <c r="EWJ525" s="1334">
        <v>8298541</v>
      </c>
      <c r="EWK525" s="1334">
        <v>8298541</v>
      </c>
      <c r="EWL525" s="1334">
        <v>8298541</v>
      </c>
      <c r="EWM525" s="1334">
        <v>8298541</v>
      </c>
      <c r="EWN525" s="1334">
        <v>8298541</v>
      </c>
      <c r="EWO525" s="1334">
        <v>8298541</v>
      </c>
      <c r="EWP525" s="1334">
        <v>8298541</v>
      </c>
      <c r="EWQ525" s="1334">
        <v>8298541</v>
      </c>
      <c r="EWR525" s="1334">
        <v>8298541</v>
      </c>
      <c r="EWS525" s="1334">
        <v>8298541</v>
      </c>
      <c r="EWT525" s="1334">
        <v>8298541</v>
      </c>
      <c r="EWU525" s="1334">
        <v>8298541</v>
      </c>
      <c r="EWV525" s="1334">
        <v>8298541</v>
      </c>
      <c r="EWW525" s="1334">
        <v>8298541</v>
      </c>
      <c r="EWX525" s="1334">
        <v>8298541</v>
      </c>
      <c r="EWY525" s="1334">
        <v>8298541</v>
      </c>
      <c r="EWZ525" s="1334">
        <v>8298541</v>
      </c>
      <c r="EXA525" s="1334">
        <v>8298541</v>
      </c>
      <c r="EXB525" s="1334">
        <v>8298541</v>
      </c>
      <c r="EXC525" s="1334">
        <v>8298541</v>
      </c>
      <c r="EXD525" s="1334">
        <v>8298541</v>
      </c>
      <c r="EXE525" s="1334">
        <v>8298541</v>
      </c>
      <c r="EXF525" s="1334">
        <v>8298541</v>
      </c>
      <c r="EXG525" s="1334">
        <v>8298541</v>
      </c>
      <c r="EXH525" s="1334">
        <v>8298541</v>
      </c>
      <c r="EXI525" s="1334">
        <v>8298541</v>
      </c>
      <c r="EXJ525" s="1334">
        <v>8298541</v>
      </c>
      <c r="EXK525" s="1334">
        <v>8298541</v>
      </c>
      <c r="EXL525" s="1334">
        <v>8298541</v>
      </c>
      <c r="EXM525" s="1334">
        <v>8298541</v>
      </c>
      <c r="EXN525" s="1334">
        <v>8298541</v>
      </c>
      <c r="EXO525" s="1334">
        <v>8298541</v>
      </c>
      <c r="EXP525" s="1334">
        <v>8298541</v>
      </c>
      <c r="EXQ525" s="1334">
        <v>8298541</v>
      </c>
      <c r="EXR525" s="1334">
        <v>8298541</v>
      </c>
      <c r="EXS525" s="1334">
        <v>8298541</v>
      </c>
      <c r="EXT525" s="1334">
        <v>8298541</v>
      </c>
      <c r="EXU525" s="1334">
        <v>8298541</v>
      </c>
      <c r="EXV525" s="1334">
        <v>8298541</v>
      </c>
      <c r="EXW525" s="1334">
        <v>8298541</v>
      </c>
      <c r="EXX525" s="1334">
        <v>8298541</v>
      </c>
      <c r="EXY525" s="1334">
        <v>8298541</v>
      </c>
      <c r="EXZ525" s="1334">
        <v>8298541</v>
      </c>
      <c r="EYA525" s="1334">
        <v>8298541</v>
      </c>
      <c r="EYB525" s="1334">
        <v>8298541</v>
      </c>
      <c r="EYC525" s="1334">
        <v>8298541</v>
      </c>
      <c r="EYD525" s="1334">
        <v>8298541</v>
      </c>
      <c r="EYE525" s="1334">
        <v>8298541</v>
      </c>
      <c r="EYF525" s="1334">
        <v>8298541</v>
      </c>
      <c r="EYG525" s="1334">
        <v>8298541</v>
      </c>
      <c r="EYH525" s="1334">
        <v>8298541</v>
      </c>
      <c r="EYI525" s="1334">
        <v>8298541</v>
      </c>
      <c r="EYJ525" s="1334">
        <v>8298541</v>
      </c>
      <c r="EYK525" s="1334">
        <v>8298541</v>
      </c>
      <c r="EYL525" s="1334">
        <v>8298541</v>
      </c>
      <c r="EYM525" s="1334">
        <v>8298541</v>
      </c>
      <c r="EYN525" s="1334">
        <v>8298541</v>
      </c>
      <c r="EYO525" s="1334">
        <v>8298541</v>
      </c>
      <c r="EYP525" s="1334">
        <v>8298541</v>
      </c>
      <c r="EYQ525" s="1334">
        <v>8298541</v>
      </c>
      <c r="EYR525" s="1334">
        <v>8298541</v>
      </c>
      <c r="EYS525" s="1334">
        <v>8298541</v>
      </c>
      <c r="EYT525" s="1334">
        <v>8298541</v>
      </c>
      <c r="EYU525" s="1334">
        <v>8298541</v>
      </c>
      <c r="EYV525" s="1334">
        <v>8298541</v>
      </c>
      <c r="EYW525" s="1334">
        <v>8298541</v>
      </c>
      <c r="EYX525" s="1334">
        <v>8298541</v>
      </c>
      <c r="EYY525" s="1334">
        <v>8298541</v>
      </c>
      <c r="EYZ525" s="1334">
        <v>8298541</v>
      </c>
      <c r="EZA525" s="1334">
        <v>8298541</v>
      </c>
      <c r="EZB525" s="1334">
        <v>8298541</v>
      </c>
      <c r="EZC525" s="1334">
        <v>8298541</v>
      </c>
      <c r="EZD525" s="1334">
        <v>8298541</v>
      </c>
      <c r="EZE525" s="1334">
        <v>8298541</v>
      </c>
      <c r="EZF525" s="1334">
        <v>8298541</v>
      </c>
      <c r="EZG525" s="1334">
        <v>8298541</v>
      </c>
      <c r="EZH525" s="1334">
        <v>8298541</v>
      </c>
      <c r="EZI525" s="1334">
        <v>8298541</v>
      </c>
      <c r="EZJ525" s="1334">
        <v>8298541</v>
      </c>
      <c r="EZK525" s="1334">
        <v>8298541</v>
      </c>
      <c r="EZL525" s="1334">
        <v>8298541</v>
      </c>
      <c r="EZM525" s="1334">
        <v>8298541</v>
      </c>
      <c r="EZN525" s="1334">
        <v>8298541</v>
      </c>
      <c r="EZO525" s="1334">
        <v>8298541</v>
      </c>
      <c r="EZP525" s="1334">
        <v>8298541</v>
      </c>
      <c r="EZQ525" s="1334">
        <v>8298541</v>
      </c>
      <c r="EZR525" s="1334">
        <v>8298541</v>
      </c>
      <c r="EZS525" s="1334">
        <v>8298541</v>
      </c>
      <c r="EZT525" s="1334">
        <v>8298541</v>
      </c>
      <c r="EZU525" s="1334">
        <v>8298541</v>
      </c>
      <c r="EZV525" s="1334">
        <v>8298541</v>
      </c>
      <c r="EZW525" s="1334">
        <v>8298541</v>
      </c>
      <c r="EZX525" s="1334">
        <v>8298541</v>
      </c>
      <c r="EZY525" s="1334">
        <v>8298541</v>
      </c>
      <c r="EZZ525" s="1334">
        <v>8298541</v>
      </c>
      <c r="FAA525" s="1334">
        <v>8298541</v>
      </c>
      <c r="FAB525" s="1334">
        <v>8298541</v>
      </c>
      <c r="FAC525" s="1334">
        <v>8298541</v>
      </c>
      <c r="FAD525" s="1334">
        <v>8298541</v>
      </c>
      <c r="FAE525" s="1334">
        <v>8298541</v>
      </c>
      <c r="FAF525" s="1334">
        <v>8298541</v>
      </c>
      <c r="FAG525" s="1334">
        <v>8298541</v>
      </c>
      <c r="FAH525" s="1334">
        <v>8298541</v>
      </c>
      <c r="FAI525" s="1334">
        <v>8298541</v>
      </c>
      <c r="FAJ525" s="1334">
        <v>8298541</v>
      </c>
      <c r="FAK525" s="1334">
        <v>8298541</v>
      </c>
      <c r="FAL525" s="1334">
        <v>8298541</v>
      </c>
      <c r="FAM525" s="1334">
        <v>8298541</v>
      </c>
      <c r="FAN525" s="1334">
        <v>8298541</v>
      </c>
      <c r="FAO525" s="1334">
        <v>8298541</v>
      </c>
      <c r="FAP525" s="1334">
        <v>8298541</v>
      </c>
      <c r="FAQ525" s="1334">
        <v>8298541</v>
      </c>
      <c r="FAR525" s="1334">
        <v>8298541</v>
      </c>
      <c r="FAS525" s="1334">
        <v>8298541</v>
      </c>
      <c r="FAT525" s="1334">
        <v>8298541</v>
      </c>
      <c r="FAU525" s="1334">
        <v>8298541</v>
      </c>
      <c r="FAV525" s="1334">
        <v>8298541</v>
      </c>
      <c r="FAW525" s="1334">
        <v>8298541</v>
      </c>
      <c r="FAX525" s="1334">
        <v>8298541</v>
      </c>
      <c r="FAY525" s="1334">
        <v>8298541</v>
      </c>
      <c r="FAZ525" s="1334">
        <v>8298541</v>
      </c>
      <c r="FBA525" s="1334">
        <v>8298541</v>
      </c>
      <c r="FBB525" s="1334">
        <v>8298541</v>
      </c>
      <c r="FBC525" s="1334">
        <v>8298541</v>
      </c>
      <c r="FBD525" s="1334">
        <v>8298541</v>
      </c>
      <c r="FBE525" s="1334">
        <v>8298541</v>
      </c>
      <c r="FBF525" s="1334">
        <v>8298541</v>
      </c>
      <c r="FBG525" s="1334">
        <v>8298541</v>
      </c>
      <c r="FBH525" s="1334">
        <v>8298541</v>
      </c>
      <c r="FBI525" s="1334">
        <v>8298541</v>
      </c>
      <c r="FBJ525" s="1334">
        <v>8298541</v>
      </c>
      <c r="FBK525" s="1334">
        <v>8298541</v>
      </c>
      <c r="FBL525" s="1334">
        <v>8298541</v>
      </c>
      <c r="FBM525" s="1334">
        <v>8298541</v>
      </c>
      <c r="FBN525" s="1334">
        <v>8298541</v>
      </c>
      <c r="FBO525" s="1334">
        <v>8298541</v>
      </c>
      <c r="FBP525" s="1334">
        <v>8298541</v>
      </c>
      <c r="FBQ525" s="1334">
        <v>8298541</v>
      </c>
      <c r="FBR525" s="1334">
        <v>8298541</v>
      </c>
      <c r="FBS525" s="1334">
        <v>8298541</v>
      </c>
      <c r="FBT525" s="1334">
        <v>8298541</v>
      </c>
      <c r="FBU525" s="1334">
        <v>8298541</v>
      </c>
      <c r="FBV525" s="1334">
        <v>8298541</v>
      </c>
      <c r="FBW525" s="1334">
        <v>8298541</v>
      </c>
      <c r="FBX525" s="1334">
        <v>8298541</v>
      </c>
      <c r="FBY525" s="1334">
        <v>8298541</v>
      </c>
      <c r="FBZ525" s="1334">
        <v>8298541</v>
      </c>
      <c r="FCA525" s="1334">
        <v>8298541</v>
      </c>
      <c r="FCB525" s="1334">
        <v>8298541</v>
      </c>
      <c r="FCC525" s="1334">
        <v>8298541</v>
      </c>
      <c r="FCD525" s="1334">
        <v>8298541</v>
      </c>
      <c r="FCE525" s="1334">
        <v>8298541</v>
      </c>
      <c r="FCF525" s="1334">
        <v>8298541</v>
      </c>
      <c r="FCG525" s="1334">
        <v>8298541</v>
      </c>
      <c r="FCH525" s="1334">
        <v>8298541</v>
      </c>
      <c r="FCI525" s="1334">
        <v>8298541</v>
      </c>
      <c r="FCJ525" s="1334">
        <v>8298541</v>
      </c>
      <c r="FCK525" s="1334">
        <v>8298541</v>
      </c>
      <c r="FCL525" s="1334">
        <v>8298541</v>
      </c>
      <c r="FCM525" s="1334">
        <v>8298541</v>
      </c>
      <c r="FCN525" s="1334">
        <v>8298541</v>
      </c>
      <c r="FCO525" s="1334">
        <v>8298541</v>
      </c>
      <c r="FCP525" s="1334">
        <v>8298541</v>
      </c>
      <c r="FCQ525" s="1334">
        <v>8298541</v>
      </c>
      <c r="FCR525" s="1334">
        <v>8298541</v>
      </c>
      <c r="FCS525" s="1334">
        <v>8298541</v>
      </c>
      <c r="FCT525" s="1334">
        <v>8298541</v>
      </c>
      <c r="FCU525" s="1334">
        <v>8298541</v>
      </c>
      <c r="FCV525" s="1334">
        <v>8298541</v>
      </c>
      <c r="FCW525" s="1334">
        <v>8298541</v>
      </c>
      <c r="FCX525" s="1334">
        <v>8298541</v>
      </c>
      <c r="FCY525" s="1334">
        <v>8298541</v>
      </c>
      <c r="FCZ525" s="1334">
        <v>8298541</v>
      </c>
      <c r="FDA525" s="1334">
        <v>8298541</v>
      </c>
      <c r="FDB525" s="1334">
        <v>8298541</v>
      </c>
      <c r="FDC525" s="1334">
        <v>8298541</v>
      </c>
      <c r="FDD525" s="1334">
        <v>8298541</v>
      </c>
      <c r="FDE525" s="1334">
        <v>8298541</v>
      </c>
      <c r="FDF525" s="1334">
        <v>8298541</v>
      </c>
      <c r="FDG525" s="1334">
        <v>8298541</v>
      </c>
      <c r="FDH525" s="1334">
        <v>8298541</v>
      </c>
      <c r="FDI525" s="1334">
        <v>8298541</v>
      </c>
      <c r="FDJ525" s="1334">
        <v>8298541</v>
      </c>
      <c r="FDK525" s="1334">
        <v>8298541</v>
      </c>
      <c r="FDL525" s="1334">
        <v>8298541</v>
      </c>
      <c r="FDM525" s="1334">
        <v>8298541</v>
      </c>
      <c r="FDN525" s="1334">
        <v>8298541</v>
      </c>
      <c r="FDO525" s="1334">
        <v>8298541</v>
      </c>
      <c r="FDP525" s="1334">
        <v>8298541</v>
      </c>
      <c r="FDQ525" s="1334">
        <v>8298541</v>
      </c>
      <c r="FDR525" s="1334">
        <v>8298541</v>
      </c>
      <c r="FDS525" s="1334">
        <v>8298541</v>
      </c>
      <c r="FDT525" s="1334">
        <v>8298541</v>
      </c>
      <c r="FDU525" s="1334">
        <v>8298541</v>
      </c>
      <c r="FDV525" s="1334">
        <v>8298541</v>
      </c>
      <c r="FDW525" s="1334">
        <v>8298541</v>
      </c>
      <c r="FDX525" s="1334">
        <v>8298541</v>
      </c>
      <c r="FDY525" s="1334">
        <v>8298541</v>
      </c>
      <c r="FDZ525" s="1334">
        <v>8298541</v>
      </c>
      <c r="FEA525" s="1334">
        <v>8298541</v>
      </c>
      <c r="FEB525" s="1334">
        <v>8298541</v>
      </c>
      <c r="FEC525" s="1334">
        <v>8298541</v>
      </c>
      <c r="FED525" s="1334">
        <v>8298541</v>
      </c>
      <c r="FEE525" s="1334">
        <v>8298541</v>
      </c>
      <c r="FEF525" s="1334">
        <v>8298541</v>
      </c>
      <c r="FEG525" s="1334">
        <v>8298541</v>
      </c>
      <c r="FEH525" s="1334">
        <v>8298541</v>
      </c>
      <c r="FEI525" s="1334">
        <v>8298541</v>
      </c>
      <c r="FEJ525" s="1334">
        <v>8298541</v>
      </c>
      <c r="FEK525" s="1334">
        <v>8298541</v>
      </c>
      <c r="FEL525" s="1334">
        <v>8298541</v>
      </c>
      <c r="FEM525" s="1334">
        <v>8298541</v>
      </c>
      <c r="FEN525" s="1334">
        <v>8298541</v>
      </c>
      <c r="FEO525" s="1334">
        <v>8298541</v>
      </c>
      <c r="FEP525" s="1334">
        <v>8298541</v>
      </c>
      <c r="FEQ525" s="1334">
        <v>8298541</v>
      </c>
      <c r="FER525" s="1334">
        <v>8298541</v>
      </c>
      <c r="FES525" s="1334">
        <v>8298541</v>
      </c>
      <c r="FET525" s="1334">
        <v>8298541</v>
      </c>
      <c r="FEU525" s="1334">
        <v>8298541</v>
      </c>
      <c r="FEV525" s="1334">
        <v>8298541</v>
      </c>
      <c r="FEW525" s="1334">
        <v>8298541</v>
      </c>
      <c r="FEX525" s="1334">
        <v>8298541</v>
      </c>
      <c r="FEY525" s="1334">
        <v>8298541</v>
      </c>
      <c r="FEZ525" s="1334">
        <v>8298541</v>
      </c>
      <c r="FFA525" s="1334">
        <v>8298541</v>
      </c>
      <c r="FFB525" s="1334">
        <v>8298541</v>
      </c>
      <c r="FFC525" s="1334">
        <v>8298541</v>
      </c>
      <c r="FFD525" s="1334">
        <v>8298541</v>
      </c>
      <c r="FFE525" s="1334">
        <v>8298541</v>
      </c>
      <c r="FFF525" s="1334">
        <v>8298541</v>
      </c>
      <c r="FFG525" s="1334">
        <v>8298541</v>
      </c>
      <c r="FFH525" s="1334">
        <v>8298541</v>
      </c>
      <c r="FFI525" s="1334">
        <v>8298541</v>
      </c>
      <c r="FFJ525" s="1334">
        <v>8298541</v>
      </c>
      <c r="FFK525" s="1334">
        <v>8298541</v>
      </c>
      <c r="FFL525" s="1334">
        <v>8298541</v>
      </c>
      <c r="FFM525" s="1334">
        <v>8298541</v>
      </c>
      <c r="FFN525" s="1334">
        <v>8298541</v>
      </c>
      <c r="FFO525" s="1334">
        <v>8298541</v>
      </c>
      <c r="FFP525" s="1334">
        <v>8298541</v>
      </c>
      <c r="FFQ525" s="1334">
        <v>8298541</v>
      </c>
      <c r="FFR525" s="1334">
        <v>8298541</v>
      </c>
      <c r="FFS525" s="1334">
        <v>8298541</v>
      </c>
      <c r="FFT525" s="1334">
        <v>8298541</v>
      </c>
      <c r="FFU525" s="1334">
        <v>8298541</v>
      </c>
      <c r="FFV525" s="1334">
        <v>8298541</v>
      </c>
      <c r="FFW525" s="1334">
        <v>8298541</v>
      </c>
      <c r="FFX525" s="1334">
        <v>8298541</v>
      </c>
      <c r="FFY525" s="1334">
        <v>8298541</v>
      </c>
      <c r="FFZ525" s="1334">
        <v>8298541</v>
      </c>
      <c r="FGA525" s="1334">
        <v>8298541</v>
      </c>
      <c r="FGB525" s="1334">
        <v>8298541</v>
      </c>
      <c r="FGC525" s="1334">
        <v>8298541</v>
      </c>
      <c r="FGD525" s="1334">
        <v>8298541</v>
      </c>
      <c r="FGE525" s="1334">
        <v>8298541</v>
      </c>
      <c r="FGF525" s="1334">
        <v>8298541</v>
      </c>
      <c r="FGG525" s="1334">
        <v>8298541</v>
      </c>
      <c r="FGH525" s="1334">
        <v>8298541</v>
      </c>
      <c r="FGI525" s="1334">
        <v>8298541</v>
      </c>
      <c r="FGJ525" s="1334">
        <v>8298541</v>
      </c>
      <c r="FGK525" s="1334">
        <v>8298541</v>
      </c>
      <c r="FGL525" s="1334">
        <v>8298541</v>
      </c>
      <c r="FGM525" s="1334">
        <v>8298541</v>
      </c>
      <c r="FGN525" s="1334">
        <v>8298541</v>
      </c>
      <c r="FGO525" s="1334">
        <v>8298541</v>
      </c>
      <c r="FGP525" s="1334">
        <v>8298541</v>
      </c>
      <c r="FGQ525" s="1334">
        <v>8298541</v>
      </c>
      <c r="FGR525" s="1334">
        <v>8298541</v>
      </c>
      <c r="FGS525" s="1334">
        <v>8298541</v>
      </c>
      <c r="FGT525" s="1334">
        <v>8298541</v>
      </c>
      <c r="FGU525" s="1334">
        <v>8298541</v>
      </c>
      <c r="FGV525" s="1334">
        <v>8298541</v>
      </c>
      <c r="FGW525" s="1334">
        <v>8298541</v>
      </c>
      <c r="FGX525" s="1334">
        <v>8298541</v>
      </c>
      <c r="FGY525" s="1334">
        <v>8298541</v>
      </c>
      <c r="FGZ525" s="1334">
        <v>8298541</v>
      </c>
      <c r="FHA525" s="1334">
        <v>8298541</v>
      </c>
      <c r="FHB525" s="1334">
        <v>8298541</v>
      </c>
      <c r="FHC525" s="1334">
        <v>8298541</v>
      </c>
      <c r="FHD525" s="1334">
        <v>8298541</v>
      </c>
      <c r="FHE525" s="1334">
        <v>8298541</v>
      </c>
      <c r="FHF525" s="1334">
        <v>8298541</v>
      </c>
      <c r="FHG525" s="1334">
        <v>8298541</v>
      </c>
      <c r="FHH525" s="1334">
        <v>8298541</v>
      </c>
      <c r="FHI525" s="1334">
        <v>8298541</v>
      </c>
      <c r="FHJ525" s="1334">
        <v>8298541</v>
      </c>
      <c r="FHK525" s="1334">
        <v>8298541</v>
      </c>
      <c r="FHL525" s="1334">
        <v>8298541</v>
      </c>
      <c r="FHM525" s="1334">
        <v>8298541</v>
      </c>
      <c r="FHN525" s="1334">
        <v>8298541</v>
      </c>
      <c r="FHO525" s="1334">
        <v>8298541</v>
      </c>
      <c r="FHP525" s="1334">
        <v>8298541</v>
      </c>
      <c r="FHQ525" s="1334">
        <v>8298541</v>
      </c>
      <c r="FHR525" s="1334">
        <v>8298541</v>
      </c>
      <c r="FHS525" s="1334">
        <v>8298541</v>
      </c>
      <c r="FHT525" s="1334">
        <v>8298541</v>
      </c>
      <c r="FHU525" s="1334">
        <v>8298541</v>
      </c>
      <c r="FHV525" s="1334">
        <v>8298541</v>
      </c>
      <c r="FHW525" s="1334">
        <v>8298541</v>
      </c>
      <c r="FHX525" s="1334">
        <v>8298541</v>
      </c>
      <c r="FHY525" s="1334">
        <v>8298541</v>
      </c>
      <c r="FHZ525" s="1334">
        <v>8298541</v>
      </c>
      <c r="FIA525" s="1334">
        <v>8298541</v>
      </c>
      <c r="FIB525" s="1334">
        <v>8298541</v>
      </c>
      <c r="FIC525" s="1334">
        <v>8298541</v>
      </c>
      <c r="FID525" s="1334">
        <v>8298541</v>
      </c>
      <c r="FIE525" s="1334">
        <v>8298541</v>
      </c>
      <c r="FIF525" s="1334">
        <v>8298541</v>
      </c>
      <c r="FIG525" s="1334">
        <v>8298541</v>
      </c>
      <c r="FIH525" s="1334">
        <v>8298541</v>
      </c>
      <c r="FII525" s="1334">
        <v>8298541</v>
      </c>
      <c r="FIJ525" s="1334">
        <v>8298541</v>
      </c>
      <c r="FIK525" s="1334">
        <v>8298541</v>
      </c>
      <c r="FIL525" s="1334">
        <v>8298541</v>
      </c>
      <c r="FIM525" s="1334">
        <v>8298541</v>
      </c>
      <c r="FIN525" s="1334">
        <v>8298541</v>
      </c>
      <c r="FIO525" s="1334">
        <v>8298541</v>
      </c>
      <c r="FIP525" s="1334">
        <v>8298541</v>
      </c>
      <c r="FIQ525" s="1334">
        <v>8298541</v>
      </c>
      <c r="FIR525" s="1334">
        <v>8298541</v>
      </c>
      <c r="FIS525" s="1334">
        <v>8298541</v>
      </c>
      <c r="FIT525" s="1334">
        <v>8298541</v>
      </c>
      <c r="FIU525" s="1334">
        <v>8298541</v>
      </c>
      <c r="FIV525" s="1334">
        <v>8298541</v>
      </c>
      <c r="FIW525" s="1334">
        <v>8298541</v>
      </c>
      <c r="FIX525" s="1334">
        <v>8298541</v>
      </c>
      <c r="FIY525" s="1334">
        <v>8298541</v>
      </c>
      <c r="FIZ525" s="1334">
        <v>8298541</v>
      </c>
      <c r="FJA525" s="1334">
        <v>8298541</v>
      </c>
      <c r="FJB525" s="1334">
        <v>8298541</v>
      </c>
      <c r="FJC525" s="1334">
        <v>8298541</v>
      </c>
      <c r="FJD525" s="1334">
        <v>8298541</v>
      </c>
      <c r="FJE525" s="1334">
        <v>8298541</v>
      </c>
      <c r="FJF525" s="1334">
        <v>8298541</v>
      </c>
      <c r="FJG525" s="1334">
        <v>8298541</v>
      </c>
      <c r="FJH525" s="1334">
        <v>8298541</v>
      </c>
      <c r="FJI525" s="1334">
        <v>8298541</v>
      </c>
      <c r="FJJ525" s="1334">
        <v>8298541</v>
      </c>
      <c r="FJK525" s="1334">
        <v>8298541</v>
      </c>
      <c r="FJL525" s="1334">
        <v>8298541</v>
      </c>
      <c r="FJM525" s="1334">
        <v>8298541</v>
      </c>
      <c r="FJN525" s="1334">
        <v>8298541</v>
      </c>
      <c r="FJO525" s="1334">
        <v>8298541</v>
      </c>
      <c r="FJP525" s="1334">
        <v>8298541</v>
      </c>
      <c r="FJQ525" s="1334">
        <v>8298541</v>
      </c>
      <c r="FJR525" s="1334">
        <v>8298541</v>
      </c>
      <c r="FJS525" s="1334">
        <v>8298541</v>
      </c>
      <c r="FJT525" s="1334">
        <v>8298541</v>
      </c>
      <c r="FJU525" s="1334">
        <v>8298541</v>
      </c>
      <c r="FJV525" s="1334">
        <v>8298541</v>
      </c>
      <c r="FJW525" s="1334">
        <v>8298541</v>
      </c>
      <c r="FJX525" s="1334">
        <v>8298541</v>
      </c>
      <c r="FJY525" s="1334">
        <v>8298541</v>
      </c>
      <c r="FJZ525" s="1334">
        <v>8298541</v>
      </c>
      <c r="FKA525" s="1334">
        <v>8298541</v>
      </c>
      <c r="FKB525" s="1334">
        <v>8298541</v>
      </c>
      <c r="FKC525" s="1334">
        <v>8298541</v>
      </c>
      <c r="FKD525" s="1334">
        <v>8298541</v>
      </c>
      <c r="FKE525" s="1334">
        <v>8298541</v>
      </c>
      <c r="FKF525" s="1334">
        <v>8298541</v>
      </c>
      <c r="FKG525" s="1334">
        <v>8298541</v>
      </c>
      <c r="FKH525" s="1334">
        <v>8298541</v>
      </c>
      <c r="FKI525" s="1334">
        <v>8298541</v>
      </c>
      <c r="FKJ525" s="1334">
        <v>8298541</v>
      </c>
      <c r="FKK525" s="1334">
        <v>8298541</v>
      </c>
      <c r="FKL525" s="1334">
        <v>8298541</v>
      </c>
      <c r="FKM525" s="1334">
        <v>8298541</v>
      </c>
      <c r="FKN525" s="1334">
        <v>8298541</v>
      </c>
      <c r="FKO525" s="1334">
        <v>8298541</v>
      </c>
      <c r="FKP525" s="1334">
        <v>8298541</v>
      </c>
      <c r="FKQ525" s="1334">
        <v>8298541</v>
      </c>
      <c r="FKR525" s="1334">
        <v>8298541</v>
      </c>
      <c r="FKS525" s="1334">
        <v>8298541</v>
      </c>
      <c r="FKT525" s="1334">
        <v>8298541</v>
      </c>
      <c r="FKU525" s="1334">
        <v>8298541</v>
      </c>
      <c r="FKV525" s="1334">
        <v>8298541</v>
      </c>
      <c r="FKW525" s="1334">
        <v>8298541</v>
      </c>
      <c r="FKX525" s="1334">
        <v>8298541</v>
      </c>
      <c r="FKY525" s="1334">
        <v>8298541</v>
      </c>
      <c r="FKZ525" s="1334">
        <v>8298541</v>
      </c>
      <c r="FLA525" s="1334">
        <v>8298541</v>
      </c>
      <c r="FLB525" s="1334">
        <v>8298541</v>
      </c>
      <c r="FLC525" s="1334">
        <v>8298541</v>
      </c>
      <c r="FLD525" s="1334">
        <v>8298541</v>
      </c>
      <c r="FLE525" s="1334">
        <v>8298541</v>
      </c>
      <c r="FLF525" s="1334">
        <v>8298541</v>
      </c>
      <c r="FLG525" s="1334">
        <v>8298541</v>
      </c>
      <c r="FLH525" s="1334">
        <v>8298541</v>
      </c>
      <c r="FLI525" s="1334">
        <v>8298541</v>
      </c>
      <c r="FLJ525" s="1334">
        <v>8298541</v>
      </c>
      <c r="FLK525" s="1334">
        <v>8298541</v>
      </c>
      <c r="FLL525" s="1334">
        <v>8298541</v>
      </c>
      <c r="FLM525" s="1334">
        <v>8298541</v>
      </c>
      <c r="FLN525" s="1334">
        <v>8298541</v>
      </c>
      <c r="FLO525" s="1334">
        <v>8298541</v>
      </c>
      <c r="FLP525" s="1334">
        <v>8298541</v>
      </c>
      <c r="FLQ525" s="1334">
        <v>8298541</v>
      </c>
      <c r="FLR525" s="1334">
        <v>8298541</v>
      </c>
      <c r="FLS525" s="1334">
        <v>8298541</v>
      </c>
      <c r="FLT525" s="1334">
        <v>8298541</v>
      </c>
      <c r="FLU525" s="1334">
        <v>8298541</v>
      </c>
      <c r="FLV525" s="1334">
        <v>8298541</v>
      </c>
      <c r="FLW525" s="1334">
        <v>8298541</v>
      </c>
      <c r="FLX525" s="1334">
        <v>8298541</v>
      </c>
      <c r="FLY525" s="1334">
        <v>8298541</v>
      </c>
      <c r="FLZ525" s="1334">
        <v>8298541</v>
      </c>
      <c r="FMA525" s="1334">
        <v>8298541</v>
      </c>
      <c r="FMB525" s="1334">
        <v>8298541</v>
      </c>
      <c r="FMC525" s="1334">
        <v>8298541</v>
      </c>
      <c r="FMD525" s="1334">
        <v>8298541</v>
      </c>
      <c r="FME525" s="1334">
        <v>8298541</v>
      </c>
      <c r="FMF525" s="1334">
        <v>8298541</v>
      </c>
      <c r="FMG525" s="1334">
        <v>8298541</v>
      </c>
      <c r="FMH525" s="1334">
        <v>8298541</v>
      </c>
      <c r="FMI525" s="1334">
        <v>8298541</v>
      </c>
      <c r="FMJ525" s="1334">
        <v>8298541</v>
      </c>
      <c r="FMK525" s="1334">
        <v>8298541</v>
      </c>
      <c r="FML525" s="1334">
        <v>8298541</v>
      </c>
      <c r="FMM525" s="1334">
        <v>8298541</v>
      </c>
      <c r="FMN525" s="1334">
        <v>8298541</v>
      </c>
      <c r="FMO525" s="1334">
        <v>8298541</v>
      </c>
      <c r="FMP525" s="1334">
        <v>8298541</v>
      </c>
      <c r="FMQ525" s="1334">
        <v>8298541</v>
      </c>
      <c r="FMR525" s="1334">
        <v>8298541</v>
      </c>
      <c r="FMS525" s="1334">
        <v>8298541</v>
      </c>
      <c r="FMT525" s="1334">
        <v>8298541</v>
      </c>
      <c r="FMU525" s="1334">
        <v>8298541</v>
      </c>
      <c r="FMV525" s="1334">
        <v>8298541</v>
      </c>
      <c r="FMW525" s="1334">
        <v>8298541</v>
      </c>
      <c r="FMX525" s="1334">
        <v>8298541</v>
      </c>
      <c r="FMY525" s="1334">
        <v>8298541</v>
      </c>
      <c r="FMZ525" s="1334">
        <v>8298541</v>
      </c>
      <c r="FNA525" s="1334">
        <v>8298541</v>
      </c>
      <c r="FNB525" s="1334">
        <v>8298541</v>
      </c>
      <c r="FNC525" s="1334">
        <v>8298541</v>
      </c>
      <c r="FND525" s="1334">
        <v>8298541</v>
      </c>
      <c r="FNE525" s="1334">
        <v>8298541</v>
      </c>
      <c r="FNF525" s="1334">
        <v>8298541</v>
      </c>
      <c r="FNG525" s="1334">
        <v>8298541</v>
      </c>
      <c r="FNH525" s="1334">
        <v>8298541</v>
      </c>
      <c r="FNI525" s="1334">
        <v>8298541</v>
      </c>
      <c r="FNJ525" s="1334">
        <v>8298541</v>
      </c>
      <c r="FNK525" s="1334">
        <v>8298541</v>
      </c>
      <c r="FNL525" s="1334">
        <v>8298541</v>
      </c>
      <c r="FNM525" s="1334">
        <v>8298541</v>
      </c>
      <c r="FNN525" s="1334">
        <v>8298541</v>
      </c>
      <c r="FNO525" s="1334">
        <v>8298541</v>
      </c>
      <c r="FNP525" s="1334">
        <v>8298541</v>
      </c>
      <c r="FNQ525" s="1334">
        <v>8298541</v>
      </c>
      <c r="FNR525" s="1334">
        <v>8298541</v>
      </c>
      <c r="FNS525" s="1334">
        <v>8298541</v>
      </c>
      <c r="FNT525" s="1334">
        <v>8298541</v>
      </c>
      <c r="FNU525" s="1334">
        <v>8298541</v>
      </c>
      <c r="FNV525" s="1334">
        <v>8298541</v>
      </c>
      <c r="FNW525" s="1334">
        <v>8298541</v>
      </c>
      <c r="FNX525" s="1334">
        <v>8298541</v>
      </c>
      <c r="FNY525" s="1334">
        <v>8298541</v>
      </c>
      <c r="FNZ525" s="1334">
        <v>8298541</v>
      </c>
      <c r="FOA525" s="1334">
        <v>8298541</v>
      </c>
      <c r="FOB525" s="1334">
        <v>8298541</v>
      </c>
      <c r="FOC525" s="1334">
        <v>8298541</v>
      </c>
      <c r="FOD525" s="1334">
        <v>8298541</v>
      </c>
      <c r="FOE525" s="1334">
        <v>8298541</v>
      </c>
      <c r="FOF525" s="1334">
        <v>8298541</v>
      </c>
      <c r="FOG525" s="1334">
        <v>8298541</v>
      </c>
      <c r="FOH525" s="1334">
        <v>8298541</v>
      </c>
      <c r="FOI525" s="1334">
        <v>8298541</v>
      </c>
      <c r="FOJ525" s="1334">
        <v>8298541</v>
      </c>
      <c r="FOK525" s="1334">
        <v>8298541</v>
      </c>
      <c r="FOL525" s="1334">
        <v>8298541</v>
      </c>
      <c r="FOM525" s="1334">
        <v>8298541</v>
      </c>
      <c r="FON525" s="1334">
        <v>8298541</v>
      </c>
      <c r="FOO525" s="1334">
        <v>8298541</v>
      </c>
      <c r="FOP525" s="1334">
        <v>8298541</v>
      </c>
      <c r="FOQ525" s="1334">
        <v>8298541</v>
      </c>
      <c r="FOR525" s="1334">
        <v>8298541</v>
      </c>
      <c r="FOS525" s="1334">
        <v>8298541</v>
      </c>
      <c r="FOT525" s="1334">
        <v>8298541</v>
      </c>
      <c r="FOU525" s="1334">
        <v>8298541</v>
      </c>
      <c r="FOV525" s="1334">
        <v>8298541</v>
      </c>
      <c r="FOW525" s="1334">
        <v>8298541</v>
      </c>
      <c r="FOX525" s="1334">
        <v>8298541</v>
      </c>
      <c r="FOY525" s="1334">
        <v>8298541</v>
      </c>
      <c r="FOZ525" s="1334">
        <v>8298541</v>
      </c>
      <c r="FPA525" s="1334">
        <v>8298541</v>
      </c>
      <c r="FPB525" s="1334">
        <v>8298541</v>
      </c>
      <c r="FPC525" s="1334">
        <v>8298541</v>
      </c>
      <c r="FPD525" s="1334">
        <v>8298541</v>
      </c>
      <c r="FPE525" s="1334">
        <v>8298541</v>
      </c>
      <c r="FPF525" s="1334">
        <v>8298541</v>
      </c>
      <c r="FPG525" s="1334">
        <v>8298541</v>
      </c>
      <c r="FPH525" s="1334">
        <v>8298541</v>
      </c>
      <c r="FPI525" s="1334">
        <v>8298541</v>
      </c>
      <c r="FPJ525" s="1334">
        <v>8298541</v>
      </c>
      <c r="FPK525" s="1334">
        <v>8298541</v>
      </c>
      <c r="FPL525" s="1334">
        <v>8298541</v>
      </c>
      <c r="FPM525" s="1334">
        <v>8298541</v>
      </c>
      <c r="FPN525" s="1334">
        <v>8298541</v>
      </c>
      <c r="FPO525" s="1334">
        <v>8298541</v>
      </c>
      <c r="FPP525" s="1334">
        <v>8298541</v>
      </c>
      <c r="FPQ525" s="1334">
        <v>8298541</v>
      </c>
      <c r="FPR525" s="1334">
        <v>8298541</v>
      </c>
      <c r="FPS525" s="1334">
        <v>8298541</v>
      </c>
      <c r="FPT525" s="1334">
        <v>8298541</v>
      </c>
      <c r="FPU525" s="1334">
        <v>8298541</v>
      </c>
      <c r="FPV525" s="1334">
        <v>8298541</v>
      </c>
      <c r="FPW525" s="1334">
        <v>8298541</v>
      </c>
      <c r="FPX525" s="1334">
        <v>8298541</v>
      </c>
      <c r="FPY525" s="1334">
        <v>8298541</v>
      </c>
      <c r="FPZ525" s="1334">
        <v>8298541</v>
      </c>
      <c r="FQA525" s="1334">
        <v>8298541</v>
      </c>
      <c r="FQB525" s="1334">
        <v>8298541</v>
      </c>
      <c r="FQC525" s="1334">
        <v>8298541</v>
      </c>
      <c r="FQD525" s="1334">
        <v>8298541</v>
      </c>
      <c r="FQE525" s="1334">
        <v>8298541</v>
      </c>
      <c r="FQF525" s="1334">
        <v>8298541</v>
      </c>
      <c r="FQG525" s="1334">
        <v>8298541</v>
      </c>
      <c r="FQH525" s="1334">
        <v>8298541</v>
      </c>
      <c r="FQI525" s="1334">
        <v>8298541</v>
      </c>
      <c r="FQJ525" s="1334">
        <v>8298541</v>
      </c>
      <c r="FQK525" s="1334">
        <v>8298541</v>
      </c>
      <c r="FQL525" s="1334">
        <v>8298541</v>
      </c>
      <c r="FQM525" s="1334">
        <v>8298541</v>
      </c>
      <c r="FQN525" s="1334">
        <v>8298541</v>
      </c>
      <c r="FQO525" s="1334">
        <v>8298541</v>
      </c>
      <c r="FQP525" s="1334">
        <v>8298541</v>
      </c>
      <c r="FQQ525" s="1334">
        <v>8298541</v>
      </c>
      <c r="FQR525" s="1334">
        <v>8298541</v>
      </c>
      <c r="FQS525" s="1334">
        <v>8298541</v>
      </c>
      <c r="FQT525" s="1334">
        <v>8298541</v>
      </c>
      <c r="FQU525" s="1334">
        <v>8298541</v>
      </c>
      <c r="FQV525" s="1334">
        <v>8298541</v>
      </c>
      <c r="FQW525" s="1334">
        <v>8298541</v>
      </c>
      <c r="FQX525" s="1334">
        <v>8298541</v>
      </c>
      <c r="FQY525" s="1334">
        <v>8298541</v>
      </c>
      <c r="FQZ525" s="1334">
        <v>8298541</v>
      </c>
      <c r="FRA525" s="1334">
        <v>8298541</v>
      </c>
      <c r="FRB525" s="1334">
        <v>8298541</v>
      </c>
      <c r="FRC525" s="1334">
        <v>8298541</v>
      </c>
      <c r="FRD525" s="1334">
        <v>8298541</v>
      </c>
      <c r="FRE525" s="1334">
        <v>8298541</v>
      </c>
      <c r="FRF525" s="1334">
        <v>8298541</v>
      </c>
      <c r="FRG525" s="1334">
        <v>8298541</v>
      </c>
      <c r="FRH525" s="1334">
        <v>8298541</v>
      </c>
      <c r="FRI525" s="1334">
        <v>8298541</v>
      </c>
      <c r="FRJ525" s="1334">
        <v>8298541</v>
      </c>
      <c r="FRK525" s="1334">
        <v>8298541</v>
      </c>
      <c r="FRL525" s="1334">
        <v>8298541</v>
      </c>
      <c r="FRM525" s="1334">
        <v>8298541</v>
      </c>
      <c r="FRN525" s="1334">
        <v>8298541</v>
      </c>
      <c r="FRO525" s="1334">
        <v>8298541</v>
      </c>
      <c r="FRP525" s="1334">
        <v>8298541</v>
      </c>
      <c r="FRQ525" s="1334">
        <v>8298541</v>
      </c>
      <c r="FRR525" s="1334">
        <v>8298541</v>
      </c>
      <c r="FRS525" s="1334">
        <v>8298541</v>
      </c>
      <c r="FRT525" s="1334">
        <v>8298541</v>
      </c>
      <c r="FRU525" s="1334">
        <v>8298541</v>
      </c>
      <c r="FRV525" s="1334">
        <v>8298541</v>
      </c>
      <c r="FRW525" s="1334">
        <v>8298541</v>
      </c>
      <c r="FRX525" s="1334">
        <v>8298541</v>
      </c>
      <c r="FRY525" s="1334">
        <v>8298541</v>
      </c>
      <c r="FRZ525" s="1334">
        <v>8298541</v>
      </c>
      <c r="FSA525" s="1334">
        <v>8298541</v>
      </c>
      <c r="FSB525" s="1334">
        <v>8298541</v>
      </c>
      <c r="FSC525" s="1334">
        <v>8298541</v>
      </c>
      <c r="FSD525" s="1334">
        <v>8298541</v>
      </c>
      <c r="FSE525" s="1334">
        <v>8298541</v>
      </c>
      <c r="FSF525" s="1334">
        <v>8298541</v>
      </c>
      <c r="FSG525" s="1334">
        <v>8298541</v>
      </c>
      <c r="FSH525" s="1334">
        <v>8298541</v>
      </c>
      <c r="FSI525" s="1334">
        <v>8298541</v>
      </c>
      <c r="FSJ525" s="1334">
        <v>8298541</v>
      </c>
      <c r="FSK525" s="1334">
        <v>8298541</v>
      </c>
      <c r="FSL525" s="1334">
        <v>8298541</v>
      </c>
      <c r="FSM525" s="1334">
        <v>8298541</v>
      </c>
      <c r="FSN525" s="1334">
        <v>8298541</v>
      </c>
      <c r="FSO525" s="1334">
        <v>8298541</v>
      </c>
      <c r="FSP525" s="1334">
        <v>8298541</v>
      </c>
      <c r="FSQ525" s="1334">
        <v>8298541</v>
      </c>
      <c r="FSR525" s="1334">
        <v>8298541</v>
      </c>
      <c r="FSS525" s="1334">
        <v>8298541</v>
      </c>
      <c r="FST525" s="1334">
        <v>8298541</v>
      </c>
      <c r="FSU525" s="1334">
        <v>8298541</v>
      </c>
      <c r="FSV525" s="1334">
        <v>8298541</v>
      </c>
      <c r="FSW525" s="1334">
        <v>8298541</v>
      </c>
      <c r="FSX525" s="1334">
        <v>8298541</v>
      </c>
      <c r="FSY525" s="1334">
        <v>8298541</v>
      </c>
      <c r="FSZ525" s="1334">
        <v>8298541</v>
      </c>
      <c r="FTA525" s="1334">
        <v>8298541</v>
      </c>
      <c r="FTB525" s="1334">
        <v>8298541</v>
      </c>
      <c r="FTC525" s="1334">
        <v>8298541</v>
      </c>
      <c r="FTD525" s="1334">
        <v>8298541</v>
      </c>
      <c r="FTE525" s="1334">
        <v>8298541</v>
      </c>
      <c r="FTF525" s="1334">
        <v>8298541</v>
      </c>
      <c r="FTG525" s="1334">
        <v>8298541</v>
      </c>
      <c r="FTH525" s="1334">
        <v>8298541</v>
      </c>
      <c r="FTI525" s="1334">
        <v>8298541</v>
      </c>
      <c r="FTJ525" s="1334">
        <v>8298541</v>
      </c>
      <c r="FTK525" s="1334">
        <v>8298541</v>
      </c>
      <c r="FTL525" s="1334">
        <v>8298541</v>
      </c>
      <c r="FTM525" s="1334">
        <v>8298541</v>
      </c>
      <c r="FTN525" s="1334">
        <v>8298541</v>
      </c>
      <c r="FTO525" s="1334">
        <v>8298541</v>
      </c>
      <c r="FTP525" s="1334">
        <v>8298541</v>
      </c>
      <c r="FTQ525" s="1334">
        <v>8298541</v>
      </c>
      <c r="FTR525" s="1334">
        <v>8298541</v>
      </c>
      <c r="FTS525" s="1334">
        <v>8298541</v>
      </c>
      <c r="FTT525" s="1334">
        <v>8298541</v>
      </c>
      <c r="FTU525" s="1334">
        <v>8298541</v>
      </c>
      <c r="FTV525" s="1334">
        <v>8298541</v>
      </c>
      <c r="FTW525" s="1334">
        <v>8298541</v>
      </c>
      <c r="FTX525" s="1334">
        <v>8298541</v>
      </c>
      <c r="FTY525" s="1334">
        <v>8298541</v>
      </c>
      <c r="FTZ525" s="1334">
        <v>8298541</v>
      </c>
      <c r="FUA525" s="1334">
        <v>8298541</v>
      </c>
      <c r="FUB525" s="1334">
        <v>8298541</v>
      </c>
      <c r="FUC525" s="1334">
        <v>8298541</v>
      </c>
      <c r="FUD525" s="1334">
        <v>8298541</v>
      </c>
      <c r="FUE525" s="1334">
        <v>8298541</v>
      </c>
      <c r="FUF525" s="1334">
        <v>8298541</v>
      </c>
      <c r="FUG525" s="1334">
        <v>8298541</v>
      </c>
      <c r="FUH525" s="1334">
        <v>8298541</v>
      </c>
      <c r="FUI525" s="1334">
        <v>8298541</v>
      </c>
      <c r="FUJ525" s="1334">
        <v>8298541</v>
      </c>
      <c r="FUK525" s="1334">
        <v>8298541</v>
      </c>
      <c r="FUL525" s="1334">
        <v>8298541</v>
      </c>
      <c r="FUM525" s="1334">
        <v>8298541</v>
      </c>
      <c r="FUN525" s="1334">
        <v>8298541</v>
      </c>
      <c r="FUO525" s="1334">
        <v>8298541</v>
      </c>
      <c r="FUP525" s="1334">
        <v>8298541</v>
      </c>
      <c r="FUQ525" s="1334">
        <v>8298541</v>
      </c>
      <c r="FUR525" s="1334">
        <v>8298541</v>
      </c>
      <c r="FUS525" s="1334">
        <v>8298541</v>
      </c>
      <c r="FUT525" s="1334">
        <v>8298541</v>
      </c>
      <c r="FUU525" s="1334">
        <v>8298541</v>
      </c>
      <c r="FUV525" s="1334">
        <v>8298541</v>
      </c>
      <c r="FUW525" s="1334">
        <v>8298541</v>
      </c>
      <c r="FUX525" s="1334">
        <v>8298541</v>
      </c>
      <c r="FUY525" s="1334">
        <v>8298541</v>
      </c>
      <c r="FUZ525" s="1334">
        <v>8298541</v>
      </c>
      <c r="FVA525" s="1334">
        <v>8298541</v>
      </c>
      <c r="FVB525" s="1334">
        <v>8298541</v>
      </c>
      <c r="FVC525" s="1334">
        <v>8298541</v>
      </c>
      <c r="FVD525" s="1334">
        <v>8298541</v>
      </c>
      <c r="FVE525" s="1334">
        <v>8298541</v>
      </c>
      <c r="FVF525" s="1334">
        <v>8298541</v>
      </c>
      <c r="FVG525" s="1334">
        <v>8298541</v>
      </c>
      <c r="FVH525" s="1334">
        <v>8298541</v>
      </c>
      <c r="FVI525" s="1334">
        <v>8298541</v>
      </c>
      <c r="FVJ525" s="1334">
        <v>8298541</v>
      </c>
      <c r="FVK525" s="1334">
        <v>8298541</v>
      </c>
      <c r="FVL525" s="1334">
        <v>8298541</v>
      </c>
      <c r="FVM525" s="1334">
        <v>8298541</v>
      </c>
      <c r="FVN525" s="1334">
        <v>8298541</v>
      </c>
      <c r="FVO525" s="1334">
        <v>8298541</v>
      </c>
      <c r="FVP525" s="1334">
        <v>8298541</v>
      </c>
      <c r="FVQ525" s="1334">
        <v>8298541</v>
      </c>
      <c r="FVR525" s="1334">
        <v>8298541</v>
      </c>
      <c r="FVS525" s="1334">
        <v>8298541</v>
      </c>
      <c r="FVT525" s="1334">
        <v>8298541</v>
      </c>
      <c r="FVU525" s="1334">
        <v>8298541</v>
      </c>
      <c r="FVV525" s="1334">
        <v>8298541</v>
      </c>
      <c r="FVW525" s="1334">
        <v>8298541</v>
      </c>
      <c r="FVX525" s="1334">
        <v>8298541</v>
      </c>
      <c r="FVY525" s="1334">
        <v>8298541</v>
      </c>
      <c r="FVZ525" s="1334">
        <v>8298541</v>
      </c>
      <c r="FWA525" s="1334">
        <v>8298541</v>
      </c>
      <c r="FWB525" s="1334">
        <v>8298541</v>
      </c>
      <c r="FWC525" s="1334">
        <v>8298541</v>
      </c>
      <c r="FWD525" s="1334">
        <v>8298541</v>
      </c>
      <c r="FWE525" s="1334">
        <v>8298541</v>
      </c>
      <c r="FWF525" s="1334">
        <v>8298541</v>
      </c>
      <c r="FWG525" s="1334">
        <v>8298541</v>
      </c>
      <c r="FWH525" s="1334">
        <v>8298541</v>
      </c>
      <c r="FWI525" s="1334">
        <v>8298541</v>
      </c>
      <c r="FWJ525" s="1334">
        <v>8298541</v>
      </c>
      <c r="FWK525" s="1334">
        <v>8298541</v>
      </c>
      <c r="FWL525" s="1334">
        <v>8298541</v>
      </c>
      <c r="FWM525" s="1334">
        <v>8298541</v>
      </c>
      <c r="FWN525" s="1334">
        <v>8298541</v>
      </c>
      <c r="FWO525" s="1334">
        <v>8298541</v>
      </c>
      <c r="FWP525" s="1334">
        <v>8298541</v>
      </c>
      <c r="FWQ525" s="1334">
        <v>8298541</v>
      </c>
      <c r="FWR525" s="1334">
        <v>8298541</v>
      </c>
      <c r="FWS525" s="1334">
        <v>8298541</v>
      </c>
      <c r="FWT525" s="1334">
        <v>8298541</v>
      </c>
      <c r="FWU525" s="1334">
        <v>8298541</v>
      </c>
      <c r="FWV525" s="1334">
        <v>8298541</v>
      </c>
      <c r="FWW525" s="1334">
        <v>8298541</v>
      </c>
      <c r="FWX525" s="1334">
        <v>8298541</v>
      </c>
      <c r="FWY525" s="1334">
        <v>8298541</v>
      </c>
      <c r="FWZ525" s="1334">
        <v>8298541</v>
      </c>
      <c r="FXA525" s="1334">
        <v>8298541</v>
      </c>
      <c r="FXB525" s="1334">
        <v>8298541</v>
      </c>
      <c r="FXC525" s="1334">
        <v>8298541</v>
      </c>
      <c r="FXD525" s="1334">
        <v>8298541</v>
      </c>
      <c r="FXE525" s="1334">
        <v>8298541</v>
      </c>
      <c r="FXF525" s="1334">
        <v>8298541</v>
      </c>
      <c r="FXG525" s="1334">
        <v>8298541</v>
      </c>
      <c r="FXH525" s="1334">
        <v>8298541</v>
      </c>
      <c r="FXI525" s="1334">
        <v>8298541</v>
      </c>
      <c r="FXJ525" s="1334">
        <v>8298541</v>
      </c>
      <c r="FXK525" s="1334">
        <v>8298541</v>
      </c>
      <c r="FXL525" s="1334">
        <v>8298541</v>
      </c>
      <c r="FXM525" s="1334">
        <v>8298541</v>
      </c>
      <c r="FXN525" s="1334">
        <v>8298541</v>
      </c>
      <c r="FXO525" s="1334">
        <v>8298541</v>
      </c>
      <c r="FXP525" s="1334">
        <v>8298541</v>
      </c>
      <c r="FXQ525" s="1334">
        <v>8298541</v>
      </c>
      <c r="FXR525" s="1334">
        <v>8298541</v>
      </c>
      <c r="FXS525" s="1334">
        <v>8298541</v>
      </c>
      <c r="FXT525" s="1334">
        <v>8298541</v>
      </c>
      <c r="FXU525" s="1334">
        <v>8298541</v>
      </c>
      <c r="FXV525" s="1334">
        <v>8298541</v>
      </c>
      <c r="FXW525" s="1334">
        <v>8298541</v>
      </c>
      <c r="FXX525" s="1334">
        <v>8298541</v>
      </c>
      <c r="FXY525" s="1334">
        <v>8298541</v>
      </c>
      <c r="FXZ525" s="1334">
        <v>8298541</v>
      </c>
      <c r="FYA525" s="1334">
        <v>8298541</v>
      </c>
      <c r="FYB525" s="1334">
        <v>8298541</v>
      </c>
      <c r="FYC525" s="1334">
        <v>8298541</v>
      </c>
      <c r="FYD525" s="1334">
        <v>8298541</v>
      </c>
      <c r="FYE525" s="1334">
        <v>8298541</v>
      </c>
      <c r="FYF525" s="1334">
        <v>8298541</v>
      </c>
      <c r="FYG525" s="1334">
        <v>8298541</v>
      </c>
      <c r="FYH525" s="1334">
        <v>8298541</v>
      </c>
      <c r="FYI525" s="1334">
        <v>8298541</v>
      </c>
      <c r="FYJ525" s="1334">
        <v>8298541</v>
      </c>
      <c r="FYK525" s="1334">
        <v>8298541</v>
      </c>
      <c r="FYL525" s="1334">
        <v>8298541</v>
      </c>
      <c r="FYM525" s="1334">
        <v>8298541</v>
      </c>
      <c r="FYN525" s="1334">
        <v>8298541</v>
      </c>
      <c r="FYO525" s="1334">
        <v>8298541</v>
      </c>
      <c r="FYP525" s="1334">
        <v>8298541</v>
      </c>
      <c r="FYQ525" s="1334">
        <v>8298541</v>
      </c>
      <c r="FYR525" s="1334">
        <v>8298541</v>
      </c>
      <c r="FYS525" s="1334">
        <v>8298541</v>
      </c>
      <c r="FYT525" s="1334">
        <v>8298541</v>
      </c>
      <c r="FYU525" s="1334">
        <v>8298541</v>
      </c>
      <c r="FYV525" s="1334">
        <v>8298541</v>
      </c>
      <c r="FYW525" s="1334">
        <v>8298541</v>
      </c>
      <c r="FYX525" s="1334">
        <v>8298541</v>
      </c>
      <c r="FYY525" s="1334">
        <v>8298541</v>
      </c>
      <c r="FYZ525" s="1334">
        <v>8298541</v>
      </c>
      <c r="FZA525" s="1334">
        <v>8298541</v>
      </c>
      <c r="FZB525" s="1334">
        <v>8298541</v>
      </c>
      <c r="FZC525" s="1334">
        <v>8298541</v>
      </c>
      <c r="FZD525" s="1334">
        <v>8298541</v>
      </c>
      <c r="FZE525" s="1334">
        <v>8298541</v>
      </c>
      <c r="FZF525" s="1334">
        <v>8298541</v>
      </c>
      <c r="FZG525" s="1334">
        <v>8298541</v>
      </c>
      <c r="FZH525" s="1334">
        <v>8298541</v>
      </c>
      <c r="FZI525" s="1334">
        <v>8298541</v>
      </c>
      <c r="FZJ525" s="1334">
        <v>8298541</v>
      </c>
      <c r="FZK525" s="1334">
        <v>8298541</v>
      </c>
      <c r="FZL525" s="1334">
        <v>8298541</v>
      </c>
      <c r="FZM525" s="1334">
        <v>8298541</v>
      </c>
      <c r="FZN525" s="1334">
        <v>8298541</v>
      </c>
      <c r="FZO525" s="1334">
        <v>8298541</v>
      </c>
      <c r="FZP525" s="1334">
        <v>8298541</v>
      </c>
      <c r="FZQ525" s="1334">
        <v>8298541</v>
      </c>
      <c r="FZR525" s="1334">
        <v>8298541</v>
      </c>
      <c r="FZS525" s="1334">
        <v>8298541</v>
      </c>
      <c r="FZT525" s="1334">
        <v>8298541</v>
      </c>
      <c r="FZU525" s="1334">
        <v>8298541</v>
      </c>
      <c r="FZV525" s="1334">
        <v>8298541</v>
      </c>
      <c r="FZW525" s="1334">
        <v>8298541</v>
      </c>
      <c r="FZX525" s="1334">
        <v>8298541</v>
      </c>
      <c r="FZY525" s="1334">
        <v>8298541</v>
      </c>
      <c r="FZZ525" s="1334">
        <v>8298541</v>
      </c>
      <c r="GAA525" s="1334">
        <v>8298541</v>
      </c>
      <c r="GAB525" s="1334">
        <v>8298541</v>
      </c>
      <c r="GAC525" s="1334">
        <v>8298541</v>
      </c>
      <c r="GAD525" s="1334">
        <v>8298541</v>
      </c>
      <c r="GAE525" s="1334">
        <v>8298541</v>
      </c>
      <c r="GAF525" s="1334">
        <v>8298541</v>
      </c>
      <c r="GAG525" s="1334">
        <v>8298541</v>
      </c>
      <c r="GAH525" s="1334">
        <v>8298541</v>
      </c>
      <c r="GAI525" s="1334">
        <v>8298541</v>
      </c>
      <c r="GAJ525" s="1334">
        <v>8298541</v>
      </c>
      <c r="GAK525" s="1334">
        <v>8298541</v>
      </c>
      <c r="GAL525" s="1334">
        <v>8298541</v>
      </c>
      <c r="GAM525" s="1334">
        <v>8298541</v>
      </c>
      <c r="GAN525" s="1334">
        <v>8298541</v>
      </c>
      <c r="GAO525" s="1334">
        <v>8298541</v>
      </c>
      <c r="GAP525" s="1334">
        <v>8298541</v>
      </c>
      <c r="GAQ525" s="1334">
        <v>8298541</v>
      </c>
      <c r="GAR525" s="1334">
        <v>8298541</v>
      </c>
      <c r="GAS525" s="1334">
        <v>8298541</v>
      </c>
      <c r="GAT525" s="1334">
        <v>8298541</v>
      </c>
      <c r="GAU525" s="1334">
        <v>8298541</v>
      </c>
      <c r="GAV525" s="1334">
        <v>8298541</v>
      </c>
      <c r="GAW525" s="1334">
        <v>8298541</v>
      </c>
      <c r="GAX525" s="1334">
        <v>8298541</v>
      </c>
      <c r="GAY525" s="1334">
        <v>8298541</v>
      </c>
      <c r="GAZ525" s="1334">
        <v>8298541</v>
      </c>
      <c r="GBA525" s="1334">
        <v>8298541</v>
      </c>
      <c r="GBB525" s="1334">
        <v>8298541</v>
      </c>
      <c r="GBC525" s="1334">
        <v>8298541</v>
      </c>
      <c r="GBD525" s="1334">
        <v>8298541</v>
      </c>
      <c r="GBE525" s="1334">
        <v>8298541</v>
      </c>
      <c r="GBF525" s="1334">
        <v>8298541</v>
      </c>
      <c r="GBG525" s="1334">
        <v>8298541</v>
      </c>
      <c r="GBH525" s="1334">
        <v>8298541</v>
      </c>
      <c r="GBI525" s="1334">
        <v>8298541</v>
      </c>
      <c r="GBJ525" s="1334">
        <v>8298541</v>
      </c>
      <c r="GBK525" s="1334">
        <v>8298541</v>
      </c>
      <c r="GBL525" s="1334">
        <v>8298541</v>
      </c>
      <c r="GBM525" s="1334">
        <v>8298541</v>
      </c>
      <c r="GBN525" s="1334">
        <v>8298541</v>
      </c>
      <c r="GBO525" s="1334">
        <v>8298541</v>
      </c>
      <c r="GBP525" s="1334">
        <v>8298541</v>
      </c>
      <c r="GBQ525" s="1334">
        <v>8298541</v>
      </c>
      <c r="GBR525" s="1334">
        <v>8298541</v>
      </c>
      <c r="GBS525" s="1334">
        <v>8298541</v>
      </c>
      <c r="GBT525" s="1334">
        <v>8298541</v>
      </c>
      <c r="GBU525" s="1334">
        <v>8298541</v>
      </c>
      <c r="GBV525" s="1334">
        <v>8298541</v>
      </c>
      <c r="GBW525" s="1334">
        <v>8298541</v>
      </c>
      <c r="GBX525" s="1334">
        <v>8298541</v>
      </c>
      <c r="GBY525" s="1334">
        <v>8298541</v>
      </c>
      <c r="GBZ525" s="1334">
        <v>8298541</v>
      </c>
      <c r="GCA525" s="1334">
        <v>8298541</v>
      </c>
      <c r="GCB525" s="1334">
        <v>8298541</v>
      </c>
      <c r="GCC525" s="1334">
        <v>8298541</v>
      </c>
      <c r="GCD525" s="1334">
        <v>8298541</v>
      </c>
      <c r="GCE525" s="1334">
        <v>8298541</v>
      </c>
      <c r="GCF525" s="1334">
        <v>8298541</v>
      </c>
      <c r="GCG525" s="1334">
        <v>8298541</v>
      </c>
      <c r="GCH525" s="1334">
        <v>8298541</v>
      </c>
      <c r="GCI525" s="1334">
        <v>8298541</v>
      </c>
      <c r="GCJ525" s="1334">
        <v>8298541</v>
      </c>
      <c r="GCK525" s="1334">
        <v>8298541</v>
      </c>
      <c r="GCL525" s="1334">
        <v>8298541</v>
      </c>
      <c r="GCM525" s="1334">
        <v>8298541</v>
      </c>
      <c r="GCN525" s="1334">
        <v>8298541</v>
      </c>
      <c r="GCO525" s="1334">
        <v>8298541</v>
      </c>
      <c r="GCP525" s="1334">
        <v>8298541</v>
      </c>
      <c r="GCQ525" s="1334">
        <v>8298541</v>
      </c>
      <c r="GCR525" s="1334">
        <v>8298541</v>
      </c>
      <c r="GCS525" s="1334">
        <v>8298541</v>
      </c>
      <c r="GCT525" s="1334">
        <v>8298541</v>
      </c>
      <c r="GCU525" s="1334">
        <v>8298541</v>
      </c>
      <c r="GCV525" s="1334">
        <v>8298541</v>
      </c>
      <c r="GCW525" s="1334">
        <v>8298541</v>
      </c>
      <c r="GCX525" s="1334">
        <v>8298541</v>
      </c>
      <c r="GCY525" s="1334">
        <v>8298541</v>
      </c>
      <c r="GCZ525" s="1334">
        <v>8298541</v>
      </c>
      <c r="GDA525" s="1334">
        <v>8298541</v>
      </c>
      <c r="GDB525" s="1334">
        <v>8298541</v>
      </c>
      <c r="GDC525" s="1334">
        <v>8298541</v>
      </c>
      <c r="GDD525" s="1334">
        <v>8298541</v>
      </c>
      <c r="GDE525" s="1334">
        <v>8298541</v>
      </c>
      <c r="GDF525" s="1334">
        <v>8298541</v>
      </c>
      <c r="GDG525" s="1334">
        <v>8298541</v>
      </c>
      <c r="GDH525" s="1334">
        <v>8298541</v>
      </c>
      <c r="GDI525" s="1334">
        <v>8298541</v>
      </c>
      <c r="GDJ525" s="1334">
        <v>8298541</v>
      </c>
      <c r="GDK525" s="1334">
        <v>8298541</v>
      </c>
      <c r="GDL525" s="1334">
        <v>8298541</v>
      </c>
      <c r="GDM525" s="1334">
        <v>8298541</v>
      </c>
      <c r="GDN525" s="1334">
        <v>8298541</v>
      </c>
      <c r="GDO525" s="1334">
        <v>8298541</v>
      </c>
      <c r="GDP525" s="1334">
        <v>8298541</v>
      </c>
      <c r="GDQ525" s="1334">
        <v>8298541</v>
      </c>
      <c r="GDR525" s="1334">
        <v>8298541</v>
      </c>
      <c r="GDS525" s="1334">
        <v>8298541</v>
      </c>
      <c r="GDT525" s="1334">
        <v>8298541</v>
      </c>
      <c r="GDU525" s="1334">
        <v>8298541</v>
      </c>
      <c r="GDV525" s="1334">
        <v>8298541</v>
      </c>
      <c r="GDW525" s="1334">
        <v>8298541</v>
      </c>
      <c r="GDX525" s="1334">
        <v>8298541</v>
      </c>
      <c r="GDY525" s="1334">
        <v>8298541</v>
      </c>
      <c r="GDZ525" s="1334">
        <v>8298541</v>
      </c>
      <c r="GEA525" s="1334">
        <v>8298541</v>
      </c>
      <c r="GEB525" s="1334">
        <v>8298541</v>
      </c>
      <c r="GEC525" s="1334">
        <v>8298541</v>
      </c>
      <c r="GED525" s="1334">
        <v>8298541</v>
      </c>
      <c r="GEE525" s="1334">
        <v>8298541</v>
      </c>
      <c r="GEF525" s="1334">
        <v>8298541</v>
      </c>
      <c r="GEG525" s="1334">
        <v>8298541</v>
      </c>
      <c r="GEH525" s="1334">
        <v>8298541</v>
      </c>
      <c r="GEI525" s="1334">
        <v>8298541</v>
      </c>
      <c r="GEJ525" s="1334">
        <v>8298541</v>
      </c>
      <c r="GEK525" s="1334">
        <v>8298541</v>
      </c>
      <c r="GEL525" s="1334">
        <v>8298541</v>
      </c>
      <c r="GEM525" s="1334">
        <v>8298541</v>
      </c>
      <c r="GEN525" s="1334">
        <v>8298541</v>
      </c>
      <c r="GEO525" s="1334">
        <v>8298541</v>
      </c>
      <c r="GEP525" s="1334">
        <v>8298541</v>
      </c>
      <c r="GEQ525" s="1334">
        <v>8298541</v>
      </c>
      <c r="GER525" s="1334">
        <v>8298541</v>
      </c>
      <c r="GES525" s="1334">
        <v>8298541</v>
      </c>
      <c r="GET525" s="1334">
        <v>8298541</v>
      </c>
      <c r="GEU525" s="1334">
        <v>8298541</v>
      </c>
      <c r="GEV525" s="1334">
        <v>8298541</v>
      </c>
      <c r="GEW525" s="1334">
        <v>8298541</v>
      </c>
      <c r="GEX525" s="1334">
        <v>8298541</v>
      </c>
      <c r="GEY525" s="1334">
        <v>8298541</v>
      </c>
      <c r="GEZ525" s="1334">
        <v>8298541</v>
      </c>
      <c r="GFA525" s="1334">
        <v>8298541</v>
      </c>
      <c r="GFB525" s="1334">
        <v>8298541</v>
      </c>
      <c r="GFC525" s="1334">
        <v>8298541</v>
      </c>
      <c r="GFD525" s="1334">
        <v>8298541</v>
      </c>
      <c r="GFE525" s="1334">
        <v>8298541</v>
      </c>
      <c r="GFF525" s="1334">
        <v>8298541</v>
      </c>
      <c r="GFG525" s="1334">
        <v>8298541</v>
      </c>
      <c r="GFH525" s="1334">
        <v>8298541</v>
      </c>
      <c r="GFI525" s="1334">
        <v>8298541</v>
      </c>
      <c r="GFJ525" s="1334">
        <v>8298541</v>
      </c>
      <c r="GFK525" s="1334">
        <v>8298541</v>
      </c>
      <c r="GFL525" s="1334">
        <v>8298541</v>
      </c>
      <c r="GFM525" s="1334">
        <v>8298541</v>
      </c>
      <c r="GFN525" s="1334">
        <v>8298541</v>
      </c>
      <c r="GFO525" s="1334">
        <v>8298541</v>
      </c>
      <c r="GFP525" s="1334">
        <v>8298541</v>
      </c>
      <c r="GFQ525" s="1334">
        <v>8298541</v>
      </c>
      <c r="GFR525" s="1334">
        <v>8298541</v>
      </c>
      <c r="GFS525" s="1334">
        <v>8298541</v>
      </c>
      <c r="GFT525" s="1334">
        <v>8298541</v>
      </c>
      <c r="GFU525" s="1334">
        <v>8298541</v>
      </c>
      <c r="GFV525" s="1334">
        <v>8298541</v>
      </c>
      <c r="GFW525" s="1334">
        <v>8298541</v>
      </c>
      <c r="GFX525" s="1334">
        <v>8298541</v>
      </c>
      <c r="GFY525" s="1334">
        <v>8298541</v>
      </c>
      <c r="GFZ525" s="1334">
        <v>8298541</v>
      </c>
      <c r="GGA525" s="1334">
        <v>8298541</v>
      </c>
      <c r="GGB525" s="1334">
        <v>8298541</v>
      </c>
      <c r="GGC525" s="1334">
        <v>8298541</v>
      </c>
      <c r="GGD525" s="1334">
        <v>8298541</v>
      </c>
      <c r="GGE525" s="1334">
        <v>8298541</v>
      </c>
      <c r="GGF525" s="1334">
        <v>8298541</v>
      </c>
      <c r="GGG525" s="1334">
        <v>8298541</v>
      </c>
      <c r="GGH525" s="1334">
        <v>8298541</v>
      </c>
      <c r="GGI525" s="1334">
        <v>8298541</v>
      </c>
      <c r="GGJ525" s="1334">
        <v>8298541</v>
      </c>
      <c r="GGK525" s="1334">
        <v>8298541</v>
      </c>
      <c r="GGL525" s="1334">
        <v>8298541</v>
      </c>
      <c r="GGM525" s="1334">
        <v>8298541</v>
      </c>
      <c r="GGN525" s="1334">
        <v>8298541</v>
      </c>
      <c r="GGO525" s="1334">
        <v>8298541</v>
      </c>
      <c r="GGP525" s="1334">
        <v>8298541</v>
      </c>
      <c r="GGQ525" s="1334">
        <v>8298541</v>
      </c>
      <c r="GGR525" s="1334">
        <v>8298541</v>
      </c>
      <c r="GGS525" s="1334">
        <v>8298541</v>
      </c>
      <c r="GGT525" s="1334">
        <v>8298541</v>
      </c>
      <c r="GGU525" s="1334">
        <v>8298541</v>
      </c>
      <c r="GGV525" s="1334">
        <v>8298541</v>
      </c>
      <c r="GGW525" s="1334">
        <v>8298541</v>
      </c>
      <c r="GGX525" s="1334">
        <v>8298541</v>
      </c>
      <c r="GGY525" s="1334">
        <v>8298541</v>
      </c>
      <c r="GGZ525" s="1334">
        <v>8298541</v>
      </c>
      <c r="GHA525" s="1334">
        <v>8298541</v>
      </c>
      <c r="GHB525" s="1334">
        <v>8298541</v>
      </c>
      <c r="GHC525" s="1334">
        <v>8298541</v>
      </c>
      <c r="GHD525" s="1334">
        <v>8298541</v>
      </c>
      <c r="GHE525" s="1334">
        <v>8298541</v>
      </c>
      <c r="GHF525" s="1334">
        <v>8298541</v>
      </c>
      <c r="GHG525" s="1334">
        <v>8298541</v>
      </c>
      <c r="GHH525" s="1334">
        <v>8298541</v>
      </c>
      <c r="GHI525" s="1334">
        <v>8298541</v>
      </c>
      <c r="GHJ525" s="1334">
        <v>8298541</v>
      </c>
      <c r="GHK525" s="1334">
        <v>8298541</v>
      </c>
      <c r="GHL525" s="1334">
        <v>8298541</v>
      </c>
      <c r="GHM525" s="1334">
        <v>8298541</v>
      </c>
      <c r="GHN525" s="1334">
        <v>8298541</v>
      </c>
      <c r="GHO525" s="1334">
        <v>8298541</v>
      </c>
      <c r="GHP525" s="1334">
        <v>8298541</v>
      </c>
      <c r="GHQ525" s="1334">
        <v>8298541</v>
      </c>
      <c r="GHR525" s="1334">
        <v>8298541</v>
      </c>
      <c r="GHS525" s="1334">
        <v>8298541</v>
      </c>
      <c r="GHT525" s="1334">
        <v>8298541</v>
      </c>
      <c r="GHU525" s="1334">
        <v>8298541</v>
      </c>
      <c r="GHV525" s="1334">
        <v>8298541</v>
      </c>
      <c r="GHW525" s="1334">
        <v>8298541</v>
      </c>
      <c r="GHX525" s="1334">
        <v>8298541</v>
      </c>
      <c r="GHY525" s="1334">
        <v>8298541</v>
      </c>
      <c r="GHZ525" s="1334">
        <v>8298541</v>
      </c>
      <c r="GIA525" s="1334">
        <v>8298541</v>
      </c>
      <c r="GIB525" s="1334">
        <v>8298541</v>
      </c>
      <c r="GIC525" s="1334">
        <v>8298541</v>
      </c>
      <c r="GID525" s="1334">
        <v>8298541</v>
      </c>
      <c r="GIE525" s="1334">
        <v>8298541</v>
      </c>
      <c r="GIF525" s="1334">
        <v>8298541</v>
      </c>
      <c r="GIG525" s="1334">
        <v>8298541</v>
      </c>
      <c r="GIH525" s="1334">
        <v>8298541</v>
      </c>
      <c r="GII525" s="1334">
        <v>8298541</v>
      </c>
      <c r="GIJ525" s="1334">
        <v>8298541</v>
      </c>
      <c r="GIK525" s="1334">
        <v>8298541</v>
      </c>
      <c r="GIL525" s="1334">
        <v>8298541</v>
      </c>
      <c r="GIM525" s="1334">
        <v>8298541</v>
      </c>
      <c r="GIN525" s="1334">
        <v>8298541</v>
      </c>
      <c r="GIO525" s="1334">
        <v>8298541</v>
      </c>
      <c r="GIP525" s="1334">
        <v>8298541</v>
      </c>
      <c r="GIQ525" s="1334">
        <v>8298541</v>
      </c>
      <c r="GIR525" s="1334">
        <v>8298541</v>
      </c>
      <c r="GIS525" s="1334">
        <v>8298541</v>
      </c>
      <c r="GIT525" s="1334">
        <v>8298541</v>
      </c>
      <c r="GIU525" s="1334">
        <v>8298541</v>
      </c>
      <c r="GIV525" s="1334">
        <v>8298541</v>
      </c>
      <c r="GIW525" s="1334">
        <v>8298541</v>
      </c>
      <c r="GIX525" s="1334">
        <v>8298541</v>
      </c>
      <c r="GIY525" s="1334">
        <v>8298541</v>
      </c>
      <c r="GIZ525" s="1334">
        <v>8298541</v>
      </c>
      <c r="GJA525" s="1334">
        <v>8298541</v>
      </c>
      <c r="GJB525" s="1334">
        <v>8298541</v>
      </c>
      <c r="GJC525" s="1334">
        <v>8298541</v>
      </c>
      <c r="GJD525" s="1334">
        <v>8298541</v>
      </c>
      <c r="GJE525" s="1334">
        <v>8298541</v>
      </c>
      <c r="GJF525" s="1334">
        <v>8298541</v>
      </c>
      <c r="GJG525" s="1334">
        <v>8298541</v>
      </c>
      <c r="GJH525" s="1334">
        <v>8298541</v>
      </c>
      <c r="GJI525" s="1334">
        <v>8298541</v>
      </c>
      <c r="GJJ525" s="1334">
        <v>8298541</v>
      </c>
      <c r="GJK525" s="1334">
        <v>8298541</v>
      </c>
      <c r="GJL525" s="1334">
        <v>8298541</v>
      </c>
      <c r="GJM525" s="1334">
        <v>8298541</v>
      </c>
      <c r="GJN525" s="1334">
        <v>8298541</v>
      </c>
      <c r="GJO525" s="1334">
        <v>8298541</v>
      </c>
      <c r="GJP525" s="1334">
        <v>8298541</v>
      </c>
      <c r="GJQ525" s="1334">
        <v>8298541</v>
      </c>
      <c r="GJR525" s="1334">
        <v>8298541</v>
      </c>
      <c r="GJS525" s="1334">
        <v>8298541</v>
      </c>
      <c r="GJT525" s="1334">
        <v>8298541</v>
      </c>
      <c r="GJU525" s="1334">
        <v>8298541</v>
      </c>
      <c r="GJV525" s="1334">
        <v>8298541</v>
      </c>
      <c r="GJW525" s="1334">
        <v>8298541</v>
      </c>
      <c r="GJX525" s="1334">
        <v>8298541</v>
      </c>
      <c r="GJY525" s="1334">
        <v>8298541</v>
      </c>
      <c r="GJZ525" s="1334">
        <v>8298541</v>
      </c>
      <c r="GKA525" s="1334">
        <v>8298541</v>
      </c>
      <c r="GKB525" s="1334">
        <v>8298541</v>
      </c>
      <c r="GKC525" s="1334">
        <v>8298541</v>
      </c>
      <c r="GKD525" s="1334">
        <v>8298541</v>
      </c>
      <c r="GKE525" s="1334">
        <v>8298541</v>
      </c>
      <c r="GKF525" s="1334">
        <v>8298541</v>
      </c>
      <c r="GKG525" s="1334">
        <v>8298541</v>
      </c>
      <c r="GKH525" s="1334">
        <v>8298541</v>
      </c>
      <c r="GKI525" s="1334">
        <v>8298541</v>
      </c>
      <c r="GKJ525" s="1334">
        <v>8298541</v>
      </c>
      <c r="GKK525" s="1334">
        <v>8298541</v>
      </c>
      <c r="GKL525" s="1334">
        <v>8298541</v>
      </c>
      <c r="GKM525" s="1334">
        <v>8298541</v>
      </c>
      <c r="GKN525" s="1334">
        <v>8298541</v>
      </c>
      <c r="GKO525" s="1334">
        <v>8298541</v>
      </c>
      <c r="GKP525" s="1334">
        <v>8298541</v>
      </c>
      <c r="GKQ525" s="1334">
        <v>8298541</v>
      </c>
      <c r="GKR525" s="1334">
        <v>8298541</v>
      </c>
      <c r="GKS525" s="1334">
        <v>8298541</v>
      </c>
      <c r="GKT525" s="1334">
        <v>8298541</v>
      </c>
      <c r="GKU525" s="1334">
        <v>8298541</v>
      </c>
      <c r="GKV525" s="1334">
        <v>8298541</v>
      </c>
      <c r="GKW525" s="1334">
        <v>8298541</v>
      </c>
      <c r="GKX525" s="1334">
        <v>8298541</v>
      </c>
      <c r="GKY525" s="1334">
        <v>8298541</v>
      </c>
      <c r="GKZ525" s="1334">
        <v>8298541</v>
      </c>
      <c r="GLA525" s="1334">
        <v>8298541</v>
      </c>
      <c r="GLB525" s="1334">
        <v>8298541</v>
      </c>
      <c r="GLC525" s="1334">
        <v>8298541</v>
      </c>
      <c r="GLD525" s="1334">
        <v>8298541</v>
      </c>
      <c r="GLE525" s="1334">
        <v>8298541</v>
      </c>
      <c r="GLF525" s="1334">
        <v>8298541</v>
      </c>
      <c r="GLG525" s="1334">
        <v>8298541</v>
      </c>
      <c r="GLH525" s="1334">
        <v>8298541</v>
      </c>
      <c r="GLI525" s="1334">
        <v>8298541</v>
      </c>
      <c r="GLJ525" s="1334">
        <v>8298541</v>
      </c>
      <c r="GLK525" s="1334">
        <v>8298541</v>
      </c>
      <c r="GLL525" s="1334">
        <v>8298541</v>
      </c>
      <c r="GLM525" s="1334">
        <v>8298541</v>
      </c>
      <c r="GLN525" s="1334">
        <v>8298541</v>
      </c>
      <c r="GLO525" s="1334">
        <v>8298541</v>
      </c>
      <c r="GLP525" s="1334">
        <v>8298541</v>
      </c>
      <c r="GLQ525" s="1334">
        <v>8298541</v>
      </c>
      <c r="GLR525" s="1334">
        <v>8298541</v>
      </c>
      <c r="GLS525" s="1334">
        <v>8298541</v>
      </c>
      <c r="GLT525" s="1334">
        <v>8298541</v>
      </c>
      <c r="GLU525" s="1334">
        <v>8298541</v>
      </c>
      <c r="GLV525" s="1334">
        <v>8298541</v>
      </c>
      <c r="GLW525" s="1334">
        <v>8298541</v>
      </c>
      <c r="GLX525" s="1334">
        <v>8298541</v>
      </c>
      <c r="GLY525" s="1334">
        <v>8298541</v>
      </c>
      <c r="GLZ525" s="1334">
        <v>8298541</v>
      </c>
      <c r="GMA525" s="1334">
        <v>8298541</v>
      </c>
      <c r="GMB525" s="1334">
        <v>8298541</v>
      </c>
      <c r="GMC525" s="1334">
        <v>8298541</v>
      </c>
      <c r="GMD525" s="1334">
        <v>8298541</v>
      </c>
      <c r="GME525" s="1334">
        <v>8298541</v>
      </c>
      <c r="GMF525" s="1334">
        <v>8298541</v>
      </c>
      <c r="GMG525" s="1334">
        <v>8298541</v>
      </c>
      <c r="GMH525" s="1334">
        <v>8298541</v>
      </c>
      <c r="GMI525" s="1334">
        <v>8298541</v>
      </c>
      <c r="GMJ525" s="1334">
        <v>8298541</v>
      </c>
      <c r="GMK525" s="1334">
        <v>8298541</v>
      </c>
      <c r="GML525" s="1334">
        <v>8298541</v>
      </c>
      <c r="GMM525" s="1334">
        <v>8298541</v>
      </c>
      <c r="GMN525" s="1334">
        <v>8298541</v>
      </c>
      <c r="GMO525" s="1334">
        <v>8298541</v>
      </c>
      <c r="GMP525" s="1334">
        <v>8298541</v>
      </c>
      <c r="GMQ525" s="1334">
        <v>8298541</v>
      </c>
      <c r="GMR525" s="1334">
        <v>8298541</v>
      </c>
      <c r="GMS525" s="1334">
        <v>8298541</v>
      </c>
      <c r="GMT525" s="1334">
        <v>8298541</v>
      </c>
      <c r="GMU525" s="1334">
        <v>8298541</v>
      </c>
      <c r="GMV525" s="1334">
        <v>8298541</v>
      </c>
      <c r="GMW525" s="1334">
        <v>8298541</v>
      </c>
      <c r="GMX525" s="1334">
        <v>8298541</v>
      </c>
      <c r="GMY525" s="1334">
        <v>8298541</v>
      </c>
      <c r="GMZ525" s="1334">
        <v>8298541</v>
      </c>
      <c r="GNA525" s="1334">
        <v>8298541</v>
      </c>
      <c r="GNB525" s="1334">
        <v>8298541</v>
      </c>
      <c r="GNC525" s="1334">
        <v>8298541</v>
      </c>
      <c r="GND525" s="1334">
        <v>8298541</v>
      </c>
      <c r="GNE525" s="1334">
        <v>8298541</v>
      </c>
      <c r="GNF525" s="1334">
        <v>8298541</v>
      </c>
      <c r="GNG525" s="1334">
        <v>8298541</v>
      </c>
      <c r="GNH525" s="1334">
        <v>8298541</v>
      </c>
      <c r="GNI525" s="1334">
        <v>8298541</v>
      </c>
      <c r="GNJ525" s="1334">
        <v>8298541</v>
      </c>
      <c r="GNK525" s="1334">
        <v>8298541</v>
      </c>
      <c r="GNL525" s="1334">
        <v>8298541</v>
      </c>
      <c r="GNM525" s="1334">
        <v>8298541</v>
      </c>
      <c r="GNN525" s="1334">
        <v>8298541</v>
      </c>
      <c r="GNO525" s="1334">
        <v>8298541</v>
      </c>
      <c r="GNP525" s="1334">
        <v>8298541</v>
      </c>
      <c r="GNQ525" s="1334">
        <v>8298541</v>
      </c>
      <c r="GNR525" s="1334">
        <v>8298541</v>
      </c>
      <c r="GNS525" s="1334">
        <v>8298541</v>
      </c>
      <c r="GNT525" s="1334">
        <v>8298541</v>
      </c>
      <c r="GNU525" s="1334">
        <v>8298541</v>
      </c>
      <c r="GNV525" s="1334">
        <v>8298541</v>
      </c>
      <c r="GNW525" s="1334">
        <v>8298541</v>
      </c>
      <c r="GNX525" s="1334">
        <v>8298541</v>
      </c>
      <c r="GNY525" s="1334">
        <v>8298541</v>
      </c>
      <c r="GNZ525" s="1334">
        <v>8298541</v>
      </c>
      <c r="GOA525" s="1334">
        <v>8298541</v>
      </c>
      <c r="GOB525" s="1334">
        <v>8298541</v>
      </c>
      <c r="GOC525" s="1334">
        <v>8298541</v>
      </c>
      <c r="GOD525" s="1334">
        <v>8298541</v>
      </c>
      <c r="GOE525" s="1334">
        <v>8298541</v>
      </c>
      <c r="GOF525" s="1334">
        <v>8298541</v>
      </c>
      <c r="GOG525" s="1334">
        <v>8298541</v>
      </c>
      <c r="GOH525" s="1334">
        <v>8298541</v>
      </c>
      <c r="GOI525" s="1334">
        <v>8298541</v>
      </c>
      <c r="GOJ525" s="1334">
        <v>8298541</v>
      </c>
      <c r="GOK525" s="1334">
        <v>8298541</v>
      </c>
      <c r="GOL525" s="1334">
        <v>8298541</v>
      </c>
      <c r="GOM525" s="1334">
        <v>8298541</v>
      </c>
      <c r="GON525" s="1334">
        <v>8298541</v>
      </c>
      <c r="GOO525" s="1334">
        <v>8298541</v>
      </c>
      <c r="GOP525" s="1334">
        <v>8298541</v>
      </c>
      <c r="GOQ525" s="1334">
        <v>8298541</v>
      </c>
      <c r="GOR525" s="1334">
        <v>8298541</v>
      </c>
      <c r="GOS525" s="1334">
        <v>8298541</v>
      </c>
      <c r="GOT525" s="1334">
        <v>8298541</v>
      </c>
      <c r="GOU525" s="1334">
        <v>8298541</v>
      </c>
      <c r="GOV525" s="1334">
        <v>8298541</v>
      </c>
      <c r="GOW525" s="1334">
        <v>8298541</v>
      </c>
      <c r="GOX525" s="1334">
        <v>8298541</v>
      </c>
      <c r="GOY525" s="1334">
        <v>8298541</v>
      </c>
      <c r="GOZ525" s="1334">
        <v>8298541</v>
      </c>
      <c r="GPA525" s="1334">
        <v>8298541</v>
      </c>
      <c r="GPB525" s="1334">
        <v>8298541</v>
      </c>
      <c r="GPC525" s="1334">
        <v>8298541</v>
      </c>
      <c r="GPD525" s="1334">
        <v>8298541</v>
      </c>
      <c r="GPE525" s="1334">
        <v>8298541</v>
      </c>
      <c r="GPF525" s="1334">
        <v>8298541</v>
      </c>
      <c r="GPG525" s="1334">
        <v>8298541</v>
      </c>
      <c r="GPH525" s="1334">
        <v>8298541</v>
      </c>
      <c r="GPI525" s="1334">
        <v>8298541</v>
      </c>
      <c r="GPJ525" s="1334">
        <v>8298541</v>
      </c>
      <c r="GPK525" s="1334">
        <v>8298541</v>
      </c>
      <c r="GPL525" s="1334">
        <v>8298541</v>
      </c>
      <c r="GPM525" s="1334">
        <v>8298541</v>
      </c>
      <c r="GPN525" s="1334">
        <v>8298541</v>
      </c>
      <c r="GPO525" s="1334">
        <v>8298541</v>
      </c>
      <c r="GPP525" s="1334">
        <v>8298541</v>
      </c>
      <c r="GPQ525" s="1334">
        <v>8298541</v>
      </c>
      <c r="GPR525" s="1334">
        <v>8298541</v>
      </c>
      <c r="GPS525" s="1334">
        <v>8298541</v>
      </c>
      <c r="GPT525" s="1334">
        <v>8298541</v>
      </c>
      <c r="GPU525" s="1334">
        <v>8298541</v>
      </c>
      <c r="GPV525" s="1334">
        <v>8298541</v>
      </c>
      <c r="GPW525" s="1334">
        <v>8298541</v>
      </c>
      <c r="GPX525" s="1334">
        <v>8298541</v>
      </c>
      <c r="GPY525" s="1334">
        <v>8298541</v>
      </c>
      <c r="GPZ525" s="1334">
        <v>8298541</v>
      </c>
      <c r="GQA525" s="1334">
        <v>8298541</v>
      </c>
      <c r="GQB525" s="1334">
        <v>8298541</v>
      </c>
      <c r="GQC525" s="1334">
        <v>8298541</v>
      </c>
      <c r="GQD525" s="1334">
        <v>8298541</v>
      </c>
      <c r="GQE525" s="1334">
        <v>8298541</v>
      </c>
      <c r="GQF525" s="1334">
        <v>8298541</v>
      </c>
      <c r="GQG525" s="1334">
        <v>8298541</v>
      </c>
      <c r="GQH525" s="1334">
        <v>8298541</v>
      </c>
      <c r="GQI525" s="1334">
        <v>8298541</v>
      </c>
      <c r="GQJ525" s="1334">
        <v>8298541</v>
      </c>
      <c r="GQK525" s="1334">
        <v>8298541</v>
      </c>
      <c r="GQL525" s="1334">
        <v>8298541</v>
      </c>
      <c r="GQM525" s="1334">
        <v>8298541</v>
      </c>
      <c r="GQN525" s="1334">
        <v>8298541</v>
      </c>
      <c r="GQO525" s="1334">
        <v>8298541</v>
      </c>
      <c r="GQP525" s="1334">
        <v>8298541</v>
      </c>
      <c r="GQQ525" s="1334">
        <v>8298541</v>
      </c>
      <c r="GQR525" s="1334">
        <v>8298541</v>
      </c>
      <c r="GQS525" s="1334">
        <v>8298541</v>
      </c>
      <c r="GQT525" s="1334">
        <v>8298541</v>
      </c>
      <c r="GQU525" s="1334">
        <v>8298541</v>
      </c>
      <c r="GQV525" s="1334">
        <v>8298541</v>
      </c>
      <c r="GQW525" s="1334">
        <v>8298541</v>
      </c>
      <c r="GQX525" s="1334">
        <v>8298541</v>
      </c>
      <c r="GQY525" s="1334">
        <v>8298541</v>
      </c>
      <c r="GQZ525" s="1334">
        <v>8298541</v>
      </c>
      <c r="GRA525" s="1334">
        <v>8298541</v>
      </c>
      <c r="GRB525" s="1334">
        <v>8298541</v>
      </c>
      <c r="GRC525" s="1334">
        <v>8298541</v>
      </c>
      <c r="GRD525" s="1334">
        <v>8298541</v>
      </c>
      <c r="GRE525" s="1334">
        <v>8298541</v>
      </c>
      <c r="GRF525" s="1334">
        <v>8298541</v>
      </c>
      <c r="GRG525" s="1334">
        <v>8298541</v>
      </c>
      <c r="GRH525" s="1334">
        <v>8298541</v>
      </c>
      <c r="GRI525" s="1334">
        <v>8298541</v>
      </c>
      <c r="GRJ525" s="1334">
        <v>8298541</v>
      </c>
      <c r="GRK525" s="1334">
        <v>8298541</v>
      </c>
      <c r="GRL525" s="1334">
        <v>8298541</v>
      </c>
      <c r="GRM525" s="1334">
        <v>8298541</v>
      </c>
      <c r="GRN525" s="1334">
        <v>8298541</v>
      </c>
      <c r="GRO525" s="1334">
        <v>8298541</v>
      </c>
      <c r="GRP525" s="1334">
        <v>8298541</v>
      </c>
      <c r="GRQ525" s="1334">
        <v>8298541</v>
      </c>
      <c r="GRR525" s="1334">
        <v>8298541</v>
      </c>
      <c r="GRS525" s="1334">
        <v>8298541</v>
      </c>
      <c r="GRT525" s="1334">
        <v>8298541</v>
      </c>
      <c r="GRU525" s="1334">
        <v>8298541</v>
      </c>
      <c r="GRV525" s="1334">
        <v>8298541</v>
      </c>
      <c r="GRW525" s="1334">
        <v>8298541</v>
      </c>
      <c r="GRX525" s="1334">
        <v>8298541</v>
      </c>
      <c r="GRY525" s="1334">
        <v>8298541</v>
      </c>
      <c r="GRZ525" s="1334">
        <v>8298541</v>
      </c>
      <c r="GSA525" s="1334">
        <v>8298541</v>
      </c>
      <c r="GSB525" s="1334">
        <v>8298541</v>
      </c>
      <c r="GSC525" s="1334">
        <v>8298541</v>
      </c>
      <c r="GSD525" s="1334">
        <v>8298541</v>
      </c>
      <c r="GSE525" s="1334">
        <v>8298541</v>
      </c>
      <c r="GSF525" s="1334">
        <v>8298541</v>
      </c>
      <c r="GSG525" s="1334">
        <v>8298541</v>
      </c>
      <c r="GSH525" s="1334">
        <v>8298541</v>
      </c>
      <c r="GSI525" s="1334">
        <v>8298541</v>
      </c>
      <c r="GSJ525" s="1334">
        <v>8298541</v>
      </c>
      <c r="GSK525" s="1334">
        <v>8298541</v>
      </c>
      <c r="GSL525" s="1334">
        <v>8298541</v>
      </c>
      <c r="GSM525" s="1334">
        <v>8298541</v>
      </c>
      <c r="GSN525" s="1334">
        <v>8298541</v>
      </c>
      <c r="GSO525" s="1334">
        <v>8298541</v>
      </c>
      <c r="GSP525" s="1334">
        <v>8298541</v>
      </c>
      <c r="GSQ525" s="1334">
        <v>8298541</v>
      </c>
      <c r="GSR525" s="1334">
        <v>8298541</v>
      </c>
      <c r="GSS525" s="1334">
        <v>8298541</v>
      </c>
      <c r="GST525" s="1334">
        <v>8298541</v>
      </c>
      <c r="GSU525" s="1334">
        <v>8298541</v>
      </c>
      <c r="GSV525" s="1334">
        <v>8298541</v>
      </c>
      <c r="GSW525" s="1334">
        <v>8298541</v>
      </c>
      <c r="GSX525" s="1334">
        <v>8298541</v>
      </c>
      <c r="GSY525" s="1334">
        <v>8298541</v>
      </c>
      <c r="GSZ525" s="1334">
        <v>8298541</v>
      </c>
      <c r="GTA525" s="1334">
        <v>8298541</v>
      </c>
      <c r="GTB525" s="1334">
        <v>8298541</v>
      </c>
      <c r="GTC525" s="1334">
        <v>8298541</v>
      </c>
      <c r="GTD525" s="1334">
        <v>8298541</v>
      </c>
      <c r="GTE525" s="1334">
        <v>8298541</v>
      </c>
      <c r="GTF525" s="1334">
        <v>8298541</v>
      </c>
      <c r="GTG525" s="1334">
        <v>8298541</v>
      </c>
      <c r="GTH525" s="1334">
        <v>8298541</v>
      </c>
      <c r="GTI525" s="1334">
        <v>8298541</v>
      </c>
      <c r="GTJ525" s="1334">
        <v>8298541</v>
      </c>
      <c r="GTK525" s="1334">
        <v>8298541</v>
      </c>
      <c r="GTL525" s="1334">
        <v>8298541</v>
      </c>
      <c r="GTM525" s="1334">
        <v>8298541</v>
      </c>
      <c r="GTN525" s="1334">
        <v>8298541</v>
      </c>
      <c r="GTO525" s="1334">
        <v>8298541</v>
      </c>
      <c r="GTP525" s="1334">
        <v>8298541</v>
      </c>
      <c r="GTQ525" s="1334">
        <v>8298541</v>
      </c>
      <c r="GTR525" s="1334">
        <v>8298541</v>
      </c>
      <c r="GTS525" s="1334">
        <v>8298541</v>
      </c>
      <c r="GTT525" s="1334">
        <v>8298541</v>
      </c>
      <c r="GTU525" s="1334">
        <v>8298541</v>
      </c>
      <c r="GTV525" s="1334">
        <v>8298541</v>
      </c>
      <c r="GTW525" s="1334">
        <v>8298541</v>
      </c>
      <c r="GTX525" s="1334">
        <v>8298541</v>
      </c>
      <c r="GTY525" s="1334">
        <v>8298541</v>
      </c>
      <c r="GTZ525" s="1334">
        <v>8298541</v>
      </c>
      <c r="GUA525" s="1334">
        <v>8298541</v>
      </c>
      <c r="GUB525" s="1334">
        <v>8298541</v>
      </c>
      <c r="GUC525" s="1334">
        <v>8298541</v>
      </c>
      <c r="GUD525" s="1334">
        <v>8298541</v>
      </c>
      <c r="GUE525" s="1334">
        <v>8298541</v>
      </c>
      <c r="GUF525" s="1334">
        <v>8298541</v>
      </c>
      <c r="GUG525" s="1334">
        <v>8298541</v>
      </c>
      <c r="GUH525" s="1334">
        <v>8298541</v>
      </c>
      <c r="GUI525" s="1334">
        <v>8298541</v>
      </c>
      <c r="GUJ525" s="1334">
        <v>8298541</v>
      </c>
      <c r="GUK525" s="1334">
        <v>8298541</v>
      </c>
      <c r="GUL525" s="1334">
        <v>8298541</v>
      </c>
      <c r="GUM525" s="1334">
        <v>8298541</v>
      </c>
      <c r="GUN525" s="1334">
        <v>8298541</v>
      </c>
      <c r="GUO525" s="1334">
        <v>8298541</v>
      </c>
      <c r="GUP525" s="1334">
        <v>8298541</v>
      </c>
      <c r="GUQ525" s="1334">
        <v>8298541</v>
      </c>
      <c r="GUR525" s="1334">
        <v>8298541</v>
      </c>
      <c r="GUS525" s="1334">
        <v>8298541</v>
      </c>
      <c r="GUT525" s="1334">
        <v>8298541</v>
      </c>
      <c r="GUU525" s="1334">
        <v>8298541</v>
      </c>
      <c r="GUV525" s="1334">
        <v>8298541</v>
      </c>
      <c r="GUW525" s="1334">
        <v>8298541</v>
      </c>
      <c r="GUX525" s="1334">
        <v>8298541</v>
      </c>
      <c r="GUY525" s="1334">
        <v>8298541</v>
      </c>
      <c r="GUZ525" s="1334">
        <v>8298541</v>
      </c>
      <c r="GVA525" s="1334">
        <v>8298541</v>
      </c>
      <c r="GVB525" s="1334">
        <v>8298541</v>
      </c>
      <c r="GVC525" s="1334">
        <v>8298541</v>
      </c>
      <c r="GVD525" s="1334">
        <v>8298541</v>
      </c>
      <c r="GVE525" s="1334">
        <v>8298541</v>
      </c>
      <c r="GVF525" s="1334">
        <v>8298541</v>
      </c>
      <c r="GVG525" s="1334">
        <v>8298541</v>
      </c>
      <c r="GVH525" s="1334">
        <v>8298541</v>
      </c>
      <c r="GVI525" s="1334">
        <v>8298541</v>
      </c>
      <c r="GVJ525" s="1334">
        <v>8298541</v>
      </c>
      <c r="GVK525" s="1334">
        <v>8298541</v>
      </c>
      <c r="GVL525" s="1334">
        <v>8298541</v>
      </c>
      <c r="GVM525" s="1334">
        <v>8298541</v>
      </c>
      <c r="GVN525" s="1334">
        <v>8298541</v>
      </c>
      <c r="GVO525" s="1334">
        <v>8298541</v>
      </c>
      <c r="GVP525" s="1334">
        <v>8298541</v>
      </c>
      <c r="GVQ525" s="1334">
        <v>8298541</v>
      </c>
      <c r="GVR525" s="1334">
        <v>8298541</v>
      </c>
      <c r="GVS525" s="1334">
        <v>8298541</v>
      </c>
      <c r="GVT525" s="1334">
        <v>8298541</v>
      </c>
      <c r="GVU525" s="1334">
        <v>8298541</v>
      </c>
      <c r="GVV525" s="1334">
        <v>8298541</v>
      </c>
      <c r="GVW525" s="1334">
        <v>8298541</v>
      </c>
      <c r="GVX525" s="1334">
        <v>8298541</v>
      </c>
      <c r="GVY525" s="1334">
        <v>8298541</v>
      </c>
      <c r="GVZ525" s="1334">
        <v>8298541</v>
      </c>
      <c r="GWA525" s="1334">
        <v>8298541</v>
      </c>
      <c r="GWB525" s="1334">
        <v>8298541</v>
      </c>
      <c r="GWC525" s="1334">
        <v>8298541</v>
      </c>
      <c r="GWD525" s="1334">
        <v>8298541</v>
      </c>
      <c r="GWE525" s="1334">
        <v>8298541</v>
      </c>
      <c r="GWF525" s="1334">
        <v>8298541</v>
      </c>
      <c r="GWG525" s="1334">
        <v>8298541</v>
      </c>
      <c r="GWH525" s="1334">
        <v>8298541</v>
      </c>
      <c r="GWI525" s="1334">
        <v>8298541</v>
      </c>
      <c r="GWJ525" s="1334">
        <v>8298541</v>
      </c>
      <c r="GWK525" s="1334">
        <v>8298541</v>
      </c>
      <c r="GWL525" s="1334">
        <v>8298541</v>
      </c>
      <c r="GWM525" s="1334">
        <v>8298541</v>
      </c>
      <c r="GWN525" s="1334">
        <v>8298541</v>
      </c>
      <c r="GWO525" s="1334">
        <v>8298541</v>
      </c>
      <c r="GWP525" s="1334">
        <v>8298541</v>
      </c>
      <c r="GWQ525" s="1334">
        <v>8298541</v>
      </c>
      <c r="GWR525" s="1334">
        <v>8298541</v>
      </c>
      <c r="GWS525" s="1334">
        <v>8298541</v>
      </c>
      <c r="GWT525" s="1334">
        <v>8298541</v>
      </c>
      <c r="GWU525" s="1334">
        <v>8298541</v>
      </c>
      <c r="GWV525" s="1334">
        <v>8298541</v>
      </c>
      <c r="GWW525" s="1334">
        <v>8298541</v>
      </c>
      <c r="GWX525" s="1334">
        <v>8298541</v>
      </c>
      <c r="GWY525" s="1334">
        <v>8298541</v>
      </c>
      <c r="GWZ525" s="1334">
        <v>8298541</v>
      </c>
      <c r="GXA525" s="1334">
        <v>8298541</v>
      </c>
      <c r="GXB525" s="1334">
        <v>8298541</v>
      </c>
      <c r="GXC525" s="1334">
        <v>8298541</v>
      </c>
      <c r="GXD525" s="1334">
        <v>8298541</v>
      </c>
      <c r="GXE525" s="1334">
        <v>8298541</v>
      </c>
      <c r="GXF525" s="1334">
        <v>8298541</v>
      </c>
      <c r="GXG525" s="1334">
        <v>8298541</v>
      </c>
      <c r="GXH525" s="1334">
        <v>8298541</v>
      </c>
      <c r="GXI525" s="1334">
        <v>8298541</v>
      </c>
      <c r="GXJ525" s="1334">
        <v>8298541</v>
      </c>
      <c r="GXK525" s="1334">
        <v>8298541</v>
      </c>
      <c r="GXL525" s="1334">
        <v>8298541</v>
      </c>
      <c r="GXM525" s="1334">
        <v>8298541</v>
      </c>
      <c r="GXN525" s="1334">
        <v>8298541</v>
      </c>
      <c r="GXO525" s="1334">
        <v>8298541</v>
      </c>
      <c r="GXP525" s="1334">
        <v>8298541</v>
      </c>
      <c r="GXQ525" s="1334">
        <v>8298541</v>
      </c>
      <c r="GXR525" s="1334">
        <v>8298541</v>
      </c>
      <c r="GXS525" s="1334">
        <v>8298541</v>
      </c>
      <c r="GXT525" s="1334">
        <v>8298541</v>
      </c>
      <c r="GXU525" s="1334">
        <v>8298541</v>
      </c>
      <c r="GXV525" s="1334">
        <v>8298541</v>
      </c>
      <c r="GXW525" s="1334">
        <v>8298541</v>
      </c>
      <c r="GXX525" s="1334">
        <v>8298541</v>
      </c>
      <c r="GXY525" s="1334">
        <v>8298541</v>
      </c>
      <c r="GXZ525" s="1334">
        <v>8298541</v>
      </c>
      <c r="GYA525" s="1334">
        <v>8298541</v>
      </c>
      <c r="GYB525" s="1334">
        <v>8298541</v>
      </c>
      <c r="GYC525" s="1334">
        <v>8298541</v>
      </c>
      <c r="GYD525" s="1334">
        <v>8298541</v>
      </c>
      <c r="GYE525" s="1334">
        <v>8298541</v>
      </c>
      <c r="GYF525" s="1334">
        <v>8298541</v>
      </c>
      <c r="GYG525" s="1334">
        <v>8298541</v>
      </c>
      <c r="GYH525" s="1334">
        <v>8298541</v>
      </c>
      <c r="GYI525" s="1334">
        <v>8298541</v>
      </c>
      <c r="GYJ525" s="1334">
        <v>8298541</v>
      </c>
      <c r="GYK525" s="1334">
        <v>8298541</v>
      </c>
      <c r="GYL525" s="1334">
        <v>8298541</v>
      </c>
      <c r="GYM525" s="1334">
        <v>8298541</v>
      </c>
      <c r="GYN525" s="1334">
        <v>8298541</v>
      </c>
      <c r="GYO525" s="1334">
        <v>8298541</v>
      </c>
      <c r="GYP525" s="1334">
        <v>8298541</v>
      </c>
      <c r="GYQ525" s="1334">
        <v>8298541</v>
      </c>
      <c r="GYR525" s="1334">
        <v>8298541</v>
      </c>
      <c r="GYS525" s="1334">
        <v>8298541</v>
      </c>
      <c r="GYT525" s="1334">
        <v>8298541</v>
      </c>
      <c r="GYU525" s="1334">
        <v>8298541</v>
      </c>
      <c r="GYV525" s="1334">
        <v>8298541</v>
      </c>
      <c r="GYW525" s="1334">
        <v>8298541</v>
      </c>
      <c r="GYX525" s="1334">
        <v>8298541</v>
      </c>
      <c r="GYY525" s="1334">
        <v>8298541</v>
      </c>
      <c r="GYZ525" s="1334">
        <v>8298541</v>
      </c>
      <c r="GZA525" s="1334">
        <v>8298541</v>
      </c>
      <c r="GZB525" s="1334">
        <v>8298541</v>
      </c>
      <c r="GZC525" s="1334">
        <v>8298541</v>
      </c>
      <c r="GZD525" s="1334">
        <v>8298541</v>
      </c>
      <c r="GZE525" s="1334">
        <v>8298541</v>
      </c>
      <c r="GZF525" s="1334">
        <v>8298541</v>
      </c>
      <c r="GZG525" s="1334">
        <v>8298541</v>
      </c>
      <c r="GZH525" s="1334">
        <v>8298541</v>
      </c>
      <c r="GZI525" s="1334">
        <v>8298541</v>
      </c>
      <c r="GZJ525" s="1334">
        <v>8298541</v>
      </c>
      <c r="GZK525" s="1334">
        <v>8298541</v>
      </c>
      <c r="GZL525" s="1334">
        <v>8298541</v>
      </c>
      <c r="GZM525" s="1334">
        <v>8298541</v>
      </c>
      <c r="GZN525" s="1334">
        <v>8298541</v>
      </c>
      <c r="GZO525" s="1334">
        <v>8298541</v>
      </c>
      <c r="GZP525" s="1334">
        <v>8298541</v>
      </c>
      <c r="GZQ525" s="1334">
        <v>8298541</v>
      </c>
      <c r="GZR525" s="1334">
        <v>8298541</v>
      </c>
      <c r="GZS525" s="1334">
        <v>8298541</v>
      </c>
      <c r="GZT525" s="1334">
        <v>8298541</v>
      </c>
      <c r="GZU525" s="1334">
        <v>8298541</v>
      </c>
      <c r="GZV525" s="1334">
        <v>8298541</v>
      </c>
      <c r="GZW525" s="1334">
        <v>8298541</v>
      </c>
      <c r="GZX525" s="1334">
        <v>8298541</v>
      </c>
      <c r="GZY525" s="1334">
        <v>8298541</v>
      </c>
      <c r="GZZ525" s="1334">
        <v>8298541</v>
      </c>
      <c r="HAA525" s="1334">
        <v>8298541</v>
      </c>
      <c r="HAB525" s="1334">
        <v>8298541</v>
      </c>
      <c r="HAC525" s="1334">
        <v>8298541</v>
      </c>
      <c r="HAD525" s="1334">
        <v>8298541</v>
      </c>
      <c r="HAE525" s="1334">
        <v>8298541</v>
      </c>
      <c r="HAF525" s="1334">
        <v>8298541</v>
      </c>
      <c r="HAG525" s="1334">
        <v>8298541</v>
      </c>
      <c r="HAH525" s="1334">
        <v>8298541</v>
      </c>
      <c r="HAI525" s="1334">
        <v>8298541</v>
      </c>
      <c r="HAJ525" s="1334">
        <v>8298541</v>
      </c>
      <c r="HAK525" s="1334">
        <v>8298541</v>
      </c>
      <c r="HAL525" s="1334">
        <v>8298541</v>
      </c>
      <c r="HAM525" s="1334">
        <v>8298541</v>
      </c>
      <c r="HAN525" s="1334">
        <v>8298541</v>
      </c>
      <c r="HAO525" s="1334">
        <v>8298541</v>
      </c>
      <c r="HAP525" s="1334">
        <v>8298541</v>
      </c>
      <c r="HAQ525" s="1334">
        <v>8298541</v>
      </c>
      <c r="HAR525" s="1334">
        <v>8298541</v>
      </c>
      <c r="HAS525" s="1334">
        <v>8298541</v>
      </c>
      <c r="HAT525" s="1334">
        <v>8298541</v>
      </c>
      <c r="HAU525" s="1334">
        <v>8298541</v>
      </c>
      <c r="HAV525" s="1334">
        <v>8298541</v>
      </c>
      <c r="HAW525" s="1334">
        <v>8298541</v>
      </c>
      <c r="HAX525" s="1334">
        <v>8298541</v>
      </c>
      <c r="HAY525" s="1334">
        <v>8298541</v>
      </c>
      <c r="HAZ525" s="1334">
        <v>8298541</v>
      </c>
      <c r="HBA525" s="1334">
        <v>8298541</v>
      </c>
      <c r="HBB525" s="1334">
        <v>8298541</v>
      </c>
      <c r="HBC525" s="1334">
        <v>8298541</v>
      </c>
      <c r="HBD525" s="1334">
        <v>8298541</v>
      </c>
      <c r="HBE525" s="1334">
        <v>8298541</v>
      </c>
      <c r="HBF525" s="1334">
        <v>8298541</v>
      </c>
      <c r="HBG525" s="1334">
        <v>8298541</v>
      </c>
      <c r="HBH525" s="1334">
        <v>8298541</v>
      </c>
      <c r="HBI525" s="1334">
        <v>8298541</v>
      </c>
      <c r="HBJ525" s="1334">
        <v>8298541</v>
      </c>
      <c r="HBK525" s="1334">
        <v>8298541</v>
      </c>
      <c r="HBL525" s="1334">
        <v>8298541</v>
      </c>
      <c r="HBM525" s="1334">
        <v>8298541</v>
      </c>
      <c r="HBN525" s="1334">
        <v>8298541</v>
      </c>
      <c r="HBO525" s="1334">
        <v>8298541</v>
      </c>
      <c r="HBP525" s="1334">
        <v>8298541</v>
      </c>
      <c r="HBQ525" s="1334">
        <v>8298541</v>
      </c>
      <c r="HBR525" s="1334">
        <v>8298541</v>
      </c>
      <c r="HBS525" s="1334">
        <v>8298541</v>
      </c>
      <c r="HBT525" s="1334">
        <v>8298541</v>
      </c>
      <c r="HBU525" s="1334">
        <v>8298541</v>
      </c>
      <c r="HBV525" s="1334">
        <v>8298541</v>
      </c>
      <c r="HBW525" s="1334">
        <v>8298541</v>
      </c>
      <c r="HBX525" s="1334">
        <v>8298541</v>
      </c>
      <c r="HBY525" s="1334">
        <v>8298541</v>
      </c>
      <c r="HBZ525" s="1334">
        <v>8298541</v>
      </c>
      <c r="HCA525" s="1334">
        <v>8298541</v>
      </c>
      <c r="HCB525" s="1334">
        <v>8298541</v>
      </c>
      <c r="HCC525" s="1334">
        <v>8298541</v>
      </c>
      <c r="HCD525" s="1334">
        <v>8298541</v>
      </c>
      <c r="HCE525" s="1334">
        <v>8298541</v>
      </c>
      <c r="HCF525" s="1334">
        <v>8298541</v>
      </c>
      <c r="HCG525" s="1334">
        <v>8298541</v>
      </c>
      <c r="HCH525" s="1334">
        <v>8298541</v>
      </c>
      <c r="HCI525" s="1334">
        <v>8298541</v>
      </c>
      <c r="HCJ525" s="1334">
        <v>8298541</v>
      </c>
      <c r="HCK525" s="1334">
        <v>8298541</v>
      </c>
      <c r="HCL525" s="1334">
        <v>8298541</v>
      </c>
      <c r="HCM525" s="1334">
        <v>8298541</v>
      </c>
      <c r="HCN525" s="1334">
        <v>8298541</v>
      </c>
      <c r="HCO525" s="1334">
        <v>8298541</v>
      </c>
      <c r="HCP525" s="1334">
        <v>8298541</v>
      </c>
      <c r="HCQ525" s="1334">
        <v>8298541</v>
      </c>
      <c r="HCR525" s="1334">
        <v>8298541</v>
      </c>
      <c r="HCS525" s="1334">
        <v>8298541</v>
      </c>
      <c r="HCT525" s="1334">
        <v>8298541</v>
      </c>
      <c r="HCU525" s="1334">
        <v>8298541</v>
      </c>
      <c r="HCV525" s="1334">
        <v>8298541</v>
      </c>
      <c r="HCW525" s="1334">
        <v>8298541</v>
      </c>
      <c r="HCX525" s="1334">
        <v>8298541</v>
      </c>
      <c r="HCY525" s="1334">
        <v>8298541</v>
      </c>
      <c r="HCZ525" s="1334">
        <v>8298541</v>
      </c>
      <c r="HDA525" s="1334">
        <v>8298541</v>
      </c>
      <c r="HDB525" s="1334">
        <v>8298541</v>
      </c>
      <c r="HDC525" s="1334">
        <v>8298541</v>
      </c>
      <c r="HDD525" s="1334">
        <v>8298541</v>
      </c>
      <c r="HDE525" s="1334">
        <v>8298541</v>
      </c>
      <c r="HDF525" s="1334">
        <v>8298541</v>
      </c>
      <c r="HDG525" s="1334">
        <v>8298541</v>
      </c>
      <c r="HDH525" s="1334">
        <v>8298541</v>
      </c>
      <c r="HDI525" s="1334">
        <v>8298541</v>
      </c>
      <c r="HDJ525" s="1334">
        <v>8298541</v>
      </c>
      <c r="HDK525" s="1334">
        <v>8298541</v>
      </c>
      <c r="HDL525" s="1334">
        <v>8298541</v>
      </c>
      <c r="HDM525" s="1334">
        <v>8298541</v>
      </c>
      <c r="HDN525" s="1334">
        <v>8298541</v>
      </c>
      <c r="HDO525" s="1334">
        <v>8298541</v>
      </c>
      <c r="HDP525" s="1334">
        <v>8298541</v>
      </c>
      <c r="HDQ525" s="1334">
        <v>8298541</v>
      </c>
      <c r="HDR525" s="1334">
        <v>8298541</v>
      </c>
      <c r="HDS525" s="1334">
        <v>8298541</v>
      </c>
      <c r="HDT525" s="1334">
        <v>8298541</v>
      </c>
      <c r="HDU525" s="1334">
        <v>8298541</v>
      </c>
      <c r="HDV525" s="1334">
        <v>8298541</v>
      </c>
      <c r="HDW525" s="1334">
        <v>8298541</v>
      </c>
      <c r="HDX525" s="1334">
        <v>8298541</v>
      </c>
      <c r="HDY525" s="1334">
        <v>8298541</v>
      </c>
      <c r="HDZ525" s="1334">
        <v>8298541</v>
      </c>
      <c r="HEA525" s="1334">
        <v>8298541</v>
      </c>
      <c r="HEB525" s="1334">
        <v>8298541</v>
      </c>
      <c r="HEC525" s="1334">
        <v>8298541</v>
      </c>
      <c r="HED525" s="1334">
        <v>8298541</v>
      </c>
      <c r="HEE525" s="1334">
        <v>8298541</v>
      </c>
      <c r="HEF525" s="1334">
        <v>8298541</v>
      </c>
      <c r="HEG525" s="1334">
        <v>8298541</v>
      </c>
      <c r="HEH525" s="1334">
        <v>8298541</v>
      </c>
      <c r="HEI525" s="1334">
        <v>8298541</v>
      </c>
      <c r="HEJ525" s="1334">
        <v>8298541</v>
      </c>
      <c r="HEK525" s="1334">
        <v>8298541</v>
      </c>
      <c r="HEL525" s="1334">
        <v>8298541</v>
      </c>
      <c r="HEM525" s="1334">
        <v>8298541</v>
      </c>
      <c r="HEN525" s="1334">
        <v>8298541</v>
      </c>
      <c r="HEO525" s="1334">
        <v>8298541</v>
      </c>
      <c r="HEP525" s="1334">
        <v>8298541</v>
      </c>
      <c r="HEQ525" s="1334">
        <v>8298541</v>
      </c>
      <c r="HER525" s="1334">
        <v>8298541</v>
      </c>
      <c r="HES525" s="1334">
        <v>8298541</v>
      </c>
      <c r="HET525" s="1334">
        <v>8298541</v>
      </c>
      <c r="HEU525" s="1334">
        <v>8298541</v>
      </c>
      <c r="HEV525" s="1334">
        <v>8298541</v>
      </c>
      <c r="HEW525" s="1334">
        <v>8298541</v>
      </c>
      <c r="HEX525" s="1334">
        <v>8298541</v>
      </c>
      <c r="HEY525" s="1334">
        <v>8298541</v>
      </c>
      <c r="HEZ525" s="1334">
        <v>8298541</v>
      </c>
      <c r="HFA525" s="1334">
        <v>8298541</v>
      </c>
      <c r="HFB525" s="1334">
        <v>8298541</v>
      </c>
      <c r="HFC525" s="1334">
        <v>8298541</v>
      </c>
      <c r="HFD525" s="1334">
        <v>8298541</v>
      </c>
      <c r="HFE525" s="1334">
        <v>8298541</v>
      </c>
      <c r="HFF525" s="1334">
        <v>8298541</v>
      </c>
      <c r="HFG525" s="1334">
        <v>8298541</v>
      </c>
      <c r="HFH525" s="1334">
        <v>8298541</v>
      </c>
      <c r="HFI525" s="1334">
        <v>8298541</v>
      </c>
      <c r="HFJ525" s="1334">
        <v>8298541</v>
      </c>
      <c r="HFK525" s="1334">
        <v>8298541</v>
      </c>
      <c r="HFL525" s="1334">
        <v>8298541</v>
      </c>
      <c r="HFM525" s="1334">
        <v>8298541</v>
      </c>
      <c r="HFN525" s="1334">
        <v>8298541</v>
      </c>
      <c r="HFO525" s="1334">
        <v>8298541</v>
      </c>
      <c r="HFP525" s="1334">
        <v>8298541</v>
      </c>
      <c r="HFQ525" s="1334">
        <v>8298541</v>
      </c>
      <c r="HFR525" s="1334">
        <v>8298541</v>
      </c>
      <c r="HFS525" s="1334">
        <v>8298541</v>
      </c>
      <c r="HFT525" s="1334">
        <v>8298541</v>
      </c>
      <c r="HFU525" s="1334">
        <v>8298541</v>
      </c>
      <c r="HFV525" s="1334">
        <v>8298541</v>
      </c>
      <c r="HFW525" s="1334">
        <v>8298541</v>
      </c>
      <c r="HFX525" s="1334">
        <v>8298541</v>
      </c>
      <c r="HFY525" s="1334">
        <v>8298541</v>
      </c>
      <c r="HFZ525" s="1334">
        <v>8298541</v>
      </c>
      <c r="HGA525" s="1334">
        <v>8298541</v>
      </c>
      <c r="HGB525" s="1334">
        <v>8298541</v>
      </c>
      <c r="HGC525" s="1334">
        <v>8298541</v>
      </c>
      <c r="HGD525" s="1334">
        <v>8298541</v>
      </c>
      <c r="HGE525" s="1334">
        <v>8298541</v>
      </c>
      <c r="HGF525" s="1334">
        <v>8298541</v>
      </c>
      <c r="HGG525" s="1334">
        <v>8298541</v>
      </c>
      <c r="HGH525" s="1334">
        <v>8298541</v>
      </c>
      <c r="HGI525" s="1334">
        <v>8298541</v>
      </c>
      <c r="HGJ525" s="1334">
        <v>8298541</v>
      </c>
      <c r="HGK525" s="1334">
        <v>8298541</v>
      </c>
      <c r="HGL525" s="1334">
        <v>8298541</v>
      </c>
      <c r="HGM525" s="1334">
        <v>8298541</v>
      </c>
      <c r="HGN525" s="1334">
        <v>8298541</v>
      </c>
      <c r="HGO525" s="1334">
        <v>8298541</v>
      </c>
      <c r="HGP525" s="1334">
        <v>8298541</v>
      </c>
      <c r="HGQ525" s="1334">
        <v>8298541</v>
      </c>
      <c r="HGR525" s="1334">
        <v>8298541</v>
      </c>
      <c r="HGS525" s="1334">
        <v>8298541</v>
      </c>
      <c r="HGT525" s="1334">
        <v>8298541</v>
      </c>
      <c r="HGU525" s="1334">
        <v>8298541</v>
      </c>
      <c r="HGV525" s="1334">
        <v>8298541</v>
      </c>
      <c r="HGW525" s="1334">
        <v>8298541</v>
      </c>
      <c r="HGX525" s="1334">
        <v>8298541</v>
      </c>
      <c r="HGY525" s="1334">
        <v>8298541</v>
      </c>
      <c r="HGZ525" s="1334">
        <v>8298541</v>
      </c>
      <c r="HHA525" s="1334">
        <v>8298541</v>
      </c>
      <c r="HHB525" s="1334">
        <v>8298541</v>
      </c>
      <c r="HHC525" s="1334">
        <v>8298541</v>
      </c>
      <c r="HHD525" s="1334">
        <v>8298541</v>
      </c>
      <c r="HHE525" s="1334">
        <v>8298541</v>
      </c>
      <c r="HHF525" s="1334">
        <v>8298541</v>
      </c>
      <c r="HHG525" s="1334">
        <v>8298541</v>
      </c>
      <c r="HHH525" s="1334">
        <v>8298541</v>
      </c>
      <c r="HHI525" s="1334">
        <v>8298541</v>
      </c>
      <c r="HHJ525" s="1334">
        <v>8298541</v>
      </c>
      <c r="HHK525" s="1334">
        <v>8298541</v>
      </c>
      <c r="HHL525" s="1334">
        <v>8298541</v>
      </c>
      <c r="HHM525" s="1334">
        <v>8298541</v>
      </c>
      <c r="HHN525" s="1334">
        <v>8298541</v>
      </c>
      <c r="HHO525" s="1334">
        <v>8298541</v>
      </c>
      <c r="HHP525" s="1334">
        <v>8298541</v>
      </c>
      <c r="HHQ525" s="1334">
        <v>8298541</v>
      </c>
      <c r="HHR525" s="1334">
        <v>8298541</v>
      </c>
      <c r="HHS525" s="1334">
        <v>8298541</v>
      </c>
      <c r="HHT525" s="1334">
        <v>8298541</v>
      </c>
      <c r="HHU525" s="1334">
        <v>8298541</v>
      </c>
      <c r="HHV525" s="1334">
        <v>8298541</v>
      </c>
      <c r="HHW525" s="1334">
        <v>8298541</v>
      </c>
      <c r="HHX525" s="1334">
        <v>8298541</v>
      </c>
      <c r="HHY525" s="1334">
        <v>8298541</v>
      </c>
      <c r="HHZ525" s="1334">
        <v>8298541</v>
      </c>
      <c r="HIA525" s="1334">
        <v>8298541</v>
      </c>
      <c r="HIB525" s="1334">
        <v>8298541</v>
      </c>
      <c r="HIC525" s="1334">
        <v>8298541</v>
      </c>
      <c r="HID525" s="1334">
        <v>8298541</v>
      </c>
      <c r="HIE525" s="1334">
        <v>8298541</v>
      </c>
      <c r="HIF525" s="1334">
        <v>8298541</v>
      </c>
      <c r="HIG525" s="1334">
        <v>8298541</v>
      </c>
      <c r="HIH525" s="1334">
        <v>8298541</v>
      </c>
      <c r="HII525" s="1334">
        <v>8298541</v>
      </c>
      <c r="HIJ525" s="1334">
        <v>8298541</v>
      </c>
      <c r="HIK525" s="1334">
        <v>8298541</v>
      </c>
      <c r="HIL525" s="1334">
        <v>8298541</v>
      </c>
      <c r="HIM525" s="1334">
        <v>8298541</v>
      </c>
      <c r="HIN525" s="1334">
        <v>8298541</v>
      </c>
      <c r="HIO525" s="1334">
        <v>8298541</v>
      </c>
      <c r="HIP525" s="1334">
        <v>8298541</v>
      </c>
      <c r="HIQ525" s="1334">
        <v>8298541</v>
      </c>
      <c r="HIR525" s="1334">
        <v>8298541</v>
      </c>
      <c r="HIS525" s="1334">
        <v>8298541</v>
      </c>
      <c r="HIT525" s="1334">
        <v>8298541</v>
      </c>
      <c r="HIU525" s="1334">
        <v>8298541</v>
      </c>
      <c r="HIV525" s="1334">
        <v>8298541</v>
      </c>
      <c r="HIW525" s="1334">
        <v>8298541</v>
      </c>
      <c r="HIX525" s="1334">
        <v>8298541</v>
      </c>
      <c r="HIY525" s="1334">
        <v>8298541</v>
      </c>
      <c r="HIZ525" s="1334">
        <v>8298541</v>
      </c>
      <c r="HJA525" s="1334">
        <v>8298541</v>
      </c>
      <c r="HJB525" s="1334">
        <v>8298541</v>
      </c>
      <c r="HJC525" s="1334">
        <v>8298541</v>
      </c>
      <c r="HJD525" s="1334">
        <v>8298541</v>
      </c>
      <c r="HJE525" s="1334">
        <v>8298541</v>
      </c>
      <c r="HJF525" s="1334">
        <v>8298541</v>
      </c>
      <c r="HJG525" s="1334">
        <v>8298541</v>
      </c>
      <c r="HJH525" s="1334">
        <v>8298541</v>
      </c>
      <c r="HJI525" s="1334">
        <v>8298541</v>
      </c>
      <c r="HJJ525" s="1334">
        <v>8298541</v>
      </c>
      <c r="HJK525" s="1334">
        <v>8298541</v>
      </c>
      <c r="HJL525" s="1334">
        <v>8298541</v>
      </c>
      <c r="HJM525" s="1334">
        <v>8298541</v>
      </c>
      <c r="HJN525" s="1334">
        <v>8298541</v>
      </c>
      <c r="HJO525" s="1334">
        <v>8298541</v>
      </c>
      <c r="HJP525" s="1334">
        <v>8298541</v>
      </c>
      <c r="HJQ525" s="1334">
        <v>8298541</v>
      </c>
      <c r="HJR525" s="1334">
        <v>8298541</v>
      </c>
      <c r="HJS525" s="1334">
        <v>8298541</v>
      </c>
      <c r="HJT525" s="1334">
        <v>8298541</v>
      </c>
      <c r="HJU525" s="1334">
        <v>8298541</v>
      </c>
      <c r="HJV525" s="1334">
        <v>8298541</v>
      </c>
      <c r="HJW525" s="1334">
        <v>8298541</v>
      </c>
      <c r="HJX525" s="1334">
        <v>8298541</v>
      </c>
      <c r="HJY525" s="1334">
        <v>8298541</v>
      </c>
      <c r="HJZ525" s="1334">
        <v>8298541</v>
      </c>
      <c r="HKA525" s="1334">
        <v>8298541</v>
      </c>
      <c r="HKB525" s="1334">
        <v>8298541</v>
      </c>
      <c r="HKC525" s="1334">
        <v>8298541</v>
      </c>
      <c r="HKD525" s="1334">
        <v>8298541</v>
      </c>
      <c r="HKE525" s="1334">
        <v>8298541</v>
      </c>
      <c r="HKF525" s="1334">
        <v>8298541</v>
      </c>
      <c r="HKG525" s="1334">
        <v>8298541</v>
      </c>
      <c r="HKH525" s="1334">
        <v>8298541</v>
      </c>
      <c r="HKI525" s="1334">
        <v>8298541</v>
      </c>
      <c r="HKJ525" s="1334">
        <v>8298541</v>
      </c>
      <c r="HKK525" s="1334">
        <v>8298541</v>
      </c>
      <c r="HKL525" s="1334">
        <v>8298541</v>
      </c>
      <c r="HKM525" s="1334">
        <v>8298541</v>
      </c>
      <c r="HKN525" s="1334">
        <v>8298541</v>
      </c>
      <c r="HKO525" s="1334">
        <v>8298541</v>
      </c>
      <c r="HKP525" s="1334">
        <v>8298541</v>
      </c>
      <c r="HKQ525" s="1334">
        <v>8298541</v>
      </c>
      <c r="HKR525" s="1334">
        <v>8298541</v>
      </c>
      <c r="HKS525" s="1334">
        <v>8298541</v>
      </c>
      <c r="HKT525" s="1334">
        <v>8298541</v>
      </c>
      <c r="HKU525" s="1334">
        <v>8298541</v>
      </c>
      <c r="HKV525" s="1334">
        <v>8298541</v>
      </c>
      <c r="HKW525" s="1334">
        <v>8298541</v>
      </c>
      <c r="HKX525" s="1334">
        <v>8298541</v>
      </c>
      <c r="HKY525" s="1334">
        <v>8298541</v>
      </c>
      <c r="HKZ525" s="1334">
        <v>8298541</v>
      </c>
      <c r="HLA525" s="1334">
        <v>8298541</v>
      </c>
      <c r="HLB525" s="1334">
        <v>8298541</v>
      </c>
      <c r="HLC525" s="1334">
        <v>8298541</v>
      </c>
      <c r="HLD525" s="1334">
        <v>8298541</v>
      </c>
      <c r="HLE525" s="1334">
        <v>8298541</v>
      </c>
      <c r="HLF525" s="1334">
        <v>8298541</v>
      </c>
      <c r="HLG525" s="1334">
        <v>8298541</v>
      </c>
      <c r="HLH525" s="1334">
        <v>8298541</v>
      </c>
      <c r="HLI525" s="1334">
        <v>8298541</v>
      </c>
      <c r="HLJ525" s="1334">
        <v>8298541</v>
      </c>
      <c r="HLK525" s="1334">
        <v>8298541</v>
      </c>
      <c r="HLL525" s="1334">
        <v>8298541</v>
      </c>
      <c r="HLM525" s="1334">
        <v>8298541</v>
      </c>
      <c r="HLN525" s="1334">
        <v>8298541</v>
      </c>
      <c r="HLO525" s="1334">
        <v>8298541</v>
      </c>
      <c r="HLP525" s="1334">
        <v>8298541</v>
      </c>
      <c r="HLQ525" s="1334">
        <v>8298541</v>
      </c>
      <c r="HLR525" s="1334">
        <v>8298541</v>
      </c>
      <c r="HLS525" s="1334">
        <v>8298541</v>
      </c>
      <c r="HLT525" s="1334">
        <v>8298541</v>
      </c>
      <c r="HLU525" s="1334">
        <v>8298541</v>
      </c>
      <c r="HLV525" s="1334">
        <v>8298541</v>
      </c>
      <c r="HLW525" s="1334">
        <v>8298541</v>
      </c>
      <c r="HLX525" s="1334">
        <v>8298541</v>
      </c>
      <c r="HLY525" s="1334">
        <v>8298541</v>
      </c>
      <c r="HLZ525" s="1334">
        <v>8298541</v>
      </c>
      <c r="HMA525" s="1334">
        <v>8298541</v>
      </c>
      <c r="HMB525" s="1334">
        <v>8298541</v>
      </c>
      <c r="HMC525" s="1334">
        <v>8298541</v>
      </c>
      <c r="HMD525" s="1334">
        <v>8298541</v>
      </c>
      <c r="HME525" s="1334">
        <v>8298541</v>
      </c>
      <c r="HMF525" s="1334">
        <v>8298541</v>
      </c>
      <c r="HMG525" s="1334">
        <v>8298541</v>
      </c>
      <c r="HMH525" s="1334">
        <v>8298541</v>
      </c>
      <c r="HMI525" s="1334">
        <v>8298541</v>
      </c>
      <c r="HMJ525" s="1334">
        <v>8298541</v>
      </c>
      <c r="HMK525" s="1334">
        <v>8298541</v>
      </c>
      <c r="HML525" s="1334">
        <v>8298541</v>
      </c>
      <c r="HMM525" s="1334">
        <v>8298541</v>
      </c>
      <c r="HMN525" s="1334">
        <v>8298541</v>
      </c>
      <c r="HMO525" s="1334">
        <v>8298541</v>
      </c>
      <c r="HMP525" s="1334">
        <v>8298541</v>
      </c>
      <c r="HMQ525" s="1334">
        <v>8298541</v>
      </c>
      <c r="HMR525" s="1334">
        <v>8298541</v>
      </c>
      <c r="HMS525" s="1334">
        <v>8298541</v>
      </c>
      <c r="HMT525" s="1334">
        <v>8298541</v>
      </c>
      <c r="HMU525" s="1334">
        <v>8298541</v>
      </c>
      <c r="HMV525" s="1334">
        <v>8298541</v>
      </c>
      <c r="HMW525" s="1334">
        <v>8298541</v>
      </c>
      <c r="HMX525" s="1334">
        <v>8298541</v>
      </c>
      <c r="HMY525" s="1334">
        <v>8298541</v>
      </c>
      <c r="HMZ525" s="1334">
        <v>8298541</v>
      </c>
      <c r="HNA525" s="1334">
        <v>8298541</v>
      </c>
      <c r="HNB525" s="1334">
        <v>8298541</v>
      </c>
      <c r="HNC525" s="1334">
        <v>8298541</v>
      </c>
      <c r="HND525" s="1334">
        <v>8298541</v>
      </c>
      <c r="HNE525" s="1334">
        <v>8298541</v>
      </c>
      <c r="HNF525" s="1334">
        <v>8298541</v>
      </c>
      <c r="HNG525" s="1334">
        <v>8298541</v>
      </c>
      <c r="HNH525" s="1334">
        <v>8298541</v>
      </c>
      <c r="HNI525" s="1334">
        <v>8298541</v>
      </c>
      <c r="HNJ525" s="1334">
        <v>8298541</v>
      </c>
      <c r="HNK525" s="1334">
        <v>8298541</v>
      </c>
      <c r="HNL525" s="1334">
        <v>8298541</v>
      </c>
      <c r="HNM525" s="1334">
        <v>8298541</v>
      </c>
      <c r="HNN525" s="1334">
        <v>8298541</v>
      </c>
      <c r="HNO525" s="1334">
        <v>8298541</v>
      </c>
      <c r="HNP525" s="1334">
        <v>8298541</v>
      </c>
      <c r="HNQ525" s="1334">
        <v>8298541</v>
      </c>
      <c r="HNR525" s="1334">
        <v>8298541</v>
      </c>
      <c r="HNS525" s="1334">
        <v>8298541</v>
      </c>
      <c r="HNT525" s="1334">
        <v>8298541</v>
      </c>
      <c r="HNU525" s="1334">
        <v>8298541</v>
      </c>
      <c r="HNV525" s="1334">
        <v>8298541</v>
      </c>
      <c r="HNW525" s="1334">
        <v>8298541</v>
      </c>
      <c r="HNX525" s="1334">
        <v>8298541</v>
      </c>
      <c r="HNY525" s="1334">
        <v>8298541</v>
      </c>
      <c r="HNZ525" s="1334">
        <v>8298541</v>
      </c>
      <c r="HOA525" s="1334">
        <v>8298541</v>
      </c>
      <c r="HOB525" s="1334">
        <v>8298541</v>
      </c>
      <c r="HOC525" s="1334">
        <v>8298541</v>
      </c>
      <c r="HOD525" s="1334">
        <v>8298541</v>
      </c>
      <c r="HOE525" s="1334">
        <v>8298541</v>
      </c>
      <c r="HOF525" s="1334">
        <v>8298541</v>
      </c>
      <c r="HOG525" s="1334">
        <v>8298541</v>
      </c>
      <c r="HOH525" s="1334">
        <v>8298541</v>
      </c>
      <c r="HOI525" s="1334">
        <v>8298541</v>
      </c>
      <c r="HOJ525" s="1334">
        <v>8298541</v>
      </c>
      <c r="HOK525" s="1334">
        <v>8298541</v>
      </c>
      <c r="HOL525" s="1334">
        <v>8298541</v>
      </c>
      <c r="HOM525" s="1334">
        <v>8298541</v>
      </c>
      <c r="HON525" s="1334">
        <v>8298541</v>
      </c>
      <c r="HOO525" s="1334">
        <v>8298541</v>
      </c>
      <c r="HOP525" s="1334">
        <v>8298541</v>
      </c>
      <c r="HOQ525" s="1334">
        <v>8298541</v>
      </c>
      <c r="HOR525" s="1334">
        <v>8298541</v>
      </c>
      <c r="HOS525" s="1334">
        <v>8298541</v>
      </c>
      <c r="HOT525" s="1334">
        <v>8298541</v>
      </c>
      <c r="HOU525" s="1334">
        <v>8298541</v>
      </c>
      <c r="HOV525" s="1334">
        <v>8298541</v>
      </c>
      <c r="HOW525" s="1334">
        <v>8298541</v>
      </c>
      <c r="HOX525" s="1334">
        <v>8298541</v>
      </c>
      <c r="HOY525" s="1334">
        <v>8298541</v>
      </c>
      <c r="HOZ525" s="1334">
        <v>8298541</v>
      </c>
      <c r="HPA525" s="1334">
        <v>8298541</v>
      </c>
      <c r="HPB525" s="1334">
        <v>8298541</v>
      </c>
      <c r="HPC525" s="1334">
        <v>8298541</v>
      </c>
      <c r="HPD525" s="1334">
        <v>8298541</v>
      </c>
      <c r="HPE525" s="1334">
        <v>8298541</v>
      </c>
      <c r="HPF525" s="1334">
        <v>8298541</v>
      </c>
      <c r="HPG525" s="1334">
        <v>8298541</v>
      </c>
      <c r="HPH525" s="1334">
        <v>8298541</v>
      </c>
      <c r="HPI525" s="1334">
        <v>8298541</v>
      </c>
      <c r="HPJ525" s="1334">
        <v>8298541</v>
      </c>
      <c r="HPK525" s="1334">
        <v>8298541</v>
      </c>
      <c r="HPL525" s="1334">
        <v>8298541</v>
      </c>
      <c r="HPM525" s="1334">
        <v>8298541</v>
      </c>
      <c r="HPN525" s="1334">
        <v>8298541</v>
      </c>
      <c r="HPO525" s="1334">
        <v>8298541</v>
      </c>
      <c r="HPP525" s="1334">
        <v>8298541</v>
      </c>
      <c r="HPQ525" s="1334">
        <v>8298541</v>
      </c>
      <c r="HPR525" s="1334">
        <v>8298541</v>
      </c>
      <c r="HPS525" s="1334">
        <v>8298541</v>
      </c>
      <c r="HPT525" s="1334">
        <v>8298541</v>
      </c>
      <c r="HPU525" s="1334">
        <v>8298541</v>
      </c>
      <c r="HPV525" s="1334">
        <v>8298541</v>
      </c>
      <c r="HPW525" s="1334">
        <v>8298541</v>
      </c>
      <c r="HPX525" s="1334">
        <v>8298541</v>
      </c>
      <c r="HPY525" s="1334">
        <v>8298541</v>
      </c>
      <c r="HPZ525" s="1334">
        <v>8298541</v>
      </c>
      <c r="HQA525" s="1334">
        <v>8298541</v>
      </c>
      <c r="HQB525" s="1334">
        <v>8298541</v>
      </c>
      <c r="HQC525" s="1334">
        <v>8298541</v>
      </c>
      <c r="HQD525" s="1334">
        <v>8298541</v>
      </c>
      <c r="HQE525" s="1334">
        <v>8298541</v>
      </c>
      <c r="HQF525" s="1334">
        <v>8298541</v>
      </c>
      <c r="HQG525" s="1334">
        <v>8298541</v>
      </c>
      <c r="HQH525" s="1334">
        <v>8298541</v>
      </c>
      <c r="HQI525" s="1334">
        <v>8298541</v>
      </c>
      <c r="HQJ525" s="1334">
        <v>8298541</v>
      </c>
      <c r="HQK525" s="1334">
        <v>8298541</v>
      </c>
      <c r="HQL525" s="1334">
        <v>8298541</v>
      </c>
      <c r="HQM525" s="1334">
        <v>8298541</v>
      </c>
      <c r="HQN525" s="1334">
        <v>8298541</v>
      </c>
      <c r="HQO525" s="1334">
        <v>8298541</v>
      </c>
      <c r="HQP525" s="1334">
        <v>8298541</v>
      </c>
      <c r="HQQ525" s="1334">
        <v>8298541</v>
      </c>
      <c r="HQR525" s="1334">
        <v>8298541</v>
      </c>
      <c r="HQS525" s="1334">
        <v>8298541</v>
      </c>
      <c r="HQT525" s="1334">
        <v>8298541</v>
      </c>
      <c r="HQU525" s="1334">
        <v>8298541</v>
      </c>
      <c r="HQV525" s="1334">
        <v>8298541</v>
      </c>
      <c r="HQW525" s="1334">
        <v>8298541</v>
      </c>
      <c r="HQX525" s="1334">
        <v>8298541</v>
      </c>
      <c r="HQY525" s="1334">
        <v>8298541</v>
      </c>
      <c r="HQZ525" s="1334">
        <v>8298541</v>
      </c>
      <c r="HRA525" s="1334">
        <v>8298541</v>
      </c>
      <c r="HRB525" s="1334">
        <v>8298541</v>
      </c>
      <c r="HRC525" s="1334">
        <v>8298541</v>
      </c>
      <c r="HRD525" s="1334">
        <v>8298541</v>
      </c>
      <c r="HRE525" s="1334">
        <v>8298541</v>
      </c>
      <c r="HRF525" s="1334">
        <v>8298541</v>
      </c>
      <c r="HRG525" s="1334">
        <v>8298541</v>
      </c>
      <c r="HRH525" s="1334">
        <v>8298541</v>
      </c>
      <c r="HRI525" s="1334">
        <v>8298541</v>
      </c>
      <c r="HRJ525" s="1334">
        <v>8298541</v>
      </c>
      <c r="HRK525" s="1334">
        <v>8298541</v>
      </c>
      <c r="HRL525" s="1334">
        <v>8298541</v>
      </c>
      <c r="HRM525" s="1334">
        <v>8298541</v>
      </c>
      <c r="HRN525" s="1334">
        <v>8298541</v>
      </c>
      <c r="HRO525" s="1334">
        <v>8298541</v>
      </c>
      <c r="HRP525" s="1334">
        <v>8298541</v>
      </c>
      <c r="HRQ525" s="1334">
        <v>8298541</v>
      </c>
      <c r="HRR525" s="1334">
        <v>8298541</v>
      </c>
      <c r="HRS525" s="1334">
        <v>8298541</v>
      </c>
      <c r="HRT525" s="1334">
        <v>8298541</v>
      </c>
      <c r="HRU525" s="1334">
        <v>8298541</v>
      </c>
      <c r="HRV525" s="1334">
        <v>8298541</v>
      </c>
      <c r="HRW525" s="1334">
        <v>8298541</v>
      </c>
      <c r="HRX525" s="1334">
        <v>8298541</v>
      </c>
      <c r="HRY525" s="1334">
        <v>8298541</v>
      </c>
      <c r="HRZ525" s="1334">
        <v>8298541</v>
      </c>
      <c r="HSA525" s="1334">
        <v>8298541</v>
      </c>
      <c r="HSB525" s="1334">
        <v>8298541</v>
      </c>
      <c r="HSC525" s="1334">
        <v>8298541</v>
      </c>
      <c r="HSD525" s="1334">
        <v>8298541</v>
      </c>
      <c r="HSE525" s="1334">
        <v>8298541</v>
      </c>
      <c r="HSF525" s="1334">
        <v>8298541</v>
      </c>
      <c r="HSG525" s="1334">
        <v>8298541</v>
      </c>
      <c r="HSH525" s="1334">
        <v>8298541</v>
      </c>
      <c r="HSI525" s="1334">
        <v>8298541</v>
      </c>
      <c r="HSJ525" s="1334">
        <v>8298541</v>
      </c>
      <c r="HSK525" s="1334">
        <v>8298541</v>
      </c>
      <c r="HSL525" s="1334">
        <v>8298541</v>
      </c>
      <c r="HSM525" s="1334">
        <v>8298541</v>
      </c>
      <c r="HSN525" s="1334">
        <v>8298541</v>
      </c>
      <c r="HSO525" s="1334">
        <v>8298541</v>
      </c>
      <c r="HSP525" s="1334">
        <v>8298541</v>
      </c>
      <c r="HSQ525" s="1334">
        <v>8298541</v>
      </c>
      <c r="HSR525" s="1334">
        <v>8298541</v>
      </c>
      <c r="HSS525" s="1334">
        <v>8298541</v>
      </c>
      <c r="HST525" s="1334">
        <v>8298541</v>
      </c>
      <c r="HSU525" s="1334">
        <v>8298541</v>
      </c>
      <c r="HSV525" s="1334">
        <v>8298541</v>
      </c>
      <c r="HSW525" s="1334">
        <v>8298541</v>
      </c>
      <c r="HSX525" s="1334">
        <v>8298541</v>
      </c>
      <c r="HSY525" s="1334">
        <v>8298541</v>
      </c>
      <c r="HSZ525" s="1334">
        <v>8298541</v>
      </c>
      <c r="HTA525" s="1334">
        <v>8298541</v>
      </c>
      <c r="HTB525" s="1334">
        <v>8298541</v>
      </c>
      <c r="HTC525" s="1334">
        <v>8298541</v>
      </c>
      <c r="HTD525" s="1334">
        <v>8298541</v>
      </c>
      <c r="HTE525" s="1334">
        <v>8298541</v>
      </c>
      <c r="HTF525" s="1334">
        <v>8298541</v>
      </c>
      <c r="HTG525" s="1334">
        <v>8298541</v>
      </c>
      <c r="HTH525" s="1334">
        <v>8298541</v>
      </c>
      <c r="HTI525" s="1334">
        <v>8298541</v>
      </c>
      <c r="HTJ525" s="1334">
        <v>8298541</v>
      </c>
      <c r="HTK525" s="1334">
        <v>8298541</v>
      </c>
      <c r="HTL525" s="1334">
        <v>8298541</v>
      </c>
      <c r="HTM525" s="1334">
        <v>8298541</v>
      </c>
      <c r="HTN525" s="1334">
        <v>8298541</v>
      </c>
      <c r="HTO525" s="1334">
        <v>8298541</v>
      </c>
      <c r="HTP525" s="1334">
        <v>8298541</v>
      </c>
      <c r="HTQ525" s="1334">
        <v>8298541</v>
      </c>
      <c r="HTR525" s="1334">
        <v>8298541</v>
      </c>
      <c r="HTS525" s="1334">
        <v>8298541</v>
      </c>
      <c r="HTT525" s="1334">
        <v>8298541</v>
      </c>
      <c r="HTU525" s="1334">
        <v>8298541</v>
      </c>
      <c r="HTV525" s="1334">
        <v>8298541</v>
      </c>
      <c r="HTW525" s="1334">
        <v>8298541</v>
      </c>
      <c r="HTX525" s="1334">
        <v>8298541</v>
      </c>
      <c r="HTY525" s="1334">
        <v>8298541</v>
      </c>
      <c r="HTZ525" s="1334">
        <v>8298541</v>
      </c>
      <c r="HUA525" s="1334">
        <v>8298541</v>
      </c>
      <c r="HUB525" s="1334">
        <v>8298541</v>
      </c>
      <c r="HUC525" s="1334">
        <v>8298541</v>
      </c>
      <c r="HUD525" s="1334">
        <v>8298541</v>
      </c>
      <c r="HUE525" s="1334">
        <v>8298541</v>
      </c>
      <c r="HUF525" s="1334">
        <v>8298541</v>
      </c>
      <c r="HUG525" s="1334">
        <v>8298541</v>
      </c>
      <c r="HUH525" s="1334">
        <v>8298541</v>
      </c>
      <c r="HUI525" s="1334">
        <v>8298541</v>
      </c>
      <c r="HUJ525" s="1334">
        <v>8298541</v>
      </c>
      <c r="HUK525" s="1334">
        <v>8298541</v>
      </c>
      <c r="HUL525" s="1334">
        <v>8298541</v>
      </c>
      <c r="HUM525" s="1334">
        <v>8298541</v>
      </c>
      <c r="HUN525" s="1334">
        <v>8298541</v>
      </c>
      <c r="HUO525" s="1334">
        <v>8298541</v>
      </c>
      <c r="HUP525" s="1334">
        <v>8298541</v>
      </c>
      <c r="HUQ525" s="1334">
        <v>8298541</v>
      </c>
      <c r="HUR525" s="1334">
        <v>8298541</v>
      </c>
      <c r="HUS525" s="1334">
        <v>8298541</v>
      </c>
      <c r="HUT525" s="1334">
        <v>8298541</v>
      </c>
      <c r="HUU525" s="1334">
        <v>8298541</v>
      </c>
      <c r="HUV525" s="1334">
        <v>8298541</v>
      </c>
      <c r="HUW525" s="1334">
        <v>8298541</v>
      </c>
      <c r="HUX525" s="1334">
        <v>8298541</v>
      </c>
      <c r="HUY525" s="1334">
        <v>8298541</v>
      </c>
      <c r="HUZ525" s="1334">
        <v>8298541</v>
      </c>
      <c r="HVA525" s="1334">
        <v>8298541</v>
      </c>
      <c r="HVB525" s="1334">
        <v>8298541</v>
      </c>
      <c r="HVC525" s="1334">
        <v>8298541</v>
      </c>
      <c r="HVD525" s="1334">
        <v>8298541</v>
      </c>
      <c r="HVE525" s="1334">
        <v>8298541</v>
      </c>
      <c r="HVF525" s="1334">
        <v>8298541</v>
      </c>
      <c r="HVG525" s="1334">
        <v>8298541</v>
      </c>
      <c r="HVH525" s="1334">
        <v>8298541</v>
      </c>
      <c r="HVI525" s="1334">
        <v>8298541</v>
      </c>
      <c r="HVJ525" s="1334">
        <v>8298541</v>
      </c>
      <c r="HVK525" s="1334">
        <v>8298541</v>
      </c>
      <c r="HVL525" s="1334">
        <v>8298541</v>
      </c>
      <c r="HVM525" s="1334">
        <v>8298541</v>
      </c>
      <c r="HVN525" s="1334">
        <v>8298541</v>
      </c>
      <c r="HVO525" s="1334">
        <v>8298541</v>
      </c>
      <c r="HVP525" s="1334">
        <v>8298541</v>
      </c>
      <c r="HVQ525" s="1334">
        <v>8298541</v>
      </c>
      <c r="HVR525" s="1334">
        <v>8298541</v>
      </c>
      <c r="HVS525" s="1334">
        <v>8298541</v>
      </c>
      <c r="HVT525" s="1334">
        <v>8298541</v>
      </c>
      <c r="HVU525" s="1334">
        <v>8298541</v>
      </c>
      <c r="HVV525" s="1334">
        <v>8298541</v>
      </c>
      <c r="HVW525" s="1334">
        <v>8298541</v>
      </c>
      <c r="HVX525" s="1334">
        <v>8298541</v>
      </c>
      <c r="HVY525" s="1334">
        <v>8298541</v>
      </c>
      <c r="HVZ525" s="1334">
        <v>8298541</v>
      </c>
      <c r="HWA525" s="1334">
        <v>8298541</v>
      </c>
      <c r="HWB525" s="1334">
        <v>8298541</v>
      </c>
      <c r="HWC525" s="1334">
        <v>8298541</v>
      </c>
      <c r="HWD525" s="1334">
        <v>8298541</v>
      </c>
      <c r="HWE525" s="1334">
        <v>8298541</v>
      </c>
      <c r="HWF525" s="1334">
        <v>8298541</v>
      </c>
      <c r="HWG525" s="1334">
        <v>8298541</v>
      </c>
      <c r="HWH525" s="1334">
        <v>8298541</v>
      </c>
      <c r="HWI525" s="1334">
        <v>8298541</v>
      </c>
      <c r="HWJ525" s="1334">
        <v>8298541</v>
      </c>
      <c r="HWK525" s="1334">
        <v>8298541</v>
      </c>
      <c r="HWL525" s="1334">
        <v>8298541</v>
      </c>
      <c r="HWM525" s="1334">
        <v>8298541</v>
      </c>
      <c r="HWN525" s="1334">
        <v>8298541</v>
      </c>
      <c r="HWO525" s="1334">
        <v>8298541</v>
      </c>
      <c r="HWP525" s="1334">
        <v>8298541</v>
      </c>
      <c r="HWQ525" s="1334">
        <v>8298541</v>
      </c>
      <c r="HWR525" s="1334">
        <v>8298541</v>
      </c>
      <c r="HWS525" s="1334">
        <v>8298541</v>
      </c>
      <c r="HWT525" s="1334">
        <v>8298541</v>
      </c>
      <c r="HWU525" s="1334">
        <v>8298541</v>
      </c>
      <c r="HWV525" s="1334">
        <v>8298541</v>
      </c>
      <c r="HWW525" s="1334">
        <v>8298541</v>
      </c>
      <c r="HWX525" s="1334">
        <v>8298541</v>
      </c>
      <c r="HWY525" s="1334">
        <v>8298541</v>
      </c>
      <c r="HWZ525" s="1334">
        <v>8298541</v>
      </c>
      <c r="HXA525" s="1334">
        <v>8298541</v>
      </c>
      <c r="HXB525" s="1334">
        <v>8298541</v>
      </c>
      <c r="HXC525" s="1334">
        <v>8298541</v>
      </c>
      <c r="HXD525" s="1334">
        <v>8298541</v>
      </c>
      <c r="HXE525" s="1334">
        <v>8298541</v>
      </c>
      <c r="HXF525" s="1334">
        <v>8298541</v>
      </c>
      <c r="HXG525" s="1334">
        <v>8298541</v>
      </c>
      <c r="HXH525" s="1334">
        <v>8298541</v>
      </c>
      <c r="HXI525" s="1334">
        <v>8298541</v>
      </c>
      <c r="HXJ525" s="1334">
        <v>8298541</v>
      </c>
      <c r="HXK525" s="1334">
        <v>8298541</v>
      </c>
      <c r="HXL525" s="1334">
        <v>8298541</v>
      </c>
      <c r="HXM525" s="1334">
        <v>8298541</v>
      </c>
      <c r="HXN525" s="1334">
        <v>8298541</v>
      </c>
      <c r="HXO525" s="1334">
        <v>8298541</v>
      </c>
      <c r="HXP525" s="1334">
        <v>8298541</v>
      </c>
      <c r="HXQ525" s="1334">
        <v>8298541</v>
      </c>
      <c r="HXR525" s="1334">
        <v>8298541</v>
      </c>
      <c r="HXS525" s="1334">
        <v>8298541</v>
      </c>
      <c r="HXT525" s="1334">
        <v>8298541</v>
      </c>
      <c r="HXU525" s="1334">
        <v>8298541</v>
      </c>
      <c r="HXV525" s="1334">
        <v>8298541</v>
      </c>
      <c r="HXW525" s="1334">
        <v>8298541</v>
      </c>
      <c r="HXX525" s="1334">
        <v>8298541</v>
      </c>
      <c r="HXY525" s="1334">
        <v>8298541</v>
      </c>
      <c r="HXZ525" s="1334">
        <v>8298541</v>
      </c>
      <c r="HYA525" s="1334">
        <v>8298541</v>
      </c>
      <c r="HYB525" s="1334">
        <v>8298541</v>
      </c>
      <c r="HYC525" s="1334">
        <v>8298541</v>
      </c>
      <c r="HYD525" s="1334">
        <v>8298541</v>
      </c>
      <c r="HYE525" s="1334">
        <v>8298541</v>
      </c>
      <c r="HYF525" s="1334">
        <v>8298541</v>
      </c>
      <c r="HYG525" s="1334">
        <v>8298541</v>
      </c>
      <c r="HYH525" s="1334">
        <v>8298541</v>
      </c>
      <c r="HYI525" s="1334">
        <v>8298541</v>
      </c>
      <c r="HYJ525" s="1334">
        <v>8298541</v>
      </c>
      <c r="HYK525" s="1334">
        <v>8298541</v>
      </c>
      <c r="HYL525" s="1334">
        <v>8298541</v>
      </c>
      <c r="HYM525" s="1334">
        <v>8298541</v>
      </c>
      <c r="HYN525" s="1334">
        <v>8298541</v>
      </c>
      <c r="HYO525" s="1334">
        <v>8298541</v>
      </c>
      <c r="HYP525" s="1334">
        <v>8298541</v>
      </c>
      <c r="HYQ525" s="1334">
        <v>8298541</v>
      </c>
      <c r="HYR525" s="1334">
        <v>8298541</v>
      </c>
      <c r="HYS525" s="1334">
        <v>8298541</v>
      </c>
      <c r="HYT525" s="1334">
        <v>8298541</v>
      </c>
      <c r="HYU525" s="1334">
        <v>8298541</v>
      </c>
      <c r="HYV525" s="1334">
        <v>8298541</v>
      </c>
      <c r="HYW525" s="1334">
        <v>8298541</v>
      </c>
      <c r="HYX525" s="1334">
        <v>8298541</v>
      </c>
      <c r="HYY525" s="1334">
        <v>8298541</v>
      </c>
      <c r="HYZ525" s="1334">
        <v>8298541</v>
      </c>
      <c r="HZA525" s="1334">
        <v>8298541</v>
      </c>
      <c r="HZB525" s="1334">
        <v>8298541</v>
      </c>
      <c r="HZC525" s="1334">
        <v>8298541</v>
      </c>
      <c r="HZD525" s="1334">
        <v>8298541</v>
      </c>
      <c r="HZE525" s="1334">
        <v>8298541</v>
      </c>
      <c r="HZF525" s="1334">
        <v>8298541</v>
      </c>
      <c r="HZG525" s="1334">
        <v>8298541</v>
      </c>
      <c r="HZH525" s="1334">
        <v>8298541</v>
      </c>
      <c r="HZI525" s="1334">
        <v>8298541</v>
      </c>
      <c r="HZJ525" s="1334">
        <v>8298541</v>
      </c>
      <c r="HZK525" s="1334">
        <v>8298541</v>
      </c>
      <c r="HZL525" s="1334">
        <v>8298541</v>
      </c>
      <c r="HZM525" s="1334">
        <v>8298541</v>
      </c>
      <c r="HZN525" s="1334">
        <v>8298541</v>
      </c>
      <c r="HZO525" s="1334">
        <v>8298541</v>
      </c>
      <c r="HZP525" s="1334">
        <v>8298541</v>
      </c>
      <c r="HZQ525" s="1334">
        <v>8298541</v>
      </c>
      <c r="HZR525" s="1334">
        <v>8298541</v>
      </c>
      <c r="HZS525" s="1334">
        <v>8298541</v>
      </c>
      <c r="HZT525" s="1334">
        <v>8298541</v>
      </c>
      <c r="HZU525" s="1334">
        <v>8298541</v>
      </c>
      <c r="HZV525" s="1334">
        <v>8298541</v>
      </c>
      <c r="HZW525" s="1334">
        <v>8298541</v>
      </c>
      <c r="HZX525" s="1334">
        <v>8298541</v>
      </c>
      <c r="HZY525" s="1334">
        <v>8298541</v>
      </c>
      <c r="HZZ525" s="1334">
        <v>8298541</v>
      </c>
      <c r="IAA525" s="1334">
        <v>8298541</v>
      </c>
      <c r="IAB525" s="1334">
        <v>8298541</v>
      </c>
      <c r="IAC525" s="1334">
        <v>8298541</v>
      </c>
      <c r="IAD525" s="1334">
        <v>8298541</v>
      </c>
      <c r="IAE525" s="1334">
        <v>8298541</v>
      </c>
      <c r="IAF525" s="1334">
        <v>8298541</v>
      </c>
      <c r="IAG525" s="1334">
        <v>8298541</v>
      </c>
      <c r="IAH525" s="1334">
        <v>8298541</v>
      </c>
      <c r="IAI525" s="1334">
        <v>8298541</v>
      </c>
      <c r="IAJ525" s="1334">
        <v>8298541</v>
      </c>
      <c r="IAK525" s="1334">
        <v>8298541</v>
      </c>
      <c r="IAL525" s="1334">
        <v>8298541</v>
      </c>
      <c r="IAM525" s="1334">
        <v>8298541</v>
      </c>
      <c r="IAN525" s="1334">
        <v>8298541</v>
      </c>
      <c r="IAO525" s="1334">
        <v>8298541</v>
      </c>
      <c r="IAP525" s="1334">
        <v>8298541</v>
      </c>
      <c r="IAQ525" s="1334">
        <v>8298541</v>
      </c>
      <c r="IAR525" s="1334">
        <v>8298541</v>
      </c>
      <c r="IAS525" s="1334">
        <v>8298541</v>
      </c>
      <c r="IAT525" s="1334">
        <v>8298541</v>
      </c>
      <c r="IAU525" s="1334">
        <v>8298541</v>
      </c>
      <c r="IAV525" s="1334">
        <v>8298541</v>
      </c>
      <c r="IAW525" s="1334">
        <v>8298541</v>
      </c>
      <c r="IAX525" s="1334">
        <v>8298541</v>
      </c>
      <c r="IAY525" s="1334">
        <v>8298541</v>
      </c>
      <c r="IAZ525" s="1334">
        <v>8298541</v>
      </c>
      <c r="IBA525" s="1334">
        <v>8298541</v>
      </c>
      <c r="IBB525" s="1334">
        <v>8298541</v>
      </c>
      <c r="IBC525" s="1334">
        <v>8298541</v>
      </c>
      <c r="IBD525" s="1334">
        <v>8298541</v>
      </c>
      <c r="IBE525" s="1334">
        <v>8298541</v>
      </c>
      <c r="IBF525" s="1334">
        <v>8298541</v>
      </c>
      <c r="IBG525" s="1334">
        <v>8298541</v>
      </c>
      <c r="IBH525" s="1334">
        <v>8298541</v>
      </c>
      <c r="IBI525" s="1334">
        <v>8298541</v>
      </c>
      <c r="IBJ525" s="1334">
        <v>8298541</v>
      </c>
      <c r="IBK525" s="1334">
        <v>8298541</v>
      </c>
      <c r="IBL525" s="1334">
        <v>8298541</v>
      </c>
      <c r="IBM525" s="1334">
        <v>8298541</v>
      </c>
      <c r="IBN525" s="1334">
        <v>8298541</v>
      </c>
      <c r="IBO525" s="1334">
        <v>8298541</v>
      </c>
      <c r="IBP525" s="1334">
        <v>8298541</v>
      </c>
      <c r="IBQ525" s="1334">
        <v>8298541</v>
      </c>
      <c r="IBR525" s="1334">
        <v>8298541</v>
      </c>
      <c r="IBS525" s="1334">
        <v>8298541</v>
      </c>
      <c r="IBT525" s="1334">
        <v>8298541</v>
      </c>
      <c r="IBU525" s="1334">
        <v>8298541</v>
      </c>
      <c r="IBV525" s="1334">
        <v>8298541</v>
      </c>
      <c r="IBW525" s="1334">
        <v>8298541</v>
      </c>
      <c r="IBX525" s="1334">
        <v>8298541</v>
      </c>
      <c r="IBY525" s="1334">
        <v>8298541</v>
      </c>
      <c r="IBZ525" s="1334">
        <v>8298541</v>
      </c>
      <c r="ICA525" s="1334">
        <v>8298541</v>
      </c>
      <c r="ICB525" s="1334">
        <v>8298541</v>
      </c>
      <c r="ICC525" s="1334">
        <v>8298541</v>
      </c>
      <c r="ICD525" s="1334">
        <v>8298541</v>
      </c>
      <c r="ICE525" s="1334">
        <v>8298541</v>
      </c>
      <c r="ICF525" s="1334">
        <v>8298541</v>
      </c>
      <c r="ICG525" s="1334">
        <v>8298541</v>
      </c>
      <c r="ICH525" s="1334">
        <v>8298541</v>
      </c>
      <c r="ICI525" s="1334">
        <v>8298541</v>
      </c>
      <c r="ICJ525" s="1334">
        <v>8298541</v>
      </c>
      <c r="ICK525" s="1334">
        <v>8298541</v>
      </c>
      <c r="ICL525" s="1334">
        <v>8298541</v>
      </c>
      <c r="ICM525" s="1334">
        <v>8298541</v>
      </c>
      <c r="ICN525" s="1334">
        <v>8298541</v>
      </c>
      <c r="ICO525" s="1334">
        <v>8298541</v>
      </c>
      <c r="ICP525" s="1334">
        <v>8298541</v>
      </c>
      <c r="ICQ525" s="1334">
        <v>8298541</v>
      </c>
      <c r="ICR525" s="1334">
        <v>8298541</v>
      </c>
      <c r="ICS525" s="1334">
        <v>8298541</v>
      </c>
      <c r="ICT525" s="1334">
        <v>8298541</v>
      </c>
      <c r="ICU525" s="1334">
        <v>8298541</v>
      </c>
      <c r="ICV525" s="1334">
        <v>8298541</v>
      </c>
      <c r="ICW525" s="1334">
        <v>8298541</v>
      </c>
      <c r="ICX525" s="1334">
        <v>8298541</v>
      </c>
      <c r="ICY525" s="1334">
        <v>8298541</v>
      </c>
      <c r="ICZ525" s="1334">
        <v>8298541</v>
      </c>
      <c r="IDA525" s="1334">
        <v>8298541</v>
      </c>
      <c r="IDB525" s="1334">
        <v>8298541</v>
      </c>
      <c r="IDC525" s="1334">
        <v>8298541</v>
      </c>
      <c r="IDD525" s="1334">
        <v>8298541</v>
      </c>
      <c r="IDE525" s="1334">
        <v>8298541</v>
      </c>
      <c r="IDF525" s="1334">
        <v>8298541</v>
      </c>
      <c r="IDG525" s="1334">
        <v>8298541</v>
      </c>
      <c r="IDH525" s="1334">
        <v>8298541</v>
      </c>
      <c r="IDI525" s="1334">
        <v>8298541</v>
      </c>
      <c r="IDJ525" s="1334">
        <v>8298541</v>
      </c>
      <c r="IDK525" s="1334">
        <v>8298541</v>
      </c>
      <c r="IDL525" s="1334">
        <v>8298541</v>
      </c>
      <c r="IDM525" s="1334">
        <v>8298541</v>
      </c>
      <c r="IDN525" s="1334">
        <v>8298541</v>
      </c>
      <c r="IDO525" s="1334">
        <v>8298541</v>
      </c>
      <c r="IDP525" s="1334">
        <v>8298541</v>
      </c>
      <c r="IDQ525" s="1334">
        <v>8298541</v>
      </c>
      <c r="IDR525" s="1334">
        <v>8298541</v>
      </c>
      <c r="IDS525" s="1334">
        <v>8298541</v>
      </c>
      <c r="IDT525" s="1334">
        <v>8298541</v>
      </c>
      <c r="IDU525" s="1334">
        <v>8298541</v>
      </c>
      <c r="IDV525" s="1334">
        <v>8298541</v>
      </c>
      <c r="IDW525" s="1334">
        <v>8298541</v>
      </c>
      <c r="IDX525" s="1334">
        <v>8298541</v>
      </c>
      <c r="IDY525" s="1334">
        <v>8298541</v>
      </c>
      <c r="IDZ525" s="1334">
        <v>8298541</v>
      </c>
      <c r="IEA525" s="1334">
        <v>8298541</v>
      </c>
      <c r="IEB525" s="1334">
        <v>8298541</v>
      </c>
      <c r="IEC525" s="1334">
        <v>8298541</v>
      </c>
      <c r="IED525" s="1334">
        <v>8298541</v>
      </c>
      <c r="IEE525" s="1334">
        <v>8298541</v>
      </c>
      <c r="IEF525" s="1334">
        <v>8298541</v>
      </c>
      <c r="IEG525" s="1334">
        <v>8298541</v>
      </c>
      <c r="IEH525" s="1334">
        <v>8298541</v>
      </c>
      <c r="IEI525" s="1334">
        <v>8298541</v>
      </c>
      <c r="IEJ525" s="1334">
        <v>8298541</v>
      </c>
      <c r="IEK525" s="1334">
        <v>8298541</v>
      </c>
      <c r="IEL525" s="1334">
        <v>8298541</v>
      </c>
      <c r="IEM525" s="1334">
        <v>8298541</v>
      </c>
      <c r="IEN525" s="1334">
        <v>8298541</v>
      </c>
      <c r="IEO525" s="1334">
        <v>8298541</v>
      </c>
      <c r="IEP525" s="1334">
        <v>8298541</v>
      </c>
      <c r="IEQ525" s="1334">
        <v>8298541</v>
      </c>
      <c r="IER525" s="1334">
        <v>8298541</v>
      </c>
      <c r="IES525" s="1334">
        <v>8298541</v>
      </c>
      <c r="IET525" s="1334">
        <v>8298541</v>
      </c>
      <c r="IEU525" s="1334">
        <v>8298541</v>
      </c>
      <c r="IEV525" s="1334">
        <v>8298541</v>
      </c>
      <c r="IEW525" s="1334">
        <v>8298541</v>
      </c>
      <c r="IEX525" s="1334">
        <v>8298541</v>
      </c>
      <c r="IEY525" s="1334">
        <v>8298541</v>
      </c>
      <c r="IEZ525" s="1334">
        <v>8298541</v>
      </c>
      <c r="IFA525" s="1334">
        <v>8298541</v>
      </c>
      <c r="IFB525" s="1334">
        <v>8298541</v>
      </c>
      <c r="IFC525" s="1334">
        <v>8298541</v>
      </c>
      <c r="IFD525" s="1334">
        <v>8298541</v>
      </c>
      <c r="IFE525" s="1334">
        <v>8298541</v>
      </c>
      <c r="IFF525" s="1334">
        <v>8298541</v>
      </c>
      <c r="IFG525" s="1334">
        <v>8298541</v>
      </c>
      <c r="IFH525" s="1334">
        <v>8298541</v>
      </c>
      <c r="IFI525" s="1334">
        <v>8298541</v>
      </c>
      <c r="IFJ525" s="1334">
        <v>8298541</v>
      </c>
      <c r="IFK525" s="1334">
        <v>8298541</v>
      </c>
      <c r="IFL525" s="1334">
        <v>8298541</v>
      </c>
      <c r="IFM525" s="1334">
        <v>8298541</v>
      </c>
      <c r="IFN525" s="1334">
        <v>8298541</v>
      </c>
      <c r="IFO525" s="1334">
        <v>8298541</v>
      </c>
      <c r="IFP525" s="1334">
        <v>8298541</v>
      </c>
      <c r="IFQ525" s="1334">
        <v>8298541</v>
      </c>
      <c r="IFR525" s="1334">
        <v>8298541</v>
      </c>
      <c r="IFS525" s="1334">
        <v>8298541</v>
      </c>
      <c r="IFT525" s="1334">
        <v>8298541</v>
      </c>
      <c r="IFU525" s="1334">
        <v>8298541</v>
      </c>
      <c r="IFV525" s="1334">
        <v>8298541</v>
      </c>
      <c r="IFW525" s="1334">
        <v>8298541</v>
      </c>
      <c r="IFX525" s="1334">
        <v>8298541</v>
      </c>
      <c r="IFY525" s="1334">
        <v>8298541</v>
      </c>
      <c r="IFZ525" s="1334">
        <v>8298541</v>
      </c>
      <c r="IGA525" s="1334">
        <v>8298541</v>
      </c>
      <c r="IGB525" s="1334">
        <v>8298541</v>
      </c>
      <c r="IGC525" s="1334">
        <v>8298541</v>
      </c>
      <c r="IGD525" s="1334">
        <v>8298541</v>
      </c>
      <c r="IGE525" s="1334">
        <v>8298541</v>
      </c>
      <c r="IGF525" s="1334">
        <v>8298541</v>
      </c>
      <c r="IGG525" s="1334">
        <v>8298541</v>
      </c>
      <c r="IGH525" s="1334">
        <v>8298541</v>
      </c>
      <c r="IGI525" s="1334">
        <v>8298541</v>
      </c>
      <c r="IGJ525" s="1334">
        <v>8298541</v>
      </c>
      <c r="IGK525" s="1334">
        <v>8298541</v>
      </c>
      <c r="IGL525" s="1334">
        <v>8298541</v>
      </c>
      <c r="IGM525" s="1334">
        <v>8298541</v>
      </c>
      <c r="IGN525" s="1334">
        <v>8298541</v>
      </c>
      <c r="IGO525" s="1334">
        <v>8298541</v>
      </c>
      <c r="IGP525" s="1334">
        <v>8298541</v>
      </c>
      <c r="IGQ525" s="1334">
        <v>8298541</v>
      </c>
      <c r="IGR525" s="1334">
        <v>8298541</v>
      </c>
      <c r="IGS525" s="1334">
        <v>8298541</v>
      </c>
      <c r="IGT525" s="1334">
        <v>8298541</v>
      </c>
      <c r="IGU525" s="1334">
        <v>8298541</v>
      </c>
      <c r="IGV525" s="1334">
        <v>8298541</v>
      </c>
      <c r="IGW525" s="1334">
        <v>8298541</v>
      </c>
      <c r="IGX525" s="1334">
        <v>8298541</v>
      </c>
      <c r="IGY525" s="1334">
        <v>8298541</v>
      </c>
      <c r="IGZ525" s="1334">
        <v>8298541</v>
      </c>
      <c r="IHA525" s="1334">
        <v>8298541</v>
      </c>
      <c r="IHB525" s="1334">
        <v>8298541</v>
      </c>
      <c r="IHC525" s="1334">
        <v>8298541</v>
      </c>
      <c r="IHD525" s="1334">
        <v>8298541</v>
      </c>
      <c r="IHE525" s="1334">
        <v>8298541</v>
      </c>
      <c r="IHF525" s="1334">
        <v>8298541</v>
      </c>
      <c r="IHG525" s="1334">
        <v>8298541</v>
      </c>
      <c r="IHH525" s="1334">
        <v>8298541</v>
      </c>
      <c r="IHI525" s="1334">
        <v>8298541</v>
      </c>
      <c r="IHJ525" s="1334">
        <v>8298541</v>
      </c>
      <c r="IHK525" s="1334">
        <v>8298541</v>
      </c>
      <c r="IHL525" s="1334">
        <v>8298541</v>
      </c>
      <c r="IHM525" s="1334">
        <v>8298541</v>
      </c>
      <c r="IHN525" s="1334">
        <v>8298541</v>
      </c>
      <c r="IHO525" s="1334">
        <v>8298541</v>
      </c>
      <c r="IHP525" s="1334">
        <v>8298541</v>
      </c>
      <c r="IHQ525" s="1334">
        <v>8298541</v>
      </c>
      <c r="IHR525" s="1334">
        <v>8298541</v>
      </c>
      <c r="IHS525" s="1334">
        <v>8298541</v>
      </c>
      <c r="IHT525" s="1334">
        <v>8298541</v>
      </c>
      <c r="IHU525" s="1334">
        <v>8298541</v>
      </c>
      <c r="IHV525" s="1334">
        <v>8298541</v>
      </c>
      <c r="IHW525" s="1334">
        <v>8298541</v>
      </c>
      <c r="IHX525" s="1334">
        <v>8298541</v>
      </c>
      <c r="IHY525" s="1334">
        <v>8298541</v>
      </c>
      <c r="IHZ525" s="1334">
        <v>8298541</v>
      </c>
      <c r="IIA525" s="1334">
        <v>8298541</v>
      </c>
      <c r="IIB525" s="1334">
        <v>8298541</v>
      </c>
      <c r="IIC525" s="1334">
        <v>8298541</v>
      </c>
      <c r="IID525" s="1334">
        <v>8298541</v>
      </c>
      <c r="IIE525" s="1334">
        <v>8298541</v>
      </c>
      <c r="IIF525" s="1334">
        <v>8298541</v>
      </c>
      <c r="IIG525" s="1334">
        <v>8298541</v>
      </c>
      <c r="IIH525" s="1334">
        <v>8298541</v>
      </c>
      <c r="III525" s="1334">
        <v>8298541</v>
      </c>
      <c r="IIJ525" s="1334">
        <v>8298541</v>
      </c>
      <c r="IIK525" s="1334">
        <v>8298541</v>
      </c>
      <c r="IIL525" s="1334">
        <v>8298541</v>
      </c>
      <c r="IIM525" s="1334">
        <v>8298541</v>
      </c>
      <c r="IIN525" s="1334">
        <v>8298541</v>
      </c>
      <c r="IIO525" s="1334">
        <v>8298541</v>
      </c>
      <c r="IIP525" s="1334">
        <v>8298541</v>
      </c>
      <c r="IIQ525" s="1334">
        <v>8298541</v>
      </c>
      <c r="IIR525" s="1334">
        <v>8298541</v>
      </c>
      <c r="IIS525" s="1334">
        <v>8298541</v>
      </c>
      <c r="IIT525" s="1334">
        <v>8298541</v>
      </c>
      <c r="IIU525" s="1334">
        <v>8298541</v>
      </c>
      <c r="IIV525" s="1334">
        <v>8298541</v>
      </c>
      <c r="IIW525" s="1334">
        <v>8298541</v>
      </c>
      <c r="IIX525" s="1334">
        <v>8298541</v>
      </c>
      <c r="IIY525" s="1334">
        <v>8298541</v>
      </c>
      <c r="IIZ525" s="1334">
        <v>8298541</v>
      </c>
      <c r="IJA525" s="1334">
        <v>8298541</v>
      </c>
      <c r="IJB525" s="1334">
        <v>8298541</v>
      </c>
      <c r="IJC525" s="1334">
        <v>8298541</v>
      </c>
      <c r="IJD525" s="1334">
        <v>8298541</v>
      </c>
      <c r="IJE525" s="1334">
        <v>8298541</v>
      </c>
      <c r="IJF525" s="1334">
        <v>8298541</v>
      </c>
      <c r="IJG525" s="1334">
        <v>8298541</v>
      </c>
      <c r="IJH525" s="1334">
        <v>8298541</v>
      </c>
      <c r="IJI525" s="1334">
        <v>8298541</v>
      </c>
      <c r="IJJ525" s="1334">
        <v>8298541</v>
      </c>
      <c r="IJK525" s="1334">
        <v>8298541</v>
      </c>
      <c r="IJL525" s="1334">
        <v>8298541</v>
      </c>
      <c r="IJM525" s="1334">
        <v>8298541</v>
      </c>
      <c r="IJN525" s="1334">
        <v>8298541</v>
      </c>
      <c r="IJO525" s="1334">
        <v>8298541</v>
      </c>
      <c r="IJP525" s="1334">
        <v>8298541</v>
      </c>
      <c r="IJQ525" s="1334">
        <v>8298541</v>
      </c>
      <c r="IJR525" s="1334">
        <v>8298541</v>
      </c>
      <c r="IJS525" s="1334">
        <v>8298541</v>
      </c>
      <c r="IJT525" s="1334">
        <v>8298541</v>
      </c>
      <c r="IJU525" s="1334">
        <v>8298541</v>
      </c>
      <c r="IJV525" s="1334">
        <v>8298541</v>
      </c>
      <c r="IJW525" s="1334">
        <v>8298541</v>
      </c>
      <c r="IJX525" s="1334">
        <v>8298541</v>
      </c>
      <c r="IJY525" s="1334">
        <v>8298541</v>
      </c>
      <c r="IJZ525" s="1334">
        <v>8298541</v>
      </c>
      <c r="IKA525" s="1334">
        <v>8298541</v>
      </c>
      <c r="IKB525" s="1334">
        <v>8298541</v>
      </c>
      <c r="IKC525" s="1334">
        <v>8298541</v>
      </c>
      <c r="IKD525" s="1334">
        <v>8298541</v>
      </c>
      <c r="IKE525" s="1334">
        <v>8298541</v>
      </c>
      <c r="IKF525" s="1334">
        <v>8298541</v>
      </c>
      <c r="IKG525" s="1334">
        <v>8298541</v>
      </c>
      <c r="IKH525" s="1334">
        <v>8298541</v>
      </c>
      <c r="IKI525" s="1334">
        <v>8298541</v>
      </c>
      <c r="IKJ525" s="1334">
        <v>8298541</v>
      </c>
      <c r="IKK525" s="1334">
        <v>8298541</v>
      </c>
      <c r="IKL525" s="1334">
        <v>8298541</v>
      </c>
      <c r="IKM525" s="1334">
        <v>8298541</v>
      </c>
      <c r="IKN525" s="1334">
        <v>8298541</v>
      </c>
      <c r="IKO525" s="1334">
        <v>8298541</v>
      </c>
      <c r="IKP525" s="1334">
        <v>8298541</v>
      </c>
      <c r="IKQ525" s="1334">
        <v>8298541</v>
      </c>
      <c r="IKR525" s="1334">
        <v>8298541</v>
      </c>
      <c r="IKS525" s="1334">
        <v>8298541</v>
      </c>
      <c r="IKT525" s="1334">
        <v>8298541</v>
      </c>
      <c r="IKU525" s="1334">
        <v>8298541</v>
      </c>
      <c r="IKV525" s="1334">
        <v>8298541</v>
      </c>
      <c r="IKW525" s="1334">
        <v>8298541</v>
      </c>
      <c r="IKX525" s="1334">
        <v>8298541</v>
      </c>
      <c r="IKY525" s="1334">
        <v>8298541</v>
      </c>
      <c r="IKZ525" s="1334">
        <v>8298541</v>
      </c>
      <c r="ILA525" s="1334">
        <v>8298541</v>
      </c>
      <c r="ILB525" s="1334">
        <v>8298541</v>
      </c>
      <c r="ILC525" s="1334">
        <v>8298541</v>
      </c>
      <c r="ILD525" s="1334">
        <v>8298541</v>
      </c>
      <c r="ILE525" s="1334">
        <v>8298541</v>
      </c>
      <c r="ILF525" s="1334">
        <v>8298541</v>
      </c>
      <c r="ILG525" s="1334">
        <v>8298541</v>
      </c>
      <c r="ILH525" s="1334">
        <v>8298541</v>
      </c>
      <c r="ILI525" s="1334">
        <v>8298541</v>
      </c>
      <c r="ILJ525" s="1334">
        <v>8298541</v>
      </c>
      <c r="ILK525" s="1334">
        <v>8298541</v>
      </c>
      <c r="ILL525" s="1334">
        <v>8298541</v>
      </c>
      <c r="ILM525" s="1334">
        <v>8298541</v>
      </c>
      <c r="ILN525" s="1334">
        <v>8298541</v>
      </c>
      <c r="ILO525" s="1334">
        <v>8298541</v>
      </c>
      <c r="ILP525" s="1334">
        <v>8298541</v>
      </c>
      <c r="ILQ525" s="1334">
        <v>8298541</v>
      </c>
      <c r="ILR525" s="1334">
        <v>8298541</v>
      </c>
      <c r="ILS525" s="1334">
        <v>8298541</v>
      </c>
      <c r="ILT525" s="1334">
        <v>8298541</v>
      </c>
      <c r="ILU525" s="1334">
        <v>8298541</v>
      </c>
      <c r="ILV525" s="1334">
        <v>8298541</v>
      </c>
      <c r="ILW525" s="1334">
        <v>8298541</v>
      </c>
      <c r="ILX525" s="1334">
        <v>8298541</v>
      </c>
      <c r="ILY525" s="1334">
        <v>8298541</v>
      </c>
      <c r="ILZ525" s="1334">
        <v>8298541</v>
      </c>
      <c r="IMA525" s="1334">
        <v>8298541</v>
      </c>
      <c r="IMB525" s="1334">
        <v>8298541</v>
      </c>
      <c r="IMC525" s="1334">
        <v>8298541</v>
      </c>
      <c r="IMD525" s="1334">
        <v>8298541</v>
      </c>
      <c r="IME525" s="1334">
        <v>8298541</v>
      </c>
      <c r="IMF525" s="1334">
        <v>8298541</v>
      </c>
      <c r="IMG525" s="1334">
        <v>8298541</v>
      </c>
      <c r="IMH525" s="1334">
        <v>8298541</v>
      </c>
      <c r="IMI525" s="1334">
        <v>8298541</v>
      </c>
      <c r="IMJ525" s="1334">
        <v>8298541</v>
      </c>
      <c r="IMK525" s="1334">
        <v>8298541</v>
      </c>
      <c r="IML525" s="1334">
        <v>8298541</v>
      </c>
      <c r="IMM525" s="1334">
        <v>8298541</v>
      </c>
      <c r="IMN525" s="1334">
        <v>8298541</v>
      </c>
      <c r="IMO525" s="1334">
        <v>8298541</v>
      </c>
      <c r="IMP525" s="1334">
        <v>8298541</v>
      </c>
      <c r="IMQ525" s="1334">
        <v>8298541</v>
      </c>
      <c r="IMR525" s="1334">
        <v>8298541</v>
      </c>
      <c r="IMS525" s="1334">
        <v>8298541</v>
      </c>
      <c r="IMT525" s="1334">
        <v>8298541</v>
      </c>
      <c r="IMU525" s="1334">
        <v>8298541</v>
      </c>
      <c r="IMV525" s="1334">
        <v>8298541</v>
      </c>
      <c r="IMW525" s="1334">
        <v>8298541</v>
      </c>
      <c r="IMX525" s="1334">
        <v>8298541</v>
      </c>
      <c r="IMY525" s="1334">
        <v>8298541</v>
      </c>
      <c r="IMZ525" s="1334">
        <v>8298541</v>
      </c>
      <c r="INA525" s="1334">
        <v>8298541</v>
      </c>
      <c r="INB525" s="1334">
        <v>8298541</v>
      </c>
      <c r="INC525" s="1334">
        <v>8298541</v>
      </c>
      <c r="IND525" s="1334">
        <v>8298541</v>
      </c>
      <c r="INE525" s="1334">
        <v>8298541</v>
      </c>
      <c r="INF525" s="1334">
        <v>8298541</v>
      </c>
      <c r="ING525" s="1334">
        <v>8298541</v>
      </c>
      <c r="INH525" s="1334">
        <v>8298541</v>
      </c>
      <c r="INI525" s="1334">
        <v>8298541</v>
      </c>
      <c r="INJ525" s="1334">
        <v>8298541</v>
      </c>
      <c r="INK525" s="1334">
        <v>8298541</v>
      </c>
      <c r="INL525" s="1334">
        <v>8298541</v>
      </c>
      <c r="INM525" s="1334">
        <v>8298541</v>
      </c>
      <c r="INN525" s="1334">
        <v>8298541</v>
      </c>
      <c r="INO525" s="1334">
        <v>8298541</v>
      </c>
      <c r="INP525" s="1334">
        <v>8298541</v>
      </c>
      <c r="INQ525" s="1334">
        <v>8298541</v>
      </c>
      <c r="INR525" s="1334">
        <v>8298541</v>
      </c>
      <c r="INS525" s="1334">
        <v>8298541</v>
      </c>
      <c r="INT525" s="1334">
        <v>8298541</v>
      </c>
      <c r="INU525" s="1334">
        <v>8298541</v>
      </c>
      <c r="INV525" s="1334">
        <v>8298541</v>
      </c>
      <c r="INW525" s="1334">
        <v>8298541</v>
      </c>
      <c r="INX525" s="1334">
        <v>8298541</v>
      </c>
      <c r="INY525" s="1334">
        <v>8298541</v>
      </c>
      <c r="INZ525" s="1334">
        <v>8298541</v>
      </c>
      <c r="IOA525" s="1334">
        <v>8298541</v>
      </c>
      <c r="IOB525" s="1334">
        <v>8298541</v>
      </c>
      <c r="IOC525" s="1334">
        <v>8298541</v>
      </c>
      <c r="IOD525" s="1334">
        <v>8298541</v>
      </c>
      <c r="IOE525" s="1334">
        <v>8298541</v>
      </c>
      <c r="IOF525" s="1334">
        <v>8298541</v>
      </c>
      <c r="IOG525" s="1334">
        <v>8298541</v>
      </c>
      <c r="IOH525" s="1334">
        <v>8298541</v>
      </c>
      <c r="IOI525" s="1334">
        <v>8298541</v>
      </c>
      <c r="IOJ525" s="1334">
        <v>8298541</v>
      </c>
      <c r="IOK525" s="1334">
        <v>8298541</v>
      </c>
      <c r="IOL525" s="1334">
        <v>8298541</v>
      </c>
      <c r="IOM525" s="1334">
        <v>8298541</v>
      </c>
      <c r="ION525" s="1334">
        <v>8298541</v>
      </c>
      <c r="IOO525" s="1334">
        <v>8298541</v>
      </c>
      <c r="IOP525" s="1334">
        <v>8298541</v>
      </c>
      <c r="IOQ525" s="1334">
        <v>8298541</v>
      </c>
      <c r="IOR525" s="1334">
        <v>8298541</v>
      </c>
      <c r="IOS525" s="1334">
        <v>8298541</v>
      </c>
      <c r="IOT525" s="1334">
        <v>8298541</v>
      </c>
      <c r="IOU525" s="1334">
        <v>8298541</v>
      </c>
      <c r="IOV525" s="1334">
        <v>8298541</v>
      </c>
      <c r="IOW525" s="1334">
        <v>8298541</v>
      </c>
      <c r="IOX525" s="1334">
        <v>8298541</v>
      </c>
      <c r="IOY525" s="1334">
        <v>8298541</v>
      </c>
      <c r="IOZ525" s="1334">
        <v>8298541</v>
      </c>
      <c r="IPA525" s="1334">
        <v>8298541</v>
      </c>
      <c r="IPB525" s="1334">
        <v>8298541</v>
      </c>
      <c r="IPC525" s="1334">
        <v>8298541</v>
      </c>
      <c r="IPD525" s="1334">
        <v>8298541</v>
      </c>
      <c r="IPE525" s="1334">
        <v>8298541</v>
      </c>
      <c r="IPF525" s="1334">
        <v>8298541</v>
      </c>
      <c r="IPG525" s="1334">
        <v>8298541</v>
      </c>
      <c r="IPH525" s="1334">
        <v>8298541</v>
      </c>
      <c r="IPI525" s="1334">
        <v>8298541</v>
      </c>
      <c r="IPJ525" s="1334">
        <v>8298541</v>
      </c>
      <c r="IPK525" s="1334">
        <v>8298541</v>
      </c>
      <c r="IPL525" s="1334">
        <v>8298541</v>
      </c>
      <c r="IPM525" s="1334">
        <v>8298541</v>
      </c>
      <c r="IPN525" s="1334">
        <v>8298541</v>
      </c>
      <c r="IPO525" s="1334">
        <v>8298541</v>
      </c>
      <c r="IPP525" s="1334">
        <v>8298541</v>
      </c>
      <c r="IPQ525" s="1334">
        <v>8298541</v>
      </c>
      <c r="IPR525" s="1334">
        <v>8298541</v>
      </c>
      <c r="IPS525" s="1334">
        <v>8298541</v>
      </c>
      <c r="IPT525" s="1334">
        <v>8298541</v>
      </c>
      <c r="IPU525" s="1334">
        <v>8298541</v>
      </c>
      <c r="IPV525" s="1334">
        <v>8298541</v>
      </c>
      <c r="IPW525" s="1334">
        <v>8298541</v>
      </c>
      <c r="IPX525" s="1334">
        <v>8298541</v>
      </c>
      <c r="IPY525" s="1334">
        <v>8298541</v>
      </c>
      <c r="IPZ525" s="1334">
        <v>8298541</v>
      </c>
      <c r="IQA525" s="1334">
        <v>8298541</v>
      </c>
      <c r="IQB525" s="1334">
        <v>8298541</v>
      </c>
      <c r="IQC525" s="1334">
        <v>8298541</v>
      </c>
      <c r="IQD525" s="1334">
        <v>8298541</v>
      </c>
      <c r="IQE525" s="1334">
        <v>8298541</v>
      </c>
      <c r="IQF525" s="1334">
        <v>8298541</v>
      </c>
      <c r="IQG525" s="1334">
        <v>8298541</v>
      </c>
      <c r="IQH525" s="1334">
        <v>8298541</v>
      </c>
      <c r="IQI525" s="1334">
        <v>8298541</v>
      </c>
      <c r="IQJ525" s="1334">
        <v>8298541</v>
      </c>
      <c r="IQK525" s="1334">
        <v>8298541</v>
      </c>
      <c r="IQL525" s="1334">
        <v>8298541</v>
      </c>
      <c r="IQM525" s="1334">
        <v>8298541</v>
      </c>
      <c r="IQN525" s="1334">
        <v>8298541</v>
      </c>
      <c r="IQO525" s="1334">
        <v>8298541</v>
      </c>
      <c r="IQP525" s="1334">
        <v>8298541</v>
      </c>
      <c r="IQQ525" s="1334">
        <v>8298541</v>
      </c>
      <c r="IQR525" s="1334">
        <v>8298541</v>
      </c>
      <c r="IQS525" s="1334">
        <v>8298541</v>
      </c>
      <c r="IQT525" s="1334">
        <v>8298541</v>
      </c>
      <c r="IQU525" s="1334">
        <v>8298541</v>
      </c>
      <c r="IQV525" s="1334">
        <v>8298541</v>
      </c>
      <c r="IQW525" s="1334">
        <v>8298541</v>
      </c>
      <c r="IQX525" s="1334">
        <v>8298541</v>
      </c>
      <c r="IQY525" s="1334">
        <v>8298541</v>
      </c>
      <c r="IQZ525" s="1334">
        <v>8298541</v>
      </c>
      <c r="IRA525" s="1334">
        <v>8298541</v>
      </c>
      <c r="IRB525" s="1334">
        <v>8298541</v>
      </c>
      <c r="IRC525" s="1334">
        <v>8298541</v>
      </c>
      <c r="IRD525" s="1334">
        <v>8298541</v>
      </c>
      <c r="IRE525" s="1334">
        <v>8298541</v>
      </c>
      <c r="IRF525" s="1334">
        <v>8298541</v>
      </c>
      <c r="IRG525" s="1334">
        <v>8298541</v>
      </c>
      <c r="IRH525" s="1334">
        <v>8298541</v>
      </c>
      <c r="IRI525" s="1334">
        <v>8298541</v>
      </c>
      <c r="IRJ525" s="1334">
        <v>8298541</v>
      </c>
      <c r="IRK525" s="1334">
        <v>8298541</v>
      </c>
      <c r="IRL525" s="1334">
        <v>8298541</v>
      </c>
      <c r="IRM525" s="1334">
        <v>8298541</v>
      </c>
      <c r="IRN525" s="1334">
        <v>8298541</v>
      </c>
      <c r="IRO525" s="1334">
        <v>8298541</v>
      </c>
      <c r="IRP525" s="1334">
        <v>8298541</v>
      </c>
      <c r="IRQ525" s="1334">
        <v>8298541</v>
      </c>
      <c r="IRR525" s="1334">
        <v>8298541</v>
      </c>
      <c r="IRS525" s="1334">
        <v>8298541</v>
      </c>
      <c r="IRT525" s="1334">
        <v>8298541</v>
      </c>
      <c r="IRU525" s="1334">
        <v>8298541</v>
      </c>
      <c r="IRV525" s="1334">
        <v>8298541</v>
      </c>
      <c r="IRW525" s="1334">
        <v>8298541</v>
      </c>
      <c r="IRX525" s="1334">
        <v>8298541</v>
      </c>
      <c r="IRY525" s="1334">
        <v>8298541</v>
      </c>
      <c r="IRZ525" s="1334">
        <v>8298541</v>
      </c>
      <c r="ISA525" s="1334">
        <v>8298541</v>
      </c>
      <c r="ISB525" s="1334">
        <v>8298541</v>
      </c>
      <c r="ISC525" s="1334">
        <v>8298541</v>
      </c>
      <c r="ISD525" s="1334">
        <v>8298541</v>
      </c>
      <c r="ISE525" s="1334">
        <v>8298541</v>
      </c>
      <c r="ISF525" s="1334">
        <v>8298541</v>
      </c>
      <c r="ISG525" s="1334">
        <v>8298541</v>
      </c>
      <c r="ISH525" s="1334">
        <v>8298541</v>
      </c>
      <c r="ISI525" s="1334">
        <v>8298541</v>
      </c>
      <c r="ISJ525" s="1334">
        <v>8298541</v>
      </c>
      <c r="ISK525" s="1334">
        <v>8298541</v>
      </c>
      <c r="ISL525" s="1334">
        <v>8298541</v>
      </c>
      <c r="ISM525" s="1334">
        <v>8298541</v>
      </c>
      <c r="ISN525" s="1334">
        <v>8298541</v>
      </c>
      <c r="ISO525" s="1334">
        <v>8298541</v>
      </c>
      <c r="ISP525" s="1334">
        <v>8298541</v>
      </c>
      <c r="ISQ525" s="1334">
        <v>8298541</v>
      </c>
      <c r="ISR525" s="1334">
        <v>8298541</v>
      </c>
      <c r="ISS525" s="1334">
        <v>8298541</v>
      </c>
      <c r="IST525" s="1334">
        <v>8298541</v>
      </c>
      <c r="ISU525" s="1334">
        <v>8298541</v>
      </c>
      <c r="ISV525" s="1334">
        <v>8298541</v>
      </c>
      <c r="ISW525" s="1334">
        <v>8298541</v>
      </c>
      <c r="ISX525" s="1334">
        <v>8298541</v>
      </c>
      <c r="ISY525" s="1334">
        <v>8298541</v>
      </c>
      <c r="ISZ525" s="1334">
        <v>8298541</v>
      </c>
      <c r="ITA525" s="1334">
        <v>8298541</v>
      </c>
      <c r="ITB525" s="1334">
        <v>8298541</v>
      </c>
      <c r="ITC525" s="1334">
        <v>8298541</v>
      </c>
      <c r="ITD525" s="1334">
        <v>8298541</v>
      </c>
      <c r="ITE525" s="1334">
        <v>8298541</v>
      </c>
      <c r="ITF525" s="1334">
        <v>8298541</v>
      </c>
      <c r="ITG525" s="1334">
        <v>8298541</v>
      </c>
      <c r="ITH525" s="1334">
        <v>8298541</v>
      </c>
      <c r="ITI525" s="1334">
        <v>8298541</v>
      </c>
      <c r="ITJ525" s="1334">
        <v>8298541</v>
      </c>
      <c r="ITK525" s="1334">
        <v>8298541</v>
      </c>
      <c r="ITL525" s="1334">
        <v>8298541</v>
      </c>
      <c r="ITM525" s="1334">
        <v>8298541</v>
      </c>
      <c r="ITN525" s="1334">
        <v>8298541</v>
      </c>
      <c r="ITO525" s="1334">
        <v>8298541</v>
      </c>
      <c r="ITP525" s="1334">
        <v>8298541</v>
      </c>
      <c r="ITQ525" s="1334">
        <v>8298541</v>
      </c>
      <c r="ITR525" s="1334">
        <v>8298541</v>
      </c>
      <c r="ITS525" s="1334">
        <v>8298541</v>
      </c>
      <c r="ITT525" s="1334">
        <v>8298541</v>
      </c>
      <c r="ITU525" s="1334">
        <v>8298541</v>
      </c>
      <c r="ITV525" s="1334">
        <v>8298541</v>
      </c>
      <c r="ITW525" s="1334">
        <v>8298541</v>
      </c>
      <c r="ITX525" s="1334">
        <v>8298541</v>
      </c>
      <c r="ITY525" s="1334">
        <v>8298541</v>
      </c>
      <c r="ITZ525" s="1334">
        <v>8298541</v>
      </c>
      <c r="IUA525" s="1334">
        <v>8298541</v>
      </c>
      <c r="IUB525" s="1334">
        <v>8298541</v>
      </c>
      <c r="IUC525" s="1334">
        <v>8298541</v>
      </c>
      <c r="IUD525" s="1334">
        <v>8298541</v>
      </c>
      <c r="IUE525" s="1334">
        <v>8298541</v>
      </c>
      <c r="IUF525" s="1334">
        <v>8298541</v>
      </c>
      <c r="IUG525" s="1334">
        <v>8298541</v>
      </c>
      <c r="IUH525" s="1334">
        <v>8298541</v>
      </c>
      <c r="IUI525" s="1334">
        <v>8298541</v>
      </c>
      <c r="IUJ525" s="1334">
        <v>8298541</v>
      </c>
      <c r="IUK525" s="1334">
        <v>8298541</v>
      </c>
      <c r="IUL525" s="1334">
        <v>8298541</v>
      </c>
      <c r="IUM525" s="1334">
        <v>8298541</v>
      </c>
      <c r="IUN525" s="1334">
        <v>8298541</v>
      </c>
      <c r="IUO525" s="1334">
        <v>8298541</v>
      </c>
      <c r="IUP525" s="1334">
        <v>8298541</v>
      </c>
      <c r="IUQ525" s="1334">
        <v>8298541</v>
      </c>
      <c r="IUR525" s="1334">
        <v>8298541</v>
      </c>
      <c r="IUS525" s="1334">
        <v>8298541</v>
      </c>
      <c r="IUT525" s="1334">
        <v>8298541</v>
      </c>
      <c r="IUU525" s="1334">
        <v>8298541</v>
      </c>
      <c r="IUV525" s="1334">
        <v>8298541</v>
      </c>
      <c r="IUW525" s="1334">
        <v>8298541</v>
      </c>
      <c r="IUX525" s="1334">
        <v>8298541</v>
      </c>
      <c r="IUY525" s="1334">
        <v>8298541</v>
      </c>
      <c r="IUZ525" s="1334">
        <v>8298541</v>
      </c>
      <c r="IVA525" s="1334">
        <v>8298541</v>
      </c>
      <c r="IVB525" s="1334">
        <v>8298541</v>
      </c>
      <c r="IVC525" s="1334">
        <v>8298541</v>
      </c>
      <c r="IVD525" s="1334">
        <v>8298541</v>
      </c>
      <c r="IVE525" s="1334">
        <v>8298541</v>
      </c>
      <c r="IVF525" s="1334">
        <v>8298541</v>
      </c>
      <c r="IVG525" s="1334">
        <v>8298541</v>
      </c>
      <c r="IVH525" s="1334">
        <v>8298541</v>
      </c>
      <c r="IVI525" s="1334">
        <v>8298541</v>
      </c>
      <c r="IVJ525" s="1334">
        <v>8298541</v>
      </c>
      <c r="IVK525" s="1334">
        <v>8298541</v>
      </c>
      <c r="IVL525" s="1334">
        <v>8298541</v>
      </c>
      <c r="IVM525" s="1334">
        <v>8298541</v>
      </c>
      <c r="IVN525" s="1334">
        <v>8298541</v>
      </c>
      <c r="IVO525" s="1334">
        <v>8298541</v>
      </c>
      <c r="IVP525" s="1334">
        <v>8298541</v>
      </c>
      <c r="IVQ525" s="1334">
        <v>8298541</v>
      </c>
      <c r="IVR525" s="1334">
        <v>8298541</v>
      </c>
      <c r="IVS525" s="1334">
        <v>8298541</v>
      </c>
      <c r="IVT525" s="1334">
        <v>8298541</v>
      </c>
      <c r="IVU525" s="1334">
        <v>8298541</v>
      </c>
      <c r="IVV525" s="1334">
        <v>8298541</v>
      </c>
      <c r="IVW525" s="1334">
        <v>8298541</v>
      </c>
      <c r="IVX525" s="1334">
        <v>8298541</v>
      </c>
      <c r="IVY525" s="1334">
        <v>8298541</v>
      </c>
      <c r="IVZ525" s="1334">
        <v>8298541</v>
      </c>
      <c r="IWA525" s="1334">
        <v>8298541</v>
      </c>
      <c r="IWB525" s="1334">
        <v>8298541</v>
      </c>
      <c r="IWC525" s="1334">
        <v>8298541</v>
      </c>
      <c r="IWD525" s="1334">
        <v>8298541</v>
      </c>
      <c r="IWE525" s="1334">
        <v>8298541</v>
      </c>
      <c r="IWF525" s="1334">
        <v>8298541</v>
      </c>
      <c r="IWG525" s="1334">
        <v>8298541</v>
      </c>
      <c r="IWH525" s="1334">
        <v>8298541</v>
      </c>
      <c r="IWI525" s="1334">
        <v>8298541</v>
      </c>
      <c r="IWJ525" s="1334">
        <v>8298541</v>
      </c>
      <c r="IWK525" s="1334">
        <v>8298541</v>
      </c>
      <c r="IWL525" s="1334">
        <v>8298541</v>
      </c>
      <c r="IWM525" s="1334">
        <v>8298541</v>
      </c>
      <c r="IWN525" s="1334">
        <v>8298541</v>
      </c>
      <c r="IWO525" s="1334">
        <v>8298541</v>
      </c>
      <c r="IWP525" s="1334">
        <v>8298541</v>
      </c>
      <c r="IWQ525" s="1334">
        <v>8298541</v>
      </c>
      <c r="IWR525" s="1334">
        <v>8298541</v>
      </c>
      <c r="IWS525" s="1334">
        <v>8298541</v>
      </c>
      <c r="IWT525" s="1334">
        <v>8298541</v>
      </c>
      <c r="IWU525" s="1334">
        <v>8298541</v>
      </c>
      <c r="IWV525" s="1334">
        <v>8298541</v>
      </c>
      <c r="IWW525" s="1334">
        <v>8298541</v>
      </c>
      <c r="IWX525" s="1334">
        <v>8298541</v>
      </c>
      <c r="IWY525" s="1334">
        <v>8298541</v>
      </c>
      <c r="IWZ525" s="1334">
        <v>8298541</v>
      </c>
      <c r="IXA525" s="1334">
        <v>8298541</v>
      </c>
      <c r="IXB525" s="1334">
        <v>8298541</v>
      </c>
      <c r="IXC525" s="1334">
        <v>8298541</v>
      </c>
      <c r="IXD525" s="1334">
        <v>8298541</v>
      </c>
      <c r="IXE525" s="1334">
        <v>8298541</v>
      </c>
      <c r="IXF525" s="1334">
        <v>8298541</v>
      </c>
      <c r="IXG525" s="1334">
        <v>8298541</v>
      </c>
      <c r="IXH525" s="1334">
        <v>8298541</v>
      </c>
      <c r="IXI525" s="1334">
        <v>8298541</v>
      </c>
      <c r="IXJ525" s="1334">
        <v>8298541</v>
      </c>
      <c r="IXK525" s="1334">
        <v>8298541</v>
      </c>
      <c r="IXL525" s="1334">
        <v>8298541</v>
      </c>
      <c r="IXM525" s="1334">
        <v>8298541</v>
      </c>
      <c r="IXN525" s="1334">
        <v>8298541</v>
      </c>
      <c r="IXO525" s="1334">
        <v>8298541</v>
      </c>
      <c r="IXP525" s="1334">
        <v>8298541</v>
      </c>
      <c r="IXQ525" s="1334">
        <v>8298541</v>
      </c>
      <c r="IXR525" s="1334">
        <v>8298541</v>
      </c>
      <c r="IXS525" s="1334">
        <v>8298541</v>
      </c>
      <c r="IXT525" s="1334">
        <v>8298541</v>
      </c>
      <c r="IXU525" s="1334">
        <v>8298541</v>
      </c>
      <c r="IXV525" s="1334">
        <v>8298541</v>
      </c>
      <c r="IXW525" s="1334">
        <v>8298541</v>
      </c>
      <c r="IXX525" s="1334">
        <v>8298541</v>
      </c>
      <c r="IXY525" s="1334">
        <v>8298541</v>
      </c>
      <c r="IXZ525" s="1334">
        <v>8298541</v>
      </c>
      <c r="IYA525" s="1334">
        <v>8298541</v>
      </c>
      <c r="IYB525" s="1334">
        <v>8298541</v>
      </c>
      <c r="IYC525" s="1334">
        <v>8298541</v>
      </c>
      <c r="IYD525" s="1334">
        <v>8298541</v>
      </c>
      <c r="IYE525" s="1334">
        <v>8298541</v>
      </c>
      <c r="IYF525" s="1334">
        <v>8298541</v>
      </c>
      <c r="IYG525" s="1334">
        <v>8298541</v>
      </c>
      <c r="IYH525" s="1334">
        <v>8298541</v>
      </c>
      <c r="IYI525" s="1334">
        <v>8298541</v>
      </c>
      <c r="IYJ525" s="1334">
        <v>8298541</v>
      </c>
      <c r="IYK525" s="1334">
        <v>8298541</v>
      </c>
      <c r="IYL525" s="1334">
        <v>8298541</v>
      </c>
      <c r="IYM525" s="1334">
        <v>8298541</v>
      </c>
      <c r="IYN525" s="1334">
        <v>8298541</v>
      </c>
      <c r="IYO525" s="1334">
        <v>8298541</v>
      </c>
      <c r="IYP525" s="1334">
        <v>8298541</v>
      </c>
      <c r="IYQ525" s="1334">
        <v>8298541</v>
      </c>
      <c r="IYR525" s="1334">
        <v>8298541</v>
      </c>
      <c r="IYS525" s="1334">
        <v>8298541</v>
      </c>
      <c r="IYT525" s="1334">
        <v>8298541</v>
      </c>
      <c r="IYU525" s="1334">
        <v>8298541</v>
      </c>
      <c r="IYV525" s="1334">
        <v>8298541</v>
      </c>
      <c r="IYW525" s="1334">
        <v>8298541</v>
      </c>
      <c r="IYX525" s="1334">
        <v>8298541</v>
      </c>
      <c r="IYY525" s="1334">
        <v>8298541</v>
      </c>
      <c r="IYZ525" s="1334">
        <v>8298541</v>
      </c>
      <c r="IZA525" s="1334">
        <v>8298541</v>
      </c>
      <c r="IZB525" s="1334">
        <v>8298541</v>
      </c>
      <c r="IZC525" s="1334">
        <v>8298541</v>
      </c>
      <c r="IZD525" s="1334">
        <v>8298541</v>
      </c>
      <c r="IZE525" s="1334">
        <v>8298541</v>
      </c>
      <c r="IZF525" s="1334">
        <v>8298541</v>
      </c>
      <c r="IZG525" s="1334">
        <v>8298541</v>
      </c>
      <c r="IZH525" s="1334">
        <v>8298541</v>
      </c>
      <c r="IZI525" s="1334">
        <v>8298541</v>
      </c>
      <c r="IZJ525" s="1334">
        <v>8298541</v>
      </c>
      <c r="IZK525" s="1334">
        <v>8298541</v>
      </c>
      <c r="IZL525" s="1334">
        <v>8298541</v>
      </c>
      <c r="IZM525" s="1334">
        <v>8298541</v>
      </c>
      <c r="IZN525" s="1334">
        <v>8298541</v>
      </c>
      <c r="IZO525" s="1334">
        <v>8298541</v>
      </c>
      <c r="IZP525" s="1334">
        <v>8298541</v>
      </c>
      <c r="IZQ525" s="1334">
        <v>8298541</v>
      </c>
      <c r="IZR525" s="1334">
        <v>8298541</v>
      </c>
      <c r="IZS525" s="1334">
        <v>8298541</v>
      </c>
      <c r="IZT525" s="1334">
        <v>8298541</v>
      </c>
      <c r="IZU525" s="1334">
        <v>8298541</v>
      </c>
      <c r="IZV525" s="1334">
        <v>8298541</v>
      </c>
      <c r="IZW525" s="1334">
        <v>8298541</v>
      </c>
      <c r="IZX525" s="1334">
        <v>8298541</v>
      </c>
      <c r="IZY525" s="1334">
        <v>8298541</v>
      </c>
      <c r="IZZ525" s="1334">
        <v>8298541</v>
      </c>
      <c r="JAA525" s="1334">
        <v>8298541</v>
      </c>
      <c r="JAB525" s="1334">
        <v>8298541</v>
      </c>
      <c r="JAC525" s="1334">
        <v>8298541</v>
      </c>
      <c r="JAD525" s="1334">
        <v>8298541</v>
      </c>
      <c r="JAE525" s="1334">
        <v>8298541</v>
      </c>
      <c r="JAF525" s="1334">
        <v>8298541</v>
      </c>
      <c r="JAG525" s="1334">
        <v>8298541</v>
      </c>
      <c r="JAH525" s="1334">
        <v>8298541</v>
      </c>
      <c r="JAI525" s="1334">
        <v>8298541</v>
      </c>
      <c r="JAJ525" s="1334">
        <v>8298541</v>
      </c>
      <c r="JAK525" s="1334">
        <v>8298541</v>
      </c>
      <c r="JAL525" s="1334">
        <v>8298541</v>
      </c>
      <c r="JAM525" s="1334">
        <v>8298541</v>
      </c>
      <c r="JAN525" s="1334">
        <v>8298541</v>
      </c>
      <c r="JAO525" s="1334">
        <v>8298541</v>
      </c>
      <c r="JAP525" s="1334">
        <v>8298541</v>
      </c>
      <c r="JAQ525" s="1334">
        <v>8298541</v>
      </c>
      <c r="JAR525" s="1334">
        <v>8298541</v>
      </c>
      <c r="JAS525" s="1334">
        <v>8298541</v>
      </c>
      <c r="JAT525" s="1334">
        <v>8298541</v>
      </c>
      <c r="JAU525" s="1334">
        <v>8298541</v>
      </c>
      <c r="JAV525" s="1334">
        <v>8298541</v>
      </c>
      <c r="JAW525" s="1334">
        <v>8298541</v>
      </c>
      <c r="JAX525" s="1334">
        <v>8298541</v>
      </c>
      <c r="JAY525" s="1334">
        <v>8298541</v>
      </c>
      <c r="JAZ525" s="1334">
        <v>8298541</v>
      </c>
      <c r="JBA525" s="1334">
        <v>8298541</v>
      </c>
      <c r="JBB525" s="1334">
        <v>8298541</v>
      </c>
      <c r="JBC525" s="1334">
        <v>8298541</v>
      </c>
      <c r="JBD525" s="1334">
        <v>8298541</v>
      </c>
      <c r="JBE525" s="1334">
        <v>8298541</v>
      </c>
      <c r="JBF525" s="1334">
        <v>8298541</v>
      </c>
      <c r="JBG525" s="1334">
        <v>8298541</v>
      </c>
      <c r="JBH525" s="1334">
        <v>8298541</v>
      </c>
      <c r="JBI525" s="1334">
        <v>8298541</v>
      </c>
      <c r="JBJ525" s="1334">
        <v>8298541</v>
      </c>
      <c r="JBK525" s="1334">
        <v>8298541</v>
      </c>
      <c r="JBL525" s="1334">
        <v>8298541</v>
      </c>
      <c r="JBM525" s="1334">
        <v>8298541</v>
      </c>
      <c r="JBN525" s="1334">
        <v>8298541</v>
      </c>
      <c r="JBO525" s="1334">
        <v>8298541</v>
      </c>
      <c r="JBP525" s="1334">
        <v>8298541</v>
      </c>
      <c r="JBQ525" s="1334">
        <v>8298541</v>
      </c>
      <c r="JBR525" s="1334">
        <v>8298541</v>
      </c>
      <c r="JBS525" s="1334">
        <v>8298541</v>
      </c>
      <c r="JBT525" s="1334">
        <v>8298541</v>
      </c>
      <c r="JBU525" s="1334">
        <v>8298541</v>
      </c>
      <c r="JBV525" s="1334">
        <v>8298541</v>
      </c>
      <c r="JBW525" s="1334">
        <v>8298541</v>
      </c>
      <c r="JBX525" s="1334">
        <v>8298541</v>
      </c>
      <c r="JBY525" s="1334">
        <v>8298541</v>
      </c>
      <c r="JBZ525" s="1334">
        <v>8298541</v>
      </c>
      <c r="JCA525" s="1334">
        <v>8298541</v>
      </c>
      <c r="JCB525" s="1334">
        <v>8298541</v>
      </c>
      <c r="JCC525" s="1334">
        <v>8298541</v>
      </c>
      <c r="JCD525" s="1334">
        <v>8298541</v>
      </c>
      <c r="JCE525" s="1334">
        <v>8298541</v>
      </c>
      <c r="JCF525" s="1334">
        <v>8298541</v>
      </c>
      <c r="JCG525" s="1334">
        <v>8298541</v>
      </c>
      <c r="JCH525" s="1334">
        <v>8298541</v>
      </c>
      <c r="JCI525" s="1334">
        <v>8298541</v>
      </c>
      <c r="JCJ525" s="1334">
        <v>8298541</v>
      </c>
      <c r="JCK525" s="1334">
        <v>8298541</v>
      </c>
      <c r="JCL525" s="1334">
        <v>8298541</v>
      </c>
      <c r="JCM525" s="1334">
        <v>8298541</v>
      </c>
      <c r="JCN525" s="1334">
        <v>8298541</v>
      </c>
      <c r="JCO525" s="1334">
        <v>8298541</v>
      </c>
      <c r="JCP525" s="1334">
        <v>8298541</v>
      </c>
      <c r="JCQ525" s="1334">
        <v>8298541</v>
      </c>
      <c r="JCR525" s="1334">
        <v>8298541</v>
      </c>
      <c r="JCS525" s="1334">
        <v>8298541</v>
      </c>
      <c r="JCT525" s="1334">
        <v>8298541</v>
      </c>
      <c r="JCU525" s="1334">
        <v>8298541</v>
      </c>
      <c r="JCV525" s="1334">
        <v>8298541</v>
      </c>
      <c r="JCW525" s="1334">
        <v>8298541</v>
      </c>
      <c r="JCX525" s="1334">
        <v>8298541</v>
      </c>
      <c r="JCY525" s="1334">
        <v>8298541</v>
      </c>
      <c r="JCZ525" s="1334">
        <v>8298541</v>
      </c>
      <c r="JDA525" s="1334">
        <v>8298541</v>
      </c>
      <c r="JDB525" s="1334">
        <v>8298541</v>
      </c>
      <c r="JDC525" s="1334">
        <v>8298541</v>
      </c>
      <c r="JDD525" s="1334">
        <v>8298541</v>
      </c>
      <c r="JDE525" s="1334">
        <v>8298541</v>
      </c>
      <c r="JDF525" s="1334">
        <v>8298541</v>
      </c>
      <c r="JDG525" s="1334">
        <v>8298541</v>
      </c>
      <c r="JDH525" s="1334">
        <v>8298541</v>
      </c>
      <c r="JDI525" s="1334">
        <v>8298541</v>
      </c>
      <c r="JDJ525" s="1334">
        <v>8298541</v>
      </c>
      <c r="JDK525" s="1334">
        <v>8298541</v>
      </c>
      <c r="JDL525" s="1334">
        <v>8298541</v>
      </c>
      <c r="JDM525" s="1334">
        <v>8298541</v>
      </c>
      <c r="JDN525" s="1334">
        <v>8298541</v>
      </c>
      <c r="JDO525" s="1334">
        <v>8298541</v>
      </c>
      <c r="JDP525" s="1334">
        <v>8298541</v>
      </c>
      <c r="JDQ525" s="1334">
        <v>8298541</v>
      </c>
      <c r="JDR525" s="1334">
        <v>8298541</v>
      </c>
      <c r="JDS525" s="1334">
        <v>8298541</v>
      </c>
      <c r="JDT525" s="1334">
        <v>8298541</v>
      </c>
      <c r="JDU525" s="1334">
        <v>8298541</v>
      </c>
      <c r="JDV525" s="1334">
        <v>8298541</v>
      </c>
      <c r="JDW525" s="1334">
        <v>8298541</v>
      </c>
      <c r="JDX525" s="1334">
        <v>8298541</v>
      </c>
      <c r="JDY525" s="1334">
        <v>8298541</v>
      </c>
      <c r="JDZ525" s="1334">
        <v>8298541</v>
      </c>
      <c r="JEA525" s="1334">
        <v>8298541</v>
      </c>
      <c r="JEB525" s="1334">
        <v>8298541</v>
      </c>
      <c r="JEC525" s="1334">
        <v>8298541</v>
      </c>
      <c r="JED525" s="1334">
        <v>8298541</v>
      </c>
      <c r="JEE525" s="1334">
        <v>8298541</v>
      </c>
      <c r="JEF525" s="1334">
        <v>8298541</v>
      </c>
      <c r="JEG525" s="1334">
        <v>8298541</v>
      </c>
      <c r="JEH525" s="1334">
        <v>8298541</v>
      </c>
      <c r="JEI525" s="1334">
        <v>8298541</v>
      </c>
      <c r="JEJ525" s="1334">
        <v>8298541</v>
      </c>
      <c r="JEK525" s="1334">
        <v>8298541</v>
      </c>
      <c r="JEL525" s="1334">
        <v>8298541</v>
      </c>
      <c r="JEM525" s="1334">
        <v>8298541</v>
      </c>
      <c r="JEN525" s="1334">
        <v>8298541</v>
      </c>
      <c r="JEO525" s="1334">
        <v>8298541</v>
      </c>
      <c r="JEP525" s="1334">
        <v>8298541</v>
      </c>
      <c r="JEQ525" s="1334">
        <v>8298541</v>
      </c>
      <c r="JER525" s="1334">
        <v>8298541</v>
      </c>
      <c r="JES525" s="1334">
        <v>8298541</v>
      </c>
      <c r="JET525" s="1334">
        <v>8298541</v>
      </c>
      <c r="JEU525" s="1334">
        <v>8298541</v>
      </c>
      <c r="JEV525" s="1334">
        <v>8298541</v>
      </c>
      <c r="JEW525" s="1334">
        <v>8298541</v>
      </c>
      <c r="JEX525" s="1334">
        <v>8298541</v>
      </c>
      <c r="JEY525" s="1334">
        <v>8298541</v>
      </c>
      <c r="JEZ525" s="1334">
        <v>8298541</v>
      </c>
      <c r="JFA525" s="1334">
        <v>8298541</v>
      </c>
      <c r="JFB525" s="1334">
        <v>8298541</v>
      </c>
      <c r="JFC525" s="1334">
        <v>8298541</v>
      </c>
      <c r="JFD525" s="1334">
        <v>8298541</v>
      </c>
      <c r="JFE525" s="1334">
        <v>8298541</v>
      </c>
      <c r="JFF525" s="1334">
        <v>8298541</v>
      </c>
      <c r="JFG525" s="1334">
        <v>8298541</v>
      </c>
      <c r="JFH525" s="1334">
        <v>8298541</v>
      </c>
      <c r="JFI525" s="1334">
        <v>8298541</v>
      </c>
      <c r="JFJ525" s="1334">
        <v>8298541</v>
      </c>
      <c r="JFK525" s="1334">
        <v>8298541</v>
      </c>
      <c r="JFL525" s="1334">
        <v>8298541</v>
      </c>
      <c r="JFM525" s="1334">
        <v>8298541</v>
      </c>
      <c r="JFN525" s="1334">
        <v>8298541</v>
      </c>
      <c r="JFO525" s="1334">
        <v>8298541</v>
      </c>
      <c r="JFP525" s="1334">
        <v>8298541</v>
      </c>
      <c r="JFQ525" s="1334">
        <v>8298541</v>
      </c>
      <c r="JFR525" s="1334">
        <v>8298541</v>
      </c>
      <c r="JFS525" s="1334">
        <v>8298541</v>
      </c>
      <c r="JFT525" s="1334">
        <v>8298541</v>
      </c>
      <c r="JFU525" s="1334">
        <v>8298541</v>
      </c>
      <c r="JFV525" s="1334">
        <v>8298541</v>
      </c>
      <c r="JFW525" s="1334">
        <v>8298541</v>
      </c>
      <c r="JFX525" s="1334">
        <v>8298541</v>
      </c>
      <c r="JFY525" s="1334">
        <v>8298541</v>
      </c>
      <c r="JFZ525" s="1334">
        <v>8298541</v>
      </c>
      <c r="JGA525" s="1334">
        <v>8298541</v>
      </c>
      <c r="JGB525" s="1334">
        <v>8298541</v>
      </c>
      <c r="JGC525" s="1334">
        <v>8298541</v>
      </c>
      <c r="JGD525" s="1334">
        <v>8298541</v>
      </c>
      <c r="JGE525" s="1334">
        <v>8298541</v>
      </c>
      <c r="JGF525" s="1334">
        <v>8298541</v>
      </c>
      <c r="JGG525" s="1334">
        <v>8298541</v>
      </c>
      <c r="JGH525" s="1334">
        <v>8298541</v>
      </c>
      <c r="JGI525" s="1334">
        <v>8298541</v>
      </c>
      <c r="JGJ525" s="1334">
        <v>8298541</v>
      </c>
      <c r="JGK525" s="1334">
        <v>8298541</v>
      </c>
      <c r="JGL525" s="1334">
        <v>8298541</v>
      </c>
      <c r="JGM525" s="1334">
        <v>8298541</v>
      </c>
      <c r="JGN525" s="1334">
        <v>8298541</v>
      </c>
      <c r="JGO525" s="1334">
        <v>8298541</v>
      </c>
      <c r="JGP525" s="1334">
        <v>8298541</v>
      </c>
      <c r="JGQ525" s="1334">
        <v>8298541</v>
      </c>
      <c r="JGR525" s="1334">
        <v>8298541</v>
      </c>
      <c r="JGS525" s="1334">
        <v>8298541</v>
      </c>
      <c r="JGT525" s="1334">
        <v>8298541</v>
      </c>
      <c r="JGU525" s="1334">
        <v>8298541</v>
      </c>
      <c r="JGV525" s="1334">
        <v>8298541</v>
      </c>
      <c r="JGW525" s="1334">
        <v>8298541</v>
      </c>
      <c r="JGX525" s="1334">
        <v>8298541</v>
      </c>
      <c r="JGY525" s="1334">
        <v>8298541</v>
      </c>
      <c r="JGZ525" s="1334">
        <v>8298541</v>
      </c>
      <c r="JHA525" s="1334">
        <v>8298541</v>
      </c>
      <c r="JHB525" s="1334">
        <v>8298541</v>
      </c>
      <c r="JHC525" s="1334">
        <v>8298541</v>
      </c>
      <c r="JHD525" s="1334">
        <v>8298541</v>
      </c>
      <c r="JHE525" s="1334">
        <v>8298541</v>
      </c>
      <c r="JHF525" s="1334">
        <v>8298541</v>
      </c>
      <c r="JHG525" s="1334">
        <v>8298541</v>
      </c>
      <c r="JHH525" s="1334">
        <v>8298541</v>
      </c>
      <c r="JHI525" s="1334">
        <v>8298541</v>
      </c>
      <c r="JHJ525" s="1334">
        <v>8298541</v>
      </c>
      <c r="JHK525" s="1334">
        <v>8298541</v>
      </c>
      <c r="JHL525" s="1334">
        <v>8298541</v>
      </c>
      <c r="JHM525" s="1334">
        <v>8298541</v>
      </c>
      <c r="JHN525" s="1334">
        <v>8298541</v>
      </c>
      <c r="JHO525" s="1334">
        <v>8298541</v>
      </c>
      <c r="JHP525" s="1334">
        <v>8298541</v>
      </c>
      <c r="JHQ525" s="1334">
        <v>8298541</v>
      </c>
      <c r="JHR525" s="1334">
        <v>8298541</v>
      </c>
      <c r="JHS525" s="1334">
        <v>8298541</v>
      </c>
      <c r="JHT525" s="1334">
        <v>8298541</v>
      </c>
      <c r="JHU525" s="1334">
        <v>8298541</v>
      </c>
      <c r="JHV525" s="1334">
        <v>8298541</v>
      </c>
      <c r="JHW525" s="1334">
        <v>8298541</v>
      </c>
      <c r="JHX525" s="1334">
        <v>8298541</v>
      </c>
      <c r="JHY525" s="1334">
        <v>8298541</v>
      </c>
      <c r="JHZ525" s="1334">
        <v>8298541</v>
      </c>
      <c r="JIA525" s="1334">
        <v>8298541</v>
      </c>
      <c r="JIB525" s="1334">
        <v>8298541</v>
      </c>
      <c r="JIC525" s="1334">
        <v>8298541</v>
      </c>
      <c r="JID525" s="1334">
        <v>8298541</v>
      </c>
      <c r="JIE525" s="1334">
        <v>8298541</v>
      </c>
      <c r="JIF525" s="1334">
        <v>8298541</v>
      </c>
      <c r="JIG525" s="1334">
        <v>8298541</v>
      </c>
      <c r="JIH525" s="1334">
        <v>8298541</v>
      </c>
      <c r="JII525" s="1334">
        <v>8298541</v>
      </c>
      <c r="JIJ525" s="1334">
        <v>8298541</v>
      </c>
      <c r="JIK525" s="1334">
        <v>8298541</v>
      </c>
      <c r="JIL525" s="1334">
        <v>8298541</v>
      </c>
      <c r="JIM525" s="1334">
        <v>8298541</v>
      </c>
      <c r="JIN525" s="1334">
        <v>8298541</v>
      </c>
      <c r="JIO525" s="1334">
        <v>8298541</v>
      </c>
      <c r="JIP525" s="1334">
        <v>8298541</v>
      </c>
      <c r="JIQ525" s="1334">
        <v>8298541</v>
      </c>
      <c r="JIR525" s="1334">
        <v>8298541</v>
      </c>
      <c r="JIS525" s="1334">
        <v>8298541</v>
      </c>
      <c r="JIT525" s="1334">
        <v>8298541</v>
      </c>
      <c r="JIU525" s="1334">
        <v>8298541</v>
      </c>
      <c r="JIV525" s="1334">
        <v>8298541</v>
      </c>
      <c r="JIW525" s="1334">
        <v>8298541</v>
      </c>
      <c r="JIX525" s="1334">
        <v>8298541</v>
      </c>
      <c r="JIY525" s="1334">
        <v>8298541</v>
      </c>
      <c r="JIZ525" s="1334">
        <v>8298541</v>
      </c>
      <c r="JJA525" s="1334">
        <v>8298541</v>
      </c>
      <c r="JJB525" s="1334">
        <v>8298541</v>
      </c>
      <c r="JJC525" s="1334">
        <v>8298541</v>
      </c>
      <c r="JJD525" s="1334">
        <v>8298541</v>
      </c>
      <c r="JJE525" s="1334">
        <v>8298541</v>
      </c>
      <c r="JJF525" s="1334">
        <v>8298541</v>
      </c>
      <c r="JJG525" s="1334">
        <v>8298541</v>
      </c>
      <c r="JJH525" s="1334">
        <v>8298541</v>
      </c>
      <c r="JJI525" s="1334">
        <v>8298541</v>
      </c>
      <c r="JJJ525" s="1334">
        <v>8298541</v>
      </c>
      <c r="JJK525" s="1334">
        <v>8298541</v>
      </c>
      <c r="JJL525" s="1334">
        <v>8298541</v>
      </c>
      <c r="JJM525" s="1334">
        <v>8298541</v>
      </c>
      <c r="JJN525" s="1334">
        <v>8298541</v>
      </c>
      <c r="JJO525" s="1334">
        <v>8298541</v>
      </c>
      <c r="JJP525" s="1334">
        <v>8298541</v>
      </c>
      <c r="JJQ525" s="1334">
        <v>8298541</v>
      </c>
      <c r="JJR525" s="1334">
        <v>8298541</v>
      </c>
      <c r="JJS525" s="1334">
        <v>8298541</v>
      </c>
      <c r="JJT525" s="1334">
        <v>8298541</v>
      </c>
      <c r="JJU525" s="1334">
        <v>8298541</v>
      </c>
      <c r="JJV525" s="1334">
        <v>8298541</v>
      </c>
      <c r="JJW525" s="1334">
        <v>8298541</v>
      </c>
      <c r="JJX525" s="1334">
        <v>8298541</v>
      </c>
      <c r="JJY525" s="1334">
        <v>8298541</v>
      </c>
      <c r="JJZ525" s="1334">
        <v>8298541</v>
      </c>
      <c r="JKA525" s="1334">
        <v>8298541</v>
      </c>
      <c r="JKB525" s="1334">
        <v>8298541</v>
      </c>
      <c r="JKC525" s="1334">
        <v>8298541</v>
      </c>
      <c r="JKD525" s="1334">
        <v>8298541</v>
      </c>
      <c r="JKE525" s="1334">
        <v>8298541</v>
      </c>
      <c r="JKF525" s="1334">
        <v>8298541</v>
      </c>
      <c r="JKG525" s="1334">
        <v>8298541</v>
      </c>
      <c r="JKH525" s="1334">
        <v>8298541</v>
      </c>
      <c r="JKI525" s="1334">
        <v>8298541</v>
      </c>
      <c r="JKJ525" s="1334">
        <v>8298541</v>
      </c>
      <c r="JKK525" s="1334">
        <v>8298541</v>
      </c>
      <c r="JKL525" s="1334">
        <v>8298541</v>
      </c>
      <c r="JKM525" s="1334">
        <v>8298541</v>
      </c>
      <c r="JKN525" s="1334">
        <v>8298541</v>
      </c>
      <c r="JKO525" s="1334">
        <v>8298541</v>
      </c>
      <c r="JKP525" s="1334">
        <v>8298541</v>
      </c>
      <c r="JKQ525" s="1334">
        <v>8298541</v>
      </c>
      <c r="JKR525" s="1334">
        <v>8298541</v>
      </c>
      <c r="JKS525" s="1334">
        <v>8298541</v>
      </c>
      <c r="JKT525" s="1334">
        <v>8298541</v>
      </c>
      <c r="JKU525" s="1334">
        <v>8298541</v>
      </c>
      <c r="JKV525" s="1334">
        <v>8298541</v>
      </c>
      <c r="JKW525" s="1334">
        <v>8298541</v>
      </c>
      <c r="JKX525" s="1334">
        <v>8298541</v>
      </c>
      <c r="JKY525" s="1334">
        <v>8298541</v>
      </c>
      <c r="JKZ525" s="1334">
        <v>8298541</v>
      </c>
      <c r="JLA525" s="1334">
        <v>8298541</v>
      </c>
      <c r="JLB525" s="1334">
        <v>8298541</v>
      </c>
      <c r="JLC525" s="1334">
        <v>8298541</v>
      </c>
      <c r="JLD525" s="1334">
        <v>8298541</v>
      </c>
      <c r="JLE525" s="1334">
        <v>8298541</v>
      </c>
      <c r="JLF525" s="1334">
        <v>8298541</v>
      </c>
      <c r="JLG525" s="1334">
        <v>8298541</v>
      </c>
      <c r="JLH525" s="1334">
        <v>8298541</v>
      </c>
      <c r="JLI525" s="1334">
        <v>8298541</v>
      </c>
      <c r="JLJ525" s="1334">
        <v>8298541</v>
      </c>
      <c r="JLK525" s="1334">
        <v>8298541</v>
      </c>
      <c r="JLL525" s="1334">
        <v>8298541</v>
      </c>
      <c r="JLM525" s="1334">
        <v>8298541</v>
      </c>
      <c r="JLN525" s="1334">
        <v>8298541</v>
      </c>
      <c r="JLO525" s="1334">
        <v>8298541</v>
      </c>
      <c r="JLP525" s="1334">
        <v>8298541</v>
      </c>
      <c r="JLQ525" s="1334">
        <v>8298541</v>
      </c>
      <c r="JLR525" s="1334">
        <v>8298541</v>
      </c>
      <c r="JLS525" s="1334">
        <v>8298541</v>
      </c>
      <c r="JLT525" s="1334">
        <v>8298541</v>
      </c>
      <c r="JLU525" s="1334">
        <v>8298541</v>
      </c>
      <c r="JLV525" s="1334">
        <v>8298541</v>
      </c>
      <c r="JLW525" s="1334">
        <v>8298541</v>
      </c>
      <c r="JLX525" s="1334">
        <v>8298541</v>
      </c>
      <c r="JLY525" s="1334">
        <v>8298541</v>
      </c>
      <c r="JLZ525" s="1334">
        <v>8298541</v>
      </c>
      <c r="JMA525" s="1334">
        <v>8298541</v>
      </c>
      <c r="JMB525" s="1334">
        <v>8298541</v>
      </c>
      <c r="JMC525" s="1334">
        <v>8298541</v>
      </c>
      <c r="JMD525" s="1334">
        <v>8298541</v>
      </c>
      <c r="JME525" s="1334">
        <v>8298541</v>
      </c>
      <c r="JMF525" s="1334">
        <v>8298541</v>
      </c>
      <c r="JMG525" s="1334">
        <v>8298541</v>
      </c>
      <c r="JMH525" s="1334">
        <v>8298541</v>
      </c>
      <c r="JMI525" s="1334">
        <v>8298541</v>
      </c>
      <c r="JMJ525" s="1334">
        <v>8298541</v>
      </c>
      <c r="JMK525" s="1334">
        <v>8298541</v>
      </c>
      <c r="JML525" s="1334">
        <v>8298541</v>
      </c>
      <c r="JMM525" s="1334">
        <v>8298541</v>
      </c>
      <c r="JMN525" s="1334">
        <v>8298541</v>
      </c>
      <c r="JMO525" s="1334">
        <v>8298541</v>
      </c>
      <c r="JMP525" s="1334">
        <v>8298541</v>
      </c>
      <c r="JMQ525" s="1334">
        <v>8298541</v>
      </c>
      <c r="JMR525" s="1334">
        <v>8298541</v>
      </c>
      <c r="JMS525" s="1334">
        <v>8298541</v>
      </c>
      <c r="JMT525" s="1334">
        <v>8298541</v>
      </c>
      <c r="JMU525" s="1334">
        <v>8298541</v>
      </c>
      <c r="JMV525" s="1334">
        <v>8298541</v>
      </c>
      <c r="JMW525" s="1334">
        <v>8298541</v>
      </c>
      <c r="JMX525" s="1334">
        <v>8298541</v>
      </c>
      <c r="JMY525" s="1334">
        <v>8298541</v>
      </c>
      <c r="JMZ525" s="1334">
        <v>8298541</v>
      </c>
      <c r="JNA525" s="1334">
        <v>8298541</v>
      </c>
      <c r="JNB525" s="1334">
        <v>8298541</v>
      </c>
      <c r="JNC525" s="1334">
        <v>8298541</v>
      </c>
      <c r="JND525" s="1334">
        <v>8298541</v>
      </c>
      <c r="JNE525" s="1334">
        <v>8298541</v>
      </c>
      <c r="JNF525" s="1334">
        <v>8298541</v>
      </c>
      <c r="JNG525" s="1334">
        <v>8298541</v>
      </c>
      <c r="JNH525" s="1334">
        <v>8298541</v>
      </c>
      <c r="JNI525" s="1334">
        <v>8298541</v>
      </c>
      <c r="JNJ525" s="1334">
        <v>8298541</v>
      </c>
      <c r="JNK525" s="1334">
        <v>8298541</v>
      </c>
      <c r="JNL525" s="1334">
        <v>8298541</v>
      </c>
      <c r="JNM525" s="1334">
        <v>8298541</v>
      </c>
      <c r="JNN525" s="1334">
        <v>8298541</v>
      </c>
      <c r="JNO525" s="1334">
        <v>8298541</v>
      </c>
      <c r="JNP525" s="1334">
        <v>8298541</v>
      </c>
      <c r="JNQ525" s="1334">
        <v>8298541</v>
      </c>
      <c r="JNR525" s="1334">
        <v>8298541</v>
      </c>
      <c r="JNS525" s="1334">
        <v>8298541</v>
      </c>
      <c r="JNT525" s="1334">
        <v>8298541</v>
      </c>
      <c r="JNU525" s="1334">
        <v>8298541</v>
      </c>
      <c r="JNV525" s="1334">
        <v>8298541</v>
      </c>
      <c r="JNW525" s="1334">
        <v>8298541</v>
      </c>
      <c r="JNX525" s="1334">
        <v>8298541</v>
      </c>
      <c r="JNY525" s="1334">
        <v>8298541</v>
      </c>
      <c r="JNZ525" s="1334">
        <v>8298541</v>
      </c>
      <c r="JOA525" s="1334">
        <v>8298541</v>
      </c>
      <c r="JOB525" s="1334">
        <v>8298541</v>
      </c>
      <c r="JOC525" s="1334">
        <v>8298541</v>
      </c>
      <c r="JOD525" s="1334">
        <v>8298541</v>
      </c>
      <c r="JOE525" s="1334">
        <v>8298541</v>
      </c>
      <c r="JOF525" s="1334">
        <v>8298541</v>
      </c>
      <c r="JOG525" s="1334">
        <v>8298541</v>
      </c>
      <c r="JOH525" s="1334">
        <v>8298541</v>
      </c>
      <c r="JOI525" s="1334">
        <v>8298541</v>
      </c>
      <c r="JOJ525" s="1334">
        <v>8298541</v>
      </c>
      <c r="JOK525" s="1334">
        <v>8298541</v>
      </c>
      <c r="JOL525" s="1334">
        <v>8298541</v>
      </c>
      <c r="JOM525" s="1334">
        <v>8298541</v>
      </c>
      <c r="JON525" s="1334">
        <v>8298541</v>
      </c>
      <c r="JOO525" s="1334">
        <v>8298541</v>
      </c>
      <c r="JOP525" s="1334">
        <v>8298541</v>
      </c>
      <c r="JOQ525" s="1334">
        <v>8298541</v>
      </c>
      <c r="JOR525" s="1334">
        <v>8298541</v>
      </c>
      <c r="JOS525" s="1334">
        <v>8298541</v>
      </c>
      <c r="JOT525" s="1334">
        <v>8298541</v>
      </c>
      <c r="JOU525" s="1334">
        <v>8298541</v>
      </c>
      <c r="JOV525" s="1334">
        <v>8298541</v>
      </c>
      <c r="JOW525" s="1334">
        <v>8298541</v>
      </c>
      <c r="JOX525" s="1334">
        <v>8298541</v>
      </c>
      <c r="JOY525" s="1334">
        <v>8298541</v>
      </c>
      <c r="JOZ525" s="1334">
        <v>8298541</v>
      </c>
      <c r="JPA525" s="1334">
        <v>8298541</v>
      </c>
      <c r="JPB525" s="1334">
        <v>8298541</v>
      </c>
      <c r="JPC525" s="1334">
        <v>8298541</v>
      </c>
      <c r="JPD525" s="1334">
        <v>8298541</v>
      </c>
      <c r="JPE525" s="1334">
        <v>8298541</v>
      </c>
      <c r="JPF525" s="1334">
        <v>8298541</v>
      </c>
      <c r="JPG525" s="1334">
        <v>8298541</v>
      </c>
      <c r="JPH525" s="1334">
        <v>8298541</v>
      </c>
      <c r="JPI525" s="1334">
        <v>8298541</v>
      </c>
      <c r="JPJ525" s="1334">
        <v>8298541</v>
      </c>
      <c r="JPK525" s="1334">
        <v>8298541</v>
      </c>
      <c r="JPL525" s="1334">
        <v>8298541</v>
      </c>
      <c r="JPM525" s="1334">
        <v>8298541</v>
      </c>
      <c r="JPN525" s="1334">
        <v>8298541</v>
      </c>
      <c r="JPO525" s="1334">
        <v>8298541</v>
      </c>
      <c r="JPP525" s="1334">
        <v>8298541</v>
      </c>
      <c r="JPQ525" s="1334">
        <v>8298541</v>
      </c>
      <c r="JPR525" s="1334">
        <v>8298541</v>
      </c>
      <c r="JPS525" s="1334">
        <v>8298541</v>
      </c>
      <c r="JPT525" s="1334">
        <v>8298541</v>
      </c>
      <c r="JPU525" s="1334">
        <v>8298541</v>
      </c>
      <c r="JPV525" s="1334">
        <v>8298541</v>
      </c>
      <c r="JPW525" s="1334">
        <v>8298541</v>
      </c>
      <c r="JPX525" s="1334">
        <v>8298541</v>
      </c>
      <c r="JPY525" s="1334">
        <v>8298541</v>
      </c>
      <c r="JPZ525" s="1334">
        <v>8298541</v>
      </c>
      <c r="JQA525" s="1334">
        <v>8298541</v>
      </c>
      <c r="JQB525" s="1334">
        <v>8298541</v>
      </c>
      <c r="JQC525" s="1334">
        <v>8298541</v>
      </c>
      <c r="JQD525" s="1334">
        <v>8298541</v>
      </c>
      <c r="JQE525" s="1334">
        <v>8298541</v>
      </c>
      <c r="JQF525" s="1334">
        <v>8298541</v>
      </c>
      <c r="JQG525" s="1334">
        <v>8298541</v>
      </c>
      <c r="JQH525" s="1334">
        <v>8298541</v>
      </c>
      <c r="JQI525" s="1334">
        <v>8298541</v>
      </c>
      <c r="JQJ525" s="1334">
        <v>8298541</v>
      </c>
      <c r="JQK525" s="1334">
        <v>8298541</v>
      </c>
      <c r="JQL525" s="1334">
        <v>8298541</v>
      </c>
      <c r="JQM525" s="1334">
        <v>8298541</v>
      </c>
      <c r="JQN525" s="1334">
        <v>8298541</v>
      </c>
      <c r="JQO525" s="1334">
        <v>8298541</v>
      </c>
      <c r="JQP525" s="1334">
        <v>8298541</v>
      </c>
      <c r="JQQ525" s="1334">
        <v>8298541</v>
      </c>
      <c r="JQR525" s="1334">
        <v>8298541</v>
      </c>
      <c r="JQS525" s="1334">
        <v>8298541</v>
      </c>
      <c r="JQT525" s="1334">
        <v>8298541</v>
      </c>
      <c r="JQU525" s="1334">
        <v>8298541</v>
      </c>
      <c r="JQV525" s="1334">
        <v>8298541</v>
      </c>
      <c r="JQW525" s="1334">
        <v>8298541</v>
      </c>
      <c r="JQX525" s="1334">
        <v>8298541</v>
      </c>
      <c r="JQY525" s="1334">
        <v>8298541</v>
      </c>
      <c r="JQZ525" s="1334">
        <v>8298541</v>
      </c>
      <c r="JRA525" s="1334">
        <v>8298541</v>
      </c>
      <c r="JRB525" s="1334">
        <v>8298541</v>
      </c>
      <c r="JRC525" s="1334">
        <v>8298541</v>
      </c>
      <c r="JRD525" s="1334">
        <v>8298541</v>
      </c>
      <c r="JRE525" s="1334">
        <v>8298541</v>
      </c>
      <c r="JRF525" s="1334">
        <v>8298541</v>
      </c>
      <c r="JRG525" s="1334">
        <v>8298541</v>
      </c>
      <c r="JRH525" s="1334">
        <v>8298541</v>
      </c>
      <c r="JRI525" s="1334">
        <v>8298541</v>
      </c>
      <c r="JRJ525" s="1334">
        <v>8298541</v>
      </c>
      <c r="JRK525" s="1334">
        <v>8298541</v>
      </c>
      <c r="JRL525" s="1334">
        <v>8298541</v>
      </c>
      <c r="JRM525" s="1334">
        <v>8298541</v>
      </c>
      <c r="JRN525" s="1334">
        <v>8298541</v>
      </c>
      <c r="JRO525" s="1334">
        <v>8298541</v>
      </c>
      <c r="JRP525" s="1334">
        <v>8298541</v>
      </c>
      <c r="JRQ525" s="1334">
        <v>8298541</v>
      </c>
      <c r="JRR525" s="1334">
        <v>8298541</v>
      </c>
      <c r="JRS525" s="1334">
        <v>8298541</v>
      </c>
      <c r="JRT525" s="1334">
        <v>8298541</v>
      </c>
      <c r="JRU525" s="1334">
        <v>8298541</v>
      </c>
      <c r="JRV525" s="1334">
        <v>8298541</v>
      </c>
      <c r="JRW525" s="1334">
        <v>8298541</v>
      </c>
      <c r="JRX525" s="1334">
        <v>8298541</v>
      </c>
      <c r="JRY525" s="1334">
        <v>8298541</v>
      </c>
      <c r="JRZ525" s="1334">
        <v>8298541</v>
      </c>
      <c r="JSA525" s="1334">
        <v>8298541</v>
      </c>
      <c r="JSB525" s="1334">
        <v>8298541</v>
      </c>
      <c r="JSC525" s="1334">
        <v>8298541</v>
      </c>
      <c r="JSD525" s="1334">
        <v>8298541</v>
      </c>
      <c r="JSE525" s="1334">
        <v>8298541</v>
      </c>
      <c r="JSF525" s="1334">
        <v>8298541</v>
      </c>
      <c r="JSG525" s="1334">
        <v>8298541</v>
      </c>
      <c r="JSH525" s="1334">
        <v>8298541</v>
      </c>
      <c r="JSI525" s="1334">
        <v>8298541</v>
      </c>
      <c r="JSJ525" s="1334">
        <v>8298541</v>
      </c>
      <c r="JSK525" s="1334">
        <v>8298541</v>
      </c>
      <c r="JSL525" s="1334">
        <v>8298541</v>
      </c>
      <c r="JSM525" s="1334">
        <v>8298541</v>
      </c>
      <c r="JSN525" s="1334">
        <v>8298541</v>
      </c>
      <c r="JSO525" s="1334">
        <v>8298541</v>
      </c>
      <c r="JSP525" s="1334">
        <v>8298541</v>
      </c>
      <c r="JSQ525" s="1334">
        <v>8298541</v>
      </c>
      <c r="JSR525" s="1334">
        <v>8298541</v>
      </c>
      <c r="JSS525" s="1334">
        <v>8298541</v>
      </c>
      <c r="JST525" s="1334">
        <v>8298541</v>
      </c>
      <c r="JSU525" s="1334">
        <v>8298541</v>
      </c>
      <c r="JSV525" s="1334">
        <v>8298541</v>
      </c>
      <c r="JSW525" s="1334">
        <v>8298541</v>
      </c>
      <c r="JSX525" s="1334">
        <v>8298541</v>
      </c>
      <c r="JSY525" s="1334">
        <v>8298541</v>
      </c>
      <c r="JSZ525" s="1334">
        <v>8298541</v>
      </c>
      <c r="JTA525" s="1334">
        <v>8298541</v>
      </c>
      <c r="JTB525" s="1334">
        <v>8298541</v>
      </c>
      <c r="JTC525" s="1334">
        <v>8298541</v>
      </c>
      <c r="JTD525" s="1334">
        <v>8298541</v>
      </c>
      <c r="JTE525" s="1334">
        <v>8298541</v>
      </c>
      <c r="JTF525" s="1334">
        <v>8298541</v>
      </c>
      <c r="JTG525" s="1334">
        <v>8298541</v>
      </c>
      <c r="JTH525" s="1334">
        <v>8298541</v>
      </c>
      <c r="JTI525" s="1334">
        <v>8298541</v>
      </c>
      <c r="JTJ525" s="1334">
        <v>8298541</v>
      </c>
      <c r="JTK525" s="1334">
        <v>8298541</v>
      </c>
      <c r="JTL525" s="1334">
        <v>8298541</v>
      </c>
      <c r="JTM525" s="1334">
        <v>8298541</v>
      </c>
      <c r="JTN525" s="1334">
        <v>8298541</v>
      </c>
      <c r="JTO525" s="1334">
        <v>8298541</v>
      </c>
      <c r="JTP525" s="1334">
        <v>8298541</v>
      </c>
      <c r="JTQ525" s="1334">
        <v>8298541</v>
      </c>
      <c r="JTR525" s="1334">
        <v>8298541</v>
      </c>
      <c r="JTS525" s="1334">
        <v>8298541</v>
      </c>
      <c r="JTT525" s="1334">
        <v>8298541</v>
      </c>
      <c r="JTU525" s="1334">
        <v>8298541</v>
      </c>
      <c r="JTV525" s="1334">
        <v>8298541</v>
      </c>
      <c r="JTW525" s="1334">
        <v>8298541</v>
      </c>
      <c r="JTX525" s="1334">
        <v>8298541</v>
      </c>
      <c r="JTY525" s="1334">
        <v>8298541</v>
      </c>
      <c r="JTZ525" s="1334">
        <v>8298541</v>
      </c>
      <c r="JUA525" s="1334">
        <v>8298541</v>
      </c>
      <c r="JUB525" s="1334">
        <v>8298541</v>
      </c>
      <c r="JUC525" s="1334">
        <v>8298541</v>
      </c>
      <c r="JUD525" s="1334">
        <v>8298541</v>
      </c>
      <c r="JUE525" s="1334">
        <v>8298541</v>
      </c>
      <c r="JUF525" s="1334">
        <v>8298541</v>
      </c>
      <c r="JUG525" s="1334">
        <v>8298541</v>
      </c>
      <c r="JUH525" s="1334">
        <v>8298541</v>
      </c>
      <c r="JUI525" s="1334">
        <v>8298541</v>
      </c>
      <c r="JUJ525" s="1334">
        <v>8298541</v>
      </c>
      <c r="JUK525" s="1334">
        <v>8298541</v>
      </c>
      <c r="JUL525" s="1334">
        <v>8298541</v>
      </c>
      <c r="JUM525" s="1334">
        <v>8298541</v>
      </c>
      <c r="JUN525" s="1334">
        <v>8298541</v>
      </c>
      <c r="JUO525" s="1334">
        <v>8298541</v>
      </c>
      <c r="JUP525" s="1334">
        <v>8298541</v>
      </c>
      <c r="JUQ525" s="1334">
        <v>8298541</v>
      </c>
      <c r="JUR525" s="1334">
        <v>8298541</v>
      </c>
      <c r="JUS525" s="1334">
        <v>8298541</v>
      </c>
      <c r="JUT525" s="1334">
        <v>8298541</v>
      </c>
      <c r="JUU525" s="1334">
        <v>8298541</v>
      </c>
      <c r="JUV525" s="1334">
        <v>8298541</v>
      </c>
      <c r="JUW525" s="1334">
        <v>8298541</v>
      </c>
      <c r="JUX525" s="1334">
        <v>8298541</v>
      </c>
      <c r="JUY525" s="1334">
        <v>8298541</v>
      </c>
      <c r="JUZ525" s="1334">
        <v>8298541</v>
      </c>
      <c r="JVA525" s="1334">
        <v>8298541</v>
      </c>
      <c r="JVB525" s="1334">
        <v>8298541</v>
      </c>
      <c r="JVC525" s="1334">
        <v>8298541</v>
      </c>
      <c r="JVD525" s="1334">
        <v>8298541</v>
      </c>
      <c r="JVE525" s="1334">
        <v>8298541</v>
      </c>
      <c r="JVF525" s="1334">
        <v>8298541</v>
      </c>
      <c r="JVG525" s="1334">
        <v>8298541</v>
      </c>
      <c r="JVH525" s="1334">
        <v>8298541</v>
      </c>
      <c r="JVI525" s="1334">
        <v>8298541</v>
      </c>
      <c r="JVJ525" s="1334">
        <v>8298541</v>
      </c>
      <c r="JVK525" s="1334">
        <v>8298541</v>
      </c>
      <c r="JVL525" s="1334">
        <v>8298541</v>
      </c>
      <c r="JVM525" s="1334">
        <v>8298541</v>
      </c>
      <c r="JVN525" s="1334">
        <v>8298541</v>
      </c>
      <c r="JVO525" s="1334">
        <v>8298541</v>
      </c>
      <c r="JVP525" s="1334">
        <v>8298541</v>
      </c>
      <c r="JVQ525" s="1334">
        <v>8298541</v>
      </c>
      <c r="JVR525" s="1334">
        <v>8298541</v>
      </c>
      <c r="JVS525" s="1334">
        <v>8298541</v>
      </c>
      <c r="JVT525" s="1334">
        <v>8298541</v>
      </c>
      <c r="JVU525" s="1334">
        <v>8298541</v>
      </c>
      <c r="JVV525" s="1334">
        <v>8298541</v>
      </c>
      <c r="JVW525" s="1334">
        <v>8298541</v>
      </c>
      <c r="JVX525" s="1334">
        <v>8298541</v>
      </c>
      <c r="JVY525" s="1334">
        <v>8298541</v>
      </c>
      <c r="JVZ525" s="1334">
        <v>8298541</v>
      </c>
      <c r="JWA525" s="1334">
        <v>8298541</v>
      </c>
      <c r="JWB525" s="1334">
        <v>8298541</v>
      </c>
      <c r="JWC525" s="1334">
        <v>8298541</v>
      </c>
      <c r="JWD525" s="1334">
        <v>8298541</v>
      </c>
      <c r="JWE525" s="1334">
        <v>8298541</v>
      </c>
      <c r="JWF525" s="1334">
        <v>8298541</v>
      </c>
      <c r="JWG525" s="1334">
        <v>8298541</v>
      </c>
      <c r="JWH525" s="1334">
        <v>8298541</v>
      </c>
      <c r="JWI525" s="1334">
        <v>8298541</v>
      </c>
      <c r="JWJ525" s="1334">
        <v>8298541</v>
      </c>
      <c r="JWK525" s="1334">
        <v>8298541</v>
      </c>
      <c r="JWL525" s="1334">
        <v>8298541</v>
      </c>
      <c r="JWM525" s="1334">
        <v>8298541</v>
      </c>
      <c r="JWN525" s="1334">
        <v>8298541</v>
      </c>
      <c r="JWO525" s="1334">
        <v>8298541</v>
      </c>
      <c r="JWP525" s="1334">
        <v>8298541</v>
      </c>
      <c r="JWQ525" s="1334">
        <v>8298541</v>
      </c>
      <c r="JWR525" s="1334">
        <v>8298541</v>
      </c>
      <c r="JWS525" s="1334">
        <v>8298541</v>
      </c>
      <c r="JWT525" s="1334">
        <v>8298541</v>
      </c>
      <c r="JWU525" s="1334">
        <v>8298541</v>
      </c>
      <c r="JWV525" s="1334">
        <v>8298541</v>
      </c>
      <c r="JWW525" s="1334">
        <v>8298541</v>
      </c>
      <c r="JWX525" s="1334">
        <v>8298541</v>
      </c>
      <c r="JWY525" s="1334">
        <v>8298541</v>
      </c>
      <c r="JWZ525" s="1334">
        <v>8298541</v>
      </c>
      <c r="JXA525" s="1334">
        <v>8298541</v>
      </c>
      <c r="JXB525" s="1334">
        <v>8298541</v>
      </c>
      <c r="JXC525" s="1334">
        <v>8298541</v>
      </c>
      <c r="JXD525" s="1334">
        <v>8298541</v>
      </c>
      <c r="JXE525" s="1334">
        <v>8298541</v>
      </c>
      <c r="JXF525" s="1334">
        <v>8298541</v>
      </c>
      <c r="JXG525" s="1334">
        <v>8298541</v>
      </c>
      <c r="JXH525" s="1334">
        <v>8298541</v>
      </c>
      <c r="JXI525" s="1334">
        <v>8298541</v>
      </c>
      <c r="JXJ525" s="1334">
        <v>8298541</v>
      </c>
      <c r="JXK525" s="1334">
        <v>8298541</v>
      </c>
      <c r="JXL525" s="1334">
        <v>8298541</v>
      </c>
      <c r="JXM525" s="1334">
        <v>8298541</v>
      </c>
      <c r="JXN525" s="1334">
        <v>8298541</v>
      </c>
      <c r="JXO525" s="1334">
        <v>8298541</v>
      </c>
      <c r="JXP525" s="1334">
        <v>8298541</v>
      </c>
      <c r="JXQ525" s="1334">
        <v>8298541</v>
      </c>
      <c r="JXR525" s="1334">
        <v>8298541</v>
      </c>
      <c r="JXS525" s="1334">
        <v>8298541</v>
      </c>
      <c r="JXT525" s="1334">
        <v>8298541</v>
      </c>
      <c r="JXU525" s="1334">
        <v>8298541</v>
      </c>
      <c r="JXV525" s="1334">
        <v>8298541</v>
      </c>
      <c r="JXW525" s="1334">
        <v>8298541</v>
      </c>
      <c r="JXX525" s="1334">
        <v>8298541</v>
      </c>
      <c r="JXY525" s="1334">
        <v>8298541</v>
      </c>
      <c r="JXZ525" s="1334">
        <v>8298541</v>
      </c>
      <c r="JYA525" s="1334">
        <v>8298541</v>
      </c>
      <c r="JYB525" s="1334">
        <v>8298541</v>
      </c>
      <c r="JYC525" s="1334">
        <v>8298541</v>
      </c>
      <c r="JYD525" s="1334">
        <v>8298541</v>
      </c>
      <c r="JYE525" s="1334">
        <v>8298541</v>
      </c>
      <c r="JYF525" s="1334">
        <v>8298541</v>
      </c>
      <c r="JYG525" s="1334">
        <v>8298541</v>
      </c>
      <c r="JYH525" s="1334">
        <v>8298541</v>
      </c>
      <c r="JYI525" s="1334">
        <v>8298541</v>
      </c>
      <c r="JYJ525" s="1334">
        <v>8298541</v>
      </c>
      <c r="JYK525" s="1334">
        <v>8298541</v>
      </c>
      <c r="JYL525" s="1334">
        <v>8298541</v>
      </c>
      <c r="JYM525" s="1334">
        <v>8298541</v>
      </c>
      <c r="JYN525" s="1334">
        <v>8298541</v>
      </c>
      <c r="JYO525" s="1334">
        <v>8298541</v>
      </c>
      <c r="JYP525" s="1334">
        <v>8298541</v>
      </c>
      <c r="JYQ525" s="1334">
        <v>8298541</v>
      </c>
      <c r="JYR525" s="1334">
        <v>8298541</v>
      </c>
      <c r="JYS525" s="1334">
        <v>8298541</v>
      </c>
      <c r="JYT525" s="1334">
        <v>8298541</v>
      </c>
      <c r="JYU525" s="1334">
        <v>8298541</v>
      </c>
      <c r="JYV525" s="1334">
        <v>8298541</v>
      </c>
      <c r="JYW525" s="1334">
        <v>8298541</v>
      </c>
      <c r="JYX525" s="1334">
        <v>8298541</v>
      </c>
      <c r="JYY525" s="1334">
        <v>8298541</v>
      </c>
      <c r="JYZ525" s="1334">
        <v>8298541</v>
      </c>
      <c r="JZA525" s="1334">
        <v>8298541</v>
      </c>
      <c r="JZB525" s="1334">
        <v>8298541</v>
      </c>
      <c r="JZC525" s="1334">
        <v>8298541</v>
      </c>
      <c r="JZD525" s="1334">
        <v>8298541</v>
      </c>
      <c r="JZE525" s="1334">
        <v>8298541</v>
      </c>
      <c r="JZF525" s="1334">
        <v>8298541</v>
      </c>
      <c r="JZG525" s="1334">
        <v>8298541</v>
      </c>
      <c r="JZH525" s="1334">
        <v>8298541</v>
      </c>
      <c r="JZI525" s="1334">
        <v>8298541</v>
      </c>
      <c r="JZJ525" s="1334">
        <v>8298541</v>
      </c>
      <c r="JZK525" s="1334">
        <v>8298541</v>
      </c>
      <c r="JZL525" s="1334">
        <v>8298541</v>
      </c>
      <c r="JZM525" s="1334">
        <v>8298541</v>
      </c>
      <c r="JZN525" s="1334">
        <v>8298541</v>
      </c>
      <c r="JZO525" s="1334">
        <v>8298541</v>
      </c>
      <c r="JZP525" s="1334">
        <v>8298541</v>
      </c>
      <c r="JZQ525" s="1334">
        <v>8298541</v>
      </c>
      <c r="JZR525" s="1334">
        <v>8298541</v>
      </c>
      <c r="JZS525" s="1334">
        <v>8298541</v>
      </c>
      <c r="JZT525" s="1334">
        <v>8298541</v>
      </c>
      <c r="JZU525" s="1334">
        <v>8298541</v>
      </c>
      <c r="JZV525" s="1334">
        <v>8298541</v>
      </c>
      <c r="JZW525" s="1334">
        <v>8298541</v>
      </c>
      <c r="JZX525" s="1334">
        <v>8298541</v>
      </c>
      <c r="JZY525" s="1334">
        <v>8298541</v>
      </c>
      <c r="JZZ525" s="1334">
        <v>8298541</v>
      </c>
      <c r="KAA525" s="1334">
        <v>8298541</v>
      </c>
      <c r="KAB525" s="1334">
        <v>8298541</v>
      </c>
      <c r="KAC525" s="1334">
        <v>8298541</v>
      </c>
      <c r="KAD525" s="1334">
        <v>8298541</v>
      </c>
      <c r="KAE525" s="1334">
        <v>8298541</v>
      </c>
      <c r="KAF525" s="1334">
        <v>8298541</v>
      </c>
      <c r="KAG525" s="1334">
        <v>8298541</v>
      </c>
      <c r="KAH525" s="1334">
        <v>8298541</v>
      </c>
      <c r="KAI525" s="1334">
        <v>8298541</v>
      </c>
      <c r="KAJ525" s="1334">
        <v>8298541</v>
      </c>
      <c r="KAK525" s="1334">
        <v>8298541</v>
      </c>
      <c r="KAL525" s="1334">
        <v>8298541</v>
      </c>
      <c r="KAM525" s="1334">
        <v>8298541</v>
      </c>
      <c r="KAN525" s="1334">
        <v>8298541</v>
      </c>
      <c r="KAO525" s="1334">
        <v>8298541</v>
      </c>
      <c r="KAP525" s="1334">
        <v>8298541</v>
      </c>
      <c r="KAQ525" s="1334">
        <v>8298541</v>
      </c>
      <c r="KAR525" s="1334">
        <v>8298541</v>
      </c>
      <c r="KAS525" s="1334">
        <v>8298541</v>
      </c>
      <c r="KAT525" s="1334">
        <v>8298541</v>
      </c>
      <c r="KAU525" s="1334">
        <v>8298541</v>
      </c>
      <c r="KAV525" s="1334">
        <v>8298541</v>
      </c>
      <c r="KAW525" s="1334">
        <v>8298541</v>
      </c>
      <c r="KAX525" s="1334">
        <v>8298541</v>
      </c>
      <c r="KAY525" s="1334">
        <v>8298541</v>
      </c>
      <c r="KAZ525" s="1334">
        <v>8298541</v>
      </c>
      <c r="KBA525" s="1334">
        <v>8298541</v>
      </c>
      <c r="KBB525" s="1334">
        <v>8298541</v>
      </c>
      <c r="KBC525" s="1334">
        <v>8298541</v>
      </c>
      <c r="KBD525" s="1334">
        <v>8298541</v>
      </c>
      <c r="KBE525" s="1334">
        <v>8298541</v>
      </c>
      <c r="KBF525" s="1334">
        <v>8298541</v>
      </c>
      <c r="KBG525" s="1334">
        <v>8298541</v>
      </c>
      <c r="KBH525" s="1334">
        <v>8298541</v>
      </c>
      <c r="KBI525" s="1334">
        <v>8298541</v>
      </c>
      <c r="KBJ525" s="1334">
        <v>8298541</v>
      </c>
      <c r="KBK525" s="1334">
        <v>8298541</v>
      </c>
      <c r="KBL525" s="1334">
        <v>8298541</v>
      </c>
      <c r="KBM525" s="1334">
        <v>8298541</v>
      </c>
      <c r="KBN525" s="1334">
        <v>8298541</v>
      </c>
      <c r="KBO525" s="1334">
        <v>8298541</v>
      </c>
      <c r="KBP525" s="1334">
        <v>8298541</v>
      </c>
      <c r="KBQ525" s="1334">
        <v>8298541</v>
      </c>
      <c r="KBR525" s="1334">
        <v>8298541</v>
      </c>
      <c r="KBS525" s="1334">
        <v>8298541</v>
      </c>
      <c r="KBT525" s="1334">
        <v>8298541</v>
      </c>
      <c r="KBU525" s="1334">
        <v>8298541</v>
      </c>
      <c r="KBV525" s="1334">
        <v>8298541</v>
      </c>
      <c r="KBW525" s="1334">
        <v>8298541</v>
      </c>
      <c r="KBX525" s="1334">
        <v>8298541</v>
      </c>
      <c r="KBY525" s="1334">
        <v>8298541</v>
      </c>
      <c r="KBZ525" s="1334">
        <v>8298541</v>
      </c>
      <c r="KCA525" s="1334">
        <v>8298541</v>
      </c>
      <c r="KCB525" s="1334">
        <v>8298541</v>
      </c>
      <c r="KCC525" s="1334">
        <v>8298541</v>
      </c>
      <c r="KCD525" s="1334">
        <v>8298541</v>
      </c>
      <c r="KCE525" s="1334">
        <v>8298541</v>
      </c>
      <c r="KCF525" s="1334">
        <v>8298541</v>
      </c>
      <c r="KCG525" s="1334">
        <v>8298541</v>
      </c>
      <c r="KCH525" s="1334">
        <v>8298541</v>
      </c>
      <c r="KCI525" s="1334">
        <v>8298541</v>
      </c>
      <c r="KCJ525" s="1334">
        <v>8298541</v>
      </c>
      <c r="KCK525" s="1334">
        <v>8298541</v>
      </c>
      <c r="KCL525" s="1334">
        <v>8298541</v>
      </c>
      <c r="KCM525" s="1334">
        <v>8298541</v>
      </c>
      <c r="KCN525" s="1334">
        <v>8298541</v>
      </c>
      <c r="KCO525" s="1334">
        <v>8298541</v>
      </c>
      <c r="KCP525" s="1334">
        <v>8298541</v>
      </c>
      <c r="KCQ525" s="1334">
        <v>8298541</v>
      </c>
      <c r="KCR525" s="1334">
        <v>8298541</v>
      </c>
      <c r="KCS525" s="1334">
        <v>8298541</v>
      </c>
      <c r="KCT525" s="1334">
        <v>8298541</v>
      </c>
      <c r="KCU525" s="1334">
        <v>8298541</v>
      </c>
      <c r="KCV525" s="1334">
        <v>8298541</v>
      </c>
      <c r="KCW525" s="1334">
        <v>8298541</v>
      </c>
      <c r="KCX525" s="1334">
        <v>8298541</v>
      </c>
      <c r="KCY525" s="1334">
        <v>8298541</v>
      </c>
      <c r="KCZ525" s="1334">
        <v>8298541</v>
      </c>
      <c r="KDA525" s="1334">
        <v>8298541</v>
      </c>
      <c r="KDB525" s="1334">
        <v>8298541</v>
      </c>
      <c r="KDC525" s="1334">
        <v>8298541</v>
      </c>
      <c r="KDD525" s="1334">
        <v>8298541</v>
      </c>
      <c r="KDE525" s="1334">
        <v>8298541</v>
      </c>
      <c r="KDF525" s="1334">
        <v>8298541</v>
      </c>
      <c r="KDG525" s="1334">
        <v>8298541</v>
      </c>
      <c r="KDH525" s="1334">
        <v>8298541</v>
      </c>
      <c r="KDI525" s="1334">
        <v>8298541</v>
      </c>
      <c r="KDJ525" s="1334">
        <v>8298541</v>
      </c>
      <c r="KDK525" s="1334">
        <v>8298541</v>
      </c>
      <c r="KDL525" s="1334">
        <v>8298541</v>
      </c>
      <c r="KDM525" s="1334">
        <v>8298541</v>
      </c>
      <c r="KDN525" s="1334">
        <v>8298541</v>
      </c>
      <c r="KDO525" s="1334">
        <v>8298541</v>
      </c>
      <c r="KDP525" s="1334">
        <v>8298541</v>
      </c>
      <c r="KDQ525" s="1334">
        <v>8298541</v>
      </c>
      <c r="KDR525" s="1334">
        <v>8298541</v>
      </c>
      <c r="KDS525" s="1334">
        <v>8298541</v>
      </c>
      <c r="KDT525" s="1334">
        <v>8298541</v>
      </c>
      <c r="KDU525" s="1334">
        <v>8298541</v>
      </c>
      <c r="KDV525" s="1334">
        <v>8298541</v>
      </c>
      <c r="KDW525" s="1334">
        <v>8298541</v>
      </c>
      <c r="KDX525" s="1334">
        <v>8298541</v>
      </c>
      <c r="KDY525" s="1334">
        <v>8298541</v>
      </c>
      <c r="KDZ525" s="1334">
        <v>8298541</v>
      </c>
      <c r="KEA525" s="1334">
        <v>8298541</v>
      </c>
      <c r="KEB525" s="1334">
        <v>8298541</v>
      </c>
      <c r="KEC525" s="1334">
        <v>8298541</v>
      </c>
      <c r="KED525" s="1334">
        <v>8298541</v>
      </c>
      <c r="KEE525" s="1334">
        <v>8298541</v>
      </c>
      <c r="KEF525" s="1334">
        <v>8298541</v>
      </c>
      <c r="KEG525" s="1334">
        <v>8298541</v>
      </c>
      <c r="KEH525" s="1334">
        <v>8298541</v>
      </c>
      <c r="KEI525" s="1334">
        <v>8298541</v>
      </c>
      <c r="KEJ525" s="1334">
        <v>8298541</v>
      </c>
      <c r="KEK525" s="1334">
        <v>8298541</v>
      </c>
      <c r="KEL525" s="1334">
        <v>8298541</v>
      </c>
      <c r="KEM525" s="1334">
        <v>8298541</v>
      </c>
      <c r="KEN525" s="1334">
        <v>8298541</v>
      </c>
      <c r="KEO525" s="1334">
        <v>8298541</v>
      </c>
      <c r="KEP525" s="1334">
        <v>8298541</v>
      </c>
      <c r="KEQ525" s="1334">
        <v>8298541</v>
      </c>
      <c r="KER525" s="1334">
        <v>8298541</v>
      </c>
      <c r="KES525" s="1334">
        <v>8298541</v>
      </c>
      <c r="KET525" s="1334">
        <v>8298541</v>
      </c>
      <c r="KEU525" s="1334">
        <v>8298541</v>
      </c>
      <c r="KEV525" s="1334">
        <v>8298541</v>
      </c>
      <c r="KEW525" s="1334">
        <v>8298541</v>
      </c>
      <c r="KEX525" s="1334">
        <v>8298541</v>
      </c>
      <c r="KEY525" s="1334">
        <v>8298541</v>
      </c>
      <c r="KEZ525" s="1334">
        <v>8298541</v>
      </c>
      <c r="KFA525" s="1334">
        <v>8298541</v>
      </c>
      <c r="KFB525" s="1334">
        <v>8298541</v>
      </c>
      <c r="KFC525" s="1334">
        <v>8298541</v>
      </c>
      <c r="KFD525" s="1334">
        <v>8298541</v>
      </c>
      <c r="KFE525" s="1334">
        <v>8298541</v>
      </c>
      <c r="KFF525" s="1334">
        <v>8298541</v>
      </c>
      <c r="KFG525" s="1334">
        <v>8298541</v>
      </c>
      <c r="KFH525" s="1334">
        <v>8298541</v>
      </c>
      <c r="KFI525" s="1334">
        <v>8298541</v>
      </c>
      <c r="KFJ525" s="1334">
        <v>8298541</v>
      </c>
      <c r="KFK525" s="1334">
        <v>8298541</v>
      </c>
      <c r="KFL525" s="1334">
        <v>8298541</v>
      </c>
      <c r="KFM525" s="1334">
        <v>8298541</v>
      </c>
      <c r="KFN525" s="1334">
        <v>8298541</v>
      </c>
      <c r="KFO525" s="1334">
        <v>8298541</v>
      </c>
      <c r="KFP525" s="1334">
        <v>8298541</v>
      </c>
      <c r="KFQ525" s="1334">
        <v>8298541</v>
      </c>
      <c r="KFR525" s="1334">
        <v>8298541</v>
      </c>
      <c r="KFS525" s="1334">
        <v>8298541</v>
      </c>
      <c r="KFT525" s="1334">
        <v>8298541</v>
      </c>
      <c r="KFU525" s="1334">
        <v>8298541</v>
      </c>
      <c r="KFV525" s="1334">
        <v>8298541</v>
      </c>
      <c r="KFW525" s="1334">
        <v>8298541</v>
      </c>
      <c r="KFX525" s="1334">
        <v>8298541</v>
      </c>
      <c r="KFY525" s="1334">
        <v>8298541</v>
      </c>
      <c r="KFZ525" s="1334">
        <v>8298541</v>
      </c>
      <c r="KGA525" s="1334">
        <v>8298541</v>
      </c>
      <c r="KGB525" s="1334">
        <v>8298541</v>
      </c>
      <c r="KGC525" s="1334">
        <v>8298541</v>
      </c>
      <c r="KGD525" s="1334">
        <v>8298541</v>
      </c>
      <c r="KGE525" s="1334">
        <v>8298541</v>
      </c>
      <c r="KGF525" s="1334">
        <v>8298541</v>
      </c>
      <c r="KGG525" s="1334">
        <v>8298541</v>
      </c>
      <c r="KGH525" s="1334">
        <v>8298541</v>
      </c>
      <c r="KGI525" s="1334">
        <v>8298541</v>
      </c>
      <c r="KGJ525" s="1334">
        <v>8298541</v>
      </c>
      <c r="KGK525" s="1334">
        <v>8298541</v>
      </c>
      <c r="KGL525" s="1334">
        <v>8298541</v>
      </c>
      <c r="KGM525" s="1334">
        <v>8298541</v>
      </c>
      <c r="KGN525" s="1334">
        <v>8298541</v>
      </c>
      <c r="KGO525" s="1334">
        <v>8298541</v>
      </c>
      <c r="KGP525" s="1334">
        <v>8298541</v>
      </c>
      <c r="KGQ525" s="1334">
        <v>8298541</v>
      </c>
      <c r="KGR525" s="1334">
        <v>8298541</v>
      </c>
      <c r="KGS525" s="1334">
        <v>8298541</v>
      </c>
      <c r="KGT525" s="1334">
        <v>8298541</v>
      </c>
      <c r="KGU525" s="1334">
        <v>8298541</v>
      </c>
      <c r="KGV525" s="1334">
        <v>8298541</v>
      </c>
      <c r="KGW525" s="1334">
        <v>8298541</v>
      </c>
      <c r="KGX525" s="1334">
        <v>8298541</v>
      </c>
      <c r="KGY525" s="1334">
        <v>8298541</v>
      </c>
      <c r="KGZ525" s="1334">
        <v>8298541</v>
      </c>
      <c r="KHA525" s="1334">
        <v>8298541</v>
      </c>
      <c r="KHB525" s="1334">
        <v>8298541</v>
      </c>
      <c r="KHC525" s="1334">
        <v>8298541</v>
      </c>
      <c r="KHD525" s="1334">
        <v>8298541</v>
      </c>
      <c r="KHE525" s="1334">
        <v>8298541</v>
      </c>
      <c r="KHF525" s="1334">
        <v>8298541</v>
      </c>
      <c r="KHG525" s="1334">
        <v>8298541</v>
      </c>
      <c r="KHH525" s="1334">
        <v>8298541</v>
      </c>
      <c r="KHI525" s="1334">
        <v>8298541</v>
      </c>
      <c r="KHJ525" s="1334">
        <v>8298541</v>
      </c>
      <c r="KHK525" s="1334">
        <v>8298541</v>
      </c>
      <c r="KHL525" s="1334">
        <v>8298541</v>
      </c>
      <c r="KHM525" s="1334">
        <v>8298541</v>
      </c>
      <c r="KHN525" s="1334">
        <v>8298541</v>
      </c>
      <c r="KHO525" s="1334">
        <v>8298541</v>
      </c>
      <c r="KHP525" s="1334">
        <v>8298541</v>
      </c>
      <c r="KHQ525" s="1334">
        <v>8298541</v>
      </c>
      <c r="KHR525" s="1334">
        <v>8298541</v>
      </c>
      <c r="KHS525" s="1334">
        <v>8298541</v>
      </c>
      <c r="KHT525" s="1334">
        <v>8298541</v>
      </c>
      <c r="KHU525" s="1334">
        <v>8298541</v>
      </c>
      <c r="KHV525" s="1334">
        <v>8298541</v>
      </c>
      <c r="KHW525" s="1334">
        <v>8298541</v>
      </c>
      <c r="KHX525" s="1334">
        <v>8298541</v>
      </c>
      <c r="KHY525" s="1334">
        <v>8298541</v>
      </c>
      <c r="KHZ525" s="1334">
        <v>8298541</v>
      </c>
      <c r="KIA525" s="1334">
        <v>8298541</v>
      </c>
      <c r="KIB525" s="1334">
        <v>8298541</v>
      </c>
      <c r="KIC525" s="1334">
        <v>8298541</v>
      </c>
      <c r="KID525" s="1334">
        <v>8298541</v>
      </c>
      <c r="KIE525" s="1334">
        <v>8298541</v>
      </c>
      <c r="KIF525" s="1334">
        <v>8298541</v>
      </c>
      <c r="KIG525" s="1334">
        <v>8298541</v>
      </c>
      <c r="KIH525" s="1334">
        <v>8298541</v>
      </c>
      <c r="KII525" s="1334">
        <v>8298541</v>
      </c>
      <c r="KIJ525" s="1334">
        <v>8298541</v>
      </c>
      <c r="KIK525" s="1334">
        <v>8298541</v>
      </c>
      <c r="KIL525" s="1334">
        <v>8298541</v>
      </c>
      <c r="KIM525" s="1334">
        <v>8298541</v>
      </c>
      <c r="KIN525" s="1334">
        <v>8298541</v>
      </c>
      <c r="KIO525" s="1334">
        <v>8298541</v>
      </c>
      <c r="KIP525" s="1334">
        <v>8298541</v>
      </c>
      <c r="KIQ525" s="1334">
        <v>8298541</v>
      </c>
      <c r="KIR525" s="1334">
        <v>8298541</v>
      </c>
      <c r="KIS525" s="1334">
        <v>8298541</v>
      </c>
      <c r="KIT525" s="1334">
        <v>8298541</v>
      </c>
      <c r="KIU525" s="1334">
        <v>8298541</v>
      </c>
      <c r="KIV525" s="1334">
        <v>8298541</v>
      </c>
      <c r="KIW525" s="1334">
        <v>8298541</v>
      </c>
      <c r="KIX525" s="1334">
        <v>8298541</v>
      </c>
      <c r="KIY525" s="1334">
        <v>8298541</v>
      </c>
      <c r="KIZ525" s="1334">
        <v>8298541</v>
      </c>
      <c r="KJA525" s="1334">
        <v>8298541</v>
      </c>
      <c r="KJB525" s="1334">
        <v>8298541</v>
      </c>
      <c r="KJC525" s="1334">
        <v>8298541</v>
      </c>
      <c r="KJD525" s="1334">
        <v>8298541</v>
      </c>
      <c r="KJE525" s="1334">
        <v>8298541</v>
      </c>
      <c r="KJF525" s="1334">
        <v>8298541</v>
      </c>
      <c r="KJG525" s="1334">
        <v>8298541</v>
      </c>
      <c r="KJH525" s="1334">
        <v>8298541</v>
      </c>
      <c r="KJI525" s="1334">
        <v>8298541</v>
      </c>
      <c r="KJJ525" s="1334">
        <v>8298541</v>
      </c>
      <c r="KJK525" s="1334">
        <v>8298541</v>
      </c>
      <c r="KJL525" s="1334">
        <v>8298541</v>
      </c>
      <c r="KJM525" s="1334">
        <v>8298541</v>
      </c>
      <c r="KJN525" s="1334">
        <v>8298541</v>
      </c>
      <c r="KJO525" s="1334">
        <v>8298541</v>
      </c>
      <c r="KJP525" s="1334">
        <v>8298541</v>
      </c>
      <c r="KJQ525" s="1334">
        <v>8298541</v>
      </c>
      <c r="KJR525" s="1334">
        <v>8298541</v>
      </c>
      <c r="KJS525" s="1334">
        <v>8298541</v>
      </c>
      <c r="KJT525" s="1334">
        <v>8298541</v>
      </c>
      <c r="KJU525" s="1334">
        <v>8298541</v>
      </c>
      <c r="KJV525" s="1334">
        <v>8298541</v>
      </c>
      <c r="KJW525" s="1334">
        <v>8298541</v>
      </c>
      <c r="KJX525" s="1334">
        <v>8298541</v>
      </c>
      <c r="KJY525" s="1334">
        <v>8298541</v>
      </c>
      <c r="KJZ525" s="1334">
        <v>8298541</v>
      </c>
      <c r="KKA525" s="1334">
        <v>8298541</v>
      </c>
      <c r="KKB525" s="1334">
        <v>8298541</v>
      </c>
      <c r="KKC525" s="1334">
        <v>8298541</v>
      </c>
      <c r="KKD525" s="1334">
        <v>8298541</v>
      </c>
      <c r="KKE525" s="1334">
        <v>8298541</v>
      </c>
      <c r="KKF525" s="1334">
        <v>8298541</v>
      </c>
      <c r="KKG525" s="1334">
        <v>8298541</v>
      </c>
      <c r="KKH525" s="1334">
        <v>8298541</v>
      </c>
      <c r="KKI525" s="1334">
        <v>8298541</v>
      </c>
      <c r="KKJ525" s="1334">
        <v>8298541</v>
      </c>
      <c r="KKK525" s="1334">
        <v>8298541</v>
      </c>
      <c r="KKL525" s="1334">
        <v>8298541</v>
      </c>
      <c r="KKM525" s="1334">
        <v>8298541</v>
      </c>
      <c r="KKN525" s="1334">
        <v>8298541</v>
      </c>
      <c r="KKO525" s="1334">
        <v>8298541</v>
      </c>
      <c r="KKP525" s="1334">
        <v>8298541</v>
      </c>
      <c r="KKQ525" s="1334">
        <v>8298541</v>
      </c>
      <c r="KKR525" s="1334">
        <v>8298541</v>
      </c>
      <c r="KKS525" s="1334">
        <v>8298541</v>
      </c>
      <c r="KKT525" s="1334">
        <v>8298541</v>
      </c>
      <c r="KKU525" s="1334">
        <v>8298541</v>
      </c>
      <c r="KKV525" s="1334">
        <v>8298541</v>
      </c>
      <c r="KKW525" s="1334">
        <v>8298541</v>
      </c>
      <c r="KKX525" s="1334">
        <v>8298541</v>
      </c>
      <c r="KKY525" s="1334">
        <v>8298541</v>
      </c>
      <c r="KKZ525" s="1334">
        <v>8298541</v>
      </c>
      <c r="KLA525" s="1334">
        <v>8298541</v>
      </c>
      <c r="KLB525" s="1334">
        <v>8298541</v>
      </c>
      <c r="KLC525" s="1334">
        <v>8298541</v>
      </c>
      <c r="KLD525" s="1334">
        <v>8298541</v>
      </c>
      <c r="KLE525" s="1334">
        <v>8298541</v>
      </c>
      <c r="KLF525" s="1334">
        <v>8298541</v>
      </c>
      <c r="KLG525" s="1334">
        <v>8298541</v>
      </c>
      <c r="KLH525" s="1334">
        <v>8298541</v>
      </c>
      <c r="KLI525" s="1334">
        <v>8298541</v>
      </c>
      <c r="KLJ525" s="1334">
        <v>8298541</v>
      </c>
      <c r="KLK525" s="1334">
        <v>8298541</v>
      </c>
      <c r="KLL525" s="1334">
        <v>8298541</v>
      </c>
      <c r="KLM525" s="1334">
        <v>8298541</v>
      </c>
      <c r="KLN525" s="1334">
        <v>8298541</v>
      </c>
      <c r="KLO525" s="1334">
        <v>8298541</v>
      </c>
      <c r="KLP525" s="1334">
        <v>8298541</v>
      </c>
      <c r="KLQ525" s="1334">
        <v>8298541</v>
      </c>
      <c r="KLR525" s="1334">
        <v>8298541</v>
      </c>
      <c r="KLS525" s="1334">
        <v>8298541</v>
      </c>
      <c r="KLT525" s="1334">
        <v>8298541</v>
      </c>
      <c r="KLU525" s="1334">
        <v>8298541</v>
      </c>
      <c r="KLV525" s="1334">
        <v>8298541</v>
      </c>
      <c r="KLW525" s="1334">
        <v>8298541</v>
      </c>
      <c r="KLX525" s="1334">
        <v>8298541</v>
      </c>
      <c r="KLY525" s="1334">
        <v>8298541</v>
      </c>
      <c r="KLZ525" s="1334">
        <v>8298541</v>
      </c>
      <c r="KMA525" s="1334">
        <v>8298541</v>
      </c>
      <c r="KMB525" s="1334">
        <v>8298541</v>
      </c>
      <c r="KMC525" s="1334">
        <v>8298541</v>
      </c>
      <c r="KMD525" s="1334">
        <v>8298541</v>
      </c>
      <c r="KME525" s="1334">
        <v>8298541</v>
      </c>
      <c r="KMF525" s="1334">
        <v>8298541</v>
      </c>
      <c r="KMG525" s="1334">
        <v>8298541</v>
      </c>
      <c r="KMH525" s="1334">
        <v>8298541</v>
      </c>
      <c r="KMI525" s="1334">
        <v>8298541</v>
      </c>
      <c r="KMJ525" s="1334">
        <v>8298541</v>
      </c>
      <c r="KMK525" s="1334">
        <v>8298541</v>
      </c>
      <c r="KML525" s="1334">
        <v>8298541</v>
      </c>
      <c r="KMM525" s="1334">
        <v>8298541</v>
      </c>
      <c r="KMN525" s="1334">
        <v>8298541</v>
      </c>
      <c r="KMO525" s="1334">
        <v>8298541</v>
      </c>
      <c r="KMP525" s="1334">
        <v>8298541</v>
      </c>
      <c r="KMQ525" s="1334">
        <v>8298541</v>
      </c>
      <c r="KMR525" s="1334">
        <v>8298541</v>
      </c>
      <c r="KMS525" s="1334">
        <v>8298541</v>
      </c>
      <c r="KMT525" s="1334">
        <v>8298541</v>
      </c>
      <c r="KMU525" s="1334">
        <v>8298541</v>
      </c>
      <c r="KMV525" s="1334">
        <v>8298541</v>
      </c>
      <c r="KMW525" s="1334">
        <v>8298541</v>
      </c>
      <c r="KMX525" s="1334">
        <v>8298541</v>
      </c>
      <c r="KMY525" s="1334">
        <v>8298541</v>
      </c>
      <c r="KMZ525" s="1334">
        <v>8298541</v>
      </c>
      <c r="KNA525" s="1334">
        <v>8298541</v>
      </c>
      <c r="KNB525" s="1334">
        <v>8298541</v>
      </c>
      <c r="KNC525" s="1334">
        <v>8298541</v>
      </c>
      <c r="KND525" s="1334">
        <v>8298541</v>
      </c>
      <c r="KNE525" s="1334">
        <v>8298541</v>
      </c>
      <c r="KNF525" s="1334">
        <v>8298541</v>
      </c>
      <c r="KNG525" s="1334">
        <v>8298541</v>
      </c>
      <c r="KNH525" s="1334">
        <v>8298541</v>
      </c>
      <c r="KNI525" s="1334">
        <v>8298541</v>
      </c>
      <c r="KNJ525" s="1334">
        <v>8298541</v>
      </c>
      <c r="KNK525" s="1334">
        <v>8298541</v>
      </c>
      <c r="KNL525" s="1334">
        <v>8298541</v>
      </c>
      <c r="KNM525" s="1334">
        <v>8298541</v>
      </c>
      <c r="KNN525" s="1334">
        <v>8298541</v>
      </c>
      <c r="KNO525" s="1334">
        <v>8298541</v>
      </c>
      <c r="KNP525" s="1334">
        <v>8298541</v>
      </c>
      <c r="KNQ525" s="1334">
        <v>8298541</v>
      </c>
      <c r="KNR525" s="1334">
        <v>8298541</v>
      </c>
      <c r="KNS525" s="1334">
        <v>8298541</v>
      </c>
      <c r="KNT525" s="1334">
        <v>8298541</v>
      </c>
      <c r="KNU525" s="1334">
        <v>8298541</v>
      </c>
      <c r="KNV525" s="1334">
        <v>8298541</v>
      </c>
      <c r="KNW525" s="1334">
        <v>8298541</v>
      </c>
      <c r="KNX525" s="1334">
        <v>8298541</v>
      </c>
      <c r="KNY525" s="1334">
        <v>8298541</v>
      </c>
      <c r="KNZ525" s="1334">
        <v>8298541</v>
      </c>
      <c r="KOA525" s="1334">
        <v>8298541</v>
      </c>
      <c r="KOB525" s="1334">
        <v>8298541</v>
      </c>
      <c r="KOC525" s="1334">
        <v>8298541</v>
      </c>
      <c r="KOD525" s="1334">
        <v>8298541</v>
      </c>
      <c r="KOE525" s="1334">
        <v>8298541</v>
      </c>
      <c r="KOF525" s="1334">
        <v>8298541</v>
      </c>
      <c r="KOG525" s="1334">
        <v>8298541</v>
      </c>
      <c r="KOH525" s="1334">
        <v>8298541</v>
      </c>
      <c r="KOI525" s="1334">
        <v>8298541</v>
      </c>
      <c r="KOJ525" s="1334">
        <v>8298541</v>
      </c>
      <c r="KOK525" s="1334">
        <v>8298541</v>
      </c>
      <c r="KOL525" s="1334">
        <v>8298541</v>
      </c>
      <c r="KOM525" s="1334">
        <v>8298541</v>
      </c>
      <c r="KON525" s="1334">
        <v>8298541</v>
      </c>
      <c r="KOO525" s="1334">
        <v>8298541</v>
      </c>
      <c r="KOP525" s="1334">
        <v>8298541</v>
      </c>
      <c r="KOQ525" s="1334">
        <v>8298541</v>
      </c>
      <c r="KOR525" s="1334">
        <v>8298541</v>
      </c>
      <c r="KOS525" s="1334">
        <v>8298541</v>
      </c>
      <c r="KOT525" s="1334">
        <v>8298541</v>
      </c>
      <c r="KOU525" s="1334">
        <v>8298541</v>
      </c>
      <c r="KOV525" s="1334">
        <v>8298541</v>
      </c>
      <c r="KOW525" s="1334">
        <v>8298541</v>
      </c>
      <c r="KOX525" s="1334">
        <v>8298541</v>
      </c>
      <c r="KOY525" s="1334">
        <v>8298541</v>
      </c>
      <c r="KOZ525" s="1334">
        <v>8298541</v>
      </c>
      <c r="KPA525" s="1334">
        <v>8298541</v>
      </c>
      <c r="KPB525" s="1334">
        <v>8298541</v>
      </c>
      <c r="KPC525" s="1334">
        <v>8298541</v>
      </c>
      <c r="KPD525" s="1334">
        <v>8298541</v>
      </c>
      <c r="KPE525" s="1334">
        <v>8298541</v>
      </c>
      <c r="KPF525" s="1334">
        <v>8298541</v>
      </c>
      <c r="KPG525" s="1334">
        <v>8298541</v>
      </c>
      <c r="KPH525" s="1334">
        <v>8298541</v>
      </c>
      <c r="KPI525" s="1334">
        <v>8298541</v>
      </c>
      <c r="KPJ525" s="1334">
        <v>8298541</v>
      </c>
      <c r="KPK525" s="1334">
        <v>8298541</v>
      </c>
      <c r="KPL525" s="1334">
        <v>8298541</v>
      </c>
      <c r="KPM525" s="1334">
        <v>8298541</v>
      </c>
      <c r="KPN525" s="1334">
        <v>8298541</v>
      </c>
      <c r="KPO525" s="1334">
        <v>8298541</v>
      </c>
      <c r="KPP525" s="1334">
        <v>8298541</v>
      </c>
      <c r="KPQ525" s="1334">
        <v>8298541</v>
      </c>
      <c r="KPR525" s="1334">
        <v>8298541</v>
      </c>
      <c r="KPS525" s="1334">
        <v>8298541</v>
      </c>
      <c r="KPT525" s="1334">
        <v>8298541</v>
      </c>
      <c r="KPU525" s="1334">
        <v>8298541</v>
      </c>
      <c r="KPV525" s="1334">
        <v>8298541</v>
      </c>
      <c r="KPW525" s="1334">
        <v>8298541</v>
      </c>
      <c r="KPX525" s="1334">
        <v>8298541</v>
      </c>
      <c r="KPY525" s="1334">
        <v>8298541</v>
      </c>
      <c r="KPZ525" s="1334">
        <v>8298541</v>
      </c>
      <c r="KQA525" s="1334">
        <v>8298541</v>
      </c>
      <c r="KQB525" s="1334">
        <v>8298541</v>
      </c>
      <c r="KQC525" s="1334">
        <v>8298541</v>
      </c>
      <c r="KQD525" s="1334">
        <v>8298541</v>
      </c>
      <c r="KQE525" s="1334">
        <v>8298541</v>
      </c>
      <c r="KQF525" s="1334">
        <v>8298541</v>
      </c>
      <c r="KQG525" s="1334">
        <v>8298541</v>
      </c>
      <c r="KQH525" s="1334">
        <v>8298541</v>
      </c>
      <c r="KQI525" s="1334">
        <v>8298541</v>
      </c>
      <c r="KQJ525" s="1334">
        <v>8298541</v>
      </c>
      <c r="KQK525" s="1334">
        <v>8298541</v>
      </c>
      <c r="KQL525" s="1334">
        <v>8298541</v>
      </c>
      <c r="KQM525" s="1334">
        <v>8298541</v>
      </c>
      <c r="KQN525" s="1334">
        <v>8298541</v>
      </c>
      <c r="KQO525" s="1334">
        <v>8298541</v>
      </c>
      <c r="KQP525" s="1334">
        <v>8298541</v>
      </c>
      <c r="KQQ525" s="1334">
        <v>8298541</v>
      </c>
      <c r="KQR525" s="1334">
        <v>8298541</v>
      </c>
      <c r="KQS525" s="1334">
        <v>8298541</v>
      </c>
      <c r="KQT525" s="1334">
        <v>8298541</v>
      </c>
      <c r="KQU525" s="1334">
        <v>8298541</v>
      </c>
      <c r="KQV525" s="1334">
        <v>8298541</v>
      </c>
      <c r="KQW525" s="1334">
        <v>8298541</v>
      </c>
      <c r="KQX525" s="1334">
        <v>8298541</v>
      </c>
      <c r="KQY525" s="1334">
        <v>8298541</v>
      </c>
      <c r="KQZ525" s="1334">
        <v>8298541</v>
      </c>
      <c r="KRA525" s="1334">
        <v>8298541</v>
      </c>
      <c r="KRB525" s="1334">
        <v>8298541</v>
      </c>
      <c r="KRC525" s="1334">
        <v>8298541</v>
      </c>
      <c r="KRD525" s="1334">
        <v>8298541</v>
      </c>
      <c r="KRE525" s="1334">
        <v>8298541</v>
      </c>
      <c r="KRF525" s="1334">
        <v>8298541</v>
      </c>
      <c r="KRG525" s="1334">
        <v>8298541</v>
      </c>
      <c r="KRH525" s="1334">
        <v>8298541</v>
      </c>
      <c r="KRI525" s="1334">
        <v>8298541</v>
      </c>
      <c r="KRJ525" s="1334">
        <v>8298541</v>
      </c>
      <c r="KRK525" s="1334">
        <v>8298541</v>
      </c>
      <c r="KRL525" s="1334">
        <v>8298541</v>
      </c>
      <c r="KRM525" s="1334">
        <v>8298541</v>
      </c>
      <c r="KRN525" s="1334">
        <v>8298541</v>
      </c>
      <c r="KRO525" s="1334">
        <v>8298541</v>
      </c>
      <c r="KRP525" s="1334">
        <v>8298541</v>
      </c>
      <c r="KRQ525" s="1334">
        <v>8298541</v>
      </c>
      <c r="KRR525" s="1334">
        <v>8298541</v>
      </c>
      <c r="KRS525" s="1334">
        <v>8298541</v>
      </c>
      <c r="KRT525" s="1334">
        <v>8298541</v>
      </c>
      <c r="KRU525" s="1334">
        <v>8298541</v>
      </c>
      <c r="KRV525" s="1334">
        <v>8298541</v>
      </c>
      <c r="KRW525" s="1334">
        <v>8298541</v>
      </c>
      <c r="KRX525" s="1334">
        <v>8298541</v>
      </c>
      <c r="KRY525" s="1334">
        <v>8298541</v>
      </c>
      <c r="KRZ525" s="1334">
        <v>8298541</v>
      </c>
      <c r="KSA525" s="1334">
        <v>8298541</v>
      </c>
      <c r="KSB525" s="1334">
        <v>8298541</v>
      </c>
      <c r="KSC525" s="1334">
        <v>8298541</v>
      </c>
      <c r="KSD525" s="1334">
        <v>8298541</v>
      </c>
      <c r="KSE525" s="1334">
        <v>8298541</v>
      </c>
      <c r="KSF525" s="1334">
        <v>8298541</v>
      </c>
      <c r="KSG525" s="1334">
        <v>8298541</v>
      </c>
      <c r="KSH525" s="1334">
        <v>8298541</v>
      </c>
      <c r="KSI525" s="1334">
        <v>8298541</v>
      </c>
      <c r="KSJ525" s="1334">
        <v>8298541</v>
      </c>
      <c r="KSK525" s="1334">
        <v>8298541</v>
      </c>
      <c r="KSL525" s="1334">
        <v>8298541</v>
      </c>
      <c r="KSM525" s="1334">
        <v>8298541</v>
      </c>
      <c r="KSN525" s="1334">
        <v>8298541</v>
      </c>
      <c r="KSO525" s="1334">
        <v>8298541</v>
      </c>
      <c r="KSP525" s="1334">
        <v>8298541</v>
      </c>
      <c r="KSQ525" s="1334">
        <v>8298541</v>
      </c>
      <c r="KSR525" s="1334">
        <v>8298541</v>
      </c>
      <c r="KSS525" s="1334">
        <v>8298541</v>
      </c>
      <c r="KST525" s="1334">
        <v>8298541</v>
      </c>
      <c r="KSU525" s="1334">
        <v>8298541</v>
      </c>
      <c r="KSV525" s="1334">
        <v>8298541</v>
      </c>
      <c r="KSW525" s="1334">
        <v>8298541</v>
      </c>
      <c r="KSX525" s="1334">
        <v>8298541</v>
      </c>
      <c r="KSY525" s="1334">
        <v>8298541</v>
      </c>
      <c r="KSZ525" s="1334">
        <v>8298541</v>
      </c>
      <c r="KTA525" s="1334">
        <v>8298541</v>
      </c>
      <c r="KTB525" s="1334">
        <v>8298541</v>
      </c>
      <c r="KTC525" s="1334">
        <v>8298541</v>
      </c>
      <c r="KTD525" s="1334">
        <v>8298541</v>
      </c>
      <c r="KTE525" s="1334">
        <v>8298541</v>
      </c>
      <c r="KTF525" s="1334">
        <v>8298541</v>
      </c>
      <c r="KTG525" s="1334">
        <v>8298541</v>
      </c>
      <c r="KTH525" s="1334">
        <v>8298541</v>
      </c>
      <c r="KTI525" s="1334">
        <v>8298541</v>
      </c>
      <c r="KTJ525" s="1334">
        <v>8298541</v>
      </c>
      <c r="KTK525" s="1334">
        <v>8298541</v>
      </c>
      <c r="KTL525" s="1334">
        <v>8298541</v>
      </c>
      <c r="KTM525" s="1334">
        <v>8298541</v>
      </c>
      <c r="KTN525" s="1334">
        <v>8298541</v>
      </c>
      <c r="KTO525" s="1334">
        <v>8298541</v>
      </c>
      <c r="KTP525" s="1334">
        <v>8298541</v>
      </c>
      <c r="KTQ525" s="1334">
        <v>8298541</v>
      </c>
      <c r="KTR525" s="1334">
        <v>8298541</v>
      </c>
      <c r="KTS525" s="1334">
        <v>8298541</v>
      </c>
      <c r="KTT525" s="1334">
        <v>8298541</v>
      </c>
      <c r="KTU525" s="1334">
        <v>8298541</v>
      </c>
      <c r="KTV525" s="1334">
        <v>8298541</v>
      </c>
      <c r="KTW525" s="1334">
        <v>8298541</v>
      </c>
      <c r="KTX525" s="1334">
        <v>8298541</v>
      </c>
      <c r="KTY525" s="1334">
        <v>8298541</v>
      </c>
      <c r="KTZ525" s="1334">
        <v>8298541</v>
      </c>
      <c r="KUA525" s="1334">
        <v>8298541</v>
      </c>
      <c r="KUB525" s="1334">
        <v>8298541</v>
      </c>
      <c r="KUC525" s="1334">
        <v>8298541</v>
      </c>
      <c r="KUD525" s="1334">
        <v>8298541</v>
      </c>
      <c r="KUE525" s="1334">
        <v>8298541</v>
      </c>
      <c r="KUF525" s="1334">
        <v>8298541</v>
      </c>
      <c r="KUG525" s="1334">
        <v>8298541</v>
      </c>
      <c r="KUH525" s="1334">
        <v>8298541</v>
      </c>
      <c r="KUI525" s="1334">
        <v>8298541</v>
      </c>
      <c r="KUJ525" s="1334">
        <v>8298541</v>
      </c>
      <c r="KUK525" s="1334">
        <v>8298541</v>
      </c>
      <c r="KUL525" s="1334">
        <v>8298541</v>
      </c>
      <c r="KUM525" s="1334">
        <v>8298541</v>
      </c>
      <c r="KUN525" s="1334">
        <v>8298541</v>
      </c>
      <c r="KUO525" s="1334">
        <v>8298541</v>
      </c>
      <c r="KUP525" s="1334">
        <v>8298541</v>
      </c>
      <c r="KUQ525" s="1334">
        <v>8298541</v>
      </c>
      <c r="KUR525" s="1334">
        <v>8298541</v>
      </c>
      <c r="KUS525" s="1334">
        <v>8298541</v>
      </c>
      <c r="KUT525" s="1334">
        <v>8298541</v>
      </c>
      <c r="KUU525" s="1334">
        <v>8298541</v>
      </c>
      <c r="KUV525" s="1334">
        <v>8298541</v>
      </c>
      <c r="KUW525" s="1334">
        <v>8298541</v>
      </c>
      <c r="KUX525" s="1334">
        <v>8298541</v>
      </c>
      <c r="KUY525" s="1334">
        <v>8298541</v>
      </c>
      <c r="KUZ525" s="1334">
        <v>8298541</v>
      </c>
      <c r="KVA525" s="1334">
        <v>8298541</v>
      </c>
      <c r="KVB525" s="1334">
        <v>8298541</v>
      </c>
      <c r="KVC525" s="1334">
        <v>8298541</v>
      </c>
      <c r="KVD525" s="1334">
        <v>8298541</v>
      </c>
      <c r="KVE525" s="1334">
        <v>8298541</v>
      </c>
      <c r="KVF525" s="1334">
        <v>8298541</v>
      </c>
      <c r="KVG525" s="1334">
        <v>8298541</v>
      </c>
      <c r="KVH525" s="1334">
        <v>8298541</v>
      </c>
      <c r="KVI525" s="1334">
        <v>8298541</v>
      </c>
      <c r="KVJ525" s="1334">
        <v>8298541</v>
      </c>
      <c r="KVK525" s="1334">
        <v>8298541</v>
      </c>
      <c r="KVL525" s="1334">
        <v>8298541</v>
      </c>
      <c r="KVM525" s="1334">
        <v>8298541</v>
      </c>
      <c r="KVN525" s="1334">
        <v>8298541</v>
      </c>
      <c r="KVO525" s="1334">
        <v>8298541</v>
      </c>
      <c r="KVP525" s="1334">
        <v>8298541</v>
      </c>
      <c r="KVQ525" s="1334">
        <v>8298541</v>
      </c>
      <c r="KVR525" s="1334">
        <v>8298541</v>
      </c>
      <c r="KVS525" s="1334">
        <v>8298541</v>
      </c>
      <c r="KVT525" s="1334">
        <v>8298541</v>
      </c>
      <c r="KVU525" s="1334">
        <v>8298541</v>
      </c>
      <c r="KVV525" s="1334">
        <v>8298541</v>
      </c>
      <c r="KVW525" s="1334">
        <v>8298541</v>
      </c>
      <c r="KVX525" s="1334">
        <v>8298541</v>
      </c>
      <c r="KVY525" s="1334">
        <v>8298541</v>
      </c>
      <c r="KVZ525" s="1334">
        <v>8298541</v>
      </c>
      <c r="KWA525" s="1334">
        <v>8298541</v>
      </c>
      <c r="KWB525" s="1334">
        <v>8298541</v>
      </c>
      <c r="KWC525" s="1334">
        <v>8298541</v>
      </c>
      <c r="KWD525" s="1334">
        <v>8298541</v>
      </c>
      <c r="KWE525" s="1334">
        <v>8298541</v>
      </c>
      <c r="KWF525" s="1334">
        <v>8298541</v>
      </c>
      <c r="KWG525" s="1334">
        <v>8298541</v>
      </c>
      <c r="KWH525" s="1334">
        <v>8298541</v>
      </c>
      <c r="KWI525" s="1334">
        <v>8298541</v>
      </c>
      <c r="KWJ525" s="1334">
        <v>8298541</v>
      </c>
      <c r="KWK525" s="1334">
        <v>8298541</v>
      </c>
      <c r="KWL525" s="1334">
        <v>8298541</v>
      </c>
      <c r="KWM525" s="1334">
        <v>8298541</v>
      </c>
      <c r="KWN525" s="1334">
        <v>8298541</v>
      </c>
      <c r="KWO525" s="1334">
        <v>8298541</v>
      </c>
      <c r="KWP525" s="1334">
        <v>8298541</v>
      </c>
      <c r="KWQ525" s="1334">
        <v>8298541</v>
      </c>
      <c r="KWR525" s="1334">
        <v>8298541</v>
      </c>
      <c r="KWS525" s="1334">
        <v>8298541</v>
      </c>
      <c r="KWT525" s="1334">
        <v>8298541</v>
      </c>
      <c r="KWU525" s="1334">
        <v>8298541</v>
      </c>
      <c r="KWV525" s="1334">
        <v>8298541</v>
      </c>
      <c r="KWW525" s="1334">
        <v>8298541</v>
      </c>
      <c r="KWX525" s="1334">
        <v>8298541</v>
      </c>
      <c r="KWY525" s="1334">
        <v>8298541</v>
      </c>
      <c r="KWZ525" s="1334">
        <v>8298541</v>
      </c>
      <c r="KXA525" s="1334">
        <v>8298541</v>
      </c>
      <c r="KXB525" s="1334">
        <v>8298541</v>
      </c>
      <c r="KXC525" s="1334">
        <v>8298541</v>
      </c>
      <c r="KXD525" s="1334">
        <v>8298541</v>
      </c>
      <c r="KXE525" s="1334">
        <v>8298541</v>
      </c>
      <c r="KXF525" s="1334">
        <v>8298541</v>
      </c>
      <c r="KXG525" s="1334">
        <v>8298541</v>
      </c>
      <c r="KXH525" s="1334">
        <v>8298541</v>
      </c>
      <c r="KXI525" s="1334">
        <v>8298541</v>
      </c>
      <c r="KXJ525" s="1334">
        <v>8298541</v>
      </c>
      <c r="KXK525" s="1334">
        <v>8298541</v>
      </c>
      <c r="KXL525" s="1334">
        <v>8298541</v>
      </c>
      <c r="KXM525" s="1334">
        <v>8298541</v>
      </c>
      <c r="KXN525" s="1334">
        <v>8298541</v>
      </c>
      <c r="KXO525" s="1334">
        <v>8298541</v>
      </c>
      <c r="KXP525" s="1334">
        <v>8298541</v>
      </c>
      <c r="KXQ525" s="1334">
        <v>8298541</v>
      </c>
      <c r="KXR525" s="1334">
        <v>8298541</v>
      </c>
      <c r="KXS525" s="1334">
        <v>8298541</v>
      </c>
      <c r="KXT525" s="1334">
        <v>8298541</v>
      </c>
      <c r="KXU525" s="1334">
        <v>8298541</v>
      </c>
      <c r="KXV525" s="1334">
        <v>8298541</v>
      </c>
      <c r="KXW525" s="1334">
        <v>8298541</v>
      </c>
      <c r="KXX525" s="1334">
        <v>8298541</v>
      </c>
      <c r="KXY525" s="1334">
        <v>8298541</v>
      </c>
      <c r="KXZ525" s="1334">
        <v>8298541</v>
      </c>
      <c r="KYA525" s="1334">
        <v>8298541</v>
      </c>
      <c r="KYB525" s="1334">
        <v>8298541</v>
      </c>
      <c r="KYC525" s="1334">
        <v>8298541</v>
      </c>
      <c r="KYD525" s="1334">
        <v>8298541</v>
      </c>
      <c r="KYE525" s="1334">
        <v>8298541</v>
      </c>
      <c r="KYF525" s="1334">
        <v>8298541</v>
      </c>
      <c r="KYG525" s="1334">
        <v>8298541</v>
      </c>
      <c r="KYH525" s="1334">
        <v>8298541</v>
      </c>
      <c r="KYI525" s="1334">
        <v>8298541</v>
      </c>
      <c r="KYJ525" s="1334">
        <v>8298541</v>
      </c>
      <c r="KYK525" s="1334">
        <v>8298541</v>
      </c>
      <c r="KYL525" s="1334">
        <v>8298541</v>
      </c>
      <c r="KYM525" s="1334">
        <v>8298541</v>
      </c>
      <c r="KYN525" s="1334">
        <v>8298541</v>
      </c>
      <c r="KYO525" s="1334">
        <v>8298541</v>
      </c>
      <c r="KYP525" s="1334">
        <v>8298541</v>
      </c>
      <c r="KYQ525" s="1334">
        <v>8298541</v>
      </c>
      <c r="KYR525" s="1334">
        <v>8298541</v>
      </c>
      <c r="KYS525" s="1334">
        <v>8298541</v>
      </c>
      <c r="KYT525" s="1334">
        <v>8298541</v>
      </c>
      <c r="KYU525" s="1334">
        <v>8298541</v>
      </c>
      <c r="KYV525" s="1334">
        <v>8298541</v>
      </c>
      <c r="KYW525" s="1334">
        <v>8298541</v>
      </c>
      <c r="KYX525" s="1334">
        <v>8298541</v>
      </c>
      <c r="KYY525" s="1334">
        <v>8298541</v>
      </c>
      <c r="KYZ525" s="1334">
        <v>8298541</v>
      </c>
      <c r="KZA525" s="1334">
        <v>8298541</v>
      </c>
      <c r="KZB525" s="1334">
        <v>8298541</v>
      </c>
      <c r="KZC525" s="1334">
        <v>8298541</v>
      </c>
      <c r="KZD525" s="1334">
        <v>8298541</v>
      </c>
      <c r="KZE525" s="1334">
        <v>8298541</v>
      </c>
      <c r="KZF525" s="1334">
        <v>8298541</v>
      </c>
      <c r="KZG525" s="1334">
        <v>8298541</v>
      </c>
      <c r="KZH525" s="1334">
        <v>8298541</v>
      </c>
      <c r="KZI525" s="1334">
        <v>8298541</v>
      </c>
      <c r="KZJ525" s="1334">
        <v>8298541</v>
      </c>
      <c r="KZK525" s="1334">
        <v>8298541</v>
      </c>
      <c r="KZL525" s="1334">
        <v>8298541</v>
      </c>
      <c r="KZM525" s="1334">
        <v>8298541</v>
      </c>
      <c r="KZN525" s="1334">
        <v>8298541</v>
      </c>
      <c r="KZO525" s="1334">
        <v>8298541</v>
      </c>
      <c r="KZP525" s="1334">
        <v>8298541</v>
      </c>
      <c r="KZQ525" s="1334">
        <v>8298541</v>
      </c>
      <c r="KZR525" s="1334">
        <v>8298541</v>
      </c>
      <c r="KZS525" s="1334">
        <v>8298541</v>
      </c>
      <c r="KZT525" s="1334">
        <v>8298541</v>
      </c>
      <c r="KZU525" s="1334">
        <v>8298541</v>
      </c>
      <c r="KZV525" s="1334">
        <v>8298541</v>
      </c>
      <c r="KZW525" s="1334">
        <v>8298541</v>
      </c>
      <c r="KZX525" s="1334">
        <v>8298541</v>
      </c>
      <c r="KZY525" s="1334">
        <v>8298541</v>
      </c>
      <c r="KZZ525" s="1334">
        <v>8298541</v>
      </c>
      <c r="LAA525" s="1334">
        <v>8298541</v>
      </c>
      <c r="LAB525" s="1334">
        <v>8298541</v>
      </c>
      <c r="LAC525" s="1334">
        <v>8298541</v>
      </c>
      <c r="LAD525" s="1334">
        <v>8298541</v>
      </c>
      <c r="LAE525" s="1334">
        <v>8298541</v>
      </c>
      <c r="LAF525" s="1334">
        <v>8298541</v>
      </c>
      <c r="LAG525" s="1334">
        <v>8298541</v>
      </c>
      <c r="LAH525" s="1334">
        <v>8298541</v>
      </c>
      <c r="LAI525" s="1334">
        <v>8298541</v>
      </c>
      <c r="LAJ525" s="1334">
        <v>8298541</v>
      </c>
      <c r="LAK525" s="1334">
        <v>8298541</v>
      </c>
      <c r="LAL525" s="1334">
        <v>8298541</v>
      </c>
      <c r="LAM525" s="1334">
        <v>8298541</v>
      </c>
      <c r="LAN525" s="1334">
        <v>8298541</v>
      </c>
      <c r="LAO525" s="1334">
        <v>8298541</v>
      </c>
      <c r="LAP525" s="1334">
        <v>8298541</v>
      </c>
      <c r="LAQ525" s="1334">
        <v>8298541</v>
      </c>
      <c r="LAR525" s="1334">
        <v>8298541</v>
      </c>
      <c r="LAS525" s="1334">
        <v>8298541</v>
      </c>
      <c r="LAT525" s="1334">
        <v>8298541</v>
      </c>
      <c r="LAU525" s="1334">
        <v>8298541</v>
      </c>
      <c r="LAV525" s="1334">
        <v>8298541</v>
      </c>
      <c r="LAW525" s="1334">
        <v>8298541</v>
      </c>
      <c r="LAX525" s="1334">
        <v>8298541</v>
      </c>
      <c r="LAY525" s="1334">
        <v>8298541</v>
      </c>
      <c r="LAZ525" s="1334">
        <v>8298541</v>
      </c>
      <c r="LBA525" s="1334">
        <v>8298541</v>
      </c>
      <c r="LBB525" s="1334">
        <v>8298541</v>
      </c>
      <c r="LBC525" s="1334">
        <v>8298541</v>
      </c>
      <c r="LBD525" s="1334">
        <v>8298541</v>
      </c>
      <c r="LBE525" s="1334">
        <v>8298541</v>
      </c>
      <c r="LBF525" s="1334">
        <v>8298541</v>
      </c>
      <c r="LBG525" s="1334">
        <v>8298541</v>
      </c>
      <c r="LBH525" s="1334">
        <v>8298541</v>
      </c>
      <c r="LBI525" s="1334">
        <v>8298541</v>
      </c>
      <c r="LBJ525" s="1334">
        <v>8298541</v>
      </c>
      <c r="LBK525" s="1334">
        <v>8298541</v>
      </c>
      <c r="LBL525" s="1334">
        <v>8298541</v>
      </c>
      <c r="LBM525" s="1334">
        <v>8298541</v>
      </c>
      <c r="LBN525" s="1334">
        <v>8298541</v>
      </c>
      <c r="LBO525" s="1334">
        <v>8298541</v>
      </c>
      <c r="LBP525" s="1334">
        <v>8298541</v>
      </c>
      <c r="LBQ525" s="1334">
        <v>8298541</v>
      </c>
      <c r="LBR525" s="1334">
        <v>8298541</v>
      </c>
      <c r="LBS525" s="1334">
        <v>8298541</v>
      </c>
      <c r="LBT525" s="1334">
        <v>8298541</v>
      </c>
      <c r="LBU525" s="1334">
        <v>8298541</v>
      </c>
      <c r="LBV525" s="1334">
        <v>8298541</v>
      </c>
      <c r="LBW525" s="1334">
        <v>8298541</v>
      </c>
      <c r="LBX525" s="1334">
        <v>8298541</v>
      </c>
      <c r="LBY525" s="1334">
        <v>8298541</v>
      </c>
      <c r="LBZ525" s="1334">
        <v>8298541</v>
      </c>
      <c r="LCA525" s="1334">
        <v>8298541</v>
      </c>
      <c r="LCB525" s="1334">
        <v>8298541</v>
      </c>
      <c r="LCC525" s="1334">
        <v>8298541</v>
      </c>
      <c r="LCD525" s="1334">
        <v>8298541</v>
      </c>
      <c r="LCE525" s="1334">
        <v>8298541</v>
      </c>
      <c r="LCF525" s="1334">
        <v>8298541</v>
      </c>
      <c r="LCG525" s="1334">
        <v>8298541</v>
      </c>
      <c r="LCH525" s="1334">
        <v>8298541</v>
      </c>
      <c r="LCI525" s="1334">
        <v>8298541</v>
      </c>
      <c r="LCJ525" s="1334">
        <v>8298541</v>
      </c>
      <c r="LCK525" s="1334">
        <v>8298541</v>
      </c>
      <c r="LCL525" s="1334">
        <v>8298541</v>
      </c>
      <c r="LCM525" s="1334">
        <v>8298541</v>
      </c>
      <c r="LCN525" s="1334">
        <v>8298541</v>
      </c>
      <c r="LCO525" s="1334">
        <v>8298541</v>
      </c>
      <c r="LCP525" s="1334">
        <v>8298541</v>
      </c>
      <c r="LCQ525" s="1334">
        <v>8298541</v>
      </c>
      <c r="LCR525" s="1334">
        <v>8298541</v>
      </c>
      <c r="LCS525" s="1334">
        <v>8298541</v>
      </c>
      <c r="LCT525" s="1334">
        <v>8298541</v>
      </c>
      <c r="LCU525" s="1334">
        <v>8298541</v>
      </c>
      <c r="LCV525" s="1334">
        <v>8298541</v>
      </c>
      <c r="LCW525" s="1334">
        <v>8298541</v>
      </c>
      <c r="LCX525" s="1334">
        <v>8298541</v>
      </c>
      <c r="LCY525" s="1334">
        <v>8298541</v>
      </c>
      <c r="LCZ525" s="1334">
        <v>8298541</v>
      </c>
      <c r="LDA525" s="1334">
        <v>8298541</v>
      </c>
      <c r="LDB525" s="1334">
        <v>8298541</v>
      </c>
      <c r="LDC525" s="1334">
        <v>8298541</v>
      </c>
      <c r="LDD525" s="1334">
        <v>8298541</v>
      </c>
      <c r="LDE525" s="1334">
        <v>8298541</v>
      </c>
      <c r="LDF525" s="1334">
        <v>8298541</v>
      </c>
      <c r="LDG525" s="1334">
        <v>8298541</v>
      </c>
      <c r="LDH525" s="1334">
        <v>8298541</v>
      </c>
      <c r="LDI525" s="1334">
        <v>8298541</v>
      </c>
      <c r="LDJ525" s="1334">
        <v>8298541</v>
      </c>
      <c r="LDK525" s="1334">
        <v>8298541</v>
      </c>
      <c r="LDL525" s="1334">
        <v>8298541</v>
      </c>
      <c r="LDM525" s="1334">
        <v>8298541</v>
      </c>
      <c r="LDN525" s="1334">
        <v>8298541</v>
      </c>
      <c r="LDO525" s="1334">
        <v>8298541</v>
      </c>
      <c r="LDP525" s="1334">
        <v>8298541</v>
      </c>
      <c r="LDQ525" s="1334">
        <v>8298541</v>
      </c>
      <c r="LDR525" s="1334">
        <v>8298541</v>
      </c>
      <c r="LDS525" s="1334">
        <v>8298541</v>
      </c>
      <c r="LDT525" s="1334">
        <v>8298541</v>
      </c>
      <c r="LDU525" s="1334">
        <v>8298541</v>
      </c>
      <c r="LDV525" s="1334">
        <v>8298541</v>
      </c>
      <c r="LDW525" s="1334">
        <v>8298541</v>
      </c>
      <c r="LDX525" s="1334">
        <v>8298541</v>
      </c>
      <c r="LDY525" s="1334">
        <v>8298541</v>
      </c>
      <c r="LDZ525" s="1334">
        <v>8298541</v>
      </c>
      <c r="LEA525" s="1334">
        <v>8298541</v>
      </c>
      <c r="LEB525" s="1334">
        <v>8298541</v>
      </c>
      <c r="LEC525" s="1334">
        <v>8298541</v>
      </c>
      <c r="LED525" s="1334">
        <v>8298541</v>
      </c>
      <c r="LEE525" s="1334">
        <v>8298541</v>
      </c>
      <c r="LEF525" s="1334">
        <v>8298541</v>
      </c>
      <c r="LEG525" s="1334">
        <v>8298541</v>
      </c>
      <c r="LEH525" s="1334">
        <v>8298541</v>
      </c>
      <c r="LEI525" s="1334">
        <v>8298541</v>
      </c>
      <c r="LEJ525" s="1334">
        <v>8298541</v>
      </c>
      <c r="LEK525" s="1334">
        <v>8298541</v>
      </c>
      <c r="LEL525" s="1334">
        <v>8298541</v>
      </c>
      <c r="LEM525" s="1334">
        <v>8298541</v>
      </c>
      <c r="LEN525" s="1334">
        <v>8298541</v>
      </c>
      <c r="LEO525" s="1334">
        <v>8298541</v>
      </c>
      <c r="LEP525" s="1334">
        <v>8298541</v>
      </c>
      <c r="LEQ525" s="1334">
        <v>8298541</v>
      </c>
      <c r="LER525" s="1334">
        <v>8298541</v>
      </c>
      <c r="LES525" s="1334">
        <v>8298541</v>
      </c>
      <c r="LET525" s="1334">
        <v>8298541</v>
      </c>
      <c r="LEU525" s="1334">
        <v>8298541</v>
      </c>
      <c r="LEV525" s="1334">
        <v>8298541</v>
      </c>
      <c r="LEW525" s="1334">
        <v>8298541</v>
      </c>
      <c r="LEX525" s="1334">
        <v>8298541</v>
      </c>
      <c r="LEY525" s="1334">
        <v>8298541</v>
      </c>
      <c r="LEZ525" s="1334">
        <v>8298541</v>
      </c>
      <c r="LFA525" s="1334">
        <v>8298541</v>
      </c>
      <c r="LFB525" s="1334">
        <v>8298541</v>
      </c>
      <c r="LFC525" s="1334">
        <v>8298541</v>
      </c>
      <c r="LFD525" s="1334">
        <v>8298541</v>
      </c>
      <c r="LFE525" s="1334">
        <v>8298541</v>
      </c>
      <c r="LFF525" s="1334">
        <v>8298541</v>
      </c>
      <c r="LFG525" s="1334">
        <v>8298541</v>
      </c>
      <c r="LFH525" s="1334">
        <v>8298541</v>
      </c>
      <c r="LFI525" s="1334">
        <v>8298541</v>
      </c>
      <c r="LFJ525" s="1334">
        <v>8298541</v>
      </c>
      <c r="LFK525" s="1334">
        <v>8298541</v>
      </c>
      <c r="LFL525" s="1334">
        <v>8298541</v>
      </c>
      <c r="LFM525" s="1334">
        <v>8298541</v>
      </c>
      <c r="LFN525" s="1334">
        <v>8298541</v>
      </c>
      <c r="LFO525" s="1334">
        <v>8298541</v>
      </c>
      <c r="LFP525" s="1334">
        <v>8298541</v>
      </c>
      <c r="LFQ525" s="1334">
        <v>8298541</v>
      </c>
      <c r="LFR525" s="1334">
        <v>8298541</v>
      </c>
      <c r="LFS525" s="1334">
        <v>8298541</v>
      </c>
      <c r="LFT525" s="1334">
        <v>8298541</v>
      </c>
      <c r="LFU525" s="1334">
        <v>8298541</v>
      </c>
      <c r="LFV525" s="1334">
        <v>8298541</v>
      </c>
      <c r="LFW525" s="1334">
        <v>8298541</v>
      </c>
      <c r="LFX525" s="1334">
        <v>8298541</v>
      </c>
      <c r="LFY525" s="1334">
        <v>8298541</v>
      </c>
      <c r="LFZ525" s="1334">
        <v>8298541</v>
      </c>
      <c r="LGA525" s="1334">
        <v>8298541</v>
      </c>
      <c r="LGB525" s="1334">
        <v>8298541</v>
      </c>
      <c r="LGC525" s="1334">
        <v>8298541</v>
      </c>
      <c r="LGD525" s="1334">
        <v>8298541</v>
      </c>
      <c r="LGE525" s="1334">
        <v>8298541</v>
      </c>
      <c r="LGF525" s="1334">
        <v>8298541</v>
      </c>
      <c r="LGG525" s="1334">
        <v>8298541</v>
      </c>
      <c r="LGH525" s="1334">
        <v>8298541</v>
      </c>
      <c r="LGI525" s="1334">
        <v>8298541</v>
      </c>
      <c r="LGJ525" s="1334">
        <v>8298541</v>
      </c>
      <c r="LGK525" s="1334">
        <v>8298541</v>
      </c>
      <c r="LGL525" s="1334">
        <v>8298541</v>
      </c>
      <c r="LGM525" s="1334">
        <v>8298541</v>
      </c>
      <c r="LGN525" s="1334">
        <v>8298541</v>
      </c>
      <c r="LGO525" s="1334">
        <v>8298541</v>
      </c>
      <c r="LGP525" s="1334">
        <v>8298541</v>
      </c>
      <c r="LGQ525" s="1334">
        <v>8298541</v>
      </c>
      <c r="LGR525" s="1334">
        <v>8298541</v>
      </c>
      <c r="LGS525" s="1334">
        <v>8298541</v>
      </c>
      <c r="LGT525" s="1334">
        <v>8298541</v>
      </c>
      <c r="LGU525" s="1334">
        <v>8298541</v>
      </c>
      <c r="LGV525" s="1334">
        <v>8298541</v>
      </c>
      <c r="LGW525" s="1334">
        <v>8298541</v>
      </c>
      <c r="LGX525" s="1334">
        <v>8298541</v>
      </c>
      <c r="LGY525" s="1334">
        <v>8298541</v>
      </c>
      <c r="LGZ525" s="1334">
        <v>8298541</v>
      </c>
      <c r="LHA525" s="1334">
        <v>8298541</v>
      </c>
      <c r="LHB525" s="1334">
        <v>8298541</v>
      </c>
      <c r="LHC525" s="1334">
        <v>8298541</v>
      </c>
      <c r="LHD525" s="1334">
        <v>8298541</v>
      </c>
      <c r="LHE525" s="1334">
        <v>8298541</v>
      </c>
      <c r="LHF525" s="1334">
        <v>8298541</v>
      </c>
      <c r="LHG525" s="1334">
        <v>8298541</v>
      </c>
      <c r="LHH525" s="1334">
        <v>8298541</v>
      </c>
      <c r="LHI525" s="1334">
        <v>8298541</v>
      </c>
      <c r="LHJ525" s="1334">
        <v>8298541</v>
      </c>
      <c r="LHK525" s="1334">
        <v>8298541</v>
      </c>
      <c r="LHL525" s="1334">
        <v>8298541</v>
      </c>
      <c r="LHM525" s="1334">
        <v>8298541</v>
      </c>
      <c r="LHN525" s="1334">
        <v>8298541</v>
      </c>
      <c r="LHO525" s="1334">
        <v>8298541</v>
      </c>
      <c r="LHP525" s="1334">
        <v>8298541</v>
      </c>
      <c r="LHQ525" s="1334">
        <v>8298541</v>
      </c>
      <c r="LHR525" s="1334">
        <v>8298541</v>
      </c>
      <c r="LHS525" s="1334">
        <v>8298541</v>
      </c>
      <c r="LHT525" s="1334">
        <v>8298541</v>
      </c>
      <c r="LHU525" s="1334">
        <v>8298541</v>
      </c>
      <c r="LHV525" s="1334">
        <v>8298541</v>
      </c>
      <c r="LHW525" s="1334">
        <v>8298541</v>
      </c>
      <c r="LHX525" s="1334">
        <v>8298541</v>
      </c>
      <c r="LHY525" s="1334">
        <v>8298541</v>
      </c>
      <c r="LHZ525" s="1334">
        <v>8298541</v>
      </c>
      <c r="LIA525" s="1334">
        <v>8298541</v>
      </c>
      <c r="LIB525" s="1334">
        <v>8298541</v>
      </c>
      <c r="LIC525" s="1334">
        <v>8298541</v>
      </c>
      <c r="LID525" s="1334">
        <v>8298541</v>
      </c>
      <c r="LIE525" s="1334">
        <v>8298541</v>
      </c>
      <c r="LIF525" s="1334">
        <v>8298541</v>
      </c>
      <c r="LIG525" s="1334">
        <v>8298541</v>
      </c>
      <c r="LIH525" s="1334">
        <v>8298541</v>
      </c>
      <c r="LII525" s="1334">
        <v>8298541</v>
      </c>
      <c r="LIJ525" s="1334">
        <v>8298541</v>
      </c>
      <c r="LIK525" s="1334">
        <v>8298541</v>
      </c>
      <c r="LIL525" s="1334">
        <v>8298541</v>
      </c>
      <c r="LIM525" s="1334">
        <v>8298541</v>
      </c>
      <c r="LIN525" s="1334">
        <v>8298541</v>
      </c>
      <c r="LIO525" s="1334">
        <v>8298541</v>
      </c>
      <c r="LIP525" s="1334">
        <v>8298541</v>
      </c>
      <c r="LIQ525" s="1334">
        <v>8298541</v>
      </c>
      <c r="LIR525" s="1334">
        <v>8298541</v>
      </c>
      <c r="LIS525" s="1334">
        <v>8298541</v>
      </c>
      <c r="LIT525" s="1334">
        <v>8298541</v>
      </c>
      <c r="LIU525" s="1334">
        <v>8298541</v>
      </c>
      <c r="LIV525" s="1334">
        <v>8298541</v>
      </c>
      <c r="LIW525" s="1334">
        <v>8298541</v>
      </c>
      <c r="LIX525" s="1334">
        <v>8298541</v>
      </c>
      <c r="LIY525" s="1334">
        <v>8298541</v>
      </c>
      <c r="LIZ525" s="1334">
        <v>8298541</v>
      </c>
      <c r="LJA525" s="1334">
        <v>8298541</v>
      </c>
      <c r="LJB525" s="1334">
        <v>8298541</v>
      </c>
      <c r="LJC525" s="1334">
        <v>8298541</v>
      </c>
      <c r="LJD525" s="1334">
        <v>8298541</v>
      </c>
      <c r="LJE525" s="1334">
        <v>8298541</v>
      </c>
      <c r="LJF525" s="1334">
        <v>8298541</v>
      </c>
      <c r="LJG525" s="1334">
        <v>8298541</v>
      </c>
      <c r="LJH525" s="1334">
        <v>8298541</v>
      </c>
      <c r="LJI525" s="1334">
        <v>8298541</v>
      </c>
      <c r="LJJ525" s="1334">
        <v>8298541</v>
      </c>
      <c r="LJK525" s="1334">
        <v>8298541</v>
      </c>
      <c r="LJL525" s="1334">
        <v>8298541</v>
      </c>
      <c r="LJM525" s="1334">
        <v>8298541</v>
      </c>
      <c r="LJN525" s="1334">
        <v>8298541</v>
      </c>
      <c r="LJO525" s="1334">
        <v>8298541</v>
      </c>
      <c r="LJP525" s="1334">
        <v>8298541</v>
      </c>
      <c r="LJQ525" s="1334">
        <v>8298541</v>
      </c>
      <c r="LJR525" s="1334">
        <v>8298541</v>
      </c>
      <c r="LJS525" s="1334">
        <v>8298541</v>
      </c>
      <c r="LJT525" s="1334">
        <v>8298541</v>
      </c>
      <c r="LJU525" s="1334">
        <v>8298541</v>
      </c>
      <c r="LJV525" s="1334">
        <v>8298541</v>
      </c>
      <c r="LJW525" s="1334">
        <v>8298541</v>
      </c>
      <c r="LJX525" s="1334">
        <v>8298541</v>
      </c>
      <c r="LJY525" s="1334">
        <v>8298541</v>
      </c>
      <c r="LJZ525" s="1334">
        <v>8298541</v>
      </c>
      <c r="LKA525" s="1334">
        <v>8298541</v>
      </c>
      <c r="LKB525" s="1334">
        <v>8298541</v>
      </c>
      <c r="LKC525" s="1334">
        <v>8298541</v>
      </c>
      <c r="LKD525" s="1334">
        <v>8298541</v>
      </c>
      <c r="LKE525" s="1334">
        <v>8298541</v>
      </c>
      <c r="LKF525" s="1334">
        <v>8298541</v>
      </c>
      <c r="LKG525" s="1334">
        <v>8298541</v>
      </c>
      <c r="LKH525" s="1334">
        <v>8298541</v>
      </c>
      <c r="LKI525" s="1334">
        <v>8298541</v>
      </c>
      <c r="LKJ525" s="1334">
        <v>8298541</v>
      </c>
      <c r="LKK525" s="1334">
        <v>8298541</v>
      </c>
      <c r="LKL525" s="1334">
        <v>8298541</v>
      </c>
      <c r="LKM525" s="1334">
        <v>8298541</v>
      </c>
      <c r="LKN525" s="1334">
        <v>8298541</v>
      </c>
      <c r="LKO525" s="1334">
        <v>8298541</v>
      </c>
      <c r="LKP525" s="1334">
        <v>8298541</v>
      </c>
      <c r="LKQ525" s="1334">
        <v>8298541</v>
      </c>
      <c r="LKR525" s="1334">
        <v>8298541</v>
      </c>
      <c r="LKS525" s="1334">
        <v>8298541</v>
      </c>
      <c r="LKT525" s="1334">
        <v>8298541</v>
      </c>
      <c r="LKU525" s="1334">
        <v>8298541</v>
      </c>
      <c r="LKV525" s="1334">
        <v>8298541</v>
      </c>
      <c r="LKW525" s="1334">
        <v>8298541</v>
      </c>
      <c r="LKX525" s="1334">
        <v>8298541</v>
      </c>
      <c r="LKY525" s="1334">
        <v>8298541</v>
      </c>
      <c r="LKZ525" s="1334">
        <v>8298541</v>
      </c>
      <c r="LLA525" s="1334">
        <v>8298541</v>
      </c>
      <c r="LLB525" s="1334">
        <v>8298541</v>
      </c>
      <c r="LLC525" s="1334">
        <v>8298541</v>
      </c>
      <c r="LLD525" s="1334">
        <v>8298541</v>
      </c>
      <c r="LLE525" s="1334">
        <v>8298541</v>
      </c>
      <c r="LLF525" s="1334">
        <v>8298541</v>
      </c>
      <c r="LLG525" s="1334">
        <v>8298541</v>
      </c>
      <c r="LLH525" s="1334">
        <v>8298541</v>
      </c>
      <c r="LLI525" s="1334">
        <v>8298541</v>
      </c>
      <c r="LLJ525" s="1334">
        <v>8298541</v>
      </c>
      <c r="LLK525" s="1334">
        <v>8298541</v>
      </c>
      <c r="LLL525" s="1334">
        <v>8298541</v>
      </c>
      <c r="LLM525" s="1334">
        <v>8298541</v>
      </c>
      <c r="LLN525" s="1334">
        <v>8298541</v>
      </c>
      <c r="LLO525" s="1334">
        <v>8298541</v>
      </c>
      <c r="LLP525" s="1334">
        <v>8298541</v>
      </c>
      <c r="LLQ525" s="1334">
        <v>8298541</v>
      </c>
      <c r="LLR525" s="1334">
        <v>8298541</v>
      </c>
      <c r="LLS525" s="1334">
        <v>8298541</v>
      </c>
      <c r="LLT525" s="1334">
        <v>8298541</v>
      </c>
      <c r="LLU525" s="1334">
        <v>8298541</v>
      </c>
      <c r="LLV525" s="1334">
        <v>8298541</v>
      </c>
      <c r="LLW525" s="1334">
        <v>8298541</v>
      </c>
      <c r="LLX525" s="1334">
        <v>8298541</v>
      </c>
      <c r="LLY525" s="1334">
        <v>8298541</v>
      </c>
      <c r="LLZ525" s="1334">
        <v>8298541</v>
      </c>
      <c r="LMA525" s="1334">
        <v>8298541</v>
      </c>
      <c r="LMB525" s="1334">
        <v>8298541</v>
      </c>
      <c r="LMC525" s="1334">
        <v>8298541</v>
      </c>
      <c r="LMD525" s="1334">
        <v>8298541</v>
      </c>
      <c r="LME525" s="1334">
        <v>8298541</v>
      </c>
      <c r="LMF525" s="1334">
        <v>8298541</v>
      </c>
      <c r="LMG525" s="1334">
        <v>8298541</v>
      </c>
      <c r="LMH525" s="1334">
        <v>8298541</v>
      </c>
      <c r="LMI525" s="1334">
        <v>8298541</v>
      </c>
      <c r="LMJ525" s="1334">
        <v>8298541</v>
      </c>
      <c r="LMK525" s="1334">
        <v>8298541</v>
      </c>
      <c r="LML525" s="1334">
        <v>8298541</v>
      </c>
      <c r="LMM525" s="1334">
        <v>8298541</v>
      </c>
      <c r="LMN525" s="1334">
        <v>8298541</v>
      </c>
      <c r="LMO525" s="1334">
        <v>8298541</v>
      </c>
      <c r="LMP525" s="1334">
        <v>8298541</v>
      </c>
      <c r="LMQ525" s="1334">
        <v>8298541</v>
      </c>
      <c r="LMR525" s="1334">
        <v>8298541</v>
      </c>
      <c r="LMS525" s="1334">
        <v>8298541</v>
      </c>
      <c r="LMT525" s="1334">
        <v>8298541</v>
      </c>
      <c r="LMU525" s="1334">
        <v>8298541</v>
      </c>
      <c r="LMV525" s="1334">
        <v>8298541</v>
      </c>
      <c r="LMW525" s="1334">
        <v>8298541</v>
      </c>
      <c r="LMX525" s="1334">
        <v>8298541</v>
      </c>
      <c r="LMY525" s="1334">
        <v>8298541</v>
      </c>
      <c r="LMZ525" s="1334">
        <v>8298541</v>
      </c>
      <c r="LNA525" s="1334">
        <v>8298541</v>
      </c>
      <c r="LNB525" s="1334">
        <v>8298541</v>
      </c>
      <c r="LNC525" s="1334">
        <v>8298541</v>
      </c>
      <c r="LND525" s="1334">
        <v>8298541</v>
      </c>
      <c r="LNE525" s="1334">
        <v>8298541</v>
      </c>
      <c r="LNF525" s="1334">
        <v>8298541</v>
      </c>
      <c r="LNG525" s="1334">
        <v>8298541</v>
      </c>
      <c r="LNH525" s="1334">
        <v>8298541</v>
      </c>
      <c r="LNI525" s="1334">
        <v>8298541</v>
      </c>
      <c r="LNJ525" s="1334">
        <v>8298541</v>
      </c>
      <c r="LNK525" s="1334">
        <v>8298541</v>
      </c>
      <c r="LNL525" s="1334">
        <v>8298541</v>
      </c>
      <c r="LNM525" s="1334">
        <v>8298541</v>
      </c>
      <c r="LNN525" s="1334">
        <v>8298541</v>
      </c>
      <c r="LNO525" s="1334">
        <v>8298541</v>
      </c>
      <c r="LNP525" s="1334">
        <v>8298541</v>
      </c>
      <c r="LNQ525" s="1334">
        <v>8298541</v>
      </c>
      <c r="LNR525" s="1334">
        <v>8298541</v>
      </c>
      <c r="LNS525" s="1334">
        <v>8298541</v>
      </c>
      <c r="LNT525" s="1334">
        <v>8298541</v>
      </c>
      <c r="LNU525" s="1334">
        <v>8298541</v>
      </c>
      <c r="LNV525" s="1334">
        <v>8298541</v>
      </c>
      <c r="LNW525" s="1334">
        <v>8298541</v>
      </c>
      <c r="LNX525" s="1334">
        <v>8298541</v>
      </c>
      <c r="LNY525" s="1334">
        <v>8298541</v>
      </c>
      <c r="LNZ525" s="1334">
        <v>8298541</v>
      </c>
      <c r="LOA525" s="1334">
        <v>8298541</v>
      </c>
      <c r="LOB525" s="1334">
        <v>8298541</v>
      </c>
      <c r="LOC525" s="1334">
        <v>8298541</v>
      </c>
      <c r="LOD525" s="1334">
        <v>8298541</v>
      </c>
      <c r="LOE525" s="1334">
        <v>8298541</v>
      </c>
      <c r="LOF525" s="1334">
        <v>8298541</v>
      </c>
      <c r="LOG525" s="1334">
        <v>8298541</v>
      </c>
      <c r="LOH525" s="1334">
        <v>8298541</v>
      </c>
      <c r="LOI525" s="1334">
        <v>8298541</v>
      </c>
      <c r="LOJ525" s="1334">
        <v>8298541</v>
      </c>
      <c r="LOK525" s="1334">
        <v>8298541</v>
      </c>
      <c r="LOL525" s="1334">
        <v>8298541</v>
      </c>
      <c r="LOM525" s="1334">
        <v>8298541</v>
      </c>
      <c r="LON525" s="1334">
        <v>8298541</v>
      </c>
      <c r="LOO525" s="1334">
        <v>8298541</v>
      </c>
      <c r="LOP525" s="1334">
        <v>8298541</v>
      </c>
      <c r="LOQ525" s="1334">
        <v>8298541</v>
      </c>
      <c r="LOR525" s="1334">
        <v>8298541</v>
      </c>
      <c r="LOS525" s="1334">
        <v>8298541</v>
      </c>
      <c r="LOT525" s="1334">
        <v>8298541</v>
      </c>
      <c r="LOU525" s="1334">
        <v>8298541</v>
      </c>
      <c r="LOV525" s="1334">
        <v>8298541</v>
      </c>
      <c r="LOW525" s="1334">
        <v>8298541</v>
      </c>
      <c r="LOX525" s="1334">
        <v>8298541</v>
      </c>
      <c r="LOY525" s="1334">
        <v>8298541</v>
      </c>
      <c r="LOZ525" s="1334">
        <v>8298541</v>
      </c>
      <c r="LPA525" s="1334">
        <v>8298541</v>
      </c>
      <c r="LPB525" s="1334">
        <v>8298541</v>
      </c>
      <c r="LPC525" s="1334">
        <v>8298541</v>
      </c>
      <c r="LPD525" s="1334">
        <v>8298541</v>
      </c>
      <c r="LPE525" s="1334">
        <v>8298541</v>
      </c>
      <c r="LPF525" s="1334">
        <v>8298541</v>
      </c>
      <c r="LPG525" s="1334">
        <v>8298541</v>
      </c>
      <c r="LPH525" s="1334">
        <v>8298541</v>
      </c>
      <c r="LPI525" s="1334">
        <v>8298541</v>
      </c>
      <c r="LPJ525" s="1334">
        <v>8298541</v>
      </c>
      <c r="LPK525" s="1334">
        <v>8298541</v>
      </c>
      <c r="LPL525" s="1334">
        <v>8298541</v>
      </c>
      <c r="LPM525" s="1334">
        <v>8298541</v>
      </c>
      <c r="LPN525" s="1334">
        <v>8298541</v>
      </c>
      <c r="LPO525" s="1334">
        <v>8298541</v>
      </c>
      <c r="LPP525" s="1334">
        <v>8298541</v>
      </c>
      <c r="LPQ525" s="1334">
        <v>8298541</v>
      </c>
      <c r="LPR525" s="1334">
        <v>8298541</v>
      </c>
      <c r="LPS525" s="1334">
        <v>8298541</v>
      </c>
      <c r="LPT525" s="1334">
        <v>8298541</v>
      </c>
      <c r="LPU525" s="1334">
        <v>8298541</v>
      </c>
      <c r="LPV525" s="1334">
        <v>8298541</v>
      </c>
      <c r="LPW525" s="1334">
        <v>8298541</v>
      </c>
      <c r="LPX525" s="1334">
        <v>8298541</v>
      </c>
      <c r="LPY525" s="1334">
        <v>8298541</v>
      </c>
      <c r="LPZ525" s="1334">
        <v>8298541</v>
      </c>
      <c r="LQA525" s="1334">
        <v>8298541</v>
      </c>
      <c r="LQB525" s="1334">
        <v>8298541</v>
      </c>
      <c r="LQC525" s="1334">
        <v>8298541</v>
      </c>
      <c r="LQD525" s="1334">
        <v>8298541</v>
      </c>
      <c r="LQE525" s="1334">
        <v>8298541</v>
      </c>
      <c r="LQF525" s="1334">
        <v>8298541</v>
      </c>
      <c r="LQG525" s="1334">
        <v>8298541</v>
      </c>
      <c r="LQH525" s="1334">
        <v>8298541</v>
      </c>
      <c r="LQI525" s="1334">
        <v>8298541</v>
      </c>
      <c r="LQJ525" s="1334">
        <v>8298541</v>
      </c>
      <c r="LQK525" s="1334">
        <v>8298541</v>
      </c>
      <c r="LQL525" s="1334">
        <v>8298541</v>
      </c>
      <c r="LQM525" s="1334">
        <v>8298541</v>
      </c>
      <c r="LQN525" s="1334">
        <v>8298541</v>
      </c>
      <c r="LQO525" s="1334">
        <v>8298541</v>
      </c>
      <c r="LQP525" s="1334">
        <v>8298541</v>
      </c>
      <c r="LQQ525" s="1334">
        <v>8298541</v>
      </c>
      <c r="LQR525" s="1334">
        <v>8298541</v>
      </c>
      <c r="LQS525" s="1334">
        <v>8298541</v>
      </c>
      <c r="LQT525" s="1334">
        <v>8298541</v>
      </c>
      <c r="LQU525" s="1334">
        <v>8298541</v>
      </c>
      <c r="LQV525" s="1334">
        <v>8298541</v>
      </c>
      <c r="LQW525" s="1334">
        <v>8298541</v>
      </c>
      <c r="LQX525" s="1334">
        <v>8298541</v>
      </c>
      <c r="LQY525" s="1334">
        <v>8298541</v>
      </c>
      <c r="LQZ525" s="1334">
        <v>8298541</v>
      </c>
      <c r="LRA525" s="1334">
        <v>8298541</v>
      </c>
      <c r="LRB525" s="1334">
        <v>8298541</v>
      </c>
      <c r="LRC525" s="1334">
        <v>8298541</v>
      </c>
      <c r="LRD525" s="1334">
        <v>8298541</v>
      </c>
      <c r="LRE525" s="1334">
        <v>8298541</v>
      </c>
      <c r="LRF525" s="1334">
        <v>8298541</v>
      </c>
      <c r="LRG525" s="1334">
        <v>8298541</v>
      </c>
      <c r="LRH525" s="1334">
        <v>8298541</v>
      </c>
      <c r="LRI525" s="1334">
        <v>8298541</v>
      </c>
      <c r="LRJ525" s="1334">
        <v>8298541</v>
      </c>
      <c r="LRK525" s="1334">
        <v>8298541</v>
      </c>
      <c r="LRL525" s="1334">
        <v>8298541</v>
      </c>
      <c r="LRM525" s="1334">
        <v>8298541</v>
      </c>
      <c r="LRN525" s="1334">
        <v>8298541</v>
      </c>
      <c r="LRO525" s="1334">
        <v>8298541</v>
      </c>
      <c r="LRP525" s="1334">
        <v>8298541</v>
      </c>
      <c r="LRQ525" s="1334">
        <v>8298541</v>
      </c>
      <c r="LRR525" s="1334">
        <v>8298541</v>
      </c>
      <c r="LRS525" s="1334">
        <v>8298541</v>
      </c>
      <c r="LRT525" s="1334">
        <v>8298541</v>
      </c>
      <c r="LRU525" s="1334">
        <v>8298541</v>
      </c>
      <c r="LRV525" s="1334">
        <v>8298541</v>
      </c>
      <c r="LRW525" s="1334">
        <v>8298541</v>
      </c>
      <c r="LRX525" s="1334">
        <v>8298541</v>
      </c>
      <c r="LRY525" s="1334">
        <v>8298541</v>
      </c>
      <c r="LRZ525" s="1334">
        <v>8298541</v>
      </c>
      <c r="LSA525" s="1334">
        <v>8298541</v>
      </c>
      <c r="LSB525" s="1334">
        <v>8298541</v>
      </c>
      <c r="LSC525" s="1334">
        <v>8298541</v>
      </c>
      <c r="LSD525" s="1334">
        <v>8298541</v>
      </c>
      <c r="LSE525" s="1334">
        <v>8298541</v>
      </c>
      <c r="LSF525" s="1334">
        <v>8298541</v>
      </c>
      <c r="LSG525" s="1334">
        <v>8298541</v>
      </c>
      <c r="LSH525" s="1334">
        <v>8298541</v>
      </c>
      <c r="LSI525" s="1334">
        <v>8298541</v>
      </c>
      <c r="LSJ525" s="1334">
        <v>8298541</v>
      </c>
      <c r="LSK525" s="1334">
        <v>8298541</v>
      </c>
      <c r="LSL525" s="1334">
        <v>8298541</v>
      </c>
      <c r="LSM525" s="1334">
        <v>8298541</v>
      </c>
      <c r="LSN525" s="1334">
        <v>8298541</v>
      </c>
      <c r="LSO525" s="1334">
        <v>8298541</v>
      </c>
      <c r="LSP525" s="1334">
        <v>8298541</v>
      </c>
      <c r="LSQ525" s="1334">
        <v>8298541</v>
      </c>
      <c r="LSR525" s="1334">
        <v>8298541</v>
      </c>
      <c r="LSS525" s="1334">
        <v>8298541</v>
      </c>
      <c r="LST525" s="1334">
        <v>8298541</v>
      </c>
      <c r="LSU525" s="1334">
        <v>8298541</v>
      </c>
      <c r="LSV525" s="1334">
        <v>8298541</v>
      </c>
      <c r="LSW525" s="1334">
        <v>8298541</v>
      </c>
      <c r="LSX525" s="1334">
        <v>8298541</v>
      </c>
      <c r="LSY525" s="1334">
        <v>8298541</v>
      </c>
      <c r="LSZ525" s="1334">
        <v>8298541</v>
      </c>
      <c r="LTA525" s="1334">
        <v>8298541</v>
      </c>
      <c r="LTB525" s="1334">
        <v>8298541</v>
      </c>
      <c r="LTC525" s="1334">
        <v>8298541</v>
      </c>
      <c r="LTD525" s="1334">
        <v>8298541</v>
      </c>
      <c r="LTE525" s="1334">
        <v>8298541</v>
      </c>
      <c r="LTF525" s="1334">
        <v>8298541</v>
      </c>
      <c r="LTG525" s="1334">
        <v>8298541</v>
      </c>
      <c r="LTH525" s="1334">
        <v>8298541</v>
      </c>
      <c r="LTI525" s="1334">
        <v>8298541</v>
      </c>
      <c r="LTJ525" s="1334">
        <v>8298541</v>
      </c>
      <c r="LTK525" s="1334">
        <v>8298541</v>
      </c>
      <c r="LTL525" s="1334">
        <v>8298541</v>
      </c>
      <c r="LTM525" s="1334">
        <v>8298541</v>
      </c>
      <c r="LTN525" s="1334">
        <v>8298541</v>
      </c>
      <c r="LTO525" s="1334">
        <v>8298541</v>
      </c>
      <c r="LTP525" s="1334">
        <v>8298541</v>
      </c>
      <c r="LTQ525" s="1334">
        <v>8298541</v>
      </c>
      <c r="LTR525" s="1334">
        <v>8298541</v>
      </c>
      <c r="LTS525" s="1334">
        <v>8298541</v>
      </c>
      <c r="LTT525" s="1334">
        <v>8298541</v>
      </c>
      <c r="LTU525" s="1334">
        <v>8298541</v>
      </c>
      <c r="LTV525" s="1334">
        <v>8298541</v>
      </c>
      <c r="LTW525" s="1334">
        <v>8298541</v>
      </c>
      <c r="LTX525" s="1334">
        <v>8298541</v>
      </c>
      <c r="LTY525" s="1334">
        <v>8298541</v>
      </c>
      <c r="LTZ525" s="1334">
        <v>8298541</v>
      </c>
      <c r="LUA525" s="1334">
        <v>8298541</v>
      </c>
      <c r="LUB525" s="1334">
        <v>8298541</v>
      </c>
      <c r="LUC525" s="1334">
        <v>8298541</v>
      </c>
      <c r="LUD525" s="1334">
        <v>8298541</v>
      </c>
      <c r="LUE525" s="1334">
        <v>8298541</v>
      </c>
      <c r="LUF525" s="1334">
        <v>8298541</v>
      </c>
      <c r="LUG525" s="1334">
        <v>8298541</v>
      </c>
      <c r="LUH525" s="1334">
        <v>8298541</v>
      </c>
      <c r="LUI525" s="1334">
        <v>8298541</v>
      </c>
      <c r="LUJ525" s="1334">
        <v>8298541</v>
      </c>
      <c r="LUK525" s="1334">
        <v>8298541</v>
      </c>
      <c r="LUL525" s="1334">
        <v>8298541</v>
      </c>
      <c r="LUM525" s="1334">
        <v>8298541</v>
      </c>
      <c r="LUN525" s="1334">
        <v>8298541</v>
      </c>
      <c r="LUO525" s="1334">
        <v>8298541</v>
      </c>
      <c r="LUP525" s="1334">
        <v>8298541</v>
      </c>
      <c r="LUQ525" s="1334">
        <v>8298541</v>
      </c>
      <c r="LUR525" s="1334">
        <v>8298541</v>
      </c>
      <c r="LUS525" s="1334">
        <v>8298541</v>
      </c>
      <c r="LUT525" s="1334">
        <v>8298541</v>
      </c>
      <c r="LUU525" s="1334">
        <v>8298541</v>
      </c>
      <c r="LUV525" s="1334">
        <v>8298541</v>
      </c>
      <c r="LUW525" s="1334">
        <v>8298541</v>
      </c>
      <c r="LUX525" s="1334">
        <v>8298541</v>
      </c>
      <c r="LUY525" s="1334">
        <v>8298541</v>
      </c>
      <c r="LUZ525" s="1334">
        <v>8298541</v>
      </c>
      <c r="LVA525" s="1334">
        <v>8298541</v>
      </c>
      <c r="LVB525" s="1334">
        <v>8298541</v>
      </c>
      <c r="LVC525" s="1334">
        <v>8298541</v>
      </c>
      <c r="LVD525" s="1334">
        <v>8298541</v>
      </c>
      <c r="LVE525" s="1334">
        <v>8298541</v>
      </c>
      <c r="LVF525" s="1334">
        <v>8298541</v>
      </c>
      <c r="LVG525" s="1334">
        <v>8298541</v>
      </c>
      <c r="LVH525" s="1334">
        <v>8298541</v>
      </c>
      <c r="LVI525" s="1334">
        <v>8298541</v>
      </c>
      <c r="LVJ525" s="1334">
        <v>8298541</v>
      </c>
      <c r="LVK525" s="1334">
        <v>8298541</v>
      </c>
      <c r="LVL525" s="1334">
        <v>8298541</v>
      </c>
      <c r="LVM525" s="1334">
        <v>8298541</v>
      </c>
      <c r="LVN525" s="1334">
        <v>8298541</v>
      </c>
      <c r="LVO525" s="1334">
        <v>8298541</v>
      </c>
      <c r="LVP525" s="1334">
        <v>8298541</v>
      </c>
      <c r="LVQ525" s="1334">
        <v>8298541</v>
      </c>
      <c r="LVR525" s="1334">
        <v>8298541</v>
      </c>
      <c r="LVS525" s="1334">
        <v>8298541</v>
      </c>
      <c r="LVT525" s="1334">
        <v>8298541</v>
      </c>
      <c r="LVU525" s="1334">
        <v>8298541</v>
      </c>
      <c r="LVV525" s="1334">
        <v>8298541</v>
      </c>
      <c r="LVW525" s="1334">
        <v>8298541</v>
      </c>
      <c r="LVX525" s="1334">
        <v>8298541</v>
      </c>
      <c r="LVY525" s="1334">
        <v>8298541</v>
      </c>
      <c r="LVZ525" s="1334">
        <v>8298541</v>
      </c>
      <c r="LWA525" s="1334">
        <v>8298541</v>
      </c>
      <c r="LWB525" s="1334">
        <v>8298541</v>
      </c>
      <c r="LWC525" s="1334">
        <v>8298541</v>
      </c>
      <c r="LWD525" s="1334">
        <v>8298541</v>
      </c>
      <c r="LWE525" s="1334">
        <v>8298541</v>
      </c>
      <c r="LWF525" s="1334">
        <v>8298541</v>
      </c>
      <c r="LWG525" s="1334">
        <v>8298541</v>
      </c>
      <c r="LWH525" s="1334">
        <v>8298541</v>
      </c>
      <c r="LWI525" s="1334">
        <v>8298541</v>
      </c>
      <c r="LWJ525" s="1334">
        <v>8298541</v>
      </c>
      <c r="LWK525" s="1334">
        <v>8298541</v>
      </c>
      <c r="LWL525" s="1334">
        <v>8298541</v>
      </c>
      <c r="LWM525" s="1334">
        <v>8298541</v>
      </c>
      <c r="LWN525" s="1334">
        <v>8298541</v>
      </c>
      <c r="LWO525" s="1334">
        <v>8298541</v>
      </c>
      <c r="LWP525" s="1334">
        <v>8298541</v>
      </c>
      <c r="LWQ525" s="1334">
        <v>8298541</v>
      </c>
      <c r="LWR525" s="1334">
        <v>8298541</v>
      </c>
      <c r="LWS525" s="1334">
        <v>8298541</v>
      </c>
      <c r="LWT525" s="1334">
        <v>8298541</v>
      </c>
      <c r="LWU525" s="1334">
        <v>8298541</v>
      </c>
      <c r="LWV525" s="1334">
        <v>8298541</v>
      </c>
      <c r="LWW525" s="1334">
        <v>8298541</v>
      </c>
      <c r="LWX525" s="1334">
        <v>8298541</v>
      </c>
      <c r="LWY525" s="1334">
        <v>8298541</v>
      </c>
      <c r="LWZ525" s="1334">
        <v>8298541</v>
      </c>
      <c r="LXA525" s="1334">
        <v>8298541</v>
      </c>
      <c r="LXB525" s="1334">
        <v>8298541</v>
      </c>
      <c r="LXC525" s="1334">
        <v>8298541</v>
      </c>
      <c r="LXD525" s="1334">
        <v>8298541</v>
      </c>
      <c r="LXE525" s="1334">
        <v>8298541</v>
      </c>
      <c r="LXF525" s="1334">
        <v>8298541</v>
      </c>
      <c r="LXG525" s="1334">
        <v>8298541</v>
      </c>
      <c r="LXH525" s="1334">
        <v>8298541</v>
      </c>
      <c r="LXI525" s="1334">
        <v>8298541</v>
      </c>
      <c r="LXJ525" s="1334">
        <v>8298541</v>
      </c>
      <c r="LXK525" s="1334">
        <v>8298541</v>
      </c>
      <c r="LXL525" s="1334">
        <v>8298541</v>
      </c>
      <c r="LXM525" s="1334">
        <v>8298541</v>
      </c>
      <c r="LXN525" s="1334">
        <v>8298541</v>
      </c>
      <c r="LXO525" s="1334">
        <v>8298541</v>
      </c>
      <c r="LXP525" s="1334">
        <v>8298541</v>
      </c>
      <c r="LXQ525" s="1334">
        <v>8298541</v>
      </c>
      <c r="LXR525" s="1334">
        <v>8298541</v>
      </c>
      <c r="LXS525" s="1334">
        <v>8298541</v>
      </c>
      <c r="LXT525" s="1334">
        <v>8298541</v>
      </c>
      <c r="LXU525" s="1334">
        <v>8298541</v>
      </c>
      <c r="LXV525" s="1334">
        <v>8298541</v>
      </c>
      <c r="LXW525" s="1334">
        <v>8298541</v>
      </c>
      <c r="LXX525" s="1334">
        <v>8298541</v>
      </c>
      <c r="LXY525" s="1334">
        <v>8298541</v>
      </c>
      <c r="LXZ525" s="1334">
        <v>8298541</v>
      </c>
      <c r="LYA525" s="1334">
        <v>8298541</v>
      </c>
      <c r="LYB525" s="1334">
        <v>8298541</v>
      </c>
      <c r="LYC525" s="1334">
        <v>8298541</v>
      </c>
      <c r="LYD525" s="1334">
        <v>8298541</v>
      </c>
      <c r="LYE525" s="1334">
        <v>8298541</v>
      </c>
      <c r="LYF525" s="1334">
        <v>8298541</v>
      </c>
      <c r="LYG525" s="1334">
        <v>8298541</v>
      </c>
      <c r="LYH525" s="1334">
        <v>8298541</v>
      </c>
      <c r="LYI525" s="1334">
        <v>8298541</v>
      </c>
      <c r="LYJ525" s="1334">
        <v>8298541</v>
      </c>
      <c r="LYK525" s="1334">
        <v>8298541</v>
      </c>
      <c r="LYL525" s="1334">
        <v>8298541</v>
      </c>
      <c r="LYM525" s="1334">
        <v>8298541</v>
      </c>
      <c r="LYN525" s="1334">
        <v>8298541</v>
      </c>
      <c r="LYO525" s="1334">
        <v>8298541</v>
      </c>
      <c r="LYP525" s="1334">
        <v>8298541</v>
      </c>
      <c r="LYQ525" s="1334">
        <v>8298541</v>
      </c>
      <c r="LYR525" s="1334">
        <v>8298541</v>
      </c>
      <c r="LYS525" s="1334">
        <v>8298541</v>
      </c>
      <c r="LYT525" s="1334">
        <v>8298541</v>
      </c>
      <c r="LYU525" s="1334">
        <v>8298541</v>
      </c>
      <c r="LYV525" s="1334">
        <v>8298541</v>
      </c>
      <c r="LYW525" s="1334">
        <v>8298541</v>
      </c>
      <c r="LYX525" s="1334">
        <v>8298541</v>
      </c>
      <c r="LYY525" s="1334">
        <v>8298541</v>
      </c>
      <c r="LYZ525" s="1334">
        <v>8298541</v>
      </c>
      <c r="LZA525" s="1334">
        <v>8298541</v>
      </c>
      <c r="LZB525" s="1334">
        <v>8298541</v>
      </c>
      <c r="LZC525" s="1334">
        <v>8298541</v>
      </c>
      <c r="LZD525" s="1334">
        <v>8298541</v>
      </c>
      <c r="LZE525" s="1334">
        <v>8298541</v>
      </c>
      <c r="LZF525" s="1334">
        <v>8298541</v>
      </c>
      <c r="LZG525" s="1334">
        <v>8298541</v>
      </c>
      <c r="LZH525" s="1334">
        <v>8298541</v>
      </c>
      <c r="LZI525" s="1334">
        <v>8298541</v>
      </c>
      <c r="LZJ525" s="1334">
        <v>8298541</v>
      </c>
      <c r="LZK525" s="1334">
        <v>8298541</v>
      </c>
      <c r="LZL525" s="1334">
        <v>8298541</v>
      </c>
      <c r="LZM525" s="1334">
        <v>8298541</v>
      </c>
      <c r="LZN525" s="1334">
        <v>8298541</v>
      </c>
      <c r="LZO525" s="1334">
        <v>8298541</v>
      </c>
      <c r="LZP525" s="1334">
        <v>8298541</v>
      </c>
      <c r="LZQ525" s="1334">
        <v>8298541</v>
      </c>
      <c r="LZR525" s="1334">
        <v>8298541</v>
      </c>
      <c r="LZS525" s="1334">
        <v>8298541</v>
      </c>
      <c r="LZT525" s="1334">
        <v>8298541</v>
      </c>
      <c r="LZU525" s="1334">
        <v>8298541</v>
      </c>
      <c r="LZV525" s="1334">
        <v>8298541</v>
      </c>
      <c r="LZW525" s="1334">
        <v>8298541</v>
      </c>
      <c r="LZX525" s="1334">
        <v>8298541</v>
      </c>
      <c r="LZY525" s="1334">
        <v>8298541</v>
      </c>
      <c r="LZZ525" s="1334">
        <v>8298541</v>
      </c>
      <c r="MAA525" s="1334">
        <v>8298541</v>
      </c>
      <c r="MAB525" s="1334">
        <v>8298541</v>
      </c>
      <c r="MAC525" s="1334">
        <v>8298541</v>
      </c>
      <c r="MAD525" s="1334">
        <v>8298541</v>
      </c>
      <c r="MAE525" s="1334">
        <v>8298541</v>
      </c>
      <c r="MAF525" s="1334">
        <v>8298541</v>
      </c>
      <c r="MAG525" s="1334">
        <v>8298541</v>
      </c>
      <c r="MAH525" s="1334">
        <v>8298541</v>
      </c>
      <c r="MAI525" s="1334">
        <v>8298541</v>
      </c>
      <c r="MAJ525" s="1334">
        <v>8298541</v>
      </c>
      <c r="MAK525" s="1334">
        <v>8298541</v>
      </c>
      <c r="MAL525" s="1334">
        <v>8298541</v>
      </c>
      <c r="MAM525" s="1334">
        <v>8298541</v>
      </c>
      <c r="MAN525" s="1334">
        <v>8298541</v>
      </c>
      <c r="MAO525" s="1334">
        <v>8298541</v>
      </c>
      <c r="MAP525" s="1334">
        <v>8298541</v>
      </c>
      <c r="MAQ525" s="1334">
        <v>8298541</v>
      </c>
      <c r="MAR525" s="1334">
        <v>8298541</v>
      </c>
      <c r="MAS525" s="1334">
        <v>8298541</v>
      </c>
      <c r="MAT525" s="1334">
        <v>8298541</v>
      </c>
      <c r="MAU525" s="1334">
        <v>8298541</v>
      </c>
      <c r="MAV525" s="1334">
        <v>8298541</v>
      </c>
      <c r="MAW525" s="1334">
        <v>8298541</v>
      </c>
      <c r="MAX525" s="1334">
        <v>8298541</v>
      </c>
      <c r="MAY525" s="1334">
        <v>8298541</v>
      </c>
      <c r="MAZ525" s="1334">
        <v>8298541</v>
      </c>
      <c r="MBA525" s="1334">
        <v>8298541</v>
      </c>
      <c r="MBB525" s="1334">
        <v>8298541</v>
      </c>
      <c r="MBC525" s="1334">
        <v>8298541</v>
      </c>
      <c r="MBD525" s="1334">
        <v>8298541</v>
      </c>
      <c r="MBE525" s="1334">
        <v>8298541</v>
      </c>
      <c r="MBF525" s="1334">
        <v>8298541</v>
      </c>
      <c r="MBG525" s="1334">
        <v>8298541</v>
      </c>
      <c r="MBH525" s="1334">
        <v>8298541</v>
      </c>
      <c r="MBI525" s="1334">
        <v>8298541</v>
      </c>
      <c r="MBJ525" s="1334">
        <v>8298541</v>
      </c>
      <c r="MBK525" s="1334">
        <v>8298541</v>
      </c>
      <c r="MBL525" s="1334">
        <v>8298541</v>
      </c>
      <c r="MBM525" s="1334">
        <v>8298541</v>
      </c>
      <c r="MBN525" s="1334">
        <v>8298541</v>
      </c>
      <c r="MBO525" s="1334">
        <v>8298541</v>
      </c>
      <c r="MBP525" s="1334">
        <v>8298541</v>
      </c>
      <c r="MBQ525" s="1334">
        <v>8298541</v>
      </c>
      <c r="MBR525" s="1334">
        <v>8298541</v>
      </c>
      <c r="MBS525" s="1334">
        <v>8298541</v>
      </c>
      <c r="MBT525" s="1334">
        <v>8298541</v>
      </c>
      <c r="MBU525" s="1334">
        <v>8298541</v>
      </c>
      <c r="MBV525" s="1334">
        <v>8298541</v>
      </c>
      <c r="MBW525" s="1334">
        <v>8298541</v>
      </c>
      <c r="MBX525" s="1334">
        <v>8298541</v>
      </c>
      <c r="MBY525" s="1334">
        <v>8298541</v>
      </c>
      <c r="MBZ525" s="1334">
        <v>8298541</v>
      </c>
      <c r="MCA525" s="1334">
        <v>8298541</v>
      </c>
      <c r="MCB525" s="1334">
        <v>8298541</v>
      </c>
      <c r="MCC525" s="1334">
        <v>8298541</v>
      </c>
      <c r="MCD525" s="1334">
        <v>8298541</v>
      </c>
      <c r="MCE525" s="1334">
        <v>8298541</v>
      </c>
      <c r="MCF525" s="1334">
        <v>8298541</v>
      </c>
      <c r="MCG525" s="1334">
        <v>8298541</v>
      </c>
      <c r="MCH525" s="1334">
        <v>8298541</v>
      </c>
      <c r="MCI525" s="1334">
        <v>8298541</v>
      </c>
      <c r="MCJ525" s="1334">
        <v>8298541</v>
      </c>
      <c r="MCK525" s="1334">
        <v>8298541</v>
      </c>
      <c r="MCL525" s="1334">
        <v>8298541</v>
      </c>
      <c r="MCM525" s="1334">
        <v>8298541</v>
      </c>
      <c r="MCN525" s="1334">
        <v>8298541</v>
      </c>
      <c r="MCO525" s="1334">
        <v>8298541</v>
      </c>
      <c r="MCP525" s="1334">
        <v>8298541</v>
      </c>
      <c r="MCQ525" s="1334">
        <v>8298541</v>
      </c>
      <c r="MCR525" s="1334">
        <v>8298541</v>
      </c>
      <c r="MCS525" s="1334">
        <v>8298541</v>
      </c>
      <c r="MCT525" s="1334">
        <v>8298541</v>
      </c>
      <c r="MCU525" s="1334">
        <v>8298541</v>
      </c>
      <c r="MCV525" s="1334">
        <v>8298541</v>
      </c>
      <c r="MCW525" s="1334">
        <v>8298541</v>
      </c>
      <c r="MCX525" s="1334">
        <v>8298541</v>
      </c>
      <c r="MCY525" s="1334">
        <v>8298541</v>
      </c>
      <c r="MCZ525" s="1334">
        <v>8298541</v>
      </c>
      <c r="MDA525" s="1334">
        <v>8298541</v>
      </c>
      <c r="MDB525" s="1334">
        <v>8298541</v>
      </c>
      <c r="MDC525" s="1334">
        <v>8298541</v>
      </c>
      <c r="MDD525" s="1334">
        <v>8298541</v>
      </c>
      <c r="MDE525" s="1334">
        <v>8298541</v>
      </c>
      <c r="MDF525" s="1334">
        <v>8298541</v>
      </c>
      <c r="MDG525" s="1334">
        <v>8298541</v>
      </c>
      <c r="MDH525" s="1334">
        <v>8298541</v>
      </c>
      <c r="MDI525" s="1334">
        <v>8298541</v>
      </c>
      <c r="MDJ525" s="1334">
        <v>8298541</v>
      </c>
      <c r="MDK525" s="1334">
        <v>8298541</v>
      </c>
      <c r="MDL525" s="1334">
        <v>8298541</v>
      </c>
      <c r="MDM525" s="1334">
        <v>8298541</v>
      </c>
      <c r="MDN525" s="1334">
        <v>8298541</v>
      </c>
      <c r="MDO525" s="1334">
        <v>8298541</v>
      </c>
      <c r="MDP525" s="1334">
        <v>8298541</v>
      </c>
      <c r="MDQ525" s="1334">
        <v>8298541</v>
      </c>
      <c r="MDR525" s="1334">
        <v>8298541</v>
      </c>
      <c r="MDS525" s="1334">
        <v>8298541</v>
      </c>
      <c r="MDT525" s="1334">
        <v>8298541</v>
      </c>
      <c r="MDU525" s="1334">
        <v>8298541</v>
      </c>
      <c r="MDV525" s="1334">
        <v>8298541</v>
      </c>
      <c r="MDW525" s="1334">
        <v>8298541</v>
      </c>
      <c r="MDX525" s="1334">
        <v>8298541</v>
      </c>
      <c r="MDY525" s="1334">
        <v>8298541</v>
      </c>
      <c r="MDZ525" s="1334">
        <v>8298541</v>
      </c>
      <c r="MEA525" s="1334">
        <v>8298541</v>
      </c>
      <c r="MEB525" s="1334">
        <v>8298541</v>
      </c>
      <c r="MEC525" s="1334">
        <v>8298541</v>
      </c>
      <c r="MED525" s="1334">
        <v>8298541</v>
      </c>
      <c r="MEE525" s="1334">
        <v>8298541</v>
      </c>
      <c r="MEF525" s="1334">
        <v>8298541</v>
      </c>
      <c r="MEG525" s="1334">
        <v>8298541</v>
      </c>
      <c r="MEH525" s="1334">
        <v>8298541</v>
      </c>
      <c r="MEI525" s="1334">
        <v>8298541</v>
      </c>
      <c r="MEJ525" s="1334">
        <v>8298541</v>
      </c>
      <c r="MEK525" s="1334">
        <v>8298541</v>
      </c>
      <c r="MEL525" s="1334">
        <v>8298541</v>
      </c>
      <c r="MEM525" s="1334">
        <v>8298541</v>
      </c>
      <c r="MEN525" s="1334">
        <v>8298541</v>
      </c>
      <c r="MEO525" s="1334">
        <v>8298541</v>
      </c>
      <c r="MEP525" s="1334">
        <v>8298541</v>
      </c>
      <c r="MEQ525" s="1334">
        <v>8298541</v>
      </c>
      <c r="MER525" s="1334">
        <v>8298541</v>
      </c>
      <c r="MES525" s="1334">
        <v>8298541</v>
      </c>
      <c r="MET525" s="1334">
        <v>8298541</v>
      </c>
      <c r="MEU525" s="1334">
        <v>8298541</v>
      </c>
      <c r="MEV525" s="1334">
        <v>8298541</v>
      </c>
      <c r="MEW525" s="1334">
        <v>8298541</v>
      </c>
      <c r="MEX525" s="1334">
        <v>8298541</v>
      </c>
      <c r="MEY525" s="1334">
        <v>8298541</v>
      </c>
      <c r="MEZ525" s="1334">
        <v>8298541</v>
      </c>
      <c r="MFA525" s="1334">
        <v>8298541</v>
      </c>
      <c r="MFB525" s="1334">
        <v>8298541</v>
      </c>
      <c r="MFC525" s="1334">
        <v>8298541</v>
      </c>
      <c r="MFD525" s="1334">
        <v>8298541</v>
      </c>
      <c r="MFE525" s="1334">
        <v>8298541</v>
      </c>
      <c r="MFF525" s="1334">
        <v>8298541</v>
      </c>
      <c r="MFG525" s="1334">
        <v>8298541</v>
      </c>
      <c r="MFH525" s="1334">
        <v>8298541</v>
      </c>
      <c r="MFI525" s="1334">
        <v>8298541</v>
      </c>
      <c r="MFJ525" s="1334">
        <v>8298541</v>
      </c>
      <c r="MFK525" s="1334">
        <v>8298541</v>
      </c>
      <c r="MFL525" s="1334">
        <v>8298541</v>
      </c>
      <c r="MFM525" s="1334">
        <v>8298541</v>
      </c>
      <c r="MFN525" s="1334">
        <v>8298541</v>
      </c>
      <c r="MFO525" s="1334">
        <v>8298541</v>
      </c>
      <c r="MFP525" s="1334">
        <v>8298541</v>
      </c>
      <c r="MFQ525" s="1334">
        <v>8298541</v>
      </c>
      <c r="MFR525" s="1334">
        <v>8298541</v>
      </c>
      <c r="MFS525" s="1334">
        <v>8298541</v>
      </c>
      <c r="MFT525" s="1334">
        <v>8298541</v>
      </c>
      <c r="MFU525" s="1334">
        <v>8298541</v>
      </c>
      <c r="MFV525" s="1334">
        <v>8298541</v>
      </c>
      <c r="MFW525" s="1334">
        <v>8298541</v>
      </c>
      <c r="MFX525" s="1334">
        <v>8298541</v>
      </c>
      <c r="MFY525" s="1334">
        <v>8298541</v>
      </c>
      <c r="MFZ525" s="1334">
        <v>8298541</v>
      </c>
      <c r="MGA525" s="1334">
        <v>8298541</v>
      </c>
      <c r="MGB525" s="1334">
        <v>8298541</v>
      </c>
      <c r="MGC525" s="1334">
        <v>8298541</v>
      </c>
      <c r="MGD525" s="1334">
        <v>8298541</v>
      </c>
      <c r="MGE525" s="1334">
        <v>8298541</v>
      </c>
      <c r="MGF525" s="1334">
        <v>8298541</v>
      </c>
      <c r="MGG525" s="1334">
        <v>8298541</v>
      </c>
      <c r="MGH525" s="1334">
        <v>8298541</v>
      </c>
      <c r="MGI525" s="1334">
        <v>8298541</v>
      </c>
      <c r="MGJ525" s="1334">
        <v>8298541</v>
      </c>
      <c r="MGK525" s="1334">
        <v>8298541</v>
      </c>
      <c r="MGL525" s="1334">
        <v>8298541</v>
      </c>
      <c r="MGM525" s="1334">
        <v>8298541</v>
      </c>
      <c r="MGN525" s="1334">
        <v>8298541</v>
      </c>
      <c r="MGO525" s="1334">
        <v>8298541</v>
      </c>
      <c r="MGP525" s="1334">
        <v>8298541</v>
      </c>
      <c r="MGQ525" s="1334">
        <v>8298541</v>
      </c>
      <c r="MGR525" s="1334">
        <v>8298541</v>
      </c>
      <c r="MGS525" s="1334">
        <v>8298541</v>
      </c>
      <c r="MGT525" s="1334">
        <v>8298541</v>
      </c>
      <c r="MGU525" s="1334">
        <v>8298541</v>
      </c>
      <c r="MGV525" s="1334">
        <v>8298541</v>
      </c>
      <c r="MGW525" s="1334">
        <v>8298541</v>
      </c>
      <c r="MGX525" s="1334">
        <v>8298541</v>
      </c>
      <c r="MGY525" s="1334">
        <v>8298541</v>
      </c>
      <c r="MGZ525" s="1334">
        <v>8298541</v>
      </c>
      <c r="MHA525" s="1334">
        <v>8298541</v>
      </c>
      <c r="MHB525" s="1334">
        <v>8298541</v>
      </c>
      <c r="MHC525" s="1334">
        <v>8298541</v>
      </c>
      <c r="MHD525" s="1334">
        <v>8298541</v>
      </c>
      <c r="MHE525" s="1334">
        <v>8298541</v>
      </c>
      <c r="MHF525" s="1334">
        <v>8298541</v>
      </c>
      <c r="MHG525" s="1334">
        <v>8298541</v>
      </c>
      <c r="MHH525" s="1334">
        <v>8298541</v>
      </c>
      <c r="MHI525" s="1334">
        <v>8298541</v>
      </c>
      <c r="MHJ525" s="1334">
        <v>8298541</v>
      </c>
      <c r="MHK525" s="1334">
        <v>8298541</v>
      </c>
      <c r="MHL525" s="1334">
        <v>8298541</v>
      </c>
      <c r="MHM525" s="1334">
        <v>8298541</v>
      </c>
      <c r="MHN525" s="1334">
        <v>8298541</v>
      </c>
      <c r="MHO525" s="1334">
        <v>8298541</v>
      </c>
      <c r="MHP525" s="1334">
        <v>8298541</v>
      </c>
      <c r="MHQ525" s="1334">
        <v>8298541</v>
      </c>
      <c r="MHR525" s="1334">
        <v>8298541</v>
      </c>
      <c r="MHS525" s="1334">
        <v>8298541</v>
      </c>
      <c r="MHT525" s="1334">
        <v>8298541</v>
      </c>
      <c r="MHU525" s="1334">
        <v>8298541</v>
      </c>
      <c r="MHV525" s="1334">
        <v>8298541</v>
      </c>
      <c r="MHW525" s="1334">
        <v>8298541</v>
      </c>
      <c r="MHX525" s="1334">
        <v>8298541</v>
      </c>
      <c r="MHY525" s="1334">
        <v>8298541</v>
      </c>
      <c r="MHZ525" s="1334">
        <v>8298541</v>
      </c>
      <c r="MIA525" s="1334">
        <v>8298541</v>
      </c>
      <c r="MIB525" s="1334">
        <v>8298541</v>
      </c>
      <c r="MIC525" s="1334">
        <v>8298541</v>
      </c>
      <c r="MID525" s="1334">
        <v>8298541</v>
      </c>
      <c r="MIE525" s="1334">
        <v>8298541</v>
      </c>
      <c r="MIF525" s="1334">
        <v>8298541</v>
      </c>
      <c r="MIG525" s="1334">
        <v>8298541</v>
      </c>
      <c r="MIH525" s="1334">
        <v>8298541</v>
      </c>
      <c r="MII525" s="1334">
        <v>8298541</v>
      </c>
      <c r="MIJ525" s="1334">
        <v>8298541</v>
      </c>
      <c r="MIK525" s="1334">
        <v>8298541</v>
      </c>
      <c r="MIL525" s="1334">
        <v>8298541</v>
      </c>
      <c r="MIM525" s="1334">
        <v>8298541</v>
      </c>
      <c r="MIN525" s="1334">
        <v>8298541</v>
      </c>
      <c r="MIO525" s="1334">
        <v>8298541</v>
      </c>
      <c r="MIP525" s="1334">
        <v>8298541</v>
      </c>
      <c r="MIQ525" s="1334">
        <v>8298541</v>
      </c>
      <c r="MIR525" s="1334">
        <v>8298541</v>
      </c>
      <c r="MIS525" s="1334">
        <v>8298541</v>
      </c>
      <c r="MIT525" s="1334">
        <v>8298541</v>
      </c>
      <c r="MIU525" s="1334">
        <v>8298541</v>
      </c>
      <c r="MIV525" s="1334">
        <v>8298541</v>
      </c>
      <c r="MIW525" s="1334">
        <v>8298541</v>
      </c>
      <c r="MIX525" s="1334">
        <v>8298541</v>
      </c>
      <c r="MIY525" s="1334">
        <v>8298541</v>
      </c>
      <c r="MIZ525" s="1334">
        <v>8298541</v>
      </c>
      <c r="MJA525" s="1334">
        <v>8298541</v>
      </c>
      <c r="MJB525" s="1334">
        <v>8298541</v>
      </c>
      <c r="MJC525" s="1334">
        <v>8298541</v>
      </c>
      <c r="MJD525" s="1334">
        <v>8298541</v>
      </c>
      <c r="MJE525" s="1334">
        <v>8298541</v>
      </c>
      <c r="MJF525" s="1334">
        <v>8298541</v>
      </c>
      <c r="MJG525" s="1334">
        <v>8298541</v>
      </c>
      <c r="MJH525" s="1334">
        <v>8298541</v>
      </c>
      <c r="MJI525" s="1334">
        <v>8298541</v>
      </c>
      <c r="MJJ525" s="1334">
        <v>8298541</v>
      </c>
      <c r="MJK525" s="1334">
        <v>8298541</v>
      </c>
      <c r="MJL525" s="1334">
        <v>8298541</v>
      </c>
      <c r="MJM525" s="1334">
        <v>8298541</v>
      </c>
      <c r="MJN525" s="1334">
        <v>8298541</v>
      </c>
      <c r="MJO525" s="1334">
        <v>8298541</v>
      </c>
      <c r="MJP525" s="1334">
        <v>8298541</v>
      </c>
      <c r="MJQ525" s="1334">
        <v>8298541</v>
      </c>
      <c r="MJR525" s="1334">
        <v>8298541</v>
      </c>
      <c r="MJS525" s="1334">
        <v>8298541</v>
      </c>
      <c r="MJT525" s="1334">
        <v>8298541</v>
      </c>
      <c r="MJU525" s="1334">
        <v>8298541</v>
      </c>
      <c r="MJV525" s="1334">
        <v>8298541</v>
      </c>
      <c r="MJW525" s="1334">
        <v>8298541</v>
      </c>
      <c r="MJX525" s="1334">
        <v>8298541</v>
      </c>
      <c r="MJY525" s="1334">
        <v>8298541</v>
      </c>
      <c r="MJZ525" s="1334">
        <v>8298541</v>
      </c>
      <c r="MKA525" s="1334">
        <v>8298541</v>
      </c>
      <c r="MKB525" s="1334">
        <v>8298541</v>
      </c>
      <c r="MKC525" s="1334">
        <v>8298541</v>
      </c>
      <c r="MKD525" s="1334">
        <v>8298541</v>
      </c>
      <c r="MKE525" s="1334">
        <v>8298541</v>
      </c>
      <c r="MKF525" s="1334">
        <v>8298541</v>
      </c>
      <c r="MKG525" s="1334">
        <v>8298541</v>
      </c>
      <c r="MKH525" s="1334">
        <v>8298541</v>
      </c>
      <c r="MKI525" s="1334">
        <v>8298541</v>
      </c>
      <c r="MKJ525" s="1334">
        <v>8298541</v>
      </c>
      <c r="MKK525" s="1334">
        <v>8298541</v>
      </c>
      <c r="MKL525" s="1334">
        <v>8298541</v>
      </c>
      <c r="MKM525" s="1334">
        <v>8298541</v>
      </c>
      <c r="MKN525" s="1334">
        <v>8298541</v>
      </c>
      <c r="MKO525" s="1334">
        <v>8298541</v>
      </c>
      <c r="MKP525" s="1334">
        <v>8298541</v>
      </c>
      <c r="MKQ525" s="1334">
        <v>8298541</v>
      </c>
      <c r="MKR525" s="1334">
        <v>8298541</v>
      </c>
      <c r="MKS525" s="1334">
        <v>8298541</v>
      </c>
      <c r="MKT525" s="1334">
        <v>8298541</v>
      </c>
      <c r="MKU525" s="1334">
        <v>8298541</v>
      </c>
      <c r="MKV525" s="1334">
        <v>8298541</v>
      </c>
      <c r="MKW525" s="1334">
        <v>8298541</v>
      </c>
      <c r="MKX525" s="1334">
        <v>8298541</v>
      </c>
      <c r="MKY525" s="1334">
        <v>8298541</v>
      </c>
      <c r="MKZ525" s="1334">
        <v>8298541</v>
      </c>
      <c r="MLA525" s="1334">
        <v>8298541</v>
      </c>
      <c r="MLB525" s="1334">
        <v>8298541</v>
      </c>
      <c r="MLC525" s="1334">
        <v>8298541</v>
      </c>
      <c r="MLD525" s="1334">
        <v>8298541</v>
      </c>
      <c r="MLE525" s="1334">
        <v>8298541</v>
      </c>
      <c r="MLF525" s="1334">
        <v>8298541</v>
      </c>
      <c r="MLG525" s="1334">
        <v>8298541</v>
      </c>
      <c r="MLH525" s="1334">
        <v>8298541</v>
      </c>
      <c r="MLI525" s="1334">
        <v>8298541</v>
      </c>
      <c r="MLJ525" s="1334">
        <v>8298541</v>
      </c>
      <c r="MLK525" s="1334">
        <v>8298541</v>
      </c>
      <c r="MLL525" s="1334">
        <v>8298541</v>
      </c>
      <c r="MLM525" s="1334">
        <v>8298541</v>
      </c>
      <c r="MLN525" s="1334">
        <v>8298541</v>
      </c>
      <c r="MLO525" s="1334">
        <v>8298541</v>
      </c>
      <c r="MLP525" s="1334">
        <v>8298541</v>
      </c>
      <c r="MLQ525" s="1334">
        <v>8298541</v>
      </c>
      <c r="MLR525" s="1334">
        <v>8298541</v>
      </c>
      <c r="MLS525" s="1334">
        <v>8298541</v>
      </c>
      <c r="MLT525" s="1334">
        <v>8298541</v>
      </c>
      <c r="MLU525" s="1334">
        <v>8298541</v>
      </c>
      <c r="MLV525" s="1334">
        <v>8298541</v>
      </c>
      <c r="MLW525" s="1334">
        <v>8298541</v>
      </c>
      <c r="MLX525" s="1334">
        <v>8298541</v>
      </c>
      <c r="MLY525" s="1334">
        <v>8298541</v>
      </c>
      <c r="MLZ525" s="1334">
        <v>8298541</v>
      </c>
      <c r="MMA525" s="1334">
        <v>8298541</v>
      </c>
      <c r="MMB525" s="1334">
        <v>8298541</v>
      </c>
      <c r="MMC525" s="1334">
        <v>8298541</v>
      </c>
      <c r="MMD525" s="1334">
        <v>8298541</v>
      </c>
      <c r="MME525" s="1334">
        <v>8298541</v>
      </c>
      <c r="MMF525" s="1334">
        <v>8298541</v>
      </c>
      <c r="MMG525" s="1334">
        <v>8298541</v>
      </c>
      <c r="MMH525" s="1334">
        <v>8298541</v>
      </c>
      <c r="MMI525" s="1334">
        <v>8298541</v>
      </c>
      <c r="MMJ525" s="1334">
        <v>8298541</v>
      </c>
      <c r="MMK525" s="1334">
        <v>8298541</v>
      </c>
      <c r="MML525" s="1334">
        <v>8298541</v>
      </c>
      <c r="MMM525" s="1334">
        <v>8298541</v>
      </c>
      <c r="MMN525" s="1334">
        <v>8298541</v>
      </c>
      <c r="MMO525" s="1334">
        <v>8298541</v>
      </c>
      <c r="MMP525" s="1334">
        <v>8298541</v>
      </c>
      <c r="MMQ525" s="1334">
        <v>8298541</v>
      </c>
      <c r="MMR525" s="1334">
        <v>8298541</v>
      </c>
      <c r="MMS525" s="1334">
        <v>8298541</v>
      </c>
      <c r="MMT525" s="1334">
        <v>8298541</v>
      </c>
      <c r="MMU525" s="1334">
        <v>8298541</v>
      </c>
      <c r="MMV525" s="1334">
        <v>8298541</v>
      </c>
      <c r="MMW525" s="1334">
        <v>8298541</v>
      </c>
      <c r="MMX525" s="1334">
        <v>8298541</v>
      </c>
      <c r="MMY525" s="1334">
        <v>8298541</v>
      </c>
      <c r="MMZ525" s="1334">
        <v>8298541</v>
      </c>
      <c r="MNA525" s="1334">
        <v>8298541</v>
      </c>
      <c r="MNB525" s="1334">
        <v>8298541</v>
      </c>
      <c r="MNC525" s="1334">
        <v>8298541</v>
      </c>
      <c r="MND525" s="1334">
        <v>8298541</v>
      </c>
      <c r="MNE525" s="1334">
        <v>8298541</v>
      </c>
      <c r="MNF525" s="1334">
        <v>8298541</v>
      </c>
      <c r="MNG525" s="1334">
        <v>8298541</v>
      </c>
      <c r="MNH525" s="1334">
        <v>8298541</v>
      </c>
      <c r="MNI525" s="1334">
        <v>8298541</v>
      </c>
      <c r="MNJ525" s="1334">
        <v>8298541</v>
      </c>
      <c r="MNK525" s="1334">
        <v>8298541</v>
      </c>
      <c r="MNL525" s="1334">
        <v>8298541</v>
      </c>
      <c r="MNM525" s="1334">
        <v>8298541</v>
      </c>
      <c r="MNN525" s="1334">
        <v>8298541</v>
      </c>
      <c r="MNO525" s="1334">
        <v>8298541</v>
      </c>
      <c r="MNP525" s="1334">
        <v>8298541</v>
      </c>
      <c r="MNQ525" s="1334">
        <v>8298541</v>
      </c>
      <c r="MNR525" s="1334">
        <v>8298541</v>
      </c>
      <c r="MNS525" s="1334">
        <v>8298541</v>
      </c>
      <c r="MNT525" s="1334">
        <v>8298541</v>
      </c>
      <c r="MNU525" s="1334">
        <v>8298541</v>
      </c>
      <c r="MNV525" s="1334">
        <v>8298541</v>
      </c>
      <c r="MNW525" s="1334">
        <v>8298541</v>
      </c>
      <c r="MNX525" s="1334">
        <v>8298541</v>
      </c>
      <c r="MNY525" s="1334">
        <v>8298541</v>
      </c>
      <c r="MNZ525" s="1334">
        <v>8298541</v>
      </c>
      <c r="MOA525" s="1334">
        <v>8298541</v>
      </c>
      <c r="MOB525" s="1334">
        <v>8298541</v>
      </c>
      <c r="MOC525" s="1334">
        <v>8298541</v>
      </c>
      <c r="MOD525" s="1334">
        <v>8298541</v>
      </c>
      <c r="MOE525" s="1334">
        <v>8298541</v>
      </c>
      <c r="MOF525" s="1334">
        <v>8298541</v>
      </c>
      <c r="MOG525" s="1334">
        <v>8298541</v>
      </c>
      <c r="MOH525" s="1334">
        <v>8298541</v>
      </c>
      <c r="MOI525" s="1334">
        <v>8298541</v>
      </c>
      <c r="MOJ525" s="1334">
        <v>8298541</v>
      </c>
      <c r="MOK525" s="1334">
        <v>8298541</v>
      </c>
      <c r="MOL525" s="1334">
        <v>8298541</v>
      </c>
      <c r="MOM525" s="1334">
        <v>8298541</v>
      </c>
      <c r="MON525" s="1334">
        <v>8298541</v>
      </c>
      <c r="MOO525" s="1334">
        <v>8298541</v>
      </c>
      <c r="MOP525" s="1334">
        <v>8298541</v>
      </c>
      <c r="MOQ525" s="1334">
        <v>8298541</v>
      </c>
      <c r="MOR525" s="1334">
        <v>8298541</v>
      </c>
      <c r="MOS525" s="1334">
        <v>8298541</v>
      </c>
      <c r="MOT525" s="1334">
        <v>8298541</v>
      </c>
      <c r="MOU525" s="1334">
        <v>8298541</v>
      </c>
      <c r="MOV525" s="1334">
        <v>8298541</v>
      </c>
      <c r="MOW525" s="1334">
        <v>8298541</v>
      </c>
      <c r="MOX525" s="1334">
        <v>8298541</v>
      </c>
      <c r="MOY525" s="1334">
        <v>8298541</v>
      </c>
      <c r="MOZ525" s="1334">
        <v>8298541</v>
      </c>
      <c r="MPA525" s="1334">
        <v>8298541</v>
      </c>
      <c r="MPB525" s="1334">
        <v>8298541</v>
      </c>
      <c r="MPC525" s="1334">
        <v>8298541</v>
      </c>
      <c r="MPD525" s="1334">
        <v>8298541</v>
      </c>
      <c r="MPE525" s="1334">
        <v>8298541</v>
      </c>
      <c r="MPF525" s="1334">
        <v>8298541</v>
      </c>
      <c r="MPG525" s="1334">
        <v>8298541</v>
      </c>
      <c r="MPH525" s="1334">
        <v>8298541</v>
      </c>
      <c r="MPI525" s="1334">
        <v>8298541</v>
      </c>
      <c r="MPJ525" s="1334">
        <v>8298541</v>
      </c>
      <c r="MPK525" s="1334">
        <v>8298541</v>
      </c>
      <c r="MPL525" s="1334">
        <v>8298541</v>
      </c>
      <c r="MPM525" s="1334">
        <v>8298541</v>
      </c>
      <c r="MPN525" s="1334">
        <v>8298541</v>
      </c>
      <c r="MPO525" s="1334">
        <v>8298541</v>
      </c>
      <c r="MPP525" s="1334">
        <v>8298541</v>
      </c>
      <c r="MPQ525" s="1334">
        <v>8298541</v>
      </c>
      <c r="MPR525" s="1334">
        <v>8298541</v>
      </c>
      <c r="MPS525" s="1334">
        <v>8298541</v>
      </c>
      <c r="MPT525" s="1334">
        <v>8298541</v>
      </c>
      <c r="MPU525" s="1334">
        <v>8298541</v>
      </c>
      <c r="MPV525" s="1334">
        <v>8298541</v>
      </c>
      <c r="MPW525" s="1334">
        <v>8298541</v>
      </c>
      <c r="MPX525" s="1334">
        <v>8298541</v>
      </c>
      <c r="MPY525" s="1334">
        <v>8298541</v>
      </c>
      <c r="MPZ525" s="1334">
        <v>8298541</v>
      </c>
      <c r="MQA525" s="1334">
        <v>8298541</v>
      </c>
      <c r="MQB525" s="1334">
        <v>8298541</v>
      </c>
      <c r="MQC525" s="1334">
        <v>8298541</v>
      </c>
      <c r="MQD525" s="1334">
        <v>8298541</v>
      </c>
      <c r="MQE525" s="1334">
        <v>8298541</v>
      </c>
      <c r="MQF525" s="1334">
        <v>8298541</v>
      </c>
      <c r="MQG525" s="1334">
        <v>8298541</v>
      </c>
      <c r="MQH525" s="1334">
        <v>8298541</v>
      </c>
      <c r="MQI525" s="1334">
        <v>8298541</v>
      </c>
      <c r="MQJ525" s="1334">
        <v>8298541</v>
      </c>
      <c r="MQK525" s="1334">
        <v>8298541</v>
      </c>
      <c r="MQL525" s="1334">
        <v>8298541</v>
      </c>
      <c r="MQM525" s="1334">
        <v>8298541</v>
      </c>
      <c r="MQN525" s="1334">
        <v>8298541</v>
      </c>
      <c r="MQO525" s="1334">
        <v>8298541</v>
      </c>
      <c r="MQP525" s="1334">
        <v>8298541</v>
      </c>
      <c r="MQQ525" s="1334">
        <v>8298541</v>
      </c>
      <c r="MQR525" s="1334">
        <v>8298541</v>
      </c>
      <c r="MQS525" s="1334">
        <v>8298541</v>
      </c>
      <c r="MQT525" s="1334">
        <v>8298541</v>
      </c>
      <c r="MQU525" s="1334">
        <v>8298541</v>
      </c>
      <c r="MQV525" s="1334">
        <v>8298541</v>
      </c>
      <c r="MQW525" s="1334">
        <v>8298541</v>
      </c>
      <c r="MQX525" s="1334">
        <v>8298541</v>
      </c>
      <c r="MQY525" s="1334">
        <v>8298541</v>
      </c>
      <c r="MQZ525" s="1334">
        <v>8298541</v>
      </c>
      <c r="MRA525" s="1334">
        <v>8298541</v>
      </c>
      <c r="MRB525" s="1334">
        <v>8298541</v>
      </c>
      <c r="MRC525" s="1334">
        <v>8298541</v>
      </c>
      <c r="MRD525" s="1334">
        <v>8298541</v>
      </c>
      <c r="MRE525" s="1334">
        <v>8298541</v>
      </c>
      <c r="MRF525" s="1334">
        <v>8298541</v>
      </c>
      <c r="MRG525" s="1334">
        <v>8298541</v>
      </c>
      <c r="MRH525" s="1334">
        <v>8298541</v>
      </c>
      <c r="MRI525" s="1334">
        <v>8298541</v>
      </c>
      <c r="MRJ525" s="1334">
        <v>8298541</v>
      </c>
      <c r="MRK525" s="1334">
        <v>8298541</v>
      </c>
      <c r="MRL525" s="1334">
        <v>8298541</v>
      </c>
      <c r="MRM525" s="1334">
        <v>8298541</v>
      </c>
      <c r="MRN525" s="1334">
        <v>8298541</v>
      </c>
      <c r="MRO525" s="1334">
        <v>8298541</v>
      </c>
      <c r="MRP525" s="1334">
        <v>8298541</v>
      </c>
      <c r="MRQ525" s="1334">
        <v>8298541</v>
      </c>
      <c r="MRR525" s="1334">
        <v>8298541</v>
      </c>
      <c r="MRS525" s="1334">
        <v>8298541</v>
      </c>
      <c r="MRT525" s="1334">
        <v>8298541</v>
      </c>
      <c r="MRU525" s="1334">
        <v>8298541</v>
      </c>
      <c r="MRV525" s="1334">
        <v>8298541</v>
      </c>
      <c r="MRW525" s="1334">
        <v>8298541</v>
      </c>
      <c r="MRX525" s="1334">
        <v>8298541</v>
      </c>
      <c r="MRY525" s="1334">
        <v>8298541</v>
      </c>
      <c r="MRZ525" s="1334">
        <v>8298541</v>
      </c>
      <c r="MSA525" s="1334">
        <v>8298541</v>
      </c>
      <c r="MSB525" s="1334">
        <v>8298541</v>
      </c>
      <c r="MSC525" s="1334">
        <v>8298541</v>
      </c>
      <c r="MSD525" s="1334">
        <v>8298541</v>
      </c>
      <c r="MSE525" s="1334">
        <v>8298541</v>
      </c>
      <c r="MSF525" s="1334">
        <v>8298541</v>
      </c>
      <c r="MSG525" s="1334">
        <v>8298541</v>
      </c>
      <c r="MSH525" s="1334">
        <v>8298541</v>
      </c>
      <c r="MSI525" s="1334">
        <v>8298541</v>
      </c>
      <c r="MSJ525" s="1334">
        <v>8298541</v>
      </c>
      <c r="MSK525" s="1334">
        <v>8298541</v>
      </c>
      <c r="MSL525" s="1334">
        <v>8298541</v>
      </c>
      <c r="MSM525" s="1334">
        <v>8298541</v>
      </c>
      <c r="MSN525" s="1334">
        <v>8298541</v>
      </c>
      <c r="MSO525" s="1334">
        <v>8298541</v>
      </c>
      <c r="MSP525" s="1334">
        <v>8298541</v>
      </c>
      <c r="MSQ525" s="1334">
        <v>8298541</v>
      </c>
      <c r="MSR525" s="1334">
        <v>8298541</v>
      </c>
      <c r="MSS525" s="1334">
        <v>8298541</v>
      </c>
      <c r="MST525" s="1334">
        <v>8298541</v>
      </c>
      <c r="MSU525" s="1334">
        <v>8298541</v>
      </c>
      <c r="MSV525" s="1334">
        <v>8298541</v>
      </c>
      <c r="MSW525" s="1334">
        <v>8298541</v>
      </c>
      <c r="MSX525" s="1334">
        <v>8298541</v>
      </c>
      <c r="MSY525" s="1334">
        <v>8298541</v>
      </c>
      <c r="MSZ525" s="1334">
        <v>8298541</v>
      </c>
      <c r="MTA525" s="1334">
        <v>8298541</v>
      </c>
      <c r="MTB525" s="1334">
        <v>8298541</v>
      </c>
      <c r="MTC525" s="1334">
        <v>8298541</v>
      </c>
      <c r="MTD525" s="1334">
        <v>8298541</v>
      </c>
      <c r="MTE525" s="1334">
        <v>8298541</v>
      </c>
      <c r="MTF525" s="1334">
        <v>8298541</v>
      </c>
      <c r="MTG525" s="1334">
        <v>8298541</v>
      </c>
      <c r="MTH525" s="1334">
        <v>8298541</v>
      </c>
      <c r="MTI525" s="1334">
        <v>8298541</v>
      </c>
      <c r="MTJ525" s="1334">
        <v>8298541</v>
      </c>
      <c r="MTK525" s="1334">
        <v>8298541</v>
      </c>
      <c r="MTL525" s="1334">
        <v>8298541</v>
      </c>
      <c r="MTM525" s="1334">
        <v>8298541</v>
      </c>
      <c r="MTN525" s="1334">
        <v>8298541</v>
      </c>
      <c r="MTO525" s="1334">
        <v>8298541</v>
      </c>
      <c r="MTP525" s="1334">
        <v>8298541</v>
      </c>
      <c r="MTQ525" s="1334">
        <v>8298541</v>
      </c>
      <c r="MTR525" s="1334">
        <v>8298541</v>
      </c>
      <c r="MTS525" s="1334">
        <v>8298541</v>
      </c>
      <c r="MTT525" s="1334">
        <v>8298541</v>
      </c>
      <c r="MTU525" s="1334">
        <v>8298541</v>
      </c>
      <c r="MTV525" s="1334">
        <v>8298541</v>
      </c>
      <c r="MTW525" s="1334">
        <v>8298541</v>
      </c>
      <c r="MTX525" s="1334">
        <v>8298541</v>
      </c>
      <c r="MTY525" s="1334">
        <v>8298541</v>
      </c>
      <c r="MTZ525" s="1334">
        <v>8298541</v>
      </c>
      <c r="MUA525" s="1334">
        <v>8298541</v>
      </c>
      <c r="MUB525" s="1334">
        <v>8298541</v>
      </c>
      <c r="MUC525" s="1334">
        <v>8298541</v>
      </c>
      <c r="MUD525" s="1334">
        <v>8298541</v>
      </c>
      <c r="MUE525" s="1334">
        <v>8298541</v>
      </c>
      <c r="MUF525" s="1334">
        <v>8298541</v>
      </c>
      <c r="MUG525" s="1334">
        <v>8298541</v>
      </c>
      <c r="MUH525" s="1334">
        <v>8298541</v>
      </c>
      <c r="MUI525" s="1334">
        <v>8298541</v>
      </c>
      <c r="MUJ525" s="1334">
        <v>8298541</v>
      </c>
      <c r="MUK525" s="1334">
        <v>8298541</v>
      </c>
      <c r="MUL525" s="1334">
        <v>8298541</v>
      </c>
      <c r="MUM525" s="1334">
        <v>8298541</v>
      </c>
      <c r="MUN525" s="1334">
        <v>8298541</v>
      </c>
      <c r="MUO525" s="1334">
        <v>8298541</v>
      </c>
      <c r="MUP525" s="1334">
        <v>8298541</v>
      </c>
      <c r="MUQ525" s="1334">
        <v>8298541</v>
      </c>
      <c r="MUR525" s="1334">
        <v>8298541</v>
      </c>
      <c r="MUS525" s="1334">
        <v>8298541</v>
      </c>
      <c r="MUT525" s="1334">
        <v>8298541</v>
      </c>
      <c r="MUU525" s="1334">
        <v>8298541</v>
      </c>
      <c r="MUV525" s="1334">
        <v>8298541</v>
      </c>
      <c r="MUW525" s="1334">
        <v>8298541</v>
      </c>
      <c r="MUX525" s="1334">
        <v>8298541</v>
      </c>
      <c r="MUY525" s="1334">
        <v>8298541</v>
      </c>
      <c r="MUZ525" s="1334">
        <v>8298541</v>
      </c>
      <c r="MVA525" s="1334">
        <v>8298541</v>
      </c>
      <c r="MVB525" s="1334">
        <v>8298541</v>
      </c>
      <c r="MVC525" s="1334">
        <v>8298541</v>
      </c>
      <c r="MVD525" s="1334">
        <v>8298541</v>
      </c>
      <c r="MVE525" s="1334">
        <v>8298541</v>
      </c>
      <c r="MVF525" s="1334">
        <v>8298541</v>
      </c>
      <c r="MVG525" s="1334">
        <v>8298541</v>
      </c>
      <c r="MVH525" s="1334">
        <v>8298541</v>
      </c>
      <c r="MVI525" s="1334">
        <v>8298541</v>
      </c>
      <c r="MVJ525" s="1334">
        <v>8298541</v>
      </c>
      <c r="MVK525" s="1334">
        <v>8298541</v>
      </c>
      <c r="MVL525" s="1334">
        <v>8298541</v>
      </c>
      <c r="MVM525" s="1334">
        <v>8298541</v>
      </c>
      <c r="MVN525" s="1334">
        <v>8298541</v>
      </c>
      <c r="MVO525" s="1334">
        <v>8298541</v>
      </c>
      <c r="MVP525" s="1334">
        <v>8298541</v>
      </c>
      <c r="MVQ525" s="1334">
        <v>8298541</v>
      </c>
      <c r="MVR525" s="1334">
        <v>8298541</v>
      </c>
      <c r="MVS525" s="1334">
        <v>8298541</v>
      </c>
      <c r="MVT525" s="1334">
        <v>8298541</v>
      </c>
      <c r="MVU525" s="1334">
        <v>8298541</v>
      </c>
      <c r="MVV525" s="1334">
        <v>8298541</v>
      </c>
      <c r="MVW525" s="1334">
        <v>8298541</v>
      </c>
      <c r="MVX525" s="1334">
        <v>8298541</v>
      </c>
      <c r="MVY525" s="1334">
        <v>8298541</v>
      </c>
      <c r="MVZ525" s="1334">
        <v>8298541</v>
      </c>
      <c r="MWA525" s="1334">
        <v>8298541</v>
      </c>
      <c r="MWB525" s="1334">
        <v>8298541</v>
      </c>
      <c r="MWC525" s="1334">
        <v>8298541</v>
      </c>
      <c r="MWD525" s="1334">
        <v>8298541</v>
      </c>
      <c r="MWE525" s="1334">
        <v>8298541</v>
      </c>
      <c r="MWF525" s="1334">
        <v>8298541</v>
      </c>
      <c r="MWG525" s="1334">
        <v>8298541</v>
      </c>
      <c r="MWH525" s="1334">
        <v>8298541</v>
      </c>
      <c r="MWI525" s="1334">
        <v>8298541</v>
      </c>
      <c r="MWJ525" s="1334">
        <v>8298541</v>
      </c>
      <c r="MWK525" s="1334">
        <v>8298541</v>
      </c>
      <c r="MWL525" s="1334">
        <v>8298541</v>
      </c>
      <c r="MWM525" s="1334">
        <v>8298541</v>
      </c>
      <c r="MWN525" s="1334">
        <v>8298541</v>
      </c>
      <c r="MWO525" s="1334">
        <v>8298541</v>
      </c>
      <c r="MWP525" s="1334">
        <v>8298541</v>
      </c>
      <c r="MWQ525" s="1334">
        <v>8298541</v>
      </c>
      <c r="MWR525" s="1334">
        <v>8298541</v>
      </c>
      <c r="MWS525" s="1334">
        <v>8298541</v>
      </c>
      <c r="MWT525" s="1334">
        <v>8298541</v>
      </c>
      <c r="MWU525" s="1334">
        <v>8298541</v>
      </c>
      <c r="MWV525" s="1334">
        <v>8298541</v>
      </c>
      <c r="MWW525" s="1334">
        <v>8298541</v>
      </c>
      <c r="MWX525" s="1334">
        <v>8298541</v>
      </c>
      <c r="MWY525" s="1334">
        <v>8298541</v>
      </c>
      <c r="MWZ525" s="1334">
        <v>8298541</v>
      </c>
      <c r="MXA525" s="1334">
        <v>8298541</v>
      </c>
      <c r="MXB525" s="1334">
        <v>8298541</v>
      </c>
      <c r="MXC525" s="1334">
        <v>8298541</v>
      </c>
      <c r="MXD525" s="1334">
        <v>8298541</v>
      </c>
      <c r="MXE525" s="1334">
        <v>8298541</v>
      </c>
      <c r="MXF525" s="1334">
        <v>8298541</v>
      </c>
      <c r="MXG525" s="1334">
        <v>8298541</v>
      </c>
      <c r="MXH525" s="1334">
        <v>8298541</v>
      </c>
      <c r="MXI525" s="1334">
        <v>8298541</v>
      </c>
      <c r="MXJ525" s="1334">
        <v>8298541</v>
      </c>
      <c r="MXK525" s="1334">
        <v>8298541</v>
      </c>
      <c r="MXL525" s="1334">
        <v>8298541</v>
      </c>
      <c r="MXM525" s="1334">
        <v>8298541</v>
      </c>
      <c r="MXN525" s="1334">
        <v>8298541</v>
      </c>
      <c r="MXO525" s="1334">
        <v>8298541</v>
      </c>
      <c r="MXP525" s="1334">
        <v>8298541</v>
      </c>
      <c r="MXQ525" s="1334">
        <v>8298541</v>
      </c>
      <c r="MXR525" s="1334">
        <v>8298541</v>
      </c>
      <c r="MXS525" s="1334">
        <v>8298541</v>
      </c>
      <c r="MXT525" s="1334">
        <v>8298541</v>
      </c>
      <c r="MXU525" s="1334">
        <v>8298541</v>
      </c>
      <c r="MXV525" s="1334">
        <v>8298541</v>
      </c>
      <c r="MXW525" s="1334">
        <v>8298541</v>
      </c>
      <c r="MXX525" s="1334">
        <v>8298541</v>
      </c>
      <c r="MXY525" s="1334">
        <v>8298541</v>
      </c>
      <c r="MXZ525" s="1334">
        <v>8298541</v>
      </c>
      <c r="MYA525" s="1334">
        <v>8298541</v>
      </c>
      <c r="MYB525" s="1334">
        <v>8298541</v>
      </c>
      <c r="MYC525" s="1334">
        <v>8298541</v>
      </c>
      <c r="MYD525" s="1334">
        <v>8298541</v>
      </c>
      <c r="MYE525" s="1334">
        <v>8298541</v>
      </c>
      <c r="MYF525" s="1334">
        <v>8298541</v>
      </c>
      <c r="MYG525" s="1334">
        <v>8298541</v>
      </c>
      <c r="MYH525" s="1334">
        <v>8298541</v>
      </c>
      <c r="MYI525" s="1334">
        <v>8298541</v>
      </c>
      <c r="MYJ525" s="1334">
        <v>8298541</v>
      </c>
      <c r="MYK525" s="1334">
        <v>8298541</v>
      </c>
      <c r="MYL525" s="1334">
        <v>8298541</v>
      </c>
      <c r="MYM525" s="1334">
        <v>8298541</v>
      </c>
      <c r="MYN525" s="1334">
        <v>8298541</v>
      </c>
      <c r="MYO525" s="1334">
        <v>8298541</v>
      </c>
      <c r="MYP525" s="1334">
        <v>8298541</v>
      </c>
      <c r="MYQ525" s="1334">
        <v>8298541</v>
      </c>
      <c r="MYR525" s="1334">
        <v>8298541</v>
      </c>
      <c r="MYS525" s="1334">
        <v>8298541</v>
      </c>
      <c r="MYT525" s="1334">
        <v>8298541</v>
      </c>
      <c r="MYU525" s="1334">
        <v>8298541</v>
      </c>
      <c r="MYV525" s="1334">
        <v>8298541</v>
      </c>
      <c r="MYW525" s="1334">
        <v>8298541</v>
      </c>
      <c r="MYX525" s="1334">
        <v>8298541</v>
      </c>
      <c r="MYY525" s="1334">
        <v>8298541</v>
      </c>
      <c r="MYZ525" s="1334">
        <v>8298541</v>
      </c>
      <c r="MZA525" s="1334">
        <v>8298541</v>
      </c>
      <c r="MZB525" s="1334">
        <v>8298541</v>
      </c>
      <c r="MZC525" s="1334">
        <v>8298541</v>
      </c>
      <c r="MZD525" s="1334">
        <v>8298541</v>
      </c>
      <c r="MZE525" s="1334">
        <v>8298541</v>
      </c>
      <c r="MZF525" s="1334">
        <v>8298541</v>
      </c>
      <c r="MZG525" s="1334">
        <v>8298541</v>
      </c>
      <c r="MZH525" s="1334">
        <v>8298541</v>
      </c>
      <c r="MZI525" s="1334">
        <v>8298541</v>
      </c>
      <c r="MZJ525" s="1334">
        <v>8298541</v>
      </c>
      <c r="MZK525" s="1334">
        <v>8298541</v>
      </c>
      <c r="MZL525" s="1334">
        <v>8298541</v>
      </c>
      <c r="MZM525" s="1334">
        <v>8298541</v>
      </c>
      <c r="MZN525" s="1334">
        <v>8298541</v>
      </c>
      <c r="MZO525" s="1334">
        <v>8298541</v>
      </c>
      <c r="MZP525" s="1334">
        <v>8298541</v>
      </c>
      <c r="MZQ525" s="1334">
        <v>8298541</v>
      </c>
      <c r="MZR525" s="1334">
        <v>8298541</v>
      </c>
      <c r="MZS525" s="1334">
        <v>8298541</v>
      </c>
      <c r="MZT525" s="1334">
        <v>8298541</v>
      </c>
      <c r="MZU525" s="1334">
        <v>8298541</v>
      </c>
      <c r="MZV525" s="1334">
        <v>8298541</v>
      </c>
      <c r="MZW525" s="1334">
        <v>8298541</v>
      </c>
      <c r="MZX525" s="1334">
        <v>8298541</v>
      </c>
      <c r="MZY525" s="1334">
        <v>8298541</v>
      </c>
      <c r="MZZ525" s="1334">
        <v>8298541</v>
      </c>
      <c r="NAA525" s="1334">
        <v>8298541</v>
      </c>
      <c r="NAB525" s="1334">
        <v>8298541</v>
      </c>
      <c r="NAC525" s="1334">
        <v>8298541</v>
      </c>
      <c r="NAD525" s="1334">
        <v>8298541</v>
      </c>
      <c r="NAE525" s="1334">
        <v>8298541</v>
      </c>
      <c r="NAF525" s="1334">
        <v>8298541</v>
      </c>
      <c r="NAG525" s="1334">
        <v>8298541</v>
      </c>
      <c r="NAH525" s="1334">
        <v>8298541</v>
      </c>
      <c r="NAI525" s="1334">
        <v>8298541</v>
      </c>
      <c r="NAJ525" s="1334">
        <v>8298541</v>
      </c>
      <c r="NAK525" s="1334">
        <v>8298541</v>
      </c>
      <c r="NAL525" s="1334">
        <v>8298541</v>
      </c>
      <c r="NAM525" s="1334">
        <v>8298541</v>
      </c>
      <c r="NAN525" s="1334">
        <v>8298541</v>
      </c>
      <c r="NAO525" s="1334">
        <v>8298541</v>
      </c>
      <c r="NAP525" s="1334">
        <v>8298541</v>
      </c>
      <c r="NAQ525" s="1334">
        <v>8298541</v>
      </c>
      <c r="NAR525" s="1334">
        <v>8298541</v>
      </c>
      <c r="NAS525" s="1334">
        <v>8298541</v>
      </c>
      <c r="NAT525" s="1334">
        <v>8298541</v>
      </c>
      <c r="NAU525" s="1334">
        <v>8298541</v>
      </c>
      <c r="NAV525" s="1334">
        <v>8298541</v>
      </c>
      <c r="NAW525" s="1334">
        <v>8298541</v>
      </c>
      <c r="NAX525" s="1334">
        <v>8298541</v>
      </c>
      <c r="NAY525" s="1334">
        <v>8298541</v>
      </c>
      <c r="NAZ525" s="1334">
        <v>8298541</v>
      </c>
      <c r="NBA525" s="1334">
        <v>8298541</v>
      </c>
      <c r="NBB525" s="1334">
        <v>8298541</v>
      </c>
      <c r="NBC525" s="1334">
        <v>8298541</v>
      </c>
      <c r="NBD525" s="1334">
        <v>8298541</v>
      </c>
      <c r="NBE525" s="1334">
        <v>8298541</v>
      </c>
      <c r="NBF525" s="1334">
        <v>8298541</v>
      </c>
      <c r="NBG525" s="1334">
        <v>8298541</v>
      </c>
      <c r="NBH525" s="1334">
        <v>8298541</v>
      </c>
      <c r="NBI525" s="1334">
        <v>8298541</v>
      </c>
      <c r="NBJ525" s="1334">
        <v>8298541</v>
      </c>
      <c r="NBK525" s="1334">
        <v>8298541</v>
      </c>
      <c r="NBL525" s="1334">
        <v>8298541</v>
      </c>
      <c r="NBM525" s="1334">
        <v>8298541</v>
      </c>
      <c r="NBN525" s="1334">
        <v>8298541</v>
      </c>
      <c r="NBO525" s="1334">
        <v>8298541</v>
      </c>
      <c r="NBP525" s="1334">
        <v>8298541</v>
      </c>
      <c r="NBQ525" s="1334">
        <v>8298541</v>
      </c>
      <c r="NBR525" s="1334">
        <v>8298541</v>
      </c>
      <c r="NBS525" s="1334">
        <v>8298541</v>
      </c>
      <c r="NBT525" s="1334">
        <v>8298541</v>
      </c>
      <c r="NBU525" s="1334">
        <v>8298541</v>
      </c>
      <c r="NBV525" s="1334">
        <v>8298541</v>
      </c>
      <c r="NBW525" s="1334">
        <v>8298541</v>
      </c>
      <c r="NBX525" s="1334">
        <v>8298541</v>
      </c>
      <c r="NBY525" s="1334">
        <v>8298541</v>
      </c>
      <c r="NBZ525" s="1334">
        <v>8298541</v>
      </c>
      <c r="NCA525" s="1334">
        <v>8298541</v>
      </c>
      <c r="NCB525" s="1334">
        <v>8298541</v>
      </c>
      <c r="NCC525" s="1334">
        <v>8298541</v>
      </c>
      <c r="NCD525" s="1334">
        <v>8298541</v>
      </c>
      <c r="NCE525" s="1334">
        <v>8298541</v>
      </c>
      <c r="NCF525" s="1334">
        <v>8298541</v>
      </c>
      <c r="NCG525" s="1334">
        <v>8298541</v>
      </c>
      <c r="NCH525" s="1334">
        <v>8298541</v>
      </c>
      <c r="NCI525" s="1334">
        <v>8298541</v>
      </c>
      <c r="NCJ525" s="1334">
        <v>8298541</v>
      </c>
      <c r="NCK525" s="1334">
        <v>8298541</v>
      </c>
      <c r="NCL525" s="1334">
        <v>8298541</v>
      </c>
      <c r="NCM525" s="1334">
        <v>8298541</v>
      </c>
      <c r="NCN525" s="1334">
        <v>8298541</v>
      </c>
      <c r="NCO525" s="1334">
        <v>8298541</v>
      </c>
      <c r="NCP525" s="1334">
        <v>8298541</v>
      </c>
      <c r="NCQ525" s="1334">
        <v>8298541</v>
      </c>
      <c r="NCR525" s="1334">
        <v>8298541</v>
      </c>
      <c r="NCS525" s="1334">
        <v>8298541</v>
      </c>
      <c r="NCT525" s="1334">
        <v>8298541</v>
      </c>
      <c r="NCU525" s="1334">
        <v>8298541</v>
      </c>
      <c r="NCV525" s="1334">
        <v>8298541</v>
      </c>
      <c r="NCW525" s="1334">
        <v>8298541</v>
      </c>
      <c r="NCX525" s="1334">
        <v>8298541</v>
      </c>
      <c r="NCY525" s="1334">
        <v>8298541</v>
      </c>
      <c r="NCZ525" s="1334">
        <v>8298541</v>
      </c>
      <c r="NDA525" s="1334">
        <v>8298541</v>
      </c>
      <c r="NDB525" s="1334">
        <v>8298541</v>
      </c>
      <c r="NDC525" s="1334">
        <v>8298541</v>
      </c>
      <c r="NDD525" s="1334">
        <v>8298541</v>
      </c>
      <c r="NDE525" s="1334">
        <v>8298541</v>
      </c>
      <c r="NDF525" s="1334">
        <v>8298541</v>
      </c>
      <c r="NDG525" s="1334">
        <v>8298541</v>
      </c>
      <c r="NDH525" s="1334">
        <v>8298541</v>
      </c>
      <c r="NDI525" s="1334">
        <v>8298541</v>
      </c>
      <c r="NDJ525" s="1334">
        <v>8298541</v>
      </c>
      <c r="NDK525" s="1334">
        <v>8298541</v>
      </c>
      <c r="NDL525" s="1334">
        <v>8298541</v>
      </c>
      <c r="NDM525" s="1334">
        <v>8298541</v>
      </c>
      <c r="NDN525" s="1334">
        <v>8298541</v>
      </c>
      <c r="NDO525" s="1334">
        <v>8298541</v>
      </c>
      <c r="NDP525" s="1334">
        <v>8298541</v>
      </c>
      <c r="NDQ525" s="1334">
        <v>8298541</v>
      </c>
      <c r="NDR525" s="1334">
        <v>8298541</v>
      </c>
      <c r="NDS525" s="1334">
        <v>8298541</v>
      </c>
      <c r="NDT525" s="1334">
        <v>8298541</v>
      </c>
      <c r="NDU525" s="1334">
        <v>8298541</v>
      </c>
      <c r="NDV525" s="1334">
        <v>8298541</v>
      </c>
      <c r="NDW525" s="1334">
        <v>8298541</v>
      </c>
      <c r="NDX525" s="1334">
        <v>8298541</v>
      </c>
      <c r="NDY525" s="1334">
        <v>8298541</v>
      </c>
      <c r="NDZ525" s="1334">
        <v>8298541</v>
      </c>
      <c r="NEA525" s="1334">
        <v>8298541</v>
      </c>
      <c r="NEB525" s="1334">
        <v>8298541</v>
      </c>
      <c r="NEC525" s="1334">
        <v>8298541</v>
      </c>
      <c r="NED525" s="1334">
        <v>8298541</v>
      </c>
      <c r="NEE525" s="1334">
        <v>8298541</v>
      </c>
      <c r="NEF525" s="1334">
        <v>8298541</v>
      </c>
      <c r="NEG525" s="1334">
        <v>8298541</v>
      </c>
      <c r="NEH525" s="1334">
        <v>8298541</v>
      </c>
      <c r="NEI525" s="1334">
        <v>8298541</v>
      </c>
      <c r="NEJ525" s="1334">
        <v>8298541</v>
      </c>
      <c r="NEK525" s="1334">
        <v>8298541</v>
      </c>
      <c r="NEL525" s="1334">
        <v>8298541</v>
      </c>
      <c r="NEM525" s="1334">
        <v>8298541</v>
      </c>
      <c r="NEN525" s="1334">
        <v>8298541</v>
      </c>
      <c r="NEO525" s="1334">
        <v>8298541</v>
      </c>
      <c r="NEP525" s="1334">
        <v>8298541</v>
      </c>
      <c r="NEQ525" s="1334">
        <v>8298541</v>
      </c>
      <c r="NER525" s="1334">
        <v>8298541</v>
      </c>
      <c r="NES525" s="1334">
        <v>8298541</v>
      </c>
      <c r="NET525" s="1334">
        <v>8298541</v>
      </c>
      <c r="NEU525" s="1334">
        <v>8298541</v>
      </c>
      <c r="NEV525" s="1334">
        <v>8298541</v>
      </c>
      <c r="NEW525" s="1334">
        <v>8298541</v>
      </c>
      <c r="NEX525" s="1334">
        <v>8298541</v>
      </c>
      <c r="NEY525" s="1334">
        <v>8298541</v>
      </c>
      <c r="NEZ525" s="1334">
        <v>8298541</v>
      </c>
      <c r="NFA525" s="1334">
        <v>8298541</v>
      </c>
      <c r="NFB525" s="1334">
        <v>8298541</v>
      </c>
      <c r="NFC525" s="1334">
        <v>8298541</v>
      </c>
      <c r="NFD525" s="1334">
        <v>8298541</v>
      </c>
      <c r="NFE525" s="1334">
        <v>8298541</v>
      </c>
      <c r="NFF525" s="1334">
        <v>8298541</v>
      </c>
      <c r="NFG525" s="1334">
        <v>8298541</v>
      </c>
      <c r="NFH525" s="1334">
        <v>8298541</v>
      </c>
      <c r="NFI525" s="1334">
        <v>8298541</v>
      </c>
      <c r="NFJ525" s="1334">
        <v>8298541</v>
      </c>
      <c r="NFK525" s="1334">
        <v>8298541</v>
      </c>
      <c r="NFL525" s="1334">
        <v>8298541</v>
      </c>
      <c r="NFM525" s="1334">
        <v>8298541</v>
      </c>
      <c r="NFN525" s="1334">
        <v>8298541</v>
      </c>
      <c r="NFO525" s="1334">
        <v>8298541</v>
      </c>
      <c r="NFP525" s="1334">
        <v>8298541</v>
      </c>
      <c r="NFQ525" s="1334">
        <v>8298541</v>
      </c>
      <c r="NFR525" s="1334">
        <v>8298541</v>
      </c>
      <c r="NFS525" s="1334">
        <v>8298541</v>
      </c>
      <c r="NFT525" s="1334">
        <v>8298541</v>
      </c>
      <c r="NFU525" s="1334">
        <v>8298541</v>
      </c>
      <c r="NFV525" s="1334">
        <v>8298541</v>
      </c>
      <c r="NFW525" s="1334">
        <v>8298541</v>
      </c>
      <c r="NFX525" s="1334">
        <v>8298541</v>
      </c>
      <c r="NFY525" s="1334">
        <v>8298541</v>
      </c>
      <c r="NFZ525" s="1334">
        <v>8298541</v>
      </c>
      <c r="NGA525" s="1334">
        <v>8298541</v>
      </c>
      <c r="NGB525" s="1334">
        <v>8298541</v>
      </c>
      <c r="NGC525" s="1334">
        <v>8298541</v>
      </c>
      <c r="NGD525" s="1334">
        <v>8298541</v>
      </c>
      <c r="NGE525" s="1334">
        <v>8298541</v>
      </c>
      <c r="NGF525" s="1334">
        <v>8298541</v>
      </c>
      <c r="NGG525" s="1334">
        <v>8298541</v>
      </c>
      <c r="NGH525" s="1334">
        <v>8298541</v>
      </c>
      <c r="NGI525" s="1334">
        <v>8298541</v>
      </c>
      <c r="NGJ525" s="1334">
        <v>8298541</v>
      </c>
      <c r="NGK525" s="1334">
        <v>8298541</v>
      </c>
      <c r="NGL525" s="1334">
        <v>8298541</v>
      </c>
      <c r="NGM525" s="1334">
        <v>8298541</v>
      </c>
      <c r="NGN525" s="1334">
        <v>8298541</v>
      </c>
      <c r="NGO525" s="1334">
        <v>8298541</v>
      </c>
      <c r="NGP525" s="1334">
        <v>8298541</v>
      </c>
      <c r="NGQ525" s="1334">
        <v>8298541</v>
      </c>
      <c r="NGR525" s="1334">
        <v>8298541</v>
      </c>
      <c r="NGS525" s="1334">
        <v>8298541</v>
      </c>
      <c r="NGT525" s="1334">
        <v>8298541</v>
      </c>
      <c r="NGU525" s="1334">
        <v>8298541</v>
      </c>
      <c r="NGV525" s="1334">
        <v>8298541</v>
      </c>
      <c r="NGW525" s="1334">
        <v>8298541</v>
      </c>
      <c r="NGX525" s="1334">
        <v>8298541</v>
      </c>
      <c r="NGY525" s="1334">
        <v>8298541</v>
      </c>
      <c r="NGZ525" s="1334">
        <v>8298541</v>
      </c>
      <c r="NHA525" s="1334">
        <v>8298541</v>
      </c>
      <c r="NHB525" s="1334">
        <v>8298541</v>
      </c>
      <c r="NHC525" s="1334">
        <v>8298541</v>
      </c>
      <c r="NHD525" s="1334">
        <v>8298541</v>
      </c>
      <c r="NHE525" s="1334">
        <v>8298541</v>
      </c>
      <c r="NHF525" s="1334">
        <v>8298541</v>
      </c>
      <c r="NHG525" s="1334">
        <v>8298541</v>
      </c>
      <c r="NHH525" s="1334">
        <v>8298541</v>
      </c>
      <c r="NHI525" s="1334">
        <v>8298541</v>
      </c>
      <c r="NHJ525" s="1334">
        <v>8298541</v>
      </c>
      <c r="NHK525" s="1334">
        <v>8298541</v>
      </c>
      <c r="NHL525" s="1334">
        <v>8298541</v>
      </c>
      <c r="NHM525" s="1334">
        <v>8298541</v>
      </c>
      <c r="NHN525" s="1334">
        <v>8298541</v>
      </c>
      <c r="NHO525" s="1334">
        <v>8298541</v>
      </c>
      <c r="NHP525" s="1334">
        <v>8298541</v>
      </c>
      <c r="NHQ525" s="1334">
        <v>8298541</v>
      </c>
      <c r="NHR525" s="1334">
        <v>8298541</v>
      </c>
      <c r="NHS525" s="1334">
        <v>8298541</v>
      </c>
      <c r="NHT525" s="1334">
        <v>8298541</v>
      </c>
      <c r="NHU525" s="1334">
        <v>8298541</v>
      </c>
      <c r="NHV525" s="1334">
        <v>8298541</v>
      </c>
      <c r="NHW525" s="1334">
        <v>8298541</v>
      </c>
      <c r="NHX525" s="1334">
        <v>8298541</v>
      </c>
      <c r="NHY525" s="1334">
        <v>8298541</v>
      </c>
      <c r="NHZ525" s="1334">
        <v>8298541</v>
      </c>
      <c r="NIA525" s="1334">
        <v>8298541</v>
      </c>
      <c r="NIB525" s="1334">
        <v>8298541</v>
      </c>
      <c r="NIC525" s="1334">
        <v>8298541</v>
      </c>
      <c r="NID525" s="1334">
        <v>8298541</v>
      </c>
      <c r="NIE525" s="1334">
        <v>8298541</v>
      </c>
      <c r="NIF525" s="1334">
        <v>8298541</v>
      </c>
      <c r="NIG525" s="1334">
        <v>8298541</v>
      </c>
      <c r="NIH525" s="1334">
        <v>8298541</v>
      </c>
      <c r="NII525" s="1334">
        <v>8298541</v>
      </c>
      <c r="NIJ525" s="1334">
        <v>8298541</v>
      </c>
      <c r="NIK525" s="1334">
        <v>8298541</v>
      </c>
      <c r="NIL525" s="1334">
        <v>8298541</v>
      </c>
      <c r="NIM525" s="1334">
        <v>8298541</v>
      </c>
      <c r="NIN525" s="1334">
        <v>8298541</v>
      </c>
      <c r="NIO525" s="1334">
        <v>8298541</v>
      </c>
      <c r="NIP525" s="1334">
        <v>8298541</v>
      </c>
      <c r="NIQ525" s="1334">
        <v>8298541</v>
      </c>
      <c r="NIR525" s="1334">
        <v>8298541</v>
      </c>
      <c r="NIS525" s="1334">
        <v>8298541</v>
      </c>
      <c r="NIT525" s="1334">
        <v>8298541</v>
      </c>
      <c r="NIU525" s="1334">
        <v>8298541</v>
      </c>
      <c r="NIV525" s="1334">
        <v>8298541</v>
      </c>
      <c r="NIW525" s="1334">
        <v>8298541</v>
      </c>
      <c r="NIX525" s="1334">
        <v>8298541</v>
      </c>
      <c r="NIY525" s="1334">
        <v>8298541</v>
      </c>
      <c r="NIZ525" s="1334">
        <v>8298541</v>
      </c>
      <c r="NJA525" s="1334">
        <v>8298541</v>
      </c>
      <c r="NJB525" s="1334">
        <v>8298541</v>
      </c>
      <c r="NJC525" s="1334">
        <v>8298541</v>
      </c>
      <c r="NJD525" s="1334">
        <v>8298541</v>
      </c>
      <c r="NJE525" s="1334">
        <v>8298541</v>
      </c>
      <c r="NJF525" s="1334">
        <v>8298541</v>
      </c>
      <c r="NJG525" s="1334">
        <v>8298541</v>
      </c>
      <c r="NJH525" s="1334">
        <v>8298541</v>
      </c>
      <c r="NJI525" s="1334">
        <v>8298541</v>
      </c>
      <c r="NJJ525" s="1334">
        <v>8298541</v>
      </c>
      <c r="NJK525" s="1334">
        <v>8298541</v>
      </c>
      <c r="NJL525" s="1334">
        <v>8298541</v>
      </c>
      <c r="NJM525" s="1334">
        <v>8298541</v>
      </c>
      <c r="NJN525" s="1334">
        <v>8298541</v>
      </c>
      <c r="NJO525" s="1334">
        <v>8298541</v>
      </c>
      <c r="NJP525" s="1334">
        <v>8298541</v>
      </c>
      <c r="NJQ525" s="1334">
        <v>8298541</v>
      </c>
      <c r="NJR525" s="1334">
        <v>8298541</v>
      </c>
      <c r="NJS525" s="1334">
        <v>8298541</v>
      </c>
      <c r="NJT525" s="1334">
        <v>8298541</v>
      </c>
      <c r="NJU525" s="1334">
        <v>8298541</v>
      </c>
      <c r="NJV525" s="1334">
        <v>8298541</v>
      </c>
      <c r="NJW525" s="1334">
        <v>8298541</v>
      </c>
      <c r="NJX525" s="1334">
        <v>8298541</v>
      </c>
      <c r="NJY525" s="1334">
        <v>8298541</v>
      </c>
      <c r="NJZ525" s="1334">
        <v>8298541</v>
      </c>
      <c r="NKA525" s="1334">
        <v>8298541</v>
      </c>
      <c r="NKB525" s="1334">
        <v>8298541</v>
      </c>
      <c r="NKC525" s="1334">
        <v>8298541</v>
      </c>
      <c r="NKD525" s="1334">
        <v>8298541</v>
      </c>
      <c r="NKE525" s="1334">
        <v>8298541</v>
      </c>
      <c r="NKF525" s="1334">
        <v>8298541</v>
      </c>
      <c r="NKG525" s="1334">
        <v>8298541</v>
      </c>
      <c r="NKH525" s="1334">
        <v>8298541</v>
      </c>
      <c r="NKI525" s="1334">
        <v>8298541</v>
      </c>
      <c r="NKJ525" s="1334">
        <v>8298541</v>
      </c>
      <c r="NKK525" s="1334">
        <v>8298541</v>
      </c>
      <c r="NKL525" s="1334">
        <v>8298541</v>
      </c>
      <c r="NKM525" s="1334">
        <v>8298541</v>
      </c>
      <c r="NKN525" s="1334">
        <v>8298541</v>
      </c>
      <c r="NKO525" s="1334">
        <v>8298541</v>
      </c>
      <c r="NKP525" s="1334">
        <v>8298541</v>
      </c>
      <c r="NKQ525" s="1334">
        <v>8298541</v>
      </c>
      <c r="NKR525" s="1334">
        <v>8298541</v>
      </c>
      <c r="NKS525" s="1334">
        <v>8298541</v>
      </c>
      <c r="NKT525" s="1334">
        <v>8298541</v>
      </c>
      <c r="NKU525" s="1334">
        <v>8298541</v>
      </c>
      <c r="NKV525" s="1334">
        <v>8298541</v>
      </c>
      <c r="NKW525" s="1334">
        <v>8298541</v>
      </c>
      <c r="NKX525" s="1334">
        <v>8298541</v>
      </c>
      <c r="NKY525" s="1334">
        <v>8298541</v>
      </c>
      <c r="NKZ525" s="1334">
        <v>8298541</v>
      </c>
      <c r="NLA525" s="1334">
        <v>8298541</v>
      </c>
      <c r="NLB525" s="1334">
        <v>8298541</v>
      </c>
      <c r="NLC525" s="1334">
        <v>8298541</v>
      </c>
      <c r="NLD525" s="1334">
        <v>8298541</v>
      </c>
      <c r="NLE525" s="1334">
        <v>8298541</v>
      </c>
      <c r="NLF525" s="1334">
        <v>8298541</v>
      </c>
      <c r="NLG525" s="1334">
        <v>8298541</v>
      </c>
      <c r="NLH525" s="1334">
        <v>8298541</v>
      </c>
      <c r="NLI525" s="1334">
        <v>8298541</v>
      </c>
      <c r="NLJ525" s="1334">
        <v>8298541</v>
      </c>
      <c r="NLK525" s="1334">
        <v>8298541</v>
      </c>
      <c r="NLL525" s="1334">
        <v>8298541</v>
      </c>
      <c r="NLM525" s="1334">
        <v>8298541</v>
      </c>
      <c r="NLN525" s="1334">
        <v>8298541</v>
      </c>
      <c r="NLO525" s="1334">
        <v>8298541</v>
      </c>
      <c r="NLP525" s="1334">
        <v>8298541</v>
      </c>
      <c r="NLQ525" s="1334">
        <v>8298541</v>
      </c>
      <c r="NLR525" s="1334">
        <v>8298541</v>
      </c>
      <c r="NLS525" s="1334">
        <v>8298541</v>
      </c>
      <c r="NLT525" s="1334">
        <v>8298541</v>
      </c>
      <c r="NLU525" s="1334">
        <v>8298541</v>
      </c>
      <c r="NLV525" s="1334">
        <v>8298541</v>
      </c>
      <c r="NLW525" s="1334">
        <v>8298541</v>
      </c>
      <c r="NLX525" s="1334">
        <v>8298541</v>
      </c>
      <c r="NLY525" s="1334">
        <v>8298541</v>
      </c>
      <c r="NLZ525" s="1334">
        <v>8298541</v>
      </c>
      <c r="NMA525" s="1334">
        <v>8298541</v>
      </c>
      <c r="NMB525" s="1334">
        <v>8298541</v>
      </c>
      <c r="NMC525" s="1334">
        <v>8298541</v>
      </c>
      <c r="NMD525" s="1334">
        <v>8298541</v>
      </c>
      <c r="NME525" s="1334">
        <v>8298541</v>
      </c>
      <c r="NMF525" s="1334">
        <v>8298541</v>
      </c>
      <c r="NMG525" s="1334">
        <v>8298541</v>
      </c>
      <c r="NMH525" s="1334">
        <v>8298541</v>
      </c>
      <c r="NMI525" s="1334">
        <v>8298541</v>
      </c>
      <c r="NMJ525" s="1334">
        <v>8298541</v>
      </c>
      <c r="NMK525" s="1334">
        <v>8298541</v>
      </c>
      <c r="NML525" s="1334">
        <v>8298541</v>
      </c>
      <c r="NMM525" s="1334">
        <v>8298541</v>
      </c>
      <c r="NMN525" s="1334">
        <v>8298541</v>
      </c>
      <c r="NMO525" s="1334">
        <v>8298541</v>
      </c>
      <c r="NMP525" s="1334">
        <v>8298541</v>
      </c>
      <c r="NMQ525" s="1334">
        <v>8298541</v>
      </c>
      <c r="NMR525" s="1334">
        <v>8298541</v>
      </c>
      <c r="NMS525" s="1334">
        <v>8298541</v>
      </c>
      <c r="NMT525" s="1334">
        <v>8298541</v>
      </c>
      <c r="NMU525" s="1334">
        <v>8298541</v>
      </c>
      <c r="NMV525" s="1334">
        <v>8298541</v>
      </c>
      <c r="NMW525" s="1334">
        <v>8298541</v>
      </c>
      <c r="NMX525" s="1334">
        <v>8298541</v>
      </c>
      <c r="NMY525" s="1334">
        <v>8298541</v>
      </c>
      <c r="NMZ525" s="1334">
        <v>8298541</v>
      </c>
      <c r="NNA525" s="1334">
        <v>8298541</v>
      </c>
      <c r="NNB525" s="1334">
        <v>8298541</v>
      </c>
      <c r="NNC525" s="1334">
        <v>8298541</v>
      </c>
      <c r="NND525" s="1334">
        <v>8298541</v>
      </c>
      <c r="NNE525" s="1334">
        <v>8298541</v>
      </c>
      <c r="NNF525" s="1334">
        <v>8298541</v>
      </c>
      <c r="NNG525" s="1334">
        <v>8298541</v>
      </c>
      <c r="NNH525" s="1334">
        <v>8298541</v>
      </c>
      <c r="NNI525" s="1334">
        <v>8298541</v>
      </c>
      <c r="NNJ525" s="1334">
        <v>8298541</v>
      </c>
      <c r="NNK525" s="1334">
        <v>8298541</v>
      </c>
      <c r="NNL525" s="1334">
        <v>8298541</v>
      </c>
      <c r="NNM525" s="1334">
        <v>8298541</v>
      </c>
      <c r="NNN525" s="1334">
        <v>8298541</v>
      </c>
      <c r="NNO525" s="1334">
        <v>8298541</v>
      </c>
      <c r="NNP525" s="1334">
        <v>8298541</v>
      </c>
      <c r="NNQ525" s="1334">
        <v>8298541</v>
      </c>
      <c r="NNR525" s="1334">
        <v>8298541</v>
      </c>
      <c r="NNS525" s="1334">
        <v>8298541</v>
      </c>
      <c r="NNT525" s="1334">
        <v>8298541</v>
      </c>
      <c r="NNU525" s="1334">
        <v>8298541</v>
      </c>
      <c r="NNV525" s="1334">
        <v>8298541</v>
      </c>
      <c r="NNW525" s="1334">
        <v>8298541</v>
      </c>
      <c r="NNX525" s="1334">
        <v>8298541</v>
      </c>
      <c r="NNY525" s="1334">
        <v>8298541</v>
      </c>
      <c r="NNZ525" s="1334">
        <v>8298541</v>
      </c>
      <c r="NOA525" s="1334">
        <v>8298541</v>
      </c>
      <c r="NOB525" s="1334">
        <v>8298541</v>
      </c>
      <c r="NOC525" s="1334">
        <v>8298541</v>
      </c>
      <c r="NOD525" s="1334">
        <v>8298541</v>
      </c>
      <c r="NOE525" s="1334">
        <v>8298541</v>
      </c>
      <c r="NOF525" s="1334">
        <v>8298541</v>
      </c>
      <c r="NOG525" s="1334">
        <v>8298541</v>
      </c>
      <c r="NOH525" s="1334">
        <v>8298541</v>
      </c>
      <c r="NOI525" s="1334">
        <v>8298541</v>
      </c>
      <c r="NOJ525" s="1334">
        <v>8298541</v>
      </c>
      <c r="NOK525" s="1334">
        <v>8298541</v>
      </c>
      <c r="NOL525" s="1334">
        <v>8298541</v>
      </c>
      <c r="NOM525" s="1334">
        <v>8298541</v>
      </c>
      <c r="NON525" s="1334">
        <v>8298541</v>
      </c>
      <c r="NOO525" s="1334">
        <v>8298541</v>
      </c>
      <c r="NOP525" s="1334">
        <v>8298541</v>
      </c>
      <c r="NOQ525" s="1334">
        <v>8298541</v>
      </c>
      <c r="NOR525" s="1334">
        <v>8298541</v>
      </c>
      <c r="NOS525" s="1334">
        <v>8298541</v>
      </c>
      <c r="NOT525" s="1334">
        <v>8298541</v>
      </c>
      <c r="NOU525" s="1334">
        <v>8298541</v>
      </c>
      <c r="NOV525" s="1334">
        <v>8298541</v>
      </c>
      <c r="NOW525" s="1334">
        <v>8298541</v>
      </c>
      <c r="NOX525" s="1334">
        <v>8298541</v>
      </c>
      <c r="NOY525" s="1334">
        <v>8298541</v>
      </c>
      <c r="NOZ525" s="1334">
        <v>8298541</v>
      </c>
      <c r="NPA525" s="1334">
        <v>8298541</v>
      </c>
      <c r="NPB525" s="1334">
        <v>8298541</v>
      </c>
      <c r="NPC525" s="1334">
        <v>8298541</v>
      </c>
      <c r="NPD525" s="1334">
        <v>8298541</v>
      </c>
      <c r="NPE525" s="1334">
        <v>8298541</v>
      </c>
      <c r="NPF525" s="1334">
        <v>8298541</v>
      </c>
      <c r="NPG525" s="1334">
        <v>8298541</v>
      </c>
      <c r="NPH525" s="1334">
        <v>8298541</v>
      </c>
      <c r="NPI525" s="1334">
        <v>8298541</v>
      </c>
      <c r="NPJ525" s="1334">
        <v>8298541</v>
      </c>
      <c r="NPK525" s="1334">
        <v>8298541</v>
      </c>
      <c r="NPL525" s="1334">
        <v>8298541</v>
      </c>
      <c r="NPM525" s="1334">
        <v>8298541</v>
      </c>
      <c r="NPN525" s="1334">
        <v>8298541</v>
      </c>
      <c r="NPO525" s="1334">
        <v>8298541</v>
      </c>
      <c r="NPP525" s="1334">
        <v>8298541</v>
      </c>
      <c r="NPQ525" s="1334">
        <v>8298541</v>
      </c>
      <c r="NPR525" s="1334">
        <v>8298541</v>
      </c>
      <c r="NPS525" s="1334">
        <v>8298541</v>
      </c>
      <c r="NPT525" s="1334">
        <v>8298541</v>
      </c>
      <c r="NPU525" s="1334">
        <v>8298541</v>
      </c>
      <c r="NPV525" s="1334">
        <v>8298541</v>
      </c>
      <c r="NPW525" s="1334">
        <v>8298541</v>
      </c>
      <c r="NPX525" s="1334">
        <v>8298541</v>
      </c>
      <c r="NPY525" s="1334">
        <v>8298541</v>
      </c>
      <c r="NPZ525" s="1334">
        <v>8298541</v>
      </c>
      <c r="NQA525" s="1334">
        <v>8298541</v>
      </c>
      <c r="NQB525" s="1334">
        <v>8298541</v>
      </c>
      <c r="NQC525" s="1334">
        <v>8298541</v>
      </c>
      <c r="NQD525" s="1334">
        <v>8298541</v>
      </c>
      <c r="NQE525" s="1334">
        <v>8298541</v>
      </c>
      <c r="NQF525" s="1334">
        <v>8298541</v>
      </c>
      <c r="NQG525" s="1334">
        <v>8298541</v>
      </c>
      <c r="NQH525" s="1334">
        <v>8298541</v>
      </c>
      <c r="NQI525" s="1334">
        <v>8298541</v>
      </c>
      <c r="NQJ525" s="1334">
        <v>8298541</v>
      </c>
      <c r="NQK525" s="1334">
        <v>8298541</v>
      </c>
      <c r="NQL525" s="1334">
        <v>8298541</v>
      </c>
      <c r="NQM525" s="1334">
        <v>8298541</v>
      </c>
      <c r="NQN525" s="1334">
        <v>8298541</v>
      </c>
      <c r="NQO525" s="1334">
        <v>8298541</v>
      </c>
      <c r="NQP525" s="1334">
        <v>8298541</v>
      </c>
      <c r="NQQ525" s="1334">
        <v>8298541</v>
      </c>
      <c r="NQR525" s="1334">
        <v>8298541</v>
      </c>
      <c r="NQS525" s="1334">
        <v>8298541</v>
      </c>
      <c r="NQT525" s="1334">
        <v>8298541</v>
      </c>
      <c r="NQU525" s="1334">
        <v>8298541</v>
      </c>
      <c r="NQV525" s="1334">
        <v>8298541</v>
      </c>
      <c r="NQW525" s="1334">
        <v>8298541</v>
      </c>
      <c r="NQX525" s="1334">
        <v>8298541</v>
      </c>
      <c r="NQY525" s="1334">
        <v>8298541</v>
      </c>
      <c r="NQZ525" s="1334">
        <v>8298541</v>
      </c>
      <c r="NRA525" s="1334">
        <v>8298541</v>
      </c>
      <c r="NRB525" s="1334">
        <v>8298541</v>
      </c>
      <c r="NRC525" s="1334">
        <v>8298541</v>
      </c>
      <c r="NRD525" s="1334">
        <v>8298541</v>
      </c>
      <c r="NRE525" s="1334">
        <v>8298541</v>
      </c>
      <c r="NRF525" s="1334">
        <v>8298541</v>
      </c>
      <c r="NRG525" s="1334">
        <v>8298541</v>
      </c>
      <c r="NRH525" s="1334">
        <v>8298541</v>
      </c>
      <c r="NRI525" s="1334">
        <v>8298541</v>
      </c>
      <c r="NRJ525" s="1334">
        <v>8298541</v>
      </c>
      <c r="NRK525" s="1334">
        <v>8298541</v>
      </c>
      <c r="NRL525" s="1334">
        <v>8298541</v>
      </c>
      <c r="NRM525" s="1334">
        <v>8298541</v>
      </c>
      <c r="NRN525" s="1334">
        <v>8298541</v>
      </c>
      <c r="NRO525" s="1334">
        <v>8298541</v>
      </c>
      <c r="NRP525" s="1334">
        <v>8298541</v>
      </c>
      <c r="NRQ525" s="1334">
        <v>8298541</v>
      </c>
      <c r="NRR525" s="1334">
        <v>8298541</v>
      </c>
      <c r="NRS525" s="1334">
        <v>8298541</v>
      </c>
      <c r="NRT525" s="1334">
        <v>8298541</v>
      </c>
      <c r="NRU525" s="1334">
        <v>8298541</v>
      </c>
      <c r="NRV525" s="1334">
        <v>8298541</v>
      </c>
      <c r="NRW525" s="1334">
        <v>8298541</v>
      </c>
      <c r="NRX525" s="1334">
        <v>8298541</v>
      </c>
      <c r="NRY525" s="1334">
        <v>8298541</v>
      </c>
      <c r="NRZ525" s="1334">
        <v>8298541</v>
      </c>
      <c r="NSA525" s="1334">
        <v>8298541</v>
      </c>
      <c r="NSB525" s="1334">
        <v>8298541</v>
      </c>
      <c r="NSC525" s="1334">
        <v>8298541</v>
      </c>
      <c r="NSD525" s="1334">
        <v>8298541</v>
      </c>
      <c r="NSE525" s="1334">
        <v>8298541</v>
      </c>
      <c r="NSF525" s="1334">
        <v>8298541</v>
      </c>
      <c r="NSG525" s="1334">
        <v>8298541</v>
      </c>
      <c r="NSH525" s="1334">
        <v>8298541</v>
      </c>
      <c r="NSI525" s="1334">
        <v>8298541</v>
      </c>
      <c r="NSJ525" s="1334">
        <v>8298541</v>
      </c>
      <c r="NSK525" s="1334">
        <v>8298541</v>
      </c>
      <c r="NSL525" s="1334">
        <v>8298541</v>
      </c>
      <c r="NSM525" s="1334">
        <v>8298541</v>
      </c>
      <c r="NSN525" s="1334">
        <v>8298541</v>
      </c>
      <c r="NSO525" s="1334">
        <v>8298541</v>
      </c>
      <c r="NSP525" s="1334">
        <v>8298541</v>
      </c>
      <c r="NSQ525" s="1334">
        <v>8298541</v>
      </c>
      <c r="NSR525" s="1334">
        <v>8298541</v>
      </c>
      <c r="NSS525" s="1334">
        <v>8298541</v>
      </c>
      <c r="NST525" s="1334">
        <v>8298541</v>
      </c>
      <c r="NSU525" s="1334">
        <v>8298541</v>
      </c>
      <c r="NSV525" s="1334">
        <v>8298541</v>
      </c>
      <c r="NSW525" s="1334">
        <v>8298541</v>
      </c>
      <c r="NSX525" s="1334">
        <v>8298541</v>
      </c>
      <c r="NSY525" s="1334">
        <v>8298541</v>
      </c>
      <c r="NSZ525" s="1334">
        <v>8298541</v>
      </c>
      <c r="NTA525" s="1334">
        <v>8298541</v>
      </c>
      <c r="NTB525" s="1334">
        <v>8298541</v>
      </c>
      <c r="NTC525" s="1334">
        <v>8298541</v>
      </c>
      <c r="NTD525" s="1334">
        <v>8298541</v>
      </c>
      <c r="NTE525" s="1334">
        <v>8298541</v>
      </c>
      <c r="NTF525" s="1334">
        <v>8298541</v>
      </c>
      <c r="NTG525" s="1334">
        <v>8298541</v>
      </c>
      <c r="NTH525" s="1334">
        <v>8298541</v>
      </c>
      <c r="NTI525" s="1334">
        <v>8298541</v>
      </c>
      <c r="NTJ525" s="1334">
        <v>8298541</v>
      </c>
      <c r="NTK525" s="1334">
        <v>8298541</v>
      </c>
      <c r="NTL525" s="1334">
        <v>8298541</v>
      </c>
      <c r="NTM525" s="1334">
        <v>8298541</v>
      </c>
      <c r="NTN525" s="1334">
        <v>8298541</v>
      </c>
      <c r="NTO525" s="1334">
        <v>8298541</v>
      </c>
      <c r="NTP525" s="1334">
        <v>8298541</v>
      </c>
      <c r="NTQ525" s="1334">
        <v>8298541</v>
      </c>
      <c r="NTR525" s="1334">
        <v>8298541</v>
      </c>
      <c r="NTS525" s="1334">
        <v>8298541</v>
      </c>
      <c r="NTT525" s="1334">
        <v>8298541</v>
      </c>
      <c r="NTU525" s="1334">
        <v>8298541</v>
      </c>
      <c r="NTV525" s="1334">
        <v>8298541</v>
      </c>
      <c r="NTW525" s="1334">
        <v>8298541</v>
      </c>
      <c r="NTX525" s="1334">
        <v>8298541</v>
      </c>
      <c r="NTY525" s="1334">
        <v>8298541</v>
      </c>
      <c r="NTZ525" s="1334">
        <v>8298541</v>
      </c>
      <c r="NUA525" s="1334">
        <v>8298541</v>
      </c>
      <c r="NUB525" s="1334">
        <v>8298541</v>
      </c>
      <c r="NUC525" s="1334">
        <v>8298541</v>
      </c>
      <c r="NUD525" s="1334">
        <v>8298541</v>
      </c>
      <c r="NUE525" s="1334">
        <v>8298541</v>
      </c>
      <c r="NUF525" s="1334">
        <v>8298541</v>
      </c>
      <c r="NUG525" s="1334">
        <v>8298541</v>
      </c>
      <c r="NUH525" s="1334">
        <v>8298541</v>
      </c>
      <c r="NUI525" s="1334">
        <v>8298541</v>
      </c>
      <c r="NUJ525" s="1334">
        <v>8298541</v>
      </c>
      <c r="NUK525" s="1334">
        <v>8298541</v>
      </c>
      <c r="NUL525" s="1334">
        <v>8298541</v>
      </c>
      <c r="NUM525" s="1334">
        <v>8298541</v>
      </c>
      <c r="NUN525" s="1334">
        <v>8298541</v>
      </c>
      <c r="NUO525" s="1334">
        <v>8298541</v>
      </c>
      <c r="NUP525" s="1334">
        <v>8298541</v>
      </c>
      <c r="NUQ525" s="1334">
        <v>8298541</v>
      </c>
      <c r="NUR525" s="1334">
        <v>8298541</v>
      </c>
      <c r="NUS525" s="1334">
        <v>8298541</v>
      </c>
      <c r="NUT525" s="1334">
        <v>8298541</v>
      </c>
      <c r="NUU525" s="1334">
        <v>8298541</v>
      </c>
      <c r="NUV525" s="1334">
        <v>8298541</v>
      </c>
      <c r="NUW525" s="1334">
        <v>8298541</v>
      </c>
      <c r="NUX525" s="1334">
        <v>8298541</v>
      </c>
      <c r="NUY525" s="1334">
        <v>8298541</v>
      </c>
      <c r="NUZ525" s="1334">
        <v>8298541</v>
      </c>
      <c r="NVA525" s="1334">
        <v>8298541</v>
      </c>
      <c r="NVB525" s="1334">
        <v>8298541</v>
      </c>
      <c r="NVC525" s="1334">
        <v>8298541</v>
      </c>
      <c r="NVD525" s="1334">
        <v>8298541</v>
      </c>
      <c r="NVE525" s="1334">
        <v>8298541</v>
      </c>
      <c r="NVF525" s="1334">
        <v>8298541</v>
      </c>
      <c r="NVG525" s="1334">
        <v>8298541</v>
      </c>
      <c r="NVH525" s="1334">
        <v>8298541</v>
      </c>
      <c r="NVI525" s="1334">
        <v>8298541</v>
      </c>
      <c r="NVJ525" s="1334">
        <v>8298541</v>
      </c>
      <c r="NVK525" s="1334">
        <v>8298541</v>
      </c>
      <c r="NVL525" s="1334">
        <v>8298541</v>
      </c>
      <c r="NVM525" s="1334">
        <v>8298541</v>
      </c>
      <c r="NVN525" s="1334">
        <v>8298541</v>
      </c>
      <c r="NVO525" s="1334">
        <v>8298541</v>
      </c>
      <c r="NVP525" s="1334">
        <v>8298541</v>
      </c>
      <c r="NVQ525" s="1334">
        <v>8298541</v>
      </c>
      <c r="NVR525" s="1334">
        <v>8298541</v>
      </c>
      <c r="NVS525" s="1334">
        <v>8298541</v>
      </c>
      <c r="NVT525" s="1334">
        <v>8298541</v>
      </c>
      <c r="NVU525" s="1334">
        <v>8298541</v>
      </c>
      <c r="NVV525" s="1334">
        <v>8298541</v>
      </c>
      <c r="NVW525" s="1334">
        <v>8298541</v>
      </c>
      <c r="NVX525" s="1334">
        <v>8298541</v>
      </c>
      <c r="NVY525" s="1334">
        <v>8298541</v>
      </c>
      <c r="NVZ525" s="1334">
        <v>8298541</v>
      </c>
      <c r="NWA525" s="1334">
        <v>8298541</v>
      </c>
      <c r="NWB525" s="1334">
        <v>8298541</v>
      </c>
      <c r="NWC525" s="1334">
        <v>8298541</v>
      </c>
      <c r="NWD525" s="1334">
        <v>8298541</v>
      </c>
      <c r="NWE525" s="1334">
        <v>8298541</v>
      </c>
      <c r="NWF525" s="1334">
        <v>8298541</v>
      </c>
      <c r="NWG525" s="1334">
        <v>8298541</v>
      </c>
      <c r="NWH525" s="1334">
        <v>8298541</v>
      </c>
      <c r="NWI525" s="1334">
        <v>8298541</v>
      </c>
      <c r="NWJ525" s="1334">
        <v>8298541</v>
      </c>
      <c r="NWK525" s="1334">
        <v>8298541</v>
      </c>
      <c r="NWL525" s="1334">
        <v>8298541</v>
      </c>
      <c r="NWM525" s="1334">
        <v>8298541</v>
      </c>
      <c r="NWN525" s="1334">
        <v>8298541</v>
      </c>
      <c r="NWO525" s="1334">
        <v>8298541</v>
      </c>
      <c r="NWP525" s="1334">
        <v>8298541</v>
      </c>
      <c r="NWQ525" s="1334">
        <v>8298541</v>
      </c>
      <c r="NWR525" s="1334">
        <v>8298541</v>
      </c>
      <c r="NWS525" s="1334">
        <v>8298541</v>
      </c>
      <c r="NWT525" s="1334">
        <v>8298541</v>
      </c>
      <c r="NWU525" s="1334">
        <v>8298541</v>
      </c>
      <c r="NWV525" s="1334">
        <v>8298541</v>
      </c>
      <c r="NWW525" s="1334">
        <v>8298541</v>
      </c>
      <c r="NWX525" s="1334">
        <v>8298541</v>
      </c>
      <c r="NWY525" s="1334">
        <v>8298541</v>
      </c>
      <c r="NWZ525" s="1334">
        <v>8298541</v>
      </c>
      <c r="NXA525" s="1334">
        <v>8298541</v>
      </c>
      <c r="NXB525" s="1334">
        <v>8298541</v>
      </c>
      <c r="NXC525" s="1334">
        <v>8298541</v>
      </c>
      <c r="NXD525" s="1334">
        <v>8298541</v>
      </c>
      <c r="NXE525" s="1334">
        <v>8298541</v>
      </c>
      <c r="NXF525" s="1334">
        <v>8298541</v>
      </c>
      <c r="NXG525" s="1334">
        <v>8298541</v>
      </c>
      <c r="NXH525" s="1334">
        <v>8298541</v>
      </c>
      <c r="NXI525" s="1334">
        <v>8298541</v>
      </c>
      <c r="NXJ525" s="1334">
        <v>8298541</v>
      </c>
      <c r="NXK525" s="1334">
        <v>8298541</v>
      </c>
      <c r="NXL525" s="1334">
        <v>8298541</v>
      </c>
      <c r="NXM525" s="1334">
        <v>8298541</v>
      </c>
      <c r="NXN525" s="1334">
        <v>8298541</v>
      </c>
      <c r="NXO525" s="1334">
        <v>8298541</v>
      </c>
      <c r="NXP525" s="1334">
        <v>8298541</v>
      </c>
      <c r="NXQ525" s="1334">
        <v>8298541</v>
      </c>
      <c r="NXR525" s="1334">
        <v>8298541</v>
      </c>
      <c r="NXS525" s="1334">
        <v>8298541</v>
      </c>
      <c r="NXT525" s="1334">
        <v>8298541</v>
      </c>
      <c r="NXU525" s="1334">
        <v>8298541</v>
      </c>
      <c r="NXV525" s="1334">
        <v>8298541</v>
      </c>
      <c r="NXW525" s="1334">
        <v>8298541</v>
      </c>
      <c r="NXX525" s="1334">
        <v>8298541</v>
      </c>
      <c r="NXY525" s="1334">
        <v>8298541</v>
      </c>
      <c r="NXZ525" s="1334">
        <v>8298541</v>
      </c>
      <c r="NYA525" s="1334">
        <v>8298541</v>
      </c>
      <c r="NYB525" s="1334">
        <v>8298541</v>
      </c>
      <c r="NYC525" s="1334">
        <v>8298541</v>
      </c>
      <c r="NYD525" s="1334">
        <v>8298541</v>
      </c>
      <c r="NYE525" s="1334">
        <v>8298541</v>
      </c>
      <c r="NYF525" s="1334">
        <v>8298541</v>
      </c>
      <c r="NYG525" s="1334">
        <v>8298541</v>
      </c>
      <c r="NYH525" s="1334">
        <v>8298541</v>
      </c>
      <c r="NYI525" s="1334">
        <v>8298541</v>
      </c>
      <c r="NYJ525" s="1334">
        <v>8298541</v>
      </c>
      <c r="NYK525" s="1334">
        <v>8298541</v>
      </c>
      <c r="NYL525" s="1334">
        <v>8298541</v>
      </c>
      <c r="NYM525" s="1334">
        <v>8298541</v>
      </c>
      <c r="NYN525" s="1334">
        <v>8298541</v>
      </c>
      <c r="NYO525" s="1334">
        <v>8298541</v>
      </c>
      <c r="NYP525" s="1334">
        <v>8298541</v>
      </c>
      <c r="NYQ525" s="1334">
        <v>8298541</v>
      </c>
      <c r="NYR525" s="1334">
        <v>8298541</v>
      </c>
      <c r="NYS525" s="1334">
        <v>8298541</v>
      </c>
      <c r="NYT525" s="1334">
        <v>8298541</v>
      </c>
      <c r="NYU525" s="1334">
        <v>8298541</v>
      </c>
      <c r="NYV525" s="1334">
        <v>8298541</v>
      </c>
      <c r="NYW525" s="1334">
        <v>8298541</v>
      </c>
      <c r="NYX525" s="1334">
        <v>8298541</v>
      </c>
      <c r="NYY525" s="1334">
        <v>8298541</v>
      </c>
      <c r="NYZ525" s="1334">
        <v>8298541</v>
      </c>
      <c r="NZA525" s="1334">
        <v>8298541</v>
      </c>
      <c r="NZB525" s="1334">
        <v>8298541</v>
      </c>
      <c r="NZC525" s="1334">
        <v>8298541</v>
      </c>
      <c r="NZD525" s="1334">
        <v>8298541</v>
      </c>
      <c r="NZE525" s="1334">
        <v>8298541</v>
      </c>
      <c r="NZF525" s="1334">
        <v>8298541</v>
      </c>
      <c r="NZG525" s="1334">
        <v>8298541</v>
      </c>
      <c r="NZH525" s="1334">
        <v>8298541</v>
      </c>
      <c r="NZI525" s="1334">
        <v>8298541</v>
      </c>
      <c r="NZJ525" s="1334">
        <v>8298541</v>
      </c>
      <c r="NZK525" s="1334">
        <v>8298541</v>
      </c>
      <c r="NZL525" s="1334">
        <v>8298541</v>
      </c>
      <c r="NZM525" s="1334">
        <v>8298541</v>
      </c>
      <c r="NZN525" s="1334">
        <v>8298541</v>
      </c>
      <c r="NZO525" s="1334">
        <v>8298541</v>
      </c>
      <c r="NZP525" s="1334">
        <v>8298541</v>
      </c>
      <c r="NZQ525" s="1334">
        <v>8298541</v>
      </c>
      <c r="NZR525" s="1334">
        <v>8298541</v>
      </c>
      <c r="NZS525" s="1334">
        <v>8298541</v>
      </c>
      <c r="NZT525" s="1334">
        <v>8298541</v>
      </c>
      <c r="NZU525" s="1334">
        <v>8298541</v>
      </c>
      <c r="NZV525" s="1334">
        <v>8298541</v>
      </c>
      <c r="NZW525" s="1334">
        <v>8298541</v>
      </c>
      <c r="NZX525" s="1334">
        <v>8298541</v>
      </c>
      <c r="NZY525" s="1334">
        <v>8298541</v>
      </c>
      <c r="NZZ525" s="1334">
        <v>8298541</v>
      </c>
      <c r="OAA525" s="1334">
        <v>8298541</v>
      </c>
      <c r="OAB525" s="1334">
        <v>8298541</v>
      </c>
      <c r="OAC525" s="1334">
        <v>8298541</v>
      </c>
      <c r="OAD525" s="1334">
        <v>8298541</v>
      </c>
      <c r="OAE525" s="1334">
        <v>8298541</v>
      </c>
      <c r="OAF525" s="1334">
        <v>8298541</v>
      </c>
      <c r="OAG525" s="1334">
        <v>8298541</v>
      </c>
      <c r="OAH525" s="1334">
        <v>8298541</v>
      </c>
      <c r="OAI525" s="1334">
        <v>8298541</v>
      </c>
      <c r="OAJ525" s="1334">
        <v>8298541</v>
      </c>
      <c r="OAK525" s="1334">
        <v>8298541</v>
      </c>
      <c r="OAL525" s="1334">
        <v>8298541</v>
      </c>
      <c r="OAM525" s="1334">
        <v>8298541</v>
      </c>
      <c r="OAN525" s="1334">
        <v>8298541</v>
      </c>
      <c r="OAO525" s="1334">
        <v>8298541</v>
      </c>
      <c r="OAP525" s="1334">
        <v>8298541</v>
      </c>
      <c r="OAQ525" s="1334">
        <v>8298541</v>
      </c>
      <c r="OAR525" s="1334">
        <v>8298541</v>
      </c>
      <c r="OAS525" s="1334">
        <v>8298541</v>
      </c>
      <c r="OAT525" s="1334">
        <v>8298541</v>
      </c>
      <c r="OAU525" s="1334">
        <v>8298541</v>
      </c>
      <c r="OAV525" s="1334">
        <v>8298541</v>
      </c>
      <c r="OAW525" s="1334">
        <v>8298541</v>
      </c>
      <c r="OAX525" s="1334">
        <v>8298541</v>
      </c>
      <c r="OAY525" s="1334">
        <v>8298541</v>
      </c>
      <c r="OAZ525" s="1334">
        <v>8298541</v>
      </c>
      <c r="OBA525" s="1334">
        <v>8298541</v>
      </c>
      <c r="OBB525" s="1334">
        <v>8298541</v>
      </c>
      <c r="OBC525" s="1334">
        <v>8298541</v>
      </c>
      <c r="OBD525" s="1334">
        <v>8298541</v>
      </c>
      <c r="OBE525" s="1334">
        <v>8298541</v>
      </c>
      <c r="OBF525" s="1334">
        <v>8298541</v>
      </c>
      <c r="OBG525" s="1334">
        <v>8298541</v>
      </c>
      <c r="OBH525" s="1334">
        <v>8298541</v>
      </c>
      <c r="OBI525" s="1334">
        <v>8298541</v>
      </c>
      <c r="OBJ525" s="1334">
        <v>8298541</v>
      </c>
      <c r="OBK525" s="1334">
        <v>8298541</v>
      </c>
      <c r="OBL525" s="1334">
        <v>8298541</v>
      </c>
      <c r="OBM525" s="1334">
        <v>8298541</v>
      </c>
      <c r="OBN525" s="1334">
        <v>8298541</v>
      </c>
      <c r="OBO525" s="1334">
        <v>8298541</v>
      </c>
      <c r="OBP525" s="1334">
        <v>8298541</v>
      </c>
      <c r="OBQ525" s="1334">
        <v>8298541</v>
      </c>
      <c r="OBR525" s="1334">
        <v>8298541</v>
      </c>
      <c r="OBS525" s="1334">
        <v>8298541</v>
      </c>
      <c r="OBT525" s="1334">
        <v>8298541</v>
      </c>
      <c r="OBU525" s="1334">
        <v>8298541</v>
      </c>
      <c r="OBV525" s="1334">
        <v>8298541</v>
      </c>
      <c r="OBW525" s="1334">
        <v>8298541</v>
      </c>
      <c r="OBX525" s="1334">
        <v>8298541</v>
      </c>
      <c r="OBY525" s="1334">
        <v>8298541</v>
      </c>
      <c r="OBZ525" s="1334">
        <v>8298541</v>
      </c>
      <c r="OCA525" s="1334">
        <v>8298541</v>
      </c>
      <c r="OCB525" s="1334">
        <v>8298541</v>
      </c>
      <c r="OCC525" s="1334">
        <v>8298541</v>
      </c>
      <c r="OCD525" s="1334">
        <v>8298541</v>
      </c>
      <c r="OCE525" s="1334">
        <v>8298541</v>
      </c>
      <c r="OCF525" s="1334">
        <v>8298541</v>
      </c>
      <c r="OCG525" s="1334">
        <v>8298541</v>
      </c>
      <c r="OCH525" s="1334">
        <v>8298541</v>
      </c>
      <c r="OCI525" s="1334">
        <v>8298541</v>
      </c>
      <c r="OCJ525" s="1334">
        <v>8298541</v>
      </c>
      <c r="OCK525" s="1334">
        <v>8298541</v>
      </c>
      <c r="OCL525" s="1334">
        <v>8298541</v>
      </c>
      <c r="OCM525" s="1334">
        <v>8298541</v>
      </c>
      <c r="OCN525" s="1334">
        <v>8298541</v>
      </c>
      <c r="OCO525" s="1334">
        <v>8298541</v>
      </c>
      <c r="OCP525" s="1334">
        <v>8298541</v>
      </c>
      <c r="OCQ525" s="1334">
        <v>8298541</v>
      </c>
      <c r="OCR525" s="1334">
        <v>8298541</v>
      </c>
      <c r="OCS525" s="1334">
        <v>8298541</v>
      </c>
      <c r="OCT525" s="1334">
        <v>8298541</v>
      </c>
      <c r="OCU525" s="1334">
        <v>8298541</v>
      </c>
      <c r="OCV525" s="1334">
        <v>8298541</v>
      </c>
      <c r="OCW525" s="1334">
        <v>8298541</v>
      </c>
      <c r="OCX525" s="1334">
        <v>8298541</v>
      </c>
      <c r="OCY525" s="1334">
        <v>8298541</v>
      </c>
      <c r="OCZ525" s="1334">
        <v>8298541</v>
      </c>
      <c r="ODA525" s="1334">
        <v>8298541</v>
      </c>
      <c r="ODB525" s="1334">
        <v>8298541</v>
      </c>
      <c r="ODC525" s="1334">
        <v>8298541</v>
      </c>
      <c r="ODD525" s="1334">
        <v>8298541</v>
      </c>
      <c r="ODE525" s="1334">
        <v>8298541</v>
      </c>
      <c r="ODF525" s="1334">
        <v>8298541</v>
      </c>
      <c r="ODG525" s="1334">
        <v>8298541</v>
      </c>
      <c r="ODH525" s="1334">
        <v>8298541</v>
      </c>
      <c r="ODI525" s="1334">
        <v>8298541</v>
      </c>
      <c r="ODJ525" s="1334">
        <v>8298541</v>
      </c>
      <c r="ODK525" s="1334">
        <v>8298541</v>
      </c>
      <c r="ODL525" s="1334">
        <v>8298541</v>
      </c>
      <c r="ODM525" s="1334">
        <v>8298541</v>
      </c>
      <c r="ODN525" s="1334">
        <v>8298541</v>
      </c>
      <c r="ODO525" s="1334">
        <v>8298541</v>
      </c>
      <c r="ODP525" s="1334">
        <v>8298541</v>
      </c>
      <c r="ODQ525" s="1334">
        <v>8298541</v>
      </c>
      <c r="ODR525" s="1334">
        <v>8298541</v>
      </c>
      <c r="ODS525" s="1334">
        <v>8298541</v>
      </c>
      <c r="ODT525" s="1334">
        <v>8298541</v>
      </c>
      <c r="ODU525" s="1334">
        <v>8298541</v>
      </c>
      <c r="ODV525" s="1334">
        <v>8298541</v>
      </c>
      <c r="ODW525" s="1334">
        <v>8298541</v>
      </c>
      <c r="ODX525" s="1334">
        <v>8298541</v>
      </c>
      <c r="ODY525" s="1334">
        <v>8298541</v>
      </c>
      <c r="ODZ525" s="1334">
        <v>8298541</v>
      </c>
      <c r="OEA525" s="1334">
        <v>8298541</v>
      </c>
      <c r="OEB525" s="1334">
        <v>8298541</v>
      </c>
      <c r="OEC525" s="1334">
        <v>8298541</v>
      </c>
      <c r="OED525" s="1334">
        <v>8298541</v>
      </c>
      <c r="OEE525" s="1334">
        <v>8298541</v>
      </c>
      <c r="OEF525" s="1334">
        <v>8298541</v>
      </c>
      <c r="OEG525" s="1334">
        <v>8298541</v>
      </c>
      <c r="OEH525" s="1334">
        <v>8298541</v>
      </c>
      <c r="OEI525" s="1334">
        <v>8298541</v>
      </c>
      <c r="OEJ525" s="1334">
        <v>8298541</v>
      </c>
      <c r="OEK525" s="1334">
        <v>8298541</v>
      </c>
      <c r="OEL525" s="1334">
        <v>8298541</v>
      </c>
      <c r="OEM525" s="1334">
        <v>8298541</v>
      </c>
      <c r="OEN525" s="1334">
        <v>8298541</v>
      </c>
      <c r="OEO525" s="1334">
        <v>8298541</v>
      </c>
      <c r="OEP525" s="1334">
        <v>8298541</v>
      </c>
      <c r="OEQ525" s="1334">
        <v>8298541</v>
      </c>
      <c r="OER525" s="1334">
        <v>8298541</v>
      </c>
      <c r="OES525" s="1334">
        <v>8298541</v>
      </c>
      <c r="OET525" s="1334">
        <v>8298541</v>
      </c>
      <c r="OEU525" s="1334">
        <v>8298541</v>
      </c>
      <c r="OEV525" s="1334">
        <v>8298541</v>
      </c>
      <c r="OEW525" s="1334">
        <v>8298541</v>
      </c>
      <c r="OEX525" s="1334">
        <v>8298541</v>
      </c>
      <c r="OEY525" s="1334">
        <v>8298541</v>
      </c>
      <c r="OEZ525" s="1334">
        <v>8298541</v>
      </c>
      <c r="OFA525" s="1334">
        <v>8298541</v>
      </c>
      <c r="OFB525" s="1334">
        <v>8298541</v>
      </c>
      <c r="OFC525" s="1334">
        <v>8298541</v>
      </c>
      <c r="OFD525" s="1334">
        <v>8298541</v>
      </c>
      <c r="OFE525" s="1334">
        <v>8298541</v>
      </c>
      <c r="OFF525" s="1334">
        <v>8298541</v>
      </c>
      <c r="OFG525" s="1334">
        <v>8298541</v>
      </c>
      <c r="OFH525" s="1334">
        <v>8298541</v>
      </c>
      <c r="OFI525" s="1334">
        <v>8298541</v>
      </c>
      <c r="OFJ525" s="1334">
        <v>8298541</v>
      </c>
      <c r="OFK525" s="1334">
        <v>8298541</v>
      </c>
      <c r="OFL525" s="1334">
        <v>8298541</v>
      </c>
      <c r="OFM525" s="1334">
        <v>8298541</v>
      </c>
      <c r="OFN525" s="1334">
        <v>8298541</v>
      </c>
      <c r="OFO525" s="1334">
        <v>8298541</v>
      </c>
      <c r="OFP525" s="1334">
        <v>8298541</v>
      </c>
      <c r="OFQ525" s="1334">
        <v>8298541</v>
      </c>
      <c r="OFR525" s="1334">
        <v>8298541</v>
      </c>
      <c r="OFS525" s="1334">
        <v>8298541</v>
      </c>
      <c r="OFT525" s="1334">
        <v>8298541</v>
      </c>
      <c r="OFU525" s="1334">
        <v>8298541</v>
      </c>
      <c r="OFV525" s="1334">
        <v>8298541</v>
      </c>
      <c r="OFW525" s="1334">
        <v>8298541</v>
      </c>
      <c r="OFX525" s="1334">
        <v>8298541</v>
      </c>
      <c r="OFY525" s="1334">
        <v>8298541</v>
      </c>
      <c r="OFZ525" s="1334">
        <v>8298541</v>
      </c>
      <c r="OGA525" s="1334">
        <v>8298541</v>
      </c>
      <c r="OGB525" s="1334">
        <v>8298541</v>
      </c>
      <c r="OGC525" s="1334">
        <v>8298541</v>
      </c>
      <c r="OGD525" s="1334">
        <v>8298541</v>
      </c>
      <c r="OGE525" s="1334">
        <v>8298541</v>
      </c>
      <c r="OGF525" s="1334">
        <v>8298541</v>
      </c>
      <c r="OGG525" s="1334">
        <v>8298541</v>
      </c>
      <c r="OGH525" s="1334">
        <v>8298541</v>
      </c>
      <c r="OGI525" s="1334">
        <v>8298541</v>
      </c>
      <c r="OGJ525" s="1334">
        <v>8298541</v>
      </c>
      <c r="OGK525" s="1334">
        <v>8298541</v>
      </c>
      <c r="OGL525" s="1334">
        <v>8298541</v>
      </c>
      <c r="OGM525" s="1334">
        <v>8298541</v>
      </c>
      <c r="OGN525" s="1334">
        <v>8298541</v>
      </c>
      <c r="OGO525" s="1334">
        <v>8298541</v>
      </c>
      <c r="OGP525" s="1334">
        <v>8298541</v>
      </c>
      <c r="OGQ525" s="1334">
        <v>8298541</v>
      </c>
      <c r="OGR525" s="1334">
        <v>8298541</v>
      </c>
      <c r="OGS525" s="1334">
        <v>8298541</v>
      </c>
      <c r="OGT525" s="1334">
        <v>8298541</v>
      </c>
      <c r="OGU525" s="1334">
        <v>8298541</v>
      </c>
      <c r="OGV525" s="1334">
        <v>8298541</v>
      </c>
      <c r="OGW525" s="1334">
        <v>8298541</v>
      </c>
      <c r="OGX525" s="1334">
        <v>8298541</v>
      </c>
      <c r="OGY525" s="1334">
        <v>8298541</v>
      </c>
      <c r="OGZ525" s="1334">
        <v>8298541</v>
      </c>
      <c r="OHA525" s="1334">
        <v>8298541</v>
      </c>
      <c r="OHB525" s="1334">
        <v>8298541</v>
      </c>
      <c r="OHC525" s="1334">
        <v>8298541</v>
      </c>
      <c r="OHD525" s="1334">
        <v>8298541</v>
      </c>
      <c r="OHE525" s="1334">
        <v>8298541</v>
      </c>
      <c r="OHF525" s="1334">
        <v>8298541</v>
      </c>
      <c r="OHG525" s="1334">
        <v>8298541</v>
      </c>
      <c r="OHH525" s="1334">
        <v>8298541</v>
      </c>
      <c r="OHI525" s="1334">
        <v>8298541</v>
      </c>
      <c r="OHJ525" s="1334">
        <v>8298541</v>
      </c>
      <c r="OHK525" s="1334">
        <v>8298541</v>
      </c>
      <c r="OHL525" s="1334">
        <v>8298541</v>
      </c>
      <c r="OHM525" s="1334">
        <v>8298541</v>
      </c>
      <c r="OHN525" s="1334">
        <v>8298541</v>
      </c>
      <c r="OHO525" s="1334">
        <v>8298541</v>
      </c>
      <c r="OHP525" s="1334">
        <v>8298541</v>
      </c>
      <c r="OHQ525" s="1334">
        <v>8298541</v>
      </c>
      <c r="OHR525" s="1334">
        <v>8298541</v>
      </c>
      <c r="OHS525" s="1334">
        <v>8298541</v>
      </c>
      <c r="OHT525" s="1334">
        <v>8298541</v>
      </c>
      <c r="OHU525" s="1334">
        <v>8298541</v>
      </c>
      <c r="OHV525" s="1334">
        <v>8298541</v>
      </c>
      <c r="OHW525" s="1334">
        <v>8298541</v>
      </c>
      <c r="OHX525" s="1334">
        <v>8298541</v>
      </c>
      <c r="OHY525" s="1334">
        <v>8298541</v>
      </c>
      <c r="OHZ525" s="1334">
        <v>8298541</v>
      </c>
      <c r="OIA525" s="1334">
        <v>8298541</v>
      </c>
      <c r="OIB525" s="1334">
        <v>8298541</v>
      </c>
      <c r="OIC525" s="1334">
        <v>8298541</v>
      </c>
      <c r="OID525" s="1334">
        <v>8298541</v>
      </c>
      <c r="OIE525" s="1334">
        <v>8298541</v>
      </c>
      <c r="OIF525" s="1334">
        <v>8298541</v>
      </c>
      <c r="OIG525" s="1334">
        <v>8298541</v>
      </c>
      <c r="OIH525" s="1334">
        <v>8298541</v>
      </c>
      <c r="OII525" s="1334">
        <v>8298541</v>
      </c>
      <c r="OIJ525" s="1334">
        <v>8298541</v>
      </c>
      <c r="OIK525" s="1334">
        <v>8298541</v>
      </c>
      <c r="OIL525" s="1334">
        <v>8298541</v>
      </c>
      <c r="OIM525" s="1334">
        <v>8298541</v>
      </c>
      <c r="OIN525" s="1334">
        <v>8298541</v>
      </c>
      <c r="OIO525" s="1334">
        <v>8298541</v>
      </c>
      <c r="OIP525" s="1334">
        <v>8298541</v>
      </c>
      <c r="OIQ525" s="1334">
        <v>8298541</v>
      </c>
      <c r="OIR525" s="1334">
        <v>8298541</v>
      </c>
      <c r="OIS525" s="1334">
        <v>8298541</v>
      </c>
      <c r="OIT525" s="1334">
        <v>8298541</v>
      </c>
      <c r="OIU525" s="1334">
        <v>8298541</v>
      </c>
      <c r="OIV525" s="1334">
        <v>8298541</v>
      </c>
      <c r="OIW525" s="1334">
        <v>8298541</v>
      </c>
      <c r="OIX525" s="1334">
        <v>8298541</v>
      </c>
      <c r="OIY525" s="1334">
        <v>8298541</v>
      </c>
      <c r="OIZ525" s="1334">
        <v>8298541</v>
      </c>
      <c r="OJA525" s="1334">
        <v>8298541</v>
      </c>
      <c r="OJB525" s="1334">
        <v>8298541</v>
      </c>
      <c r="OJC525" s="1334">
        <v>8298541</v>
      </c>
      <c r="OJD525" s="1334">
        <v>8298541</v>
      </c>
      <c r="OJE525" s="1334">
        <v>8298541</v>
      </c>
      <c r="OJF525" s="1334">
        <v>8298541</v>
      </c>
      <c r="OJG525" s="1334">
        <v>8298541</v>
      </c>
      <c r="OJH525" s="1334">
        <v>8298541</v>
      </c>
      <c r="OJI525" s="1334">
        <v>8298541</v>
      </c>
      <c r="OJJ525" s="1334">
        <v>8298541</v>
      </c>
      <c r="OJK525" s="1334">
        <v>8298541</v>
      </c>
      <c r="OJL525" s="1334">
        <v>8298541</v>
      </c>
      <c r="OJM525" s="1334">
        <v>8298541</v>
      </c>
      <c r="OJN525" s="1334">
        <v>8298541</v>
      </c>
      <c r="OJO525" s="1334">
        <v>8298541</v>
      </c>
      <c r="OJP525" s="1334">
        <v>8298541</v>
      </c>
      <c r="OJQ525" s="1334">
        <v>8298541</v>
      </c>
      <c r="OJR525" s="1334">
        <v>8298541</v>
      </c>
      <c r="OJS525" s="1334">
        <v>8298541</v>
      </c>
      <c r="OJT525" s="1334">
        <v>8298541</v>
      </c>
      <c r="OJU525" s="1334">
        <v>8298541</v>
      </c>
      <c r="OJV525" s="1334">
        <v>8298541</v>
      </c>
      <c r="OJW525" s="1334">
        <v>8298541</v>
      </c>
      <c r="OJX525" s="1334">
        <v>8298541</v>
      </c>
      <c r="OJY525" s="1334">
        <v>8298541</v>
      </c>
      <c r="OJZ525" s="1334">
        <v>8298541</v>
      </c>
      <c r="OKA525" s="1334">
        <v>8298541</v>
      </c>
      <c r="OKB525" s="1334">
        <v>8298541</v>
      </c>
      <c r="OKC525" s="1334">
        <v>8298541</v>
      </c>
      <c r="OKD525" s="1334">
        <v>8298541</v>
      </c>
      <c r="OKE525" s="1334">
        <v>8298541</v>
      </c>
      <c r="OKF525" s="1334">
        <v>8298541</v>
      </c>
      <c r="OKG525" s="1334">
        <v>8298541</v>
      </c>
      <c r="OKH525" s="1334">
        <v>8298541</v>
      </c>
      <c r="OKI525" s="1334">
        <v>8298541</v>
      </c>
      <c r="OKJ525" s="1334">
        <v>8298541</v>
      </c>
      <c r="OKK525" s="1334">
        <v>8298541</v>
      </c>
      <c r="OKL525" s="1334">
        <v>8298541</v>
      </c>
      <c r="OKM525" s="1334">
        <v>8298541</v>
      </c>
      <c r="OKN525" s="1334">
        <v>8298541</v>
      </c>
      <c r="OKO525" s="1334">
        <v>8298541</v>
      </c>
      <c r="OKP525" s="1334">
        <v>8298541</v>
      </c>
      <c r="OKQ525" s="1334">
        <v>8298541</v>
      </c>
      <c r="OKR525" s="1334">
        <v>8298541</v>
      </c>
      <c r="OKS525" s="1334">
        <v>8298541</v>
      </c>
      <c r="OKT525" s="1334">
        <v>8298541</v>
      </c>
      <c r="OKU525" s="1334">
        <v>8298541</v>
      </c>
      <c r="OKV525" s="1334">
        <v>8298541</v>
      </c>
      <c r="OKW525" s="1334">
        <v>8298541</v>
      </c>
      <c r="OKX525" s="1334">
        <v>8298541</v>
      </c>
      <c r="OKY525" s="1334">
        <v>8298541</v>
      </c>
      <c r="OKZ525" s="1334">
        <v>8298541</v>
      </c>
      <c r="OLA525" s="1334">
        <v>8298541</v>
      </c>
      <c r="OLB525" s="1334">
        <v>8298541</v>
      </c>
      <c r="OLC525" s="1334">
        <v>8298541</v>
      </c>
      <c r="OLD525" s="1334">
        <v>8298541</v>
      </c>
      <c r="OLE525" s="1334">
        <v>8298541</v>
      </c>
      <c r="OLF525" s="1334">
        <v>8298541</v>
      </c>
      <c r="OLG525" s="1334">
        <v>8298541</v>
      </c>
      <c r="OLH525" s="1334">
        <v>8298541</v>
      </c>
      <c r="OLI525" s="1334">
        <v>8298541</v>
      </c>
      <c r="OLJ525" s="1334">
        <v>8298541</v>
      </c>
      <c r="OLK525" s="1334">
        <v>8298541</v>
      </c>
      <c r="OLL525" s="1334">
        <v>8298541</v>
      </c>
      <c r="OLM525" s="1334">
        <v>8298541</v>
      </c>
      <c r="OLN525" s="1334">
        <v>8298541</v>
      </c>
      <c r="OLO525" s="1334">
        <v>8298541</v>
      </c>
      <c r="OLP525" s="1334">
        <v>8298541</v>
      </c>
      <c r="OLQ525" s="1334">
        <v>8298541</v>
      </c>
      <c r="OLR525" s="1334">
        <v>8298541</v>
      </c>
      <c r="OLS525" s="1334">
        <v>8298541</v>
      </c>
      <c r="OLT525" s="1334">
        <v>8298541</v>
      </c>
      <c r="OLU525" s="1334">
        <v>8298541</v>
      </c>
      <c r="OLV525" s="1334">
        <v>8298541</v>
      </c>
      <c r="OLW525" s="1334">
        <v>8298541</v>
      </c>
      <c r="OLX525" s="1334">
        <v>8298541</v>
      </c>
      <c r="OLY525" s="1334">
        <v>8298541</v>
      </c>
      <c r="OLZ525" s="1334">
        <v>8298541</v>
      </c>
      <c r="OMA525" s="1334">
        <v>8298541</v>
      </c>
      <c r="OMB525" s="1334">
        <v>8298541</v>
      </c>
      <c r="OMC525" s="1334">
        <v>8298541</v>
      </c>
      <c r="OMD525" s="1334">
        <v>8298541</v>
      </c>
      <c r="OME525" s="1334">
        <v>8298541</v>
      </c>
      <c r="OMF525" s="1334">
        <v>8298541</v>
      </c>
      <c r="OMG525" s="1334">
        <v>8298541</v>
      </c>
      <c r="OMH525" s="1334">
        <v>8298541</v>
      </c>
      <c r="OMI525" s="1334">
        <v>8298541</v>
      </c>
      <c r="OMJ525" s="1334">
        <v>8298541</v>
      </c>
      <c r="OMK525" s="1334">
        <v>8298541</v>
      </c>
      <c r="OML525" s="1334">
        <v>8298541</v>
      </c>
      <c r="OMM525" s="1334">
        <v>8298541</v>
      </c>
      <c r="OMN525" s="1334">
        <v>8298541</v>
      </c>
      <c r="OMO525" s="1334">
        <v>8298541</v>
      </c>
      <c r="OMP525" s="1334">
        <v>8298541</v>
      </c>
      <c r="OMQ525" s="1334">
        <v>8298541</v>
      </c>
      <c r="OMR525" s="1334">
        <v>8298541</v>
      </c>
      <c r="OMS525" s="1334">
        <v>8298541</v>
      </c>
      <c r="OMT525" s="1334">
        <v>8298541</v>
      </c>
      <c r="OMU525" s="1334">
        <v>8298541</v>
      </c>
      <c r="OMV525" s="1334">
        <v>8298541</v>
      </c>
      <c r="OMW525" s="1334">
        <v>8298541</v>
      </c>
      <c r="OMX525" s="1334">
        <v>8298541</v>
      </c>
      <c r="OMY525" s="1334">
        <v>8298541</v>
      </c>
      <c r="OMZ525" s="1334">
        <v>8298541</v>
      </c>
      <c r="ONA525" s="1334">
        <v>8298541</v>
      </c>
      <c r="ONB525" s="1334">
        <v>8298541</v>
      </c>
      <c r="ONC525" s="1334">
        <v>8298541</v>
      </c>
      <c r="OND525" s="1334">
        <v>8298541</v>
      </c>
      <c r="ONE525" s="1334">
        <v>8298541</v>
      </c>
      <c r="ONF525" s="1334">
        <v>8298541</v>
      </c>
      <c r="ONG525" s="1334">
        <v>8298541</v>
      </c>
      <c r="ONH525" s="1334">
        <v>8298541</v>
      </c>
      <c r="ONI525" s="1334">
        <v>8298541</v>
      </c>
      <c r="ONJ525" s="1334">
        <v>8298541</v>
      </c>
      <c r="ONK525" s="1334">
        <v>8298541</v>
      </c>
      <c r="ONL525" s="1334">
        <v>8298541</v>
      </c>
      <c r="ONM525" s="1334">
        <v>8298541</v>
      </c>
      <c r="ONN525" s="1334">
        <v>8298541</v>
      </c>
      <c r="ONO525" s="1334">
        <v>8298541</v>
      </c>
      <c r="ONP525" s="1334">
        <v>8298541</v>
      </c>
      <c r="ONQ525" s="1334">
        <v>8298541</v>
      </c>
      <c r="ONR525" s="1334">
        <v>8298541</v>
      </c>
      <c r="ONS525" s="1334">
        <v>8298541</v>
      </c>
      <c r="ONT525" s="1334">
        <v>8298541</v>
      </c>
      <c r="ONU525" s="1334">
        <v>8298541</v>
      </c>
      <c r="ONV525" s="1334">
        <v>8298541</v>
      </c>
      <c r="ONW525" s="1334">
        <v>8298541</v>
      </c>
      <c r="ONX525" s="1334">
        <v>8298541</v>
      </c>
      <c r="ONY525" s="1334">
        <v>8298541</v>
      </c>
      <c r="ONZ525" s="1334">
        <v>8298541</v>
      </c>
      <c r="OOA525" s="1334">
        <v>8298541</v>
      </c>
      <c r="OOB525" s="1334">
        <v>8298541</v>
      </c>
      <c r="OOC525" s="1334">
        <v>8298541</v>
      </c>
      <c r="OOD525" s="1334">
        <v>8298541</v>
      </c>
      <c r="OOE525" s="1334">
        <v>8298541</v>
      </c>
      <c r="OOF525" s="1334">
        <v>8298541</v>
      </c>
      <c r="OOG525" s="1334">
        <v>8298541</v>
      </c>
      <c r="OOH525" s="1334">
        <v>8298541</v>
      </c>
      <c r="OOI525" s="1334">
        <v>8298541</v>
      </c>
      <c r="OOJ525" s="1334">
        <v>8298541</v>
      </c>
      <c r="OOK525" s="1334">
        <v>8298541</v>
      </c>
      <c r="OOL525" s="1334">
        <v>8298541</v>
      </c>
      <c r="OOM525" s="1334">
        <v>8298541</v>
      </c>
      <c r="OON525" s="1334">
        <v>8298541</v>
      </c>
      <c r="OOO525" s="1334">
        <v>8298541</v>
      </c>
      <c r="OOP525" s="1334">
        <v>8298541</v>
      </c>
      <c r="OOQ525" s="1334">
        <v>8298541</v>
      </c>
      <c r="OOR525" s="1334">
        <v>8298541</v>
      </c>
      <c r="OOS525" s="1334">
        <v>8298541</v>
      </c>
      <c r="OOT525" s="1334">
        <v>8298541</v>
      </c>
      <c r="OOU525" s="1334">
        <v>8298541</v>
      </c>
      <c r="OOV525" s="1334">
        <v>8298541</v>
      </c>
      <c r="OOW525" s="1334">
        <v>8298541</v>
      </c>
      <c r="OOX525" s="1334">
        <v>8298541</v>
      </c>
      <c r="OOY525" s="1334">
        <v>8298541</v>
      </c>
      <c r="OOZ525" s="1334">
        <v>8298541</v>
      </c>
      <c r="OPA525" s="1334">
        <v>8298541</v>
      </c>
      <c r="OPB525" s="1334">
        <v>8298541</v>
      </c>
      <c r="OPC525" s="1334">
        <v>8298541</v>
      </c>
      <c r="OPD525" s="1334">
        <v>8298541</v>
      </c>
      <c r="OPE525" s="1334">
        <v>8298541</v>
      </c>
      <c r="OPF525" s="1334">
        <v>8298541</v>
      </c>
      <c r="OPG525" s="1334">
        <v>8298541</v>
      </c>
      <c r="OPH525" s="1334">
        <v>8298541</v>
      </c>
      <c r="OPI525" s="1334">
        <v>8298541</v>
      </c>
      <c r="OPJ525" s="1334">
        <v>8298541</v>
      </c>
      <c r="OPK525" s="1334">
        <v>8298541</v>
      </c>
      <c r="OPL525" s="1334">
        <v>8298541</v>
      </c>
      <c r="OPM525" s="1334">
        <v>8298541</v>
      </c>
      <c r="OPN525" s="1334">
        <v>8298541</v>
      </c>
      <c r="OPO525" s="1334">
        <v>8298541</v>
      </c>
      <c r="OPP525" s="1334">
        <v>8298541</v>
      </c>
      <c r="OPQ525" s="1334">
        <v>8298541</v>
      </c>
      <c r="OPR525" s="1334">
        <v>8298541</v>
      </c>
      <c r="OPS525" s="1334">
        <v>8298541</v>
      </c>
      <c r="OPT525" s="1334">
        <v>8298541</v>
      </c>
      <c r="OPU525" s="1334">
        <v>8298541</v>
      </c>
      <c r="OPV525" s="1334">
        <v>8298541</v>
      </c>
      <c r="OPW525" s="1334">
        <v>8298541</v>
      </c>
      <c r="OPX525" s="1334">
        <v>8298541</v>
      </c>
      <c r="OPY525" s="1334">
        <v>8298541</v>
      </c>
      <c r="OPZ525" s="1334">
        <v>8298541</v>
      </c>
      <c r="OQA525" s="1334">
        <v>8298541</v>
      </c>
      <c r="OQB525" s="1334">
        <v>8298541</v>
      </c>
      <c r="OQC525" s="1334">
        <v>8298541</v>
      </c>
      <c r="OQD525" s="1334">
        <v>8298541</v>
      </c>
      <c r="OQE525" s="1334">
        <v>8298541</v>
      </c>
      <c r="OQF525" s="1334">
        <v>8298541</v>
      </c>
      <c r="OQG525" s="1334">
        <v>8298541</v>
      </c>
      <c r="OQH525" s="1334">
        <v>8298541</v>
      </c>
      <c r="OQI525" s="1334">
        <v>8298541</v>
      </c>
      <c r="OQJ525" s="1334">
        <v>8298541</v>
      </c>
      <c r="OQK525" s="1334">
        <v>8298541</v>
      </c>
      <c r="OQL525" s="1334">
        <v>8298541</v>
      </c>
      <c r="OQM525" s="1334">
        <v>8298541</v>
      </c>
      <c r="OQN525" s="1334">
        <v>8298541</v>
      </c>
      <c r="OQO525" s="1334">
        <v>8298541</v>
      </c>
      <c r="OQP525" s="1334">
        <v>8298541</v>
      </c>
      <c r="OQQ525" s="1334">
        <v>8298541</v>
      </c>
      <c r="OQR525" s="1334">
        <v>8298541</v>
      </c>
      <c r="OQS525" s="1334">
        <v>8298541</v>
      </c>
      <c r="OQT525" s="1334">
        <v>8298541</v>
      </c>
      <c r="OQU525" s="1334">
        <v>8298541</v>
      </c>
      <c r="OQV525" s="1334">
        <v>8298541</v>
      </c>
      <c r="OQW525" s="1334">
        <v>8298541</v>
      </c>
      <c r="OQX525" s="1334">
        <v>8298541</v>
      </c>
      <c r="OQY525" s="1334">
        <v>8298541</v>
      </c>
      <c r="OQZ525" s="1334">
        <v>8298541</v>
      </c>
      <c r="ORA525" s="1334">
        <v>8298541</v>
      </c>
      <c r="ORB525" s="1334">
        <v>8298541</v>
      </c>
      <c r="ORC525" s="1334">
        <v>8298541</v>
      </c>
      <c r="ORD525" s="1334">
        <v>8298541</v>
      </c>
      <c r="ORE525" s="1334">
        <v>8298541</v>
      </c>
      <c r="ORF525" s="1334">
        <v>8298541</v>
      </c>
      <c r="ORG525" s="1334">
        <v>8298541</v>
      </c>
      <c r="ORH525" s="1334">
        <v>8298541</v>
      </c>
      <c r="ORI525" s="1334">
        <v>8298541</v>
      </c>
      <c r="ORJ525" s="1334">
        <v>8298541</v>
      </c>
      <c r="ORK525" s="1334">
        <v>8298541</v>
      </c>
      <c r="ORL525" s="1334">
        <v>8298541</v>
      </c>
      <c r="ORM525" s="1334">
        <v>8298541</v>
      </c>
      <c r="ORN525" s="1334">
        <v>8298541</v>
      </c>
      <c r="ORO525" s="1334">
        <v>8298541</v>
      </c>
      <c r="ORP525" s="1334">
        <v>8298541</v>
      </c>
      <c r="ORQ525" s="1334">
        <v>8298541</v>
      </c>
      <c r="ORR525" s="1334">
        <v>8298541</v>
      </c>
      <c r="ORS525" s="1334">
        <v>8298541</v>
      </c>
      <c r="ORT525" s="1334">
        <v>8298541</v>
      </c>
      <c r="ORU525" s="1334">
        <v>8298541</v>
      </c>
      <c r="ORV525" s="1334">
        <v>8298541</v>
      </c>
      <c r="ORW525" s="1334">
        <v>8298541</v>
      </c>
      <c r="ORX525" s="1334">
        <v>8298541</v>
      </c>
      <c r="ORY525" s="1334">
        <v>8298541</v>
      </c>
      <c r="ORZ525" s="1334">
        <v>8298541</v>
      </c>
      <c r="OSA525" s="1334">
        <v>8298541</v>
      </c>
      <c r="OSB525" s="1334">
        <v>8298541</v>
      </c>
      <c r="OSC525" s="1334">
        <v>8298541</v>
      </c>
      <c r="OSD525" s="1334">
        <v>8298541</v>
      </c>
      <c r="OSE525" s="1334">
        <v>8298541</v>
      </c>
      <c r="OSF525" s="1334">
        <v>8298541</v>
      </c>
      <c r="OSG525" s="1334">
        <v>8298541</v>
      </c>
      <c r="OSH525" s="1334">
        <v>8298541</v>
      </c>
      <c r="OSI525" s="1334">
        <v>8298541</v>
      </c>
      <c r="OSJ525" s="1334">
        <v>8298541</v>
      </c>
      <c r="OSK525" s="1334">
        <v>8298541</v>
      </c>
      <c r="OSL525" s="1334">
        <v>8298541</v>
      </c>
      <c r="OSM525" s="1334">
        <v>8298541</v>
      </c>
      <c r="OSN525" s="1334">
        <v>8298541</v>
      </c>
      <c r="OSO525" s="1334">
        <v>8298541</v>
      </c>
      <c r="OSP525" s="1334">
        <v>8298541</v>
      </c>
      <c r="OSQ525" s="1334">
        <v>8298541</v>
      </c>
      <c r="OSR525" s="1334">
        <v>8298541</v>
      </c>
      <c r="OSS525" s="1334">
        <v>8298541</v>
      </c>
      <c r="OST525" s="1334">
        <v>8298541</v>
      </c>
      <c r="OSU525" s="1334">
        <v>8298541</v>
      </c>
      <c r="OSV525" s="1334">
        <v>8298541</v>
      </c>
      <c r="OSW525" s="1334">
        <v>8298541</v>
      </c>
      <c r="OSX525" s="1334">
        <v>8298541</v>
      </c>
      <c r="OSY525" s="1334">
        <v>8298541</v>
      </c>
      <c r="OSZ525" s="1334">
        <v>8298541</v>
      </c>
      <c r="OTA525" s="1334">
        <v>8298541</v>
      </c>
      <c r="OTB525" s="1334">
        <v>8298541</v>
      </c>
      <c r="OTC525" s="1334">
        <v>8298541</v>
      </c>
      <c r="OTD525" s="1334">
        <v>8298541</v>
      </c>
      <c r="OTE525" s="1334">
        <v>8298541</v>
      </c>
      <c r="OTF525" s="1334">
        <v>8298541</v>
      </c>
      <c r="OTG525" s="1334">
        <v>8298541</v>
      </c>
      <c r="OTH525" s="1334">
        <v>8298541</v>
      </c>
      <c r="OTI525" s="1334">
        <v>8298541</v>
      </c>
      <c r="OTJ525" s="1334">
        <v>8298541</v>
      </c>
      <c r="OTK525" s="1334">
        <v>8298541</v>
      </c>
      <c r="OTL525" s="1334">
        <v>8298541</v>
      </c>
      <c r="OTM525" s="1334">
        <v>8298541</v>
      </c>
      <c r="OTN525" s="1334">
        <v>8298541</v>
      </c>
      <c r="OTO525" s="1334">
        <v>8298541</v>
      </c>
      <c r="OTP525" s="1334">
        <v>8298541</v>
      </c>
      <c r="OTQ525" s="1334">
        <v>8298541</v>
      </c>
      <c r="OTR525" s="1334">
        <v>8298541</v>
      </c>
      <c r="OTS525" s="1334">
        <v>8298541</v>
      </c>
      <c r="OTT525" s="1334">
        <v>8298541</v>
      </c>
      <c r="OTU525" s="1334">
        <v>8298541</v>
      </c>
      <c r="OTV525" s="1334">
        <v>8298541</v>
      </c>
      <c r="OTW525" s="1334">
        <v>8298541</v>
      </c>
      <c r="OTX525" s="1334">
        <v>8298541</v>
      </c>
      <c r="OTY525" s="1334">
        <v>8298541</v>
      </c>
      <c r="OTZ525" s="1334">
        <v>8298541</v>
      </c>
      <c r="OUA525" s="1334">
        <v>8298541</v>
      </c>
      <c r="OUB525" s="1334">
        <v>8298541</v>
      </c>
      <c r="OUC525" s="1334">
        <v>8298541</v>
      </c>
      <c r="OUD525" s="1334">
        <v>8298541</v>
      </c>
      <c r="OUE525" s="1334">
        <v>8298541</v>
      </c>
      <c r="OUF525" s="1334">
        <v>8298541</v>
      </c>
      <c r="OUG525" s="1334">
        <v>8298541</v>
      </c>
      <c r="OUH525" s="1334">
        <v>8298541</v>
      </c>
      <c r="OUI525" s="1334">
        <v>8298541</v>
      </c>
      <c r="OUJ525" s="1334">
        <v>8298541</v>
      </c>
      <c r="OUK525" s="1334">
        <v>8298541</v>
      </c>
      <c r="OUL525" s="1334">
        <v>8298541</v>
      </c>
      <c r="OUM525" s="1334">
        <v>8298541</v>
      </c>
      <c r="OUN525" s="1334">
        <v>8298541</v>
      </c>
      <c r="OUO525" s="1334">
        <v>8298541</v>
      </c>
      <c r="OUP525" s="1334">
        <v>8298541</v>
      </c>
      <c r="OUQ525" s="1334">
        <v>8298541</v>
      </c>
      <c r="OUR525" s="1334">
        <v>8298541</v>
      </c>
      <c r="OUS525" s="1334">
        <v>8298541</v>
      </c>
      <c r="OUT525" s="1334">
        <v>8298541</v>
      </c>
      <c r="OUU525" s="1334">
        <v>8298541</v>
      </c>
      <c r="OUV525" s="1334">
        <v>8298541</v>
      </c>
      <c r="OUW525" s="1334">
        <v>8298541</v>
      </c>
      <c r="OUX525" s="1334">
        <v>8298541</v>
      </c>
      <c r="OUY525" s="1334">
        <v>8298541</v>
      </c>
      <c r="OUZ525" s="1334">
        <v>8298541</v>
      </c>
      <c r="OVA525" s="1334">
        <v>8298541</v>
      </c>
      <c r="OVB525" s="1334">
        <v>8298541</v>
      </c>
      <c r="OVC525" s="1334">
        <v>8298541</v>
      </c>
      <c r="OVD525" s="1334">
        <v>8298541</v>
      </c>
      <c r="OVE525" s="1334">
        <v>8298541</v>
      </c>
      <c r="OVF525" s="1334">
        <v>8298541</v>
      </c>
      <c r="OVG525" s="1334">
        <v>8298541</v>
      </c>
      <c r="OVH525" s="1334">
        <v>8298541</v>
      </c>
      <c r="OVI525" s="1334">
        <v>8298541</v>
      </c>
      <c r="OVJ525" s="1334">
        <v>8298541</v>
      </c>
      <c r="OVK525" s="1334">
        <v>8298541</v>
      </c>
      <c r="OVL525" s="1334">
        <v>8298541</v>
      </c>
      <c r="OVM525" s="1334">
        <v>8298541</v>
      </c>
      <c r="OVN525" s="1334">
        <v>8298541</v>
      </c>
      <c r="OVO525" s="1334">
        <v>8298541</v>
      </c>
      <c r="OVP525" s="1334">
        <v>8298541</v>
      </c>
      <c r="OVQ525" s="1334">
        <v>8298541</v>
      </c>
      <c r="OVR525" s="1334">
        <v>8298541</v>
      </c>
      <c r="OVS525" s="1334">
        <v>8298541</v>
      </c>
      <c r="OVT525" s="1334">
        <v>8298541</v>
      </c>
      <c r="OVU525" s="1334">
        <v>8298541</v>
      </c>
      <c r="OVV525" s="1334">
        <v>8298541</v>
      </c>
      <c r="OVW525" s="1334">
        <v>8298541</v>
      </c>
      <c r="OVX525" s="1334">
        <v>8298541</v>
      </c>
      <c r="OVY525" s="1334">
        <v>8298541</v>
      </c>
      <c r="OVZ525" s="1334">
        <v>8298541</v>
      </c>
      <c r="OWA525" s="1334">
        <v>8298541</v>
      </c>
      <c r="OWB525" s="1334">
        <v>8298541</v>
      </c>
      <c r="OWC525" s="1334">
        <v>8298541</v>
      </c>
      <c r="OWD525" s="1334">
        <v>8298541</v>
      </c>
      <c r="OWE525" s="1334">
        <v>8298541</v>
      </c>
      <c r="OWF525" s="1334">
        <v>8298541</v>
      </c>
      <c r="OWG525" s="1334">
        <v>8298541</v>
      </c>
      <c r="OWH525" s="1334">
        <v>8298541</v>
      </c>
      <c r="OWI525" s="1334">
        <v>8298541</v>
      </c>
      <c r="OWJ525" s="1334">
        <v>8298541</v>
      </c>
      <c r="OWK525" s="1334">
        <v>8298541</v>
      </c>
      <c r="OWL525" s="1334">
        <v>8298541</v>
      </c>
      <c r="OWM525" s="1334">
        <v>8298541</v>
      </c>
      <c r="OWN525" s="1334">
        <v>8298541</v>
      </c>
      <c r="OWO525" s="1334">
        <v>8298541</v>
      </c>
      <c r="OWP525" s="1334">
        <v>8298541</v>
      </c>
      <c r="OWQ525" s="1334">
        <v>8298541</v>
      </c>
      <c r="OWR525" s="1334">
        <v>8298541</v>
      </c>
      <c r="OWS525" s="1334">
        <v>8298541</v>
      </c>
      <c r="OWT525" s="1334">
        <v>8298541</v>
      </c>
      <c r="OWU525" s="1334">
        <v>8298541</v>
      </c>
      <c r="OWV525" s="1334">
        <v>8298541</v>
      </c>
      <c r="OWW525" s="1334">
        <v>8298541</v>
      </c>
      <c r="OWX525" s="1334">
        <v>8298541</v>
      </c>
      <c r="OWY525" s="1334">
        <v>8298541</v>
      </c>
      <c r="OWZ525" s="1334">
        <v>8298541</v>
      </c>
      <c r="OXA525" s="1334">
        <v>8298541</v>
      </c>
      <c r="OXB525" s="1334">
        <v>8298541</v>
      </c>
      <c r="OXC525" s="1334">
        <v>8298541</v>
      </c>
      <c r="OXD525" s="1334">
        <v>8298541</v>
      </c>
      <c r="OXE525" s="1334">
        <v>8298541</v>
      </c>
      <c r="OXF525" s="1334">
        <v>8298541</v>
      </c>
      <c r="OXG525" s="1334">
        <v>8298541</v>
      </c>
      <c r="OXH525" s="1334">
        <v>8298541</v>
      </c>
      <c r="OXI525" s="1334">
        <v>8298541</v>
      </c>
      <c r="OXJ525" s="1334">
        <v>8298541</v>
      </c>
      <c r="OXK525" s="1334">
        <v>8298541</v>
      </c>
      <c r="OXL525" s="1334">
        <v>8298541</v>
      </c>
      <c r="OXM525" s="1334">
        <v>8298541</v>
      </c>
      <c r="OXN525" s="1334">
        <v>8298541</v>
      </c>
      <c r="OXO525" s="1334">
        <v>8298541</v>
      </c>
      <c r="OXP525" s="1334">
        <v>8298541</v>
      </c>
      <c r="OXQ525" s="1334">
        <v>8298541</v>
      </c>
      <c r="OXR525" s="1334">
        <v>8298541</v>
      </c>
      <c r="OXS525" s="1334">
        <v>8298541</v>
      </c>
      <c r="OXT525" s="1334">
        <v>8298541</v>
      </c>
      <c r="OXU525" s="1334">
        <v>8298541</v>
      </c>
      <c r="OXV525" s="1334">
        <v>8298541</v>
      </c>
      <c r="OXW525" s="1334">
        <v>8298541</v>
      </c>
      <c r="OXX525" s="1334">
        <v>8298541</v>
      </c>
      <c r="OXY525" s="1334">
        <v>8298541</v>
      </c>
      <c r="OXZ525" s="1334">
        <v>8298541</v>
      </c>
      <c r="OYA525" s="1334">
        <v>8298541</v>
      </c>
      <c r="OYB525" s="1334">
        <v>8298541</v>
      </c>
      <c r="OYC525" s="1334">
        <v>8298541</v>
      </c>
      <c r="OYD525" s="1334">
        <v>8298541</v>
      </c>
      <c r="OYE525" s="1334">
        <v>8298541</v>
      </c>
      <c r="OYF525" s="1334">
        <v>8298541</v>
      </c>
      <c r="OYG525" s="1334">
        <v>8298541</v>
      </c>
      <c r="OYH525" s="1334">
        <v>8298541</v>
      </c>
      <c r="OYI525" s="1334">
        <v>8298541</v>
      </c>
      <c r="OYJ525" s="1334">
        <v>8298541</v>
      </c>
      <c r="OYK525" s="1334">
        <v>8298541</v>
      </c>
      <c r="OYL525" s="1334">
        <v>8298541</v>
      </c>
      <c r="OYM525" s="1334">
        <v>8298541</v>
      </c>
      <c r="OYN525" s="1334">
        <v>8298541</v>
      </c>
      <c r="OYO525" s="1334">
        <v>8298541</v>
      </c>
      <c r="OYP525" s="1334">
        <v>8298541</v>
      </c>
      <c r="OYQ525" s="1334">
        <v>8298541</v>
      </c>
      <c r="OYR525" s="1334">
        <v>8298541</v>
      </c>
      <c r="OYS525" s="1334">
        <v>8298541</v>
      </c>
      <c r="OYT525" s="1334">
        <v>8298541</v>
      </c>
      <c r="OYU525" s="1334">
        <v>8298541</v>
      </c>
      <c r="OYV525" s="1334">
        <v>8298541</v>
      </c>
      <c r="OYW525" s="1334">
        <v>8298541</v>
      </c>
      <c r="OYX525" s="1334">
        <v>8298541</v>
      </c>
      <c r="OYY525" s="1334">
        <v>8298541</v>
      </c>
      <c r="OYZ525" s="1334">
        <v>8298541</v>
      </c>
      <c r="OZA525" s="1334">
        <v>8298541</v>
      </c>
      <c r="OZB525" s="1334">
        <v>8298541</v>
      </c>
      <c r="OZC525" s="1334">
        <v>8298541</v>
      </c>
      <c r="OZD525" s="1334">
        <v>8298541</v>
      </c>
      <c r="OZE525" s="1334">
        <v>8298541</v>
      </c>
      <c r="OZF525" s="1334">
        <v>8298541</v>
      </c>
      <c r="OZG525" s="1334">
        <v>8298541</v>
      </c>
      <c r="OZH525" s="1334">
        <v>8298541</v>
      </c>
      <c r="OZI525" s="1334">
        <v>8298541</v>
      </c>
      <c r="OZJ525" s="1334">
        <v>8298541</v>
      </c>
      <c r="OZK525" s="1334">
        <v>8298541</v>
      </c>
      <c r="OZL525" s="1334">
        <v>8298541</v>
      </c>
      <c r="OZM525" s="1334">
        <v>8298541</v>
      </c>
      <c r="OZN525" s="1334">
        <v>8298541</v>
      </c>
      <c r="OZO525" s="1334">
        <v>8298541</v>
      </c>
      <c r="OZP525" s="1334">
        <v>8298541</v>
      </c>
      <c r="OZQ525" s="1334">
        <v>8298541</v>
      </c>
      <c r="OZR525" s="1334">
        <v>8298541</v>
      </c>
      <c r="OZS525" s="1334">
        <v>8298541</v>
      </c>
      <c r="OZT525" s="1334">
        <v>8298541</v>
      </c>
      <c r="OZU525" s="1334">
        <v>8298541</v>
      </c>
      <c r="OZV525" s="1334">
        <v>8298541</v>
      </c>
      <c r="OZW525" s="1334">
        <v>8298541</v>
      </c>
      <c r="OZX525" s="1334">
        <v>8298541</v>
      </c>
      <c r="OZY525" s="1334">
        <v>8298541</v>
      </c>
      <c r="OZZ525" s="1334">
        <v>8298541</v>
      </c>
      <c r="PAA525" s="1334">
        <v>8298541</v>
      </c>
      <c r="PAB525" s="1334">
        <v>8298541</v>
      </c>
      <c r="PAC525" s="1334">
        <v>8298541</v>
      </c>
      <c r="PAD525" s="1334">
        <v>8298541</v>
      </c>
      <c r="PAE525" s="1334">
        <v>8298541</v>
      </c>
      <c r="PAF525" s="1334">
        <v>8298541</v>
      </c>
      <c r="PAG525" s="1334">
        <v>8298541</v>
      </c>
      <c r="PAH525" s="1334">
        <v>8298541</v>
      </c>
      <c r="PAI525" s="1334">
        <v>8298541</v>
      </c>
      <c r="PAJ525" s="1334">
        <v>8298541</v>
      </c>
      <c r="PAK525" s="1334">
        <v>8298541</v>
      </c>
      <c r="PAL525" s="1334">
        <v>8298541</v>
      </c>
      <c r="PAM525" s="1334">
        <v>8298541</v>
      </c>
      <c r="PAN525" s="1334">
        <v>8298541</v>
      </c>
      <c r="PAO525" s="1334">
        <v>8298541</v>
      </c>
      <c r="PAP525" s="1334">
        <v>8298541</v>
      </c>
      <c r="PAQ525" s="1334">
        <v>8298541</v>
      </c>
      <c r="PAR525" s="1334">
        <v>8298541</v>
      </c>
      <c r="PAS525" s="1334">
        <v>8298541</v>
      </c>
      <c r="PAT525" s="1334">
        <v>8298541</v>
      </c>
      <c r="PAU525" s="1334">
        <v>8298541</v>
      </c>
      <c r="PAV525" s="1334">
        <v>8298541</v>
      </c>
      <c r="PAW525" s="1334">
        <v>8298541</v>
      </c>
      <c r="PAX525" s="1334">
        <v>8298541</v>
      </c>
      <c r="PAY525" s="1334">
        <v>8298541</v>
      </c>
      <c r="PAZ525" s="1334">
        <v>8298541</v>
      </c>
      <c r="PBA525" s="1334">
        <v>8298541</v>
      </c>
      <c r="PBB525" s="1334">
        <v>8298541</v>
      </c>
      <c r="PBC525" s="1334">
        <v>8298541</v>
      </c>
      <c r="PBD525" s="1334">
        <v>8298541</v>
      </c>
      <c r="PBE525" s="1334">
        <v>8298541</v>
      </c>
      <c r="PBF525" s="1334">
        <v>8298541</v>
      </c>
      <c r="PBG525" s="1334">
        <v>8298541</v>
      </c>
      <c r="PBH525" s="1334">
        <v>8298541</v>
      </c>
      <c r="PBI525" s="1334">
        <v>8298541</v>
      </c>
      <c r="PBJ525" s="1334">
        <v>8298541</v>
      </c>
      <c r="PBK525" s="1334">
        <v>8298541</v>
      </c>
      <c r="PBL525" s="1334">
        <v>8298541</v>
      </c>
      <c r="PBM525" s="1334">
        <v>8298541</v>
      </c>
      <c r="PBN525" s="1334">
        <v>8298541</v>
      </c>
      <c r="PBO525" s="1334">
        <v>8298541</v>
      </c>
      <c r="PBP525" s="1334">
        <v>8298541</v>
      </c>
      <c r="PBQ525" s="1334">
        <v>8298541</v>
      </c>
      <c r="PBR525" s="1334">
        <v>8298541</v>
      </c>
      <c r="PBS525" s="1334">
        <v>8298541</v>
      </c>
      <c r="PBT525" s="1334">
        <v>8298541</v>
      </c>
      <c r="PBU525" s="1334">
        <v>8298541</v>
      </c>
      <c r="PBV525" s="1334">
        <v>8298541</v>
      </c>
      <c r="PBW525" s="1334">
        <v>8298541</v>
      </c>
      <c r="PBX525" s="1334">
        <v>8298541</v>
      </c>
      <c r="PBY525" s="1334">
        <v>8298541</v>
      </c>
      <c r="PBZ525" s="1334">
        <v>8298541</v>
      </c>
      <c r="PCA525" s="1334">
        <v>8298541</v>
      </c>
      <c r="PCB525" s="1334">
        <v>8298541</v>
      </c>
      <c r="PCC525" s="1334">
        <v>8298541</v>
      </c>
      <c r="PCD525" s="1334">
        <v>8298541</v>
      </c>
      <c r="PCE525" s="1334">
        <v>8298541</v>
      </c>
      <c r="PCF525" s="1334">
        <v>8298541</v>
      </c>
      <c r="PCG525" s="1334">
        <v>8298541</v>
      </c>
      <c r="PCH525" s="1334">
        <v>8298541</v>
      </c>
      <c r="PCI525" s="1334">
        <v>8298541</v>
      </c>
      <c r="PCJ525" s="1334">
        <v>8298541</v>
      </c>
      <c r="PCK525" s="1334">
        <v>8298541</v>
      </c>
      <c r="PCL525" s="1334">
        <v>8298541</v>
      </c>
      <c r="PCM525" s="1334">
        <v>8298541</v>
      </c>
      <c r="PCN525" s="1334">
        <v>8298541</v>
      </c>
      <c r="PCO525" s="1334">
        <v>8298541</v>
      </c>
      <c r="PCP525" s="1334">
        <v>8298541</v>
      </c>
      <c r="PCQ525" s="1334">
        <v>8298541</v>
      </c>
      <c r="PCR525" s="1334">
        <v>8298541</v>
      </c>
      <c r="PCS525" s="1334">
        <v>8298541</v>
      </c>
      <c r="PCT525" s="1334">
        <v>8298541</v>
      </c>
      <c r="PCU525" s="1334">
        <v>8298541</v>
      </c>
      <c r="PCV525" s="1334">
        <v>8298541</v>
      </c>
      <c r="PCW525" s="1334">
        <v>8298541</v>
      </c>
      <c r="PCX525" s="1334">
        <v>8298541</v>
      </c>
      <c r="PCY525" s="1334">
        <v>8298541</v>
      </c>
      <c r="PCZ525" s="1334">
        <v>8298541</v>
      </c>
      <c r="PDA525" s="1334">
        <v>8298541</v>
      </c>
      <c r="PDB525" s="1334">
        <v>8298541</v>
      </c>
      <c r="PDC525" s="1334">
        <v>8298541</v>
      </c>
      <c r="PDD525" s="1334">
        <v>8298541</v>
      </c>
      <c r="PDE525" s="1334">
        <v>8298541</v>
      </c>
      <c r="PDF525" s="1334">
        <v>8298541</v>
      </c>
      <c r="PDG525" s="1334">
        <v>8298541</v>
      </c>
      <c r="PDH525" s="1334">
        <v>8298541</v>
      </c>
      <c r="PDI525" s="1334">
        <v>8298541</v>
      </c>
      <c r="PDJ525" s="1334">
        <v>8298541</v>
      </c>
      <c r="PDK525" s="1334">
        <v>8298541</v>
      </c>
      <c r="PDL525" s="1334">
        <v>8298541</v>
      </c>
      <c r="PDM525" s="1334">
        <v>8298541</v>
      </c>
      <c r="PDN525" s="1334">
        <v>8298541</v>
      </c>
      <c r="PDO525" s="1334">
        <v>8298541</v>
      </c>
      <c r="PDP525" s="1334">
        <v>8298541</v>
      </c>
      <c r="PDQ525" s="1334">
        <v>8298541</v>
      </c>
      <c r="PDR525" s="1334">
        <v>8298541</v>
      </c>
      <c r="PDS525" s="1334">
        <v>8298541</v>
      </c>
      <c r="PDT525" s="1334">
        <v>8298541</v>
      </c>
      <c r="PDU525" s="1334">
        <v>8298541</v>
      </c>
      <c r="PDV525" s="1334">
        <v>8298541</v>
      </c>
      <c r="PDW525" s="1334">
        <v>8298541</v>
      </c>
      <c r="PDX525" s="1334">
        <v>8298541</v>
      </c>
      <c r="PDY525" s="1334">
        <v>8298541</v>
      </c>
      <c r="PDZ525" s="1334">
        <v>8298541</v>
      </c>
      <c r="PEA525" s="1334">
        <v>8298541</v>
      </c>
      <c r="PEB525" s="1334">
        <v>8298541</v>
      </c>
      <c r="PEC525" s="1334">
        <v>8298541</v>
      </c>
      <c r="PED525" s="1334">
        <v>8298541</v>
      </c>
      <c r="PEE525" s="1334">
        <v>8298541</v>
      </c>
      <c r="PEF525" s="1334">
        <v>8298541</v>
      </c>
      <c r="PEG525" s="1334">
        <v>8298541</v>
      </c>
      <c r="PEH525" s="1334">
        <v>8298541</v>
      </c>
      <c r="PEI525" s="1334">
        <v>8298541</v>
      </c>
      <c r="PEJ525" s="1334">
        <v>8298541</v>
      </c>
      <c r="PEK525" s="1334">
        <v>8298541</v>
      </c>
      <c r="PEL525" s="1334">
        <v>8298541</v>
      </c>
      <c r="PEM525" s="1334">
        <v>8298541</v>
      </c>
      <c r="PEN525" s="1334">
        <v>8298541</v>
      </c>
      <c r="PEO525" s="1334">
        <v>8298541</v>
      </c>
      <c r="PEP525" s="1334">
        <v>8298541</v>
      </c>
      <c r="PEQ525" s="1334">
        <v>8298541</v>
      </c>
      <c r="PER525" s="1334">
        <v>8298541</v>
      </c>
      <c r="PES525" s="1334">
        <v>8298541</v>
      </c>
      <c r="PET525" s="1334">
        <v>8298541</v>
      </c>
      <c r="PEU525" s="1334">
        <v>8298541</v>
      </c>
      <c r="PEV525" s="1334">
        <v>8298541</v>
      </c>
      <c r="PEW525" s="1334">
        <v>8298541</v>
      </c>
      <c r="PEX525" s="1334">
        <v>8298541</v>
      </c>
      <c r="PEY525" s="1334">
        <v>8298541</v>
      </c>
      <c r="PEZ525" s="1334">
        <v>8298541</v>
      </c>
      <c r="PFA525" s="1334">
        <v>8298541</v>
      </c>
      <c r="PFB525" s="1334">
        <v>8298541</v>
      </c>
      <c r="PFC525" s="1334">
        <v>8298541</v>
      </c>
      <c r="PFD525" s="1334">
        <v>8298541</v>
      </c>
      <c r="PFE525" s="1334">
        <v>8298541</v>
      </c>
      <c r="PFF525" s="1334">
        <v>8298541</v>
      </c>
      <c r="PFG525" s="1334">
        <v>8298541</v>
      </c>
      <c r="PFH525" s="1334">
        <v>8298541</v>
      </c>
      <c r="PFI525" s="1334">
        <v>8298541</v>
      </c>
      <c r="PFJ525" s="1334">
        <v>8298541</v>
      </c>
      <c r="PFK525" s="1334">
        <v>8298541</v>
      </c>
      <c r="PFL525" s="1334">
        <v>8298541</v>
      </c>
      <c r="PFM525" s="1334">
        <v>8298541</v>
      </c>
      <c r="PFN525" s="1334">
        <v>8298541</v>
      </c>
      <c r="PFO525" s="1334">
        <v>8298541</v>
      </c>
      <c r="PFP525" s="1334">
        <v>8298541</v>
      </c>
      <c r="PFQ525" s="1334">
        <v>8298541</v>
      </c>
      <c r="PFR525" s="1334">
        <v>8298541</v>
      </c>
      <c r="PFS525" s="1334">
        <v>8298541</v>
      </c>
      <c r="PFT525" s="1334">
        <v>8298541</v>
      </c>
      <c r="PFU525" s="1334">
        <v>8298541</v>
      </c>
      <c r="PFV525" s="1334">
        <v>8298541</v>
      </c>
      <c r="PFW525" s="1334">
        <v>8298541</v>
      </c>
      <c r="PFX525" s="1334">
        <v>8298541</v>
      </c>
      <c r="PFY525" s="1334">
        <v>8298541</v>
      </c>
      <c r="PFZ525" s="1334">
        <v>8298541</v>
      </c>
      <c r="PGA525" s="1334">
        <v>8298541</v>
      </c>
      <c r="PGB525" s="1334">
        <v>8298541</v>
      </c>
      <c r="PGC525" s="1334">
        <v>8298541</v>
      </c>
      <c r="PGD525" s="1334">
        <v>8298541</v>
      </c>
      <c r="PGE525" s="1334">
        <v>8298541</v>
      </c>
      <c r="PGF525" s="1334">
        <v>8298541</v>
      </c>
      <c r="PGG525" s="1334">
        <v>8298541</v>
      </c>
      <c r="PGH525" s="1334">
        <v>8298541</v>
      </c>
      <c r="PGI525" s="1334">
        <v>8298541</v>
      </c>
      <c r="PGJ525" s="1334">
        <v>8298541</v>
      </c>
      <c r="PGK525" s="1334">
        <v>8298541</v>
      </c>
      <c r="PGL525" s="1334">
        <v>8298541</v>
      </c>
      <c r="PGM525" s="1334">
        <v>8298541</v>
      </c>
      <c r="PGN525" s="1334">
        <v>8298541</v>
      </c>
      <c r="PGO525" s="1334">
        <v>8298541</v>
      </c>
      <c r="PGP525" s="1334">
        <v>8298541</v>
      </c>
      <c r="PGQ525" s="1334">
        <v>8298541</v>
      </c>
      <c r="PGR525" s="1334">
        <v>8298541</v>
      </c>
      <c r="PGS525" s="1334">
        <v>8298541</v>
      </c>
      <c r="PGT525" s="1334">
        <v>8298541</v>
      </c>
      <c r="PGU525" s="1334">
        <v>8298541</v>
      </c>
      <c r="PGV525" s="1334">
        <v>8298541</v>
      </c>
      <c r="PGW525" s="1334">
        <v>8298541</v>
      </c>
      <c r="PGX525" s="1334">
        <v>8298541</v>
      </c>
      <c r="PGY525" s="1334">
        <v>8298541</v>
      </c>
      <c r="PGZ525" s="1334">
        <v>8298541</v>
      </c>
      <c r="PHA525" s="1334">
        <v>8298541</v>
      </c>
      <c r="PHB525" s="1334">
        <v>8298541</v>
      </c>
      <c r="PHC525" s="1334">
        <v>8298541</v>
      </c>
      <c r="PHD525" s="1334">
        <v>8298541</v>
      </c>
      <c r="PHE525" s="1334">
        <v>8298541</v>
      </c>
      <c r="PHF525" s="1334">
        <v>8298541</v>
      </c>
      <c r="PHG525" s="1334">
        <v>8298541</v>
      </c>
      <c r="PHH525" s="1334">
        <v>8298541</v>
      </c>
      <c r="PHI525" s="1334">
        <v>8298541</v>
      </c>
      <c r="PHJ525" s="1334">
        <v>8298541</v>
      </c>
      <c r="PHK525" s="1334">
        <v>8298541</v>
      </c>
      <c r="PHL525" s="1334">
        <v>8298541</v>
      </c>
      <c r="PHM525" s="1334">
        <v>8298541</v>
      </c>
      <c r="PHN525" s="1334">
        <v>8298541</v>
      </c>
      <c r="PHO525" s="1334">
        <v>8298541</v>
      </c>
      <c r="PHP525" s="1334">
        <v>8298541</v>
      </c>
      <c r="PHQ525" s="1334">
        <v>8298541</v>
      </c>
      <c r="PHR525" s="1334">
        <v>8298541</v>
      </c>
      <c r="PHS525" s="1334">
        <v>8298541</v>
      </c>
      <c r="PHT525" s="1334">
        <v>8298541</v>
      </c>
      <c r="PHU525" s="1334">
        <v>8298541</v>
      </c>
      <c r="PHV525" s="1334">
        <v>8298541</v>
      </c>
      <c r="PHW525" s="1334">
        <v>8298541</v>
      </c>
      <c r="PHX525" s="1334">
        <v>8298541</v>
      </c>
      <c r="PHY525" s="1334">
        <v>8298541</v>
      </c>
      <c r="PHZ525" s="1334">
        <v>8298541</v>
      </c>
      <c r="PIA525" s="1334">
        <v>8298541</v>
      </c>
      <c r="PIB525" s="1334">
        <v>8298541</v>
      </c>
      <c r="PIC525" s="1334">
        <v>8298541</v>
      </c>
      <c r="PID525" s="1334">
        <v>8298541</v>
      </c>
      <c r="PIE525" s="1334">
        <v>8298541</v>
      </c>
      <c r="PIF525" s="1334">
        <v>8298541</v>
      </c>
      <c r="PIG525" s="1334">
        <v>8298541</v>
      </c>
      <c r="PIH525" s="1334">
        <v>8298541</v>
      </c>
      <c r="PII525" s="1334">
        <v>8298541</v>
      </c>
      <c r="PIJ525" s="1334">
        <v>8298541</v>
      </c>
      <c r="PIK525" s="1334">
        <v>8298541</v>
      </c>
      <c r="PIL525" s="1334">
        <v>8298541</v>
      </c>
      <c r="PIM525" s="1334">
        <v>8298541</v>
      </c>
      <c r="PIN525" s="1334">
        <v>8298541</v>
      </c>
      <c r="PIO525" s="1334">
        <v>8298541</v>
      </c>
      <c r="PIP525" s="1334">
        <v>8298541</v>
      </c>
      <c r="PIQ525" s="1334">
        <v>8298541</v>
      </c>
      <c r="PIR525" s="1334">
        <v>8298541</v>
      </c>
      <c r="PIS525" s="1334">
        <v>8298541</v>
      </c>
      <c r="PIT525" s="1334">
        <v>8298541</v>
      </c>
      <c r="PIU525" s="1334">
        <v>8298541</v>
      </c>
      <c r="PIV525" s="1334">
        <v>8298541</v>
      </c>
      <c r="PIW525" s="1334">
        <v>8298541</v>
      </c>
      <c r="PIX525" s="1334">
        <v>8298541</v>
      </c>
      <c r="PIY525" s="1334">
        <v>8298541</v>
      </c>
      <c r="PIZ525" s="1334">
        <v>8298541</v>
      </c>
      <c r="PJA525" s="1334">
        <v>8298541</v>
      </c>
      <c r="PJB525" s="1334">
        <v>8298541</v>
      </c>
      <c r="PJC525" s="1334">
        <v>8298541</v>
      </c>
      <c r="PJD525" s="1334">
        <v>8298541</v>
      </c>
      <c r="PJE525" s="1334">
        <v>8298541</v>
      </c>
      <c r="PJF525" s="1334">
        <v>8298541</v>
      </c>
      <c r="PJG525" s="1334">
        <v>8298541</v>
      </c>
      <c r="PJH525" s="1334">
        <v>8298541</v>
      </c>
      <c r="PJI525" s="1334">
        <v>8298541</v>
      </c>
      <c r="PJJ525" s="1334">
        <v>8298541</v>
      </c>
      <c r="PJK525" s="1334">
        <v>8298541</v>
      </c>
      <c r="PJL525" s="1334">
        <v>8298541</v>
      </c>
      <c r="PJM525" s="1334">
        <v>8298541</v>
      </c>
      <c r="PJN525" s="1334">
        <v>8298541</v>
      </c>
      <c r="PJO525" s="1334">
        <v>8298541</v>
      </c>
      <c r="PJP525" s="1334">
        <v>8298541</v>
      </c>
      <c r="PJQ525" s="1334">
        <v>8298541</v>
      </c>
      <c r="PJR525" s="1334">
        <v>8298541</v>
      </c>
      <c r="PJS525" s="1334">
        <v>8298541</v>
      </c>
      <c r="PJT525" s="1334">
        <v>8298541</v>
      </c>
      <c r="PJU525" s="1334">
        <v>8298541</v>
      </c>
      <c r="PJV525" s="1334">
        <v>8298541</v>
      </c>
      <c r="PJW525" s="1334">
        <v>8298541</v>
      </c>
      <c r="PJX525" s="1334">
        <v>8298541</v>
      </c>
      <c r="PJY525" s="1334">
        <v>8298541</v>
      </c>
      <c r="PJZ525" s="1334">
        <v>8298541</v>
      </c>
      <c r="PKA525" s="1334">
        <v>8298541</v>
      </c>
      <c r="PKB525" s="1334">
        <v>8298541</v>
      </c>
      <c r="PKC525" s="1334">
        <v>8298541</v>
      </c>
      <c r="PKD525" s="1334">
        <v>8298541</v>
      </c>
      <c r="PKE525" s="1334">
        <v>8298541</v>
      </c>
      <c r="PKF525" s="1334">
        <v>8298541</v>
      </c>
      <c r="PKG525" s="1334">
        <v>8298541</v>
      </c>
      <c r="PKH525" s="1334">
        <v>8298541</v>
      </c>
      <c r="PKI525" s="1334">
        <v>8298541</v>
      </c>
      <c r="PKJ525" s="1334">
        <v>8298541</v>
      </c>
      <c r="PKK525" s="1334">
        <v>8298541</v>
      </c>
      <c r="PKL525" s="1334">
        <v>8298541</v>
      </c>
      <c r="PKM525" s="1334">
        <v>8298541</v>
      </c>
      <c r="PKN525" s="1334">
        <v>8298541</v>
      </c>
      <c r="PKO525" s="1334">
        <v>8298541</v>
      </c>
      <c r="PKP525" s="1334">
        <v>8298541</v>
      </c>
      <c r="PKQ525" s="1334">
        <v>8298541</v>
      </c>
      <c r="PKR525" s="1334">
        <v>8298541</v>
      </c>
      <c r="PKS525" s="1334">
        <v>8298541</v>
      </c>
      <c r="PKT525" s="1334">
        <v>8298541</v>
      </c>
      <c r="PKU525" s="1334">
        <v>8298541</v>
      </c>
      <c r="PKV525" s="1334">
        <v>8298541</v>
      </c>
      <c r="PKW525" s="1334">
        <v>8298541</v>
      </c>
      <c r="PKX525" s="1334">
        <v>8298541</v>
      </c>
      <c r="PKY525" s="1334">
        <v>8298541</v>
      </c>
      <c r="PKZ525" s="1334">
        <v>8298541</v>
      </c>
      <c r="PLA525" s="1334">
        <v>8298541</v>
      </c>
      <c r="PLB525" s="1334">
        <v>8298541</v>
      </c>
      <c r="PLC525" s="1334">
        <v>8298541</v>
      </c>
      <c r="PLD525" s="1334">
        <v>8298541</v>
      </c>
      <c r="PLE525" s="1334">
        <v>8298541</v>
      </c>
      <c r="PLF525" s="1334">
        <v>8298541</v>
      </c>
      <c r="PLG525" s="1334">
        <v>8298541</v>
      </c>
      <c r="PLH525" s="1334">
        <v>8298541</v>
      </c>
      <c r="PLI525" s="1334">
        <v>8298541</v>
      </c>
      <c r="PLJ525" s="1334">
        <v>8298541</v>
      </c>
      <c r="PLK525" s="1334">
        <v>8298541</v>
      </c>
      <c r="PLL525" s="1334">
        <v>8298541</v>
      </c>
      <c r="PLM525" s="1334">
        <v>8298541</v>
      </c>
      <c r="PLN525" s="1334">
        <v>8298541</v>
      </c>
      <c r="PLO525" s="1334">
        <v>8298541</v>
      </c>
      <c r="PLP525" s="1334">
        <v>8298541</v>
      </c>
      <c r="PLQ525" s="1334">
        <v>8298541</v>
      </c>
      <c r="PLR525" s="1334">
        <v>8298541</v>
      </c>
      <c r="PLS525" s="1334">
        <v>8298541</v>
      </c>
      <c r="PLT525" s="1334">
        <v>8298541</v>
      </c>
      <c r="PLU525" s="1334">
        <v>8298541</v>
      </c>
      <c r="PLV525" s="1334">
        <v>8298541</v>
      </c>
      <c r="PLW525" s="1334">
        <v>8298541</v>
      </c>
      <c r="PLX525" s="1334">
        <v>8298541</v>
      </c>
      <c r="PLY525" s="1334">
        <v>8298541</v>
      </c>
      <c r="PLZ525" s="1334">
        <v>8298541</v>
      </c>
      <c r="PMA525" s="1334">
        <v>8298541</v>
      </c>
      <c r="PMB525" s="1334">
        <v>8298541</v>
      </c>
      <c r="PMC525" s="1334">
        <v>8298541</v>
      </c>
      <c r="PMD525" s="1334">
        <v>8298541</v>
      </c>
      <c r="PME525" s="1334">
        <v>8298541</v>
      </c>
      <c r="PMF525" s="1334">
        <v>8298541</v>
      </c>
      <c r="PMG525" s="1334">
        <v>8298541</v>
      </c>
      <c r="PMH525" s="1334">
        <v>8298541</v>
      </c>
      <c r="PMI525" s="1334">
        <v>8298541</v>
      </c>
      <c r="PMJ525" s="1334">
        <v>8298541</v>
      </c>
      <c r="PMK525" s="1334">
        <v>8298541</v>
      </c>
      <c r="PML525" s="1334">
        <v>8298541</v>
      </c>
      <c r="PMM525" s="1334">
        <v>8298541</v>
      </c>
      <c r="PMN525" s="1334">
        <v>8298541</v>
      </c>
      <c r="PMO525" s="1334">
        <v>8298541</v>
      </c>
      <c r="PMP525" s="1334">
        <v>8298541</v>
      </c>
      <c r="PMQ525" s="1334">
        <v>8298541</v>
      </c>
      <c r="PMR525" s="1334">
        <v>8298541</v>
      </c>
      <c r="PMS525" s="1334">
        <v>8298541</v>
      </c>
      <c r="PMT525" s="1334">
        <v>8298541</v>
      </c>
      <c r="PMU525" s="1334">
        <v>8298541</v>
      </c>
      <c r="PMV525" s="1334">
        <v>8298541</v>
      </c>
      <c r="PMW525" s="1334">
        <v>8298541</v>
      </c>
      <c r="PMX525" s="1334">
        <v>8298541</v>
      </c>
      <c r="PMY525" s="1334">
        <v>8298541</v>
      </c>
      <c r="PMZ525" s="1334">
        <v>8298541</v>
      </c>
      <c r="PNA525" s="1334">
        <v>8298541</v>
      </c>
      <c r="PNB525" s="1334">
        <v>8298541</v>
      </c>
      <c r="PNC525" s="1334">
        <v>8298541</v>
      </c>
      <c r="PND525" s="1334">
        <v>8298541</v>
      </c>
      <c r="PNE525" s="1334">
        <v>8298541</v>
      </c>
      <c r="PNF525" s="1334">
        <v>8298541</v>
      </c>
      <c r="PNG525" s="1334">
        <v>8298541</v>
      </c>
      <c r="PNH525" s="1334">
        <v>8298541</v>
      </c>
      <c r="PNI525" s="1334">
        <v>8298541</v>
      </c>
      <c r="PNJ525" s="1334">
        <v>8298541</v>
      </c>
      <c r="PNK525" s="1334">
        <v>8298541</v>
      </c>
      <c r="PNL525" s="1334">
        <v>8298541</v>
      </c>
      <c r="PNM525" s="1334">
        <v>8298541</v>
      </c>
      <c r="PNN525" s="1334">
        <v>8298541</v>
      </c>
      <c r="PNO525" s="1334">
        <v>8298541</v>
      </c>
      <c r="PNP525" s="1334">
        <v>8298541</v>
      </c>
      <c r="PNQ525" s="1334">
        <v>8298541</v>
      </c>
      <c r="PNR525" s="1334">
        <v>8298541</v>
      </c>
      <c r="PNS525" s="1334">
        <v>8298541</v>
      </c>
      <c r="PNT525" s="1334">
        <v>8298541</v>
      </c>
      <c r="PNU525" s="1334">
        <v>8298541</v>
      </c>
      <c r="PNV525" s="1334">
        <v>8298541</v>
      </c>
      <c r="PNW525" s="1334">
        <v>8298541</v>
      </c>
      <c r="PNX525" s="1334">
        <v>8298541</v>
      </c>
      <c r="PNY525" s="1334">
        <v>8298541</v>
      </c>
      <c r="PNZ525" s="1334">
        <v>8298541</v>
      </c>
      <c r="POA525" s="1334">
        <v>8298541</v>
      </c>
      <c r="POB525" s="1334">
        <v>8298541</v>
      </c>
      <c r="POC525" s="1334">
        <v>8298541</v>
      </c>
      <c r="POD525" s="1334">
        <v>8298541</v>
      </c>
      <c r="POE525" s="1334">
        <v>8298541</v>
      </c>
      <c r="POF525" s="1334">
        <v>8298541</v>
      </c>
      <c r="POG525" s="1334">
        <v>8298541</v>
      </c>
      <c r="POH525" s="1334">
        <v>8298541</v>
      </c>
      <c r="POI525" s="1334">
        <v>8298541</v>
      </c>
      <c r="POJ525" s="1334">
        <v>8298541</v>
      </c>
      <c r="POK525" s="1334">
        <v>8298541</v>
      </c>
      <c r="POL525" s="1334">
        <v>8298541</v>
      </c>
      <c r="POM525" s="1334">
        <v>8298541</v>
      </c>
      <c r="PON525" s="1334">
        <v>8298541</v>
      </c>
      <c r="POO525" s="1334">
        <v>8298541</v>
      </c>
      <c r="POP525" s="1334">
        <v>8298541</v>
      </c>
      <c r="POQ525" s="1334">
        <v>8298541</v>
      </c>
      <c r="POR525" s="1334">
        <v>8298541</v>
      </c>
      <c r="POS525" s="1334">
        <v>8298541</v>
      </c>
      <c r="POT525" s="1334">
        <v>8298541</v>
      </c>
      <c r="POU525" s="1334">
        <v>8298541</v>
      </c>
      <c r="POV525" s="1334">
        <v>8298541</v>
      </c>
      <c r="POW525" s="1334">
        <v>8298541</v>
      </c>
      <c r="POX525" s="1334">
        <v>8298541</v>
      </c>
      <c r="POY525" s="1334">
        <v>8298541</v>
      </c>
      <c r="POZ525" s="1334">
        <v>8298541</v>
      </c>
      <c r="PPA525" s="1334">
        <v>8298541</v>
      </c>
      <c r="PPB525" s="1334">
        <v>8298541</v>
      </c>
      <c r="PPC525" s="1334">
        <v>8298541</v>
      </c>
      <c r="PPD525" s="1334">
        <v>8298541</v>
      </c>
      <c r="PPE525" s="1334">
        <v>8298541</v>
      </c>
      <c r="PPF525" s="1334">
        <v>8298541</v>
      </c>
      <c r="PPG525" s="1334">
        <v>8298541</v>
      </c>
      <c r="PPH525" s="1334">
        <v>8298541</v>
      </c>
      <c r="PPI525" s="1334">
        <v>8298541</v>
      </c>
      <c r="PPJ525" s="1334">
        <v>8298541</v>
      </c>
      <c r="PPK525" s="1334">
        <v>8298541</v>
      </c>
      <c r="PPL525" s="1334">
        <v>8298541</v>
      </c>
      <c r="PPM525" s="1334">
        <v>8298541</v>
      </c>
      <c r="PPN525" s="1334">
        <v>8298541</v>
      </c>
      <c r="PPO525" s="1334">
        <v>8298541</v>
      </c>
      <c r="PPP525" s="1334">
        <v>8298541</v>
      </c>
      <c r="PPQ525" s="1334">
        <v>8298541</v>
      </c>
      <c r="PPR525" s="1334">
        <v>8298541</v>
      </c>
      <c r="PPS525" s="1334">
        <v>8298541</v>
      </c>
      <c r="PPT525" s="1334">
        <v>8298541</v>
      </c>
      <c r="PPU525" s="1334">
        <v>8298541</v>
      </c>
      <c r="PPV525" s="1334">
        <v>8298541</v>
      </c>
      <c r="PPW525" s="1334">
        <v>8298541</v>
      </c>
      <c r="PPX525" s="1334">
        <v>8298541</v>
      </c>
      <c r="PPY525" s="1334">
        <v>8298541</v>
      </c>
      <c r="PPZ525" s="1334">
        <v>8298541</v>
      </c>
      <c r="PQA525" s="1334">
        <v>8298541</v>
      </c>
      <c r="PQB525" s="1334">
        <v>8298541</v>
      </c>
      <c r="PQC525" s="1334">
        <v>8298541</v>
      </c>
      <c r="PQD525" s="1334">
        <v>8298541</v>
      </c>
      <c r="PQE525" s="1334">
        <v>8298541</v>
      </c>
      <c r="PQF525" s="1334">
        <v>8298541</v>
      </c>
      <c r="PQG525" s="1334">
        <v>8298541</v>
      </c>
      <c r="PQH525" s="1334">
        <v>8298541</v>
      </c>
      <c r="PQI525" s="1334">
        <v>8298541</v>
      </c>
      <c r="PQJ525" s="1334">
        <v>8298541</v>
      </c>
      <c r="PQK525" s="1334">
        <v>8298541</v>
      </c>
      <c r="PQL525" s="1334">
        <v>8298541</v>
      </c>
      <c r="PQM525" s="1334">
        <v>8298541</v>
      </c>
      <c r="PQN525" s="1334">
        <v>8298541</v>
      </c>
      <c r="PQO525" s="1334">
        <v>8298541</v>
      </c>
      <c r="PQP525" s="1334">
        <v>8298541</v>
      </c>
      <c r="PQQ525" s="1334">
        <v>8298541</v>
      </c>
      <c r="PQR525" s="1334">
        <v>8298541</v>
      </c>
      <c r="PQS525" s="1334">
        <v>8298541</v>
      </c>
      <c r="PQT525" s="1334">
        <v>8298541</v>
      </c>
      <c r="PQU525" s="1334">
        <v>8298541</v>
      </c>
      <c r="PQV525" s="1334">
        <v>8298541</v>
      </c>
      <c r="PQW525" s="1334">
        <v>8298541</v>
      </c>
      <c r="PQX525" s="1334">
        <v>8298541</v>
      </c>
      <c r="PQY525" s="1334">
        <v>8298541</v>
      </c>
      <c r="PQZ525" s="1334">
        <v>8298541</v>
      </c>
      <c r="PRA525" s="1334">
        <v>8298541</v>
      </c>
      <c r="PRB525" s="1334">
        <v>8298541</v>
      </c>
      <c r="PRC525" s="1334">
        <v>8298541</v>
      </c>
      <c r="PRD525" s="1334">
        <v>8298541</v>
      </c>
      <c r="PRE525" s="1334">
        <v>8298541</v>
      </c>
      <c r="PRF525" s="1334">
        <v>8298541</v>
      </c>
      <c r="PRG525" s="1334">
        <v>8298541</v>
      </c>
      <c r="PRH525" s="1334">
        <v>8298541</v>
      </c>
      <c r="PRI525" s="1334">
        <v>8298541</v>
      </c>
      <c r="PRJ525" s="1334">
        <v>8298541</v>
      </c>
      <c r="PRK525" s="1334">
        <v>8298541</v>
      </c>
      <c r="PRL525" s="1334">
        <v>8298541</v>
      </c>
      <c r="PRM525" s="1334">
        <v>8298541</v>
      </c>
      <c r="PRN525" s="1334">
        <v>8298541</v>
      </c>
      <c r="PRO525" s="1334">
        <v>8298541</v>
      </c>
      <c r="PRP525" s="1334">
        <v>8298541</v>
      </c>
      <c r="PRQ525" s="1334">
        <v>8298541</v>
      </c>
      <c r="PRR525" s="1334">
        <v>8298541</v>
      </c>
      <c r="PRS525" s="1334">
        <v>8298541</v>
      </c>
      <c r="PRT525" s="1334">
        <v>8298541</v>
      </c>
      <c r="PRU525" s="1334">
        <v>8298541</v>
      </c>
      <c r="PRV525" s="1334">
        <v>8298541</v>
      </c>
      <c r="PRW525" s="1334">
        <v>8298541</v>
      </c>
      <c r="PRX525" s="1334">
        <v>8298541</v>
      </c>
      <c r="PRY525" s="1334">
        <v>8298541</v>
      </c>
      <c r="PRZ525" s="1334">
        <v>8298541</v>
      </c>
      <c r="PSA525" s="1334">
        <v>8298541</v>
      </c>
      <c r="PSB525" s="1334">
        <v>8298541</v>
      </c>
      <c r="PSC525" s="1334">
        <v>8298541</v>
      </c>
      <c r="PSD525" s="1334">
        <v>8298541</v>
      </c>
      <c r="PSE525" s="1334">
        <v>8298541</v>
      </c>
      <c r="PSF525" s="1334">
        <v>8298541</v>
      </c>
      <c r="PSG525" s="1334">
        <v>8298541</v>
      </c>
      <c r="PSH525" s="1334">
        <v>8298541</v>
      </c>
      <c r="PSI525" s="1334">
        <v>8298541</v>
      </c>
      <c r="PSJ525" s="1334">
        <v>8298541</v>
      </c>
      <c r="PSK525" s="1334">
        <v>8298541</v>
      </c>
      <c r="PSL525" s="1334">
        <v>8298541</v>
      </c>
      <c r="PSM525" s="1334">
        <v>8298541</v>
      </c>
      <c r="PSN525" s="1334">
        <v>8298541</v>
      </c>
      <c r="PSO525" s="1334">
        <v>8298541</v>
      </c>
      <c r="PSP525" s="1334">
        <v>8298541</v>
      </c>
      <c r="PSQ525" s="1334">
        <v>8298541</v>
      </c>
      <c r="PSR525" s="1334">
        <v>8298541</v>
      </c>
      <c r="PSS525" s="1334">
        <v>8298541</v>
      </c>
      <c r="PST525" s="1334">
        <v>8298541</v>
      </c>
      <c r="PSU525" s="1334">
        <v>8298541</v>
      </c>
      <c r="PSV525" s="1334">
        <v>8298541</v>
      </c>
      <c r="PSW525" s="1334">
        <v>8298541</v>
      </c>
      <c r="PSX525" s="1334">
        <v>8298541</v>
      </c>
      <c r="PSY525" s="1334">
        <v>8298541</v>
      </c>
      <c r="PSZ525" s="1334">
        <v>8298541</v>
      </c>
      <c r="PTA525" s="1334">
        <v>8298541</v>
      </c>
      <c r="PTB525" s="1334">
        <v>8298541</v>
      </c>
      <c r="PTC525" s="1334">
        <v>8298541</v>
      </c>
      <c r="PTD525" s="1334">
        <v>8298541</v>
      </c>
      <c r="PTE525" s="1334">
        <v>8298541</v>
      </c>
      <c r="PTF525" s="1334">
        <v>8298541</v>
      </c>
      <c r="PTG525" s="1334">
        <v>8298541</v>
      </c>
      <c r="PTH525" s="1334">
        <v>8298541</v>
      </c>
      <c r="PTI525" s="1334">
        <v>8298541</v>
      </c>
      <c r="PTJ525" s="1334">
        <v>8298541</v>
      </c>
      <c r="PTK525" s="1334">
        <v>8298541</v>
      </c>
      <c r="PTL525" s="1334">
        <v>8298541</v>
      </c>
      <c r="PTM525" s="1334">
        <v>8298541</v>
      </c>
      <c r="PTN525" s="1334">
        <v>8298541</v>
      </c>
      <c r="PTO525" s="1334">
        <v>8298541</v>
      </c>
      <c r="PTP525" s="1334">
        <v>8298541</v>
      </c>
      <c r="PTQ525" s="1334">
        <v>8298541</v>
      </c>
      <c r="PTR525" s="1334">
        <v>8298541</v>
      </c>
      <c r="PTS525" s="1334">
        <v>8298541</v>
      </c>
      <c r="PTT525" s="1334">
        <v>8298541</v>
      </c>
      <c r="PTU525" s="1334">
        <v>8298541</v>
      </c>
      <c r="PTV525" s="1334">
        <v>8298541</v>
      </c>
      <c r="PTW525" s="1334">
        <v>8298541</v>
      </c>
      <c r="PTX525" s="1334">
        <v>8298541</v>
      </c>
      <c r="PTY525" s="1334">
        <v>8298541</v>
      </c>
      <c r="PTZ525" s="1334">
        <v>8298541</v>
      </c>
      <c r="PUA525" s="1334">
        <v>8298541</v>
      </c>
      <c r="PUB525" s="1334">
        <v>8298541</v>
      </c>
      <c r="PUC525" s="1334">
        <v>8298541</v>
      </c>
      <c r="PUD525" s="1334">
        <v>8298541</v>
      </c>
      <c r="PUE525" s="1334">
        <v>8298541</v>
      </c>
      <c r="PUF525" s="1334">
        <v>8298541</v>
      </c>
      <c r="PUG525" s="1334">
        <v>8298541</v>
      </c>
      <c r="PUH525" s="1334">
        <v>8298541</v>
      </c>
      <c r="PUI525" s="1334">
        <v>8298541</v>
      </c>
      <c r="PUJ525" s="1334">
        <v>8298541</v>
      </c>
      <c r="PUK525" s="1334">
        <v>8298541</v>
      </c>
      <c r="PUL525" s="1334">
        <v>8298541</v>
      </c>
      <c r="PUM525" s="1334">
        <v>8298541</v>
      </c>
      <c r="PUN525" s="1334">
        <v>8298541</v>
      </c>
      <c r="PUO525" s="1334">
        <v>8298541</v>
      </c>
      <c r="PUP525" s="1334">
        <v>8298541</v>
      </c>
      <c r="PUQ525" s="1334">
        <v>8298541</v>
      </c>
      <c r="PUR525" s="1334">
        <v>8298541</v>
      </c>
      <c r="PUS525" s="1334">
        <v>8298541</v>
      </c>
      <c r="PUT525" s="1334">
        <v>8298541</v>
      </c>
      <c r="PUU525" s="1334">
        <v>8298541</v>
      </c>
      <c r="PUV525" s="1334">
        <v>8298541</v>
      </c>
      <c r="PUW525" s="1334">
        <v>8298541</v>
      </c>
      <c r="PUX525" s="1334">
        <v>8298541</v>
      </c>
      <c r="PUY525" s="1334">
        <v>8298541</v>
      </c>
      <c r="PUZ525" s="1334">
        <v>8298541</v>
      </c>
      <c r="PVA525" s="1334">
        <v>8298541</v>
      </c>
      <c r="PVB525" s="1334">
        <v>8298541</v>
      </c>
      <c r="PVC525" s="1334">
        <v>8298541</v>
      </c>
      <c r="PVD525" s="1334">
        <v>8298541</v>
      </c>
      <c r="PVE525" s="1334">
        <v>8298541</v>
      </c>
      <c r="PVF525" s="1334">
        <v>8298541</v>
      </c>
      <c r="PVG525" s="1334">
        <v>8298541</v>
      </c>
      <c r="PVH525" s="1334">
        <v>8298541</v>
      </c>
      <c r="PVI525" s="1334">
        <v>8298541</v>
      </c>
      <c r="PVJ525" s="1334">
        <v>8298541</v>
      </c>
      <c r="PVK525" s="1334">
        <v>8298541</v>
      </c>
      <c r="PVL525" s="1334">
        <v>8298541</v>
      </c>
      <c r="PVM525" s="1334">
        <v>8298541</v>
      </c>
      <c r="PVN525" s="1334">
        <v>8298541</v>
      </c>
      <c r="PVO525" s="1334">
        <v>8298541</v>
      </c>
      <c r="PVP525" s="1334">
        <v>8298541</v>
      </c>
      <c r="PVQ525" s="1334">
        <v>8298541</v>
      </c>
      <c r="PVR525" s="1334">
        <v>8298541</v>
      </c>
      <c r="PVS525" s="1334">
        <v>8298541</v>
      </c>
      <c r="PVT525" s="1334">
        <v>8298541</v>
      </c>
      <c r="PVU525" s="1334">
        <v>8298541</v>
      </c>
      <c r="PVV525" s="1334">
        <v>8298541</v>
      </c>
      <c r="PVW525" s="1334">
        <v>8298541</v>
      </c>
      <c r="PVX525" s="1334">
        <v>8298541</v>
      </c>
      <c r="PVY525" s="1334">
        <v>8298541</v>
      </c>
      <c r="PVZ525" s="1334">
        <v>8298541</v>
      </c>
      <c r="PWA525" s="1334">
        <v>8298541</v>
      </c>
      <c r="PWB525" s="1334">
        <v>8298541</v>
      </c>
      <c r="PWC525" s="1334">
        <v>8298541</v>
      </c>
      <c r="PWD525" s="1334">
        <v>8298541</v>
      </c>
      <c r="PWE525" s="1334">
        <v>8298541</v>
      </c>
      <c r="PWF525" s="1334">
        <v>8298541</v>
      </c>
      <c r="PWG525" s="1334">
        <v>8298541</v>
      </c>
      <c r="PWH525" s="1334">
        <v>8298541</v>
      </c>
      <c r="PWI525" s="1334">
        <v>8298541</v>
      </c>
      <c r="PWJ525" s="1334">
        <v>8298541</v>
      </c>
      <c r="PWK525" s="1334">
        <v>8298541</v>
      </c>
      <c r="PWL525" s="1334">
        <v>8298541</v>
      </c>
      <c r="PWM525" s="1334">
        <v>8298541</v>
      </c>
      <c r="PWN525" s="1334">
        <v>8298541</v>
      </c>
      <c r="PWO525" s="1334">
        <v>8298541</v>
      </c>
      <c r="PWP525" s="1334">
        <v>8298541</v>
      </c>
      <c r="PWQ525" s="1334">
        <v>8298541</v>
      </c>
      <c r="PWR525" s="1334">
        <v>8298541</v>
      </c>
      <c r="PWS525" s="1334">
        <v>8298541</v>
      </c>
      <c r="PWT525" s="1334">
        <v>8298541</v>
      </c>
      <c r="PWU525" s="1334">
        <v>8298541</v>
      </c>
      <c r="PWV525" s="1334">
        <v>8298541</v>
      </c>
      <c r="PWW525" s="1334">
        <v>8298541</v>
      </c>
      <c r="PWX525" s="1334">
        <v>8298541</v>
      </c>
      <c r="PWY525" s="1334">
        <v>8298541</v>
      </c>
      <c r="PWZ525" s="1334">
        <v>8298541</v>
      </c>
      <c r="PXA525" s="1334">
        <v>8298541</v>
      </c>
      <c r="PXB525" s="1334">
        <v>8298541</v>
      </c>
      <c r="PXC525" s="1334">
        <v>8298541</v>
      </c>
      <c r="PXD525" s="1334">
        <v>8298541</v>
      </c>
      <c r="PXE525" s="1334">
        <v>8298541</v>
      </c>
      <c r="PXF525" s="1334">
        <v>8298541</v>
      </c>
      <c r="PXG525" s="1334">
        <v>8298541</v>
      </c>
      <c r="PXH525" s="1334">
        <v>8298541</v>
      </c>
      <c r="PXI525" s="1334">
        <v>8298541</v>
      </c>
      <c r="PXJ525" s="1334">
        <v>8298541</v>
      </c>
      <c r="PXK525" s="1334">
        <v>8298541</v>
      </c>
      <c r="PXL525" s="1334">
        <v>8298541</v>
      </c>
      <c r="PXM525" s="1334">
        <v>8298541</v>
      </c>
      <c r="PXN525" s="1334">
        <v>8298541</v>
      </c>
      <c r="PXO525" s="1334">
        <v>8298541</v>
      </c>
      <c r="PXP525" s="1334">
        <v>8298541</v>
      </c>
      <c r="PXQ525" s="1334">
        <v>8298541</v>
      </c>
      <c r="PXR525" s="1334">
        <v>8298541</v>
      </c>
      <c r="PXS525" s="1334">
        <v>8298541</v>
      </c>
      <c r="PXT525" s="1334">
        <v>8298541</v>
      </c>
      <c r="PXU525" s="1334">
        <v>8298541</v>
      </c>
      <c r="PXV525" s="1334">
        <v>8298541</v>
      </c>
      <c r="PXW525" s="1334">
        <v>8298541</v>
      </c>
      <c r="PXX525" s="1334">
        <v>8298541</v>
      </c>
      <c r="PXY525" s="1334">
        <v>8298541</v>
      </c>
      <c r="PXZ525" s="1334">
        <v>8298541</v>
      </c>
      <c r="PYA525" s="1334">
        <v>8298541</v>
      </c>
      <c r="PYB525" s="1334">
        <v>8298541</v>
      </c>
      <c r="PYC525" s="1334">
        <v>8298541</v>
      </c>
      <c r="PYD525" s="1334">
        <v>8298541</v>
      </c>
      <c r="PYE525" s="1334">
        <v>8298541</v>
      </c>
      <c r="PYF525" s="1334">
        <v>8298541</v>
      </c>
      <c r="PYG525" s="1334">
        <v>8298541</v>
      </c>
      <c r="PYH525" s="1334">
        <v>8298541</v>
      </c>
      <c r="PYI525" s="1334">
        <v>8298541</v>
      </c>
      <c r="PYJ525" s="1334">
        <v>8298541</v>
      </c>
      <c r="PYK525" s="1334">
        <v>8298541</v>
      </c>
      <c r="PYL525" s="1334">
        <v>8298541</v>
      </c>
      <c r="PYM525" s="1334">
        <v>8298541</v>
      </c>
      <c r="PYN525" s="1334">
        <v>8298541</v>
      </c>
      <c r="PYO525" s="1334">
        <v>8298541</v>
      </c>
      <c r="PYP525" s="1334">
        <v>8298541</v>
      </c>
      <c r="PYQ525" s="1334">
        <v>8298541</v>
      </c>
      <c r="PYR525" s="1334">
        <v>8298541</v>
      </c>
      <c r="PYS525" s="1334">
        <v>8298541</v>
      </c>
      <c r="PYT525" s="1334">
        <v>8298541</v>
      </c>
      <c r="PYU525" s="1334">
        <v>8298541</v>
      </c>
      <c r="PYV525" s="1334">
        <v>8298541</v>
      </c>
      <c r="PYW525" s="1334">
        <v>8298541</v>
      </c>
      <c r="PYX525" s="1334">
        <v>8298541</v>
      </c>
      <c r="PYY525" s="1334">
        <v>8298541</v>
      </c>
      <c r="PYZ525" s="1334">
        <v>8298541</v>
      </c>
      <c r="PZA525" s="1334">
        <v>8298541</v>
      </c>
      <c r="PZB525" s="1334">
        <v>8298541</v>
      </c>
      <c r="PZC525" s="1334">
        <v>8298541</v>
      </c>
      <c r="PZD525" s="1334">
        <v>8298541</v>
      </c>
      <c r="PZE525" s="1334">
        <v>8298541</v>
      </c>
      <c r="PZF525" s="1334">
        <v>8298541</v>
      </c>
      <c r="PZG525" s="1334">
        <v>8298541</v>
      </c>
      <c r="PZH525" s="1334">
        <v>8298541</v>
      </c>
      <c r="PZI525" s="1334">
        <v>8298541</v>
      </c>
      <c r="PZJ525" s="1334">
        <v>8298541</v>
      </c>
      <c r="PZK525" s="1334">
        <v>8298541</v>
      </c>
      <c r="PZL525" s="1334">
        <v>8298541</v>
      </c>
      <c r="PZM525" s="1334">
        <v>8298541</v>
      </c>
      <c r="PZN525" s="1334">
        <v>8298541</v>
      </c>
      <c r="PZO525" s="1334">
        <v>8298541</v>
      </c>
      <c r="PZP525" s="1334">
        <v>8298541</v>
      </c>
      <c r="PZQ525" s="1334">
        <v>8298541</v>
      </c>
      <c r="PZR525" s="1334">
        <v>8298541</v>
      </c>
      <c r="PZS525" s="1334">
        <v>8298541</v>
      </c>
      <c r="PZT525" s="1334">
        <v>8298541</v>
      </c>
      <c r="PZU525" s="1334">
        <v>8298541</v>
      </c>
      <c r="PZV525" s="1334">
        <v>8298541</v>
      </c>
      <c r="PZW525" s="1334">
        <v>8298541</v>
      </c>
      <c r="PZX525" s="1334">
        <v>8298541</v>
      </c>
      <c r="PZY525" s="1334">
        <v>8298541</v>
      </c>
      <c r="PZZ525" s="1334">
        <v>8298541</v>
      </c>
      <c r="QAA525" s="1334">
        <v>8298541</v>
      </c>
      <c r="QAB525" s="1334">
        <v>8298541</v>
      </c>
      <c r="QAC525" s="1334">
        <v>8298541</v>
      </c>
      <c r="QAD525" s="1334">
        <v>8298541</v>
      </c>
      <c r="QAE525" s="1334">
        <v>8298541</v>
      </c>
      <c r="QAF525" s="1334">
        <v>8298541</v>
      </c>
      <c r="QAG525" s="1334">
        <v>8298541</v>
      </c>
      <c r="QAH525" s="1334">
        <v>8298541</v>
      </c>
      <c r="QAI525" s="1334">
        <v>8298541</v>
      </c>
      <c r="QAJ525" s="1334">
        <v>8298541</v>
      </c>
      <c r="QAK525" s="1334">
        <v>8298541</v>
      </c>
      <c r="QAL525" s="1334">
        <v>8298541</v>
      </c>
      <c r="QAM525" s="1334">
        <v>8298541</v>
      </c>
      <c r="QAN525" s="1334">
        <v>8298541</v>
      </c>
      <c r="QAO525" s="1334">
        <v>8298541</v>
      </c>
      <c r="QAP525" s="1334">
        <v>8298541</v>
      </c>
      <c r="QAQ525" s="1334">
        <v>8298541</v>
      </c>
      <c r="QAR525" s="1334">
        <v>8298541</v>
      </c>
      <c r="QAS525" s="1334">
        <v>8298541</v>
      </c>
      <c r="QAT525" s="1334">
        <v>8298541</v>
      </c>
      <c r="QAU525" s="1334">
        <v>8298541</v>
      </c>
      <c r="QAV525" s="1334">
        <v>8298541</v>
      </c>
      <c r="QAW525" s="1334">
        <v>8298541</v>
      </c>
      <c r="QAX525" s="1334">
        <v>8298541</v>
      </c>
      <c r="QAY525" s="1334">
        <v>8298541</v>
      </c>
      <c r="QAZ525" s="1334">
        <v>8298541</v>
      </c>
      <c r="QBA525" s="1334">
        <v>8298541</v>
      </c>
      <c r="QBB525" s="1334">
        <v>8298541</v>
      </c>
      <c r="QBC525" s="1334">
        <v>8298541</v>
      </c>
      <c r="QBD525" s="1334">
        <v>8298541</v>
      </c>
      <c r="QBE525" s="1334">
        <v>8298541</v>
      </c>
      <c r="QBF525" s="1334">
        <v>8298541</v>
      </c>
      <c r="QBG525" s="1334">
        <v>8298541</v>
      </c>
      <c r="QBH525" s="1334">
        <v>8298541</v>
      </c>
      <c r="QBI525" s="1334">
        <v>8298541</v>
      </c>
      <c r="QBJ525" s="1334">
        <v>8298541</v>
      </c>
      <c r="QBK525" s="1334">
        <v>8298541</v>
      </c>
      <c r="QBL525" s="1334">
        <v>8298541</v>
      </c>
      <c r="QBM525" s="1334">
        <v>8298541</v>
      </c>
      <c r="QBN525" s="1334">
        <v>8298541</v>
      </c>
      <c r="QBO525" s="1334">
        <v>8298541</v>
      </c>
      <c r="QBP525" s="1334">
        <v>8298541</v>
      </c>
      <c r="QBQ525" s="1334">
        <v>8298541</v>
      </c>
      <c r="QBR525" s="1334">
        <v>8298541</v>
      </c>
      <c r="QBS525" s="1334">
        <v>8298541</v>
      </c>
      <c r="QBT525" s="1334">
        <v>8298541</v>
      </c>
      <c r="QBU525" s="1334">
        <v>8298541</v>
      </c>
      <c r="QBV525" s="1334">
        <v>8298541</v>
      </c>
      <c r="QBW525" s="1334">
        <v>8298541</v>
      </c>
      <c r="QBX525" s="1334">
        <v>8298541</v>
      </c>
      <c r="QBY525" s="1334">
        <v>8298541</v>
      </c>
      <c r="QBZ525" s="1334">
        <v>8298541</v>
      </c>
      <c r="QCA525" s="1334">
        <v>8298541</v>
      </c>
      <c r="QCB525" s="1334">
        <v>8298541</v>
      </c>
      <c r="QCC525" s="1334">
        <v>8298541</v>
      </c>
      <c r="QCD525" s="1334">
        <v>8298541</v>
      </c>
      <c r="QCE525" s="1334">
        <v>8298541</v>
      </c>
      <c r="QCF525" s="1334">
        <v>8298541</v>
      </c>
      <c r="QCG525" s="1334">
        <v>8298541</v>
      </c>
      <c r="QCH525" s="1334">
        <v>8298541</v>
      </c>
      <c r="QCI525" s="1334">
        <v>8298541</v>
      </c>
      <c r="QCJ525" s="1334">
        <v>8298541</v>
      </c>
      <c r="QCK525" s="1334">
        <v>8298541</v>
      </c>
      <c r="QCL525" s="1334">
        <v>8298541</v>
      </c>
      <c r="QCM525" s="1334">
        <v>8298541</v>
      </c>
      <c r="QCN525" s="1334">
        <v>8298541</v>
      </c>
      <c r="QCO525" s="1334">
        <v>8298541</v>
      </c>
      <c r="QCP525" s="1334">
        <v>8298541</v>
      </c>
      <c r="QCQ525" s="1334">
        <v>8298541</v>
      </c>
      <c r="QCR525" s="1334">
        <v>8298541</v>
      </c>
      <c r="QCS525" s="1334">
        <v>8298541</v>
      </c>
      <c r="QCT525" s="1334">
        <v>8298541</v>
      </c>
      <c r="QCU525" s="1334">
        <v>8298541</v>
      </c>
      <c r="QCV525" s="1334">
        <v>8298541</v>
      </c>
      <c r="QCW525" s="1334">
        <v>8298541</v>
      </c>
      <c r="QCX525" s="1334">
        <v>8298541</v>
      </c>
      <c r="QCY525" s="1334">
        <v>8298541</v>
      </c>
      <c r="QCZ525" s="1334">
        <v>8298541</v>
      </c>
      <c r="QDA525" s="1334">
        <v>8298541</v>
      </c>
      <c r="QDB525" s="1334">
        <v>8298541</v>
      </c>
      <c r="QDC525" s="1334">
        <v>8298541</v>
      </c>
      <c r="QDD525" s="1334">
        <v>8298541</v>
      </c>
      <c r="QDE525" s="1334">
        <v>8298541</v>
      </c>
      <c r="QDF525" s="1334">
        <v>8298541</v>
      </c>
      <c r="QDG525" s="1334">
        <v>8298541</v>
      </c>
      <c r="QDH525" s="1334">
        <v>8298541</v>
      </c>
      <c r="QDI525" s="1334">
        <v>8298541</v>
      </c>
      <c r="QDJ525" s="1334">
        <v>8298541</v>
      </c>
      <c r="QDK525" s="1334">
        <v>8298541</v>
      </c>
      <c r="QDL525" s="1334">
        <v>8298541</v>
      </c>
      <c r="QDM525" s="1334">
        <v>8298541</v>
      </c>
      <c r="QDN525" s="1334">
        <v>8298541</v>
      </c>
      <c r="QDO525" s="1334">
        <v>8298541</v>
      </c>
      <c r="QDP525" s="1334">
        <v>8298541</v>
      </c>
      <c r="QDQ525" s="1334">
        <v>8298541</v>
      </c>
      <c r="QDR525" s="1334">
        <v>8298541</v>
      </c>
      <c r="QDS525" s="1334">
        <v>8298541</v>
      </c>
      <c r="QDT525" s="1334">
        <v>8298541</v>
      </c>
      <c r="QDU525" s="1334">
        <v>8298541</v>
      </c>
      <c r="QDV525" s="1334">
        <v>8298541</v>
      </c>
      <c r="QDW525" s="1334">
        <v>8298541</v>
      </c>
      <c r="QDX525" s="1334">
        <v>8298541</v>
      </c>
      <c r="QDY525" s="1334">
        <v>8298541</v>
      </c>
      <c r="QDZ525" s="1334">
        <v>8298541</v>
      </c>
      <c r="QEA525" s="1334">
        <v>8298541</v>
      </c>
      <c r="QEB525" s="1334">
        <v>8298541</v>
      </c>
      <c r="QEC525" s="1334">
        <v>8298541</v>
      </c>
      <c r="QED525" s="1334">
        <v>8298541</v>
      </c>
      <c r="QEE525" s="1334">
        <v>8298541</v>
      </c>
      <c r="QEF525" s="1334">
        <v>8298541</v>
      </c>
      <c r="QEG525" s="1334">
        <v>8298541</v>
      </c>
      <c r="QEH525" s="1334">
        <v>8298541</v>
      </c>
      <c r="QEI525" s="1334">
        <v>8298541</v>
      </c>
      <c r="QEJ525" s="1334">
        <v>8298541</v>
      </c>
      <c r="QEK525" s="1334">
        <v>8298541</v>
      </c>
      <c r="QEL525" s="1334">
        <v>8298541</v>
      </c>
      <c r="QEM525" s="1334">
        <v>8298541</v>
      </c>
      <c r="QEN525" s="1334">
        <v>8298541</v>
      </c>
      <c r="QEO525" s="1334">
        <v>8298541</v>
      </c>
      <c r="QEP525" s="1334">
        <v>8298541</v>
      </c>
      <c r="QEQ525" s="1334">
        <v>8298541</v>
      </c>
      <c r="QER525" s="1334">
        <v>8298541</v>
      </c>
      <c r="QES525" s="1334">
        <v>8298541</v>
      </c>
      <c r="QET525" s="1334">
        <v>8298541</v>
      </c>
      <c r="QEU525" s="1334">
        <v>8298541</v>
      </c>
      <c r="QEV525" s="1334">
        <v>8298541</v>
      </c>
      <c r="QEW525" s="1334">
        <v>8298541</v>
      </c>
      <c r="QEX525" s="1334">
        <v>8298541</v>
      </c>
      <c r="QEY525" s="1334">
        <v>8298541</v>
      </c>
      <c r="QEZ525" s="1334">
        <v>8298541</v>
      </c>
      <c r="QFA525" s="1334">
        <v>8298541</v>
      </c>
      <c r="QFB525" s="1334">
        <v>8298541</v>
      </c>
      <c r="QFC525" s="1334">
        <v>8298541</v>
      </c>
      <c r="QFD525" s="1334">
        <v>8298541</v>
      </c>
      <c r="QFE525" s="1334">
        <v>8298541</v>
      </c>
      <c r="QFF525" s="1334">
        <v>8298541</v>
      </c>
      <c r="QFG525" s="1334">
        <v>8298541</v>
      </c>
      <c r="QFH525" s="1334">
        <v>8298541</v>
      </c>
      <c r="QFI525" s="1334">
        <v>8298541</v>
      </c>
      <c r="QFJ525" s="1334">
        <v>8298541</v>
      </c>
      <c r="QFK525" s="1334">
        <v>8298541</v>
      </c>
      <c r="QFL525" s="1334">
        <v>8298541</v>
      </c>
      <c r="QFM525" s="1334">
        <v>8298541</v>
      </c>
      <c r="QFN525" s="1334">
        <v>8298541</v>
      </c>
      <c r="QFO525" s="1334">
        <v>8298541</v>
      </c>
      <c r="QFP525" s="1334">
        <v>8298541</v>
      </c>
      <c r="QFQ525" s="1334">
        <v>8298541</v>
      </c>
      <c r="QFR525" s="1334">
        <v>8298541</v>
      </c>
      <c r="QFS525" s="1334">
        <v>8298541</v>
      </c>
      <c r="QFT525" s="1334">
        <v>8298541</v>
      </c>
      <c r="QFU525" s="1334">
        <v>8298541</v>
      </c>
      <c r="QFV525" s="1334">
        <v>8298541</v>
      </c>
      <c r="QFW525" s="1334">
        <v>8298541</v>
      </c>
      <c r="QFX525" s="1334">
        <v>8298541</v>
      </c>
      <c r="QFY525" s="1334">
        <v>8298541</v>
      </c>
      <c r="QFZ525" s="1334">
        <v>8298541</v>
      </c>
      <c r="QGA525" s="1334">
        <v>8298541</v>
      </c>
      <c r="QGB525" s="1334">
        <v>8298541</v>
      </c>
      <c r="QGC525" s="1334">
        <v>8298541</v>
      </c>
      <c r="QGD525" s="1334">
        <v>8298541</v>
      </c>
      <c r="QGE525" s="1334">
        <v>8298541</v>
      </c>
      <c r="QGF525" s="1334">
        <v>8298541</v>
      </c>
      <c r="QGG525" s="1334">
        <v>8298541</v>
      </c>
      <c r="QGH525" s="1334">
        <v>8298541</v>
      </c>
      <c r="QGI525" s="1334">
        <v>8298541</v>
      </c>
      <c r="QGJ525" s="1334">
        <v>8298541</v>
      </c>
      <c r="QGK525" s="1334">
        <v>8298541</v>
      </c>
      <c r="QGL525" s="1334">
        <v>8298541</v>
      </c>
      <c r="QGM525" s="1334">
        <v>8298541</v>
      </c>
      <c r="QGN525" s="1334">
        <v>8298541</v>
      </c>
      <c r="QGO525" s="1334">
        <v>8298541</v>
      </c>
      <c r="QGP525" s="1334">
        <v>8298541</v>
      </c>
      <c r="QGQ525" s="1334">
        <v>8298541</v>
      </c>
      <c r="QGR525" s="1334">
        <v>8298541</v>
      </c>
      <c r="QGS525" s="1334">
        <v>8298541</v>
      </c>
      <c r="QGT525" s="1334">
        <v>8298541</v>
      </c>
      <c r="QGU525" s="1334">
        <v>8298541</v>
      </c>
      <c r="QGV525" s="1334">
        <v>8298541</v>
      </c>
      <c r="QGW525" s="1334">
        <v>8298541</v>
      </c>
      <c r="QGX525" s="1334">
        <v>8298541</v>
      </c>
      <c r="QGY525" s="1334">
        <v>8298541</v>
      </c>
      <c r="QGZ525" s="1334">
        <v>8298541</v>
      </c>
      <c r="QHA525" s="1334">
        <v>8298541</v>
      </c>
      <c r="QHB525" s="1334">
        <v>8298541</v>
      </c>
      <c r="QHC525" s="1334">
        <v>8298541</v>
      </c>
      <c r="QHD525" s="1334">
        <v>8298541</v>
      </c>
      <c r="QHE525" s="1334">
        <v>8298541</v>
      </c>
      <c r="QHF525" s="1334">
        <v>8298541</v>
      </c>
      <c r="QHG525" s="1334">
        <v>8298541</v>
      </c>
      <c r="QHH525" s="1334">
        <v>8298541</v>
      </c>
      <c r="QHI525" s="1334">
        <v>8298541</v>
      </c>
      <c r="QHJ525" s="1334">
        <v>8298541</v>
      </c>
      <c r="QHK525" s="1334">
        <v>8298541</v>
      </c>
      <c r="QHL525" s="1334">
        <v>8298541</v>
      </c>
      <c r="QHM525" s="1334">
        <v>8298541</v>
      </c>
      <c r="QHN525" s="1334">
        <v>8298541</v>
      </c>
      <c r="QHO525" s="1334">
        <v>8298541</v>
      </c>
      <c r="QHP525" s="1334">
        <v>8298541</v>
      </c>
      <c r="QHQ525" s="1334">
        <v>8298541</v>
      </c>
      <c r="QHR525" s="1334">
        <v>8298541</v>
      </c>
      <c r="QHS525" s="1334">
        <v>8298541</v>
      </c>
      <c r="QHT525" s="1334">
        <v>8298541</v>
      </c>
      <c r="QHU525" s="1334">
        <v>8298541</v>
      </c>
      <c r="QHV525" s="1334">
        <v>8298541</v>
      </c>
      <c r="QHW525" s="1334">
        <v>8298541</v>
      </c>
      <c r="QHX525" s="1334">
        <v>8298541</v>
      </c>
      <c r="QHY525" s="1334">
        <v>8298541</v>
      </c>
      <c r="QHZ525" s="1334">
        <v>8298541</v>
      </c>
      <c r="QIA525" s="1334">
        <v>8298541</v>
      </c>
      <c r="QIB525" s="1334">
        <v>8298541</v>
      </c>
      <c r="QIC525" s="1334">
        <v>8298541</v>
      </c>
      <c r="QID525" s="1334">
        <v>8298541</v>
      </c>
      <c r="QIE525" s="1334">
        <v>8298541</v>
      </c>
      <c r="QIF525" s="1334">
        <v>8298541</v>
      </c>
      <c r="QIG525" s="1334">
        <v>8298541</v>
      </c>
      <c r="QIH525" s="1334">
        <v>8298541</v>
      </c>
      <c r="QII525" s="1334">
        <v>8298541</v>
      </c>
      <c r="QIJ525" s="1334">
        <v>8298541</v>
      </c>
      <c r="QIK525" s="1334">
        <v>8298541</v>
      </c>
      <c r="QIL525" s="1334">
        <v>8298541</v>
      </c>
      <c r="QIM525" s="1334">
        <v>8298541</v>
      </c>
      <c r="QIN525" s="1334">
        <v>8298541</v>
      </c>
      <c r="QIO525" s="1334">
        <v>8298541</v>
      </c>
      <c r="QIP525" s="1334">
        <v>8298541</v>
      </c>
      <c r="QIQ525" s="1334">
        <v>8298541</v>
      </c>
      <c r="QIR525" s="1334">
        <v>8298541</v>
      </c>
      <c r="QIS525" s="1334">
        <v>8298541</v>
      </c>
      <c r="QIT525" s="1334">
        <v>8298541</v>
      </c>
      <c r="QIU525" s="1334">
        <v>8298541</v>
      </c>
      <c r="QIV525" s="1334">
        <v>8298541</v>
      </c>
      <c r="QIW525" s="1334">
        <v>8298541</v>
      </c>
      <c r="QIX525" s="1334">
        <v>8298541</v>
      </c>
      <c r="QIY525" s="1334">
        <v>8298541</v>
      </c>
      <c r="QIZ525" s="1334">
        <v>8298541</v>
      </c>
      <c r="QJA525" s="1334">
        <v>8298541</v>
      </c>
      <c r="QJB525" s="1334">
        <v>8298541</v>
      </c>
      <c r="QJC525" s="1334">
        <v>8298541</v>
      </c>
      <c r="QJD525" s="1334">
        <v>8298541</v>
      </c>
      <c r="QJE525" s="1334">
        <v>8298541</v>
      </c>
      <c r="QJF525" s="1334">
        <v>8298541</v>
      </c>
      <c r="QJG525" s="1334">
        <v>8298541</v>
      </c>
      <c r="QJH525" s="1334">
        <v>8298541</v>
      </c>
      <c r="QJI525" s="1334">
        <v>8298541</v>
      </c>
      <c r="QJJ525" s="1334">
        <v>8298541</v>
      </c>
      <c r="QJK525" s="1334">
        <v>8298541</v>
      </c>
      <c r="QJL525" s="1334">
        <v>8298541</v>
      </c>
      <c r="QJM525" s="1334">
        <v>8298541</v>
      </c>
      <c r="QJN525" s="1334">
        <v>8298541</v>
      </c>
      <c r="QJO525" s="1334">
        <v>8298541</v>
      </c>
      <c r="QJP525" s="1334">
        <v>8298541</v>
      </c>
      <c r="QJQ525" s="1334">
        <v>8298541</v>
      </c>
      <c r="QJR525" s="1334">
        <v>8298541</v>
      </c>
      <c r="QJS525" s="1334">
        <v>8298541</v>
      </c>
      <c r="QJT525" s="1334">
        <v>8298541</v>
      </c>
      <c r="QJU525" s="1334">
        <v>8298541</v>
      </c>
      <c r="QJV525" s="1334">
        <v>8298541</v>
      </c>
      <c r="QJW525" s="1334">
        <v>8298541</v>
      </c>
      <c r="QJX525" s="1334">
        <v>8298541</v>
      </c>
      <c r="QJY525" s="1334">
        <v>8298541</v>
      </c>
      <c r="QJZ525" s="1334">
        <v>8298541</v>
      </c>
      <c r="QKA525" s="1334">
        <v>8298541</v>
      </c>
      <c r="QKB525" s="1334">
        <v>8298541</v>
      </c>
      <c r="QKC525" s="1334">
        <v>8298541</v>
      </c>
      <c r="QKD525" s="1334">
        <v>8298541</v>
      </c>
      <c r="QKE525" s="1334">
        <v>8298541</v>
      </c>
      <c r="QKF525" s="1334">
        <v>8298541</v>
      </c>
      <c r="QKG525" s="1334">
        <v>8298541</v>
      </c>
      <c r="QKH525" s="1334">
        <v>8298541</v>
      </c>
      <c r="QKI525" s="1334">
        <v>8298541</v>
      </c>
      <c r="QKJ525" s="1334">
        <v>8298541</v>
      </c>
      <c r="QKK525" s="1334">
        <v>8298541</v>
      </c>
      <c r="QKL525" s="1334">
        <v>8298541</v>
      </c>
      <c r="QKM525" s="1334">
        <v>8298541</v>
      </c>
      <c r="QKN525" s="1334">
        <v>8298541</v>
      </c>
      <c r="QKO525" s="1334">
        <v>8298541</v>
      </c>
      <c r="QKP525" s="1334">
        <v>8298541</v>
      </c>
      <c r="QKQ525" s="1334">
        <v>8298541</v>
      </c>
      <c r="QKR525" s="1334">
        <v>8298541</v>
      </c>
      <c r="QKS525" s="1334">
        <v>8298541</v>
      </c>
      <c r="QKT525" s="1334">
        <v>8298541</v>
      </c>
      <c r="QKU525" s="1334">
        <v>8298541</v>
      </c>
      <c r="QKV525" s="1334">
        <v>8298541</v>
      </c>
      <c r="QKW525" s="1334">
        <v>8298541</v>
      </c>
      <c r="QKX525" s="1334">
        <v>8298541</v>
      </c>
      <c r="QKY525" s="1334">
        <v>8298541</v>
      </c>
      <c r="QKZ525" s="1334">
        <v>8298541</v>
      </c>
      <c r="QLA525" s="1334">
        <v>8298541</v>
      </c>
      <c r="QLB525" s="1334">
        <v>8298541</v>
      </c>
      <c r="QLC525" s="1334">
        <v>8298541</v>
      </c>
      <c r="QLD525" s="1334">
        <v>8298541</v>
      </c>
      <c r="QLE525" s="1334">
        <v>8298541</v>
      </c>
      <c r="QLF525" s="1334">
        <v>8298541</v>
      </c>
      <c r="QLG525" s="1334">
        <v>8298541</v>
      </c>
      <c r="QLH525" s="1334">
        <v>8298541</v>
      </c>
      <c r="QLI525" s="1334">
        <v>8298541</v>
      </c>
      <c r="QLJ525" s="1334">
        <v>8298541</v>
      </c>
      <c r="QLK525" s="1334">
        <v>8298541</v>
      </c>
      <c r="QLL525" s="1334">
        <v>8298541</v>
      </c>
      <c r="QLM525" s="1334">
        <v>8298541</v>
      </c>
      <c r="QLN525" s="1334">
        <v>8298541</v>
      </c>
      <c r="QLO525" s="1334">
        <v>8298541</v>
      </c>
      <c r="QLP525" s="1334">
        <v>8298541</v>
      </c>
      <c r="QLQ525" s="1334">
        <v>8298541</v>
      </c>
      <c r="QLR525" s="1334">
        <v>8298541</v>
      </c>
      <c r="QLS525" s="1334">
        <v>8298541</v>
      </c>
      <c r="QLT525" s="1334">
        <v>8298541</v>
      </c>
      <c r="QLU525" s="1334">
        <v>8298541</v>
      </c>
      <c r="QLV525" s="1334">
        <v>8298541</v>
      </c>
      <c r="QLW525" s="1334">
        <v>8298541</v>
      </c>
      <c r="QLX525" s="1334">
        <v>8298541</v>
      </c>
      <c r="QLY525" s="1334">
        <v>8298541</v>
      </c>
      <c r="QLZ525" s="1334">
        <v>8298541</v>
      </c>
      <c r="QMA525" s="1334">
        <v>8298541</v>
      </c>
      <c r="QMB525" s="1334">
        <v>8298541</v>
      </c>
      <c r="QMC525" s="1334">
        <v>8298541</v>
      </c>
      <c r="QMD525" s="1334">
        <v>8298541</v>
      </c>
      <c r="QME525" s="1334">
        <v>8298541</v>
      </c>
      <c r="QMF525" s="1334">
        <v>8298541</v>
      </c>
      <c r="QMG525" s="1334">
        <v>8298541</v>
      </c>
      <c r="QMH525" s="1334">
        <v>8298541</v>
      </c>
      <c r="QMI525" s="1334">
        <v>8298541</v>
      </c>
      <c r="QMJ525" s="1334">
        <v>8298541</v>
      </c>
      <c r="QMK525" s="1334">
        <v>8298541</v>
      </c>
      <c r="QML525" s="1334">
        <v>8298541</v>
      </c>
      <c r="QMM525" s="1334">
        <v>8298541</v>
      </c>
      <c r="QMN525" s="1334">
        <v>8298541</v>
      </c>
      <c r="QMO525" s="1334">
        <v>8298541</v>
      </c>
      <c r="QMP525" s="1334">
        <v>8298541</v>
      </c>
      <c r="QMQ525" s="1334">
        <v>8298541</v>
      </c>
      <c r="QMR525" s="1334">
        <v>8298541</v>
      </c>
      <c r="QMS525" s="1334">
        <v>8298541</v>
      </c>
      <c r="QMT525" s="1334">
        <v>8298541</v>
      </c>
      <c r="QMU525" s="1334">
        <v>8298541</v>
      </c>
      <c r="QMV525" s="1334">
        <v>8298541</v>
      </c>
      <c r="QMW525" s="1334">
        <v>8298541</v>
      </c>
      <c r="QMX525" s="1334">
        <v>8298541</v>
      </c>
      <c r="QMY525" s="1334">
        <v>8298541</v>
      </c>
      <c r="QMZ525" s="1334">
        <v>8298541</v>
      </c>
      <c r="QNA525" s="1334">
        <v>8298541</v>
      </c>
      <c r="QNB525" s="1334">
        <v>8298541</v>
      </c>
      <c r="QNC525" s="1334">
        <v>8298541</v>
      </c>
      <c r="QND525" s="1334">
        <v>8298541</v>
      </c>
      <c r="QNE525" s="1334">
        <v>8298541</v>
      </c>
      <c r="QNF525" s="1334">
        <v>8298541</v>
      </c>
      <c r="QNG525" s="1334">
        <v>8298541</v>
      </c>
      <c r="QNH525" s="1334">
        <v>8298541</v>
      </c>
      <c r="QNI525" s="1334">
        <v>8298541</v>
      </c>
      <c r="QNJ525" s="1334">
        <v>8298541</v>
      </c>
      <c r="QNK525" s="1334">
        <v>8298541</v>
      </c>
      <c r="QNL525" s="1334">
        <v>8298541</v>
      </c>
      <c r="QNM525" s="1334">
        <v>8298541</v>
      </c>
      <c r="QNN525" s="1334">
        <v>8298541</v>
      </c>
      <c r="QNO525" s="1334">
        <v>8298541</v>
      </c>
      <c r="QNP525" s="1334">
        <v>8298541</v>
      </c>
      <c r="QNQ525" s="1334">
        <v>8298541</v>
      </c>
      <c r="QNR525" s="1334">
        <v>8298541</v>
      </c>
      <c r="QNS525" s="1334">
        <v>8298541</v>
      </c>
      <c r="QNT525" s="1334">
        <v>8298541</v>
      </c>
      <c r="QNU525" s="1334">
        <v>8298541</v>
      </c>
      <c r="QNV525" s="1334">
        <v>8298541</v>
      </c>
      <c r="QNW525" s="1334">
        <v>8298541</v>
      </c>
      <c r="QNX525" s="1334">
        <v>8298541</v>
      </c>
      <c r="QNY525" s="1334">
        <v>8298541</v>
      </c>
      <c r="QNZ525" s="1334">
        <v>8298541</v>
      </c>
      <c r="QOA525" s="1334">
        <v>8298541</v>
      </c>
      <c r="QOB525" s="1334">
        <v>8298541</v>
      </c>
      <c r="QOC525" s="1334">
        <v>8298541</v>
      </c>
      <c r="QOD525" s="1334">
        <v>8298541</v>
      </c>
      <c r="QOE525" s="1334">
        <v>8298541</v>
      </c>
      <c r="QOF525" s="1334">
        <v>8298541</v>
      </c>
      <c r="QOG525" s="1334">
        <v>8298541</v>
      </c>
      <c r="QOH525" s="1334">
        <v>8298541</v>
      </c>
      <c r="QOI525" s="1334">
        <v>8298541</v>
      </c>
      <c r="QOJ525" s="1334">
        <v>8298541</v>
      </c>
      <c r="QOK525" s="1334">
        <v>8298541</v>
      </c>
      <c r="QOL525" s="1334">
        <v>8298541</v>
      </c>
      <c r="QOM525" s="1334">
        <v>8298541</v>
      </c>
      <c r="QON525" s="1334">
        <v>8298541</v>
      </c>
      <c r="QOO525" s="1334">
        <v>8298541</v>
      </c>
      <c r="QOP525" s="1334">
        <v>8298541</v>
      </c>
      <c r="QOQ525" s="1334">
        <v>8298541</v>
      </c>
      <c r="QOR525" s="1334">
        <v>8298541</v>
      </c>
      <c r="QOS525" s="1334">
        <v>8298541</v>
      </c>
      <c r="QOT525" s="1334">
        <v>8298541</v>
      </c>
      <c r="QOU525" s="1334">
        <v>8298541</v>
      </c>
      <c r="QOV525" s="1334">
        <v>8298541</v>
      </c>
      <c r="QOW525" s="1334">
        <v>8298541</v>
      </c>
      <c r="QOX525" s="1334">
        <v>8298541</v>
      </c>
      <c r="QOY525" s="1334">
        <v>8298541</v>
      </c>
      <c r="QOZ525" s="1334">
        <v>8298541</v>
      </c>
      <c r="QPA525" s="1334">
        <v>8298541</v>
      </c>
      <c r="QPB525" s="1334">
        <v>8298541</v>
      </c>
      <c r="QPC525" s="1334">
        <v>8298541</v>
      </c>
      <c r="QPD525" s="1334">
        <v>8298541</v>
      </c>
      <c r="QPE525" s="1334">
        <v>8298541</v>
      </c>
      <c r="QPF525" s="1334">
        <v>8298541</v>
      </c>
      <c r="QPG525" s="1334">
        <v>8298541</v>
      </c>
      <c r="QPH525" s="1334">
        <v>8298541</v>
      </c>
      <c r="QPI525" s="1334">
        <v>8298541</v>
      </c>
      <c r="QPJ525" s="1334">
        <v>8298541</v>
      </c>
      <c r="QPK525" s="1334">
        <v>8298541</v>
      </c>
      <c r="QPL525" s="1334">
        <v>8298541</v>
      </c>
      <c r="QPM525" s="1334">
        <v>8298541</v>
      </c>
      <c r="QPN525" s="1334">
        <v>8298541</v>
      </c>
      <c r="QPO525" s="1334">
        <v>8298541</v>
      </c>
      <c r="QPP525" s="1334">
        <v>8298541</v>
      </c>
      <c r="QPQ525" s="1334">
        <v>8298541</v>
      </c>
      <c r="QPR525" s="1334">
        <v>8298541</v>
      </c>
      <c r="QPS525" s="1334">
        <v>8298541</v>
      </c>
      <c r="QPT525" s="1334">
        <v>8298541</v>
      </c>
      <c r="QPU525" s="1334">
        <v>8298541</v>
      </c>
      <c r="QPV525" s="1334">
        <v>8298541</v>
      </c>
      <c r="QPW525" s="1334">
        <v>8298541</v>
      </c>
      <c r="QPX525" s="1334">
        <v>8298541</v>
      </c>
      <c r="QPY525" s="1334">
        <v>8298541</v>
      </c>
      <c r="QPZ525" s="1334">
        <v>8298541</v>
      </c>
      <c r="QQA525" s="1334">
        <v>8298541</v>
      </c>
      <c r="QQB525" s="1334">
        <v>8298541</v>
      </c>
      <c r="QQC525" s="1334">
        <v>8298541</v>
      </c>
      <c r="QQD525" s="1334">
        <v>8298541</v>
      </c>
      <c r="QQE525" s="1334">
        <v>8298541</v>
      </c>
      <c r="QQF525" s="1334">
        <v>8298541</v>
      </c>
      <c r="QQG525" s="1334">
        <v>8298541</v>
      </c>
      <c r="QQH525" s="1334">
        <v>8298541</v>
      </c>
      <c r="QQI525" s="1334">
        <v>8298541</v>
      </c>
      <c r="QQJ525" s="1334">
        <v>8298541</v>
      </c>
      <c r="QQK525" s="1334">
        <v>8298541</v>
      </c>
      <c r="QQL525" s="1334">
        <v>8298541</v>
      </c>
      <c r="QQM525" s="1334">
        <v>8298541</v>
      </c>
      <c r="QQN525" s="1334">
        <v>8298541</v>
      </c>
      <c r="QQO525" s="1334">
        <v>8298541</v>
      </c>
      <c r="QQP525" s="1334">
        <v>8298541</v>
      </c>
      <c r="QQQ525" s="1334">
        <v>8298541</v>
      </c>
      <c r="QQR525" s="1334">
        <v>8298541</v>
      </c>
      <c r="QQS525" s="1334">
        <v>8298541</v>
      </c>
      <c r="QQT525" s="1334">
        <v>8298541</v>
      </c>
      <c r="QQU525" s="1334">
        <v>8298541</v>
      </c>
      <c r="QQV525" s="1334">
        <v>8298541</v>
      </c>
      <c r="QQW525" s="1334">
        <v>8298541</v>
      </c>
      <c r="QQX525" s="1334">
        <v>8298541</v>
      </c>
      <c r="QQY525" s="1334">
        <v>8298541</v>
      </c>
      <c r="QQZ525" s="1334">
        <v>8298541</v>
      </c>
      <c r="QRA525" s="1334">
        <v>8298541</v>
      </c>
      <c r="QRB525" s="1334">
        <v>8298541</v>
      </c>
      <c r="QRC525" s="1334">
        <v>8298541</v>
      </c>
      <c r="QRD525" s="1334">
        <v>8298541</v>
      </c>
      <c r="QRE525" s="1334">
        <v>8298541</v>
      </c>
      <c r="QRF525" s="1334">
        <v>8298541</v>
      </c>
      <c r="QRG525" s="1334">
        <v>8298541</v>
      </c>
      <c r="QRH525" s="1334">
        <v>8298541</v>
      </c>
      <c r="QRI525" s="1334">
        <v>8298541</v>
      </c>
      <c r="QRJ525" s="1334">
        <v>8298541</v>
      </c>
      <c r="QRK525" s="1334">
        <v>8298541</v>
      </c>
      <c r="QRL525" s="1334">
        <v>8298541</v>
      </c>
      <c r="QRM525" s="1334">
        <v>8298541</v>
      </c>
      <c r="QRN525" s="1334">
        <v>8298541</v>
      </c>
      <c r="QRO525" s="1334">
        <v>8298541</v>
      </c>
      <c r="QRP525" s="1334">
        <v>8298541</v>
      </c>
      <c r="QRQ525" s="1334">
        <v>8298541</v>
      </c>
      <c r="QRR525" s="1334">
        <v>8298541</v>
      </c>
      <c r="QRS525" s="1334">
        <v>8298541</v>
      </c>
      <c r="QRT525" s="1334">
        <v>8298541</v>
      </c>
      <c r="QRU525" s="1334">
        <v>8298541</v>
      </c>
      <c r="QRV525" s="1334">
        <v>8298541</v>
      </c>
      <c r="QRW525" s="1334">
        <v>8298541</v>
      </c>
      <c r="QRX525" s="1334">
        <v>8298541</v>
      </c>
      <c r="QRY525" s="1334">
        <v>8298541</v>
      </c>
      <c r="QRZ525" s="1334">
        <v>8298541</v>
      </c>
      <c r="QSA525" s="1334">
        <v>8298541</v>
      </c>
      <c r="QSB525" s="1334">
        <v>8298541</v>
      </c>
      <c r="QSC525" s="1334">
        <v>8298541</v>
      </c>
      <c r="QSD525" s="1334">
        <v>8298541</v>
      </c>
      <c r="QSE525" s="1334">
        <v>8298541</v>
      </c>
      <c r="QSF525" s="1334">
        <v>8298541</v>
      </c>
      <c r="QSG525" s="1334">
        <v>8298541</v>
      </c>
      <c r="QSH525" s="1334">
        <v>8298541</v>
      </c>
      <c r="QSI525" s="1334">
        <v>8298541</v>
      </c>
      <c r="QSJ525" s="1334">
        <v>8298541</v>
      </c>
      <c r="QSK525" s="1334">
        <v>8298541</v>
      </c>
      <c r="QSL525" s="1334">
        <v>8298541</v>
      </c>
      <c r="QSM525" s="1334">
        <v>8298541</v>
      </c>
      <c r="QSN525" s="1334">
        <v>8298541</v>
      </c>
      <c r="QSO525" s="1334">
        <v>8298541</v>
      </c>
      <c r="QSP525" s="1334">
        <v>8298541</v>
      </c>
      <c r="QSQ525" s="1334">
        <v>8298541</v>
      </c>
      <c r="QSR525" s="1334">
        <v>8298541</v>
      </c>
      <c r="QSS525" s="1334">
        <v>8298541</v>
      </c>
      <c r="QST525" s="1334">
        <v>8298541</v>
      </c>
      <c r="QSU525" s="1334">
        <v>8298541</v>
      </c>
      <c r="QSV525" s="1334">
        <v>8298541</v>
      </c>
      <c r="QSW525" s="1334">
        <v>8298541</v>
      </c>
      <c r="QSX525" s="1334">
        <v>8298541</v>
      </c>
      <c r="QSY525" s="1334">
        <v>8298541</v>
      </c>
      <c r="QSZ525" s="1334">
        <v>8298541</v>
      </c>
      <c r="QTA525" s="1334">
        <v>8298541</v>
      </c>
      <c r="QTB525" s="1334">
        <v>8298541</v>
      </c>
      <c r="QTC525" s="1334">
        <v>8298541</v>
      </c>
      <c r="QTD525" s="1334">
        <v>8298541</v>
      </c>
      <c r="QTE525" s="1334">
        <v>8298541</v>
      </c>
      <c r="QTF525" s="1334">
        <v>8298541</v>
      </c>
      <c r="QTG525" s="1334">
        <v>8298541</v>
      </c>
      <c r="QTH525" s="1334">
        <v>8298541</v>
      </c>
      <c r="QTI525" s="1334">
        <v>8298541</v>
      </c>
      <c r="QTJ525" s="1334">
        <v>8298541</v>
      </c>
      <c r="QTK525" s="1334">
        <v>8298541</v>
      </c>
      <c r="QTL525" s="1334">
        <v>8298541</v>
      </c>
      <c r="QTM525" s="1334">
        <v>8298541</v>
      </c>
      <c r="QTN525" s="1334">
        <v>8298541</v>
      </c>
      <c r="QTO525" s="1334">
        <v>8298541</v>
      </c>
      <c r="QTP525" s="1334">
        <v>8298541</v>
      </c>
      <c r="QTQ525" s="1334">
        <v>8298541</v>
      </c>
      <c r="QTR525" s="1334">
        <v>8298541</v>
      </c>
      <c r="QTS525" s="1334">
        <v>8298541</v>
      </c>
      <c r="QTT525" s="1334">
        <v>8298541</v>
      </c>
      <c r="QTU525" s="1334">
        <v>8298541</v>
      </c>
      <c r="QTV525" s="1334">
        <v>8298541</v>
      </c>
      <c r="QTW525" s="1334">
        <v>8298541</v>
      </c>
      <c r="QTX525" s="1334">
        <v>8298541</v>
      </c>
      <c r="QTY525" s="1334">
        <v>8298541</v>
      </c>
      <c r="QTZ525" s="1334">
        <v>8298541</v>
      </c>
      <c r="QUA525" s="1334">
        <v>8298541</v>
      </c>
      <c r="QUB525" s="1334">
        <v>8298541</v>
      </c>
      <c r="QUC525" s="1334">
        <v>8298541</v>
      </c>
      <c r="QUD525" s="1334">
        <v>8298541</v>
      </c>
      <c r="QUE525" s="1334">
        <v>8298541</v>
      </c>
      <c r="QUF525" s="1334">
        <v>8298541</v>
      </c>
      <c r="QUG525" s="1334">
        <v>8298541</v>
      </c>
      <c r="QUH525" s="1334">
        <v>8298541</v>
      </c>
      <c r="QUI525" s="1334">
        <v>8298541</v>
      </c>
      <c r="QUJ525" s="1334">
        <v>8298541</v>
      </c>
      <c r="QUK525" s="1334">
        <v>8298541</v>
      </c>
      <c r="QUL525" s="1334">
        <v>8298541</v>
      </c>
      <c r="QUM525" s="1334">
        <v>8298541</v>
      </c>
      <c r="QUN525" s="1334">
        <v>8298541</v>
      </c>
      <c r="QUO525" s="1334">
        <v>8298541</v>
      </c>
      <c r="QUP525" s="1334">
        <v>8298541</v>
      </c>
      <c r="QUQ525" s="1334">
        <v>8298541</v>
      </c>
      <c r="QUR525" s="1334">
        <v>8298541</v>
      </c>
      <c r="QUS525" s="1334">
        <v>8298541</v>
      </c>
      <c r="QUT525" s="1334">
        <v>8298541</v>
      </c>
      <c r="QUU525" s="1334">
        <v>8298541</v>
      </c>
      <c r="QUV525" s="1334">
        <v>8298541</v>
      </c>
      <c r="QUW525" s="1334">
        <v>8298541</v>
      </c>
      <c r="QUX525" s="1334">
        <v>8298541</v>
      </c>
      <c r="QUY525" s="1334">
        <v>8298541</v>
      </c>
      <c r="QUZ525" s="1334">
        <v>8298541</v>
      </c>
      <c r="QVA525" s="1334">
        <v>8298541</v>
      </c>
      <c r="QVB525" s="1334">
        <v>8298541</v>
      </c>
      <c r="QVC525" s="1334">
        <v>8298541</v>
      </c>
      <c r="QVD525" s="1334">
        <v>8298541</v>
      </c>
      <c r="QVE525" s="1334">
        <v>8298541</v>
      </c>
      <c r="QVF525" s="1334">
        <v>8298541</v>
      </c>
      <c r="QVG525" s="1334">
        <v>8298541</v>
      </c>
      <c r="QVH525" s="1334">
        <v>8298541</v>
      </c>
      <c r="QVI525" s="1334">
        <v>8298541</v>
      </c>
      <c r="QVJ525" s="1334">
        <v>8298541</v>
      </c>
      <c r="QVK525" s="1334">
        <v>8298541</v>
      </c>
      <c r="QVL525" s="1334">
        <v>8298541</v>
      </c>
      <c r="QVM525" s="1334">
        <v>8298541</v>
      </c>
      <c r="QVN525" s="1334">
        <v>8298541</v>
      </c>
      <c r="QVO525" s="1334">
        <v>8298541</v>
      </c>
      <c r="QVP525" s="1334">
        <v>8298541</v>
      </c>
      <c r="QVQ525" s="1334">
        <v>8298541</v>
      </c>
      <c r="QVR525" s="1334">
        <v>8298541</v>
      </c>
      <c r="QVS525" s="1334">
        <v>8298541</v>
      </c>
      <c r="QVT525" s="1334">
        <v>8298541</v>
      </c>
      <c r="QVU525" s="1334">
        <v>8298541</v>
      </c>
      <c r="QVV525" s="1334">
        <v>8298541</v>
      </c>
      <c r="QVW525" s="1334">
        <v>8298541</v>
      </c>
      <c r="QVX525" s="1334">
        <v>8298541</v>
      </c>
      <c r="QVY525" s="1334">
        <v>8298541</v>
      </c>
      <c r="QVZ525" s="1334">
        <v>8298541</v>
      </c>
      <c r="QWA525" s="1334">
        <v>8298541</v>
      </c>
      <c r="QWB525" s="1334">
        <v>8298541</v>
      </c>
      <c r="QWC525" s="1334">
        <v>8298541</v>
      </c>
      <c r="QWD525" s="1334">
        <v>8298541</v>
      </c>
      <c r="QWE525" s="1334">
        <v>8298541</v>
      </c>
      <c r="QWF525" s="1334">
        <v>8298541</v>
      </c>
      <c r="QWG525" s="1334">
        <v>8298541</v>
      </c>
      <c r="QWH525" s="1334">
        <v>8298541</v>
      </c>
      <c r="QWI525" s="1334">
        <v>8298541</v>
      </c>
      <c r="QWJ525" s="1334">
        <v>8298541</v>
      </c>
      <c r="QWK525" s="1334">
        <v>8298541</v>
      </c>
      <c r="QWL525" s="1334">
        <v>8298541</v>
      </c>
      <c r="QWM525" s="1334">
        <v>8298541</v>
      </c>
      <c r="QWN525" s="1334">
        <v>8298541</v>
      </c>
      <c r="QWO525" s="1334">
        <v>8298541</v>
      </c>
      <c r="QWP525" s="1334">
        <v>8298541</v>
      </c>
      <c r="QWQ525" s="1334">
        <v>8298541</v>
      </c>
      <c r="QWR525" s="1334">
        <v>8298541</v>
      </c>
      <c r="QWS525" s="1334">
        <v>8298541</v>
      </c>
      <c r="QWT525" s="1334">
        <v>8298541</v>
      </c>
      <c r="QWU525" s="1334">
        <v>8298541</v>
      </c>
      <c r="QWV525" s="1334">
        <v>8298541</v>
      </c>
      <c r="QWW525" s="1334">
        <v>8298541</v>
      </c>
      <c r="QWX525" s="1334">
        <v>8298541</v>
      </c>
      <c r="QWY525" s="1334">
        <v>8298541</v>
      </c>
      <c r="QWZ525" s="1334">
        <v>8298541</v>
      </c>
      <c r="QXA525" s="1334">
        <v>8298541</v>
      </c>
      <c r="QXB525" s="1334">
        <v>8298541</v>
      </c>
      <c r="QXC525" s="1334">
        <v>8298541</v>
      </c>
      <c r="QXD525" s="1334">
        <v>8298541</v>
      </c>
      <c r="QXE525" s="1334">
        <v>8298541</v>
      </c>
      <c r="QXF525" s="1334">
        <v>8298541</v>
      </c>
      <c r="QXG525" s="1334">
        <v>8298541</v>
      </c>
      <c r="QXH525" s="1334">
        <v>8298541</v>
      </c>
      <c r="QXI525" s="1334">
        <v>8298541</v>
      </c>
      <c r="QXJ525" s="1334">
        <v>8298541</v>
      </c>
      <c r="QXK525" s="1334">
        <v>8298541</v>
      </c>
      <c r="QXL525" s="1334">
        <v>8298541</v>
      </c>
      <c r="QXM525" s="1334">
        <v>8298541</v>
      </c>
      <c r="QXN525" s="1334">
        <v>8298541</v>
      </c>
      <c r="QXO525" s="1334">
        <v>8298541</v>
      </c>
      <c r="QXP525" s="1334">
        <v>8298541</v>
      </c>
      <c r="QXQ525" s="1334">
        <v>8298541</v>
      </c>
      <c r="QXR525" s="1334">
        <v>8298541</v>
      </c>
      <c r="QXS525" s="1334">
        <v>8298541</v>
      </c>
      <c r="QXT525" s="1334">
        <v>8298541</v>
      </c>
      <c r="QXU525" s="1334">
        <v>8298541</v>
      </c>
      <c r="QXV525" s="1334">
        <v>8298541</v>
      </c>
      <c r="QXW525" s="1334">
        <v>8298541</v>
      </c>
      <c r="QXX525" s="1334">
        <v>8298541</v>
      </c>
      <c r="QXY525" s="1334">
        <v>8298541</v>
      </c>
      <c r="QXZ525" s="1334">
        <v>8298541</v>
      </c>
      <c r="QYA525" s="1334">
        <v>8298541</v>
      </c>
      <c r="QYB525" s="1334">
        <v>8298541</v>
      </c>
      <c r="QYC525" s="1334">
        <v>8298541</v>
      </c>
      <c r="QYD525" s="1334">
        <v>8298541</v>
      </c>
      <c r="QYE525" s="1334">
        <v>8298541</v>
      </c>
      <c r="QYF525" s="1334">
        <v>8298541</v>
      </c>
      <c r="QYG525" s="1334">
        <v>8298541</v>
      </c>
      <c r="QYH525" s="1334">
        <v>8298541</v>
      </c>
      <c r="QYI525" s="1334">
        <v>8298541</v>
      </c>
      <c r="QYJ525" s="1334">
        <v>8298541</v>
      </c>
      <c r="QYK525" s="1334">
        <v>8298541</v>
      </c>
      <c r="QYL525" s="1334">
        <v>8298541</v>
      </c>
      <c r="QYM525" s="1334">
        <v>8298541</v>
      </c>
      <c r="QYN525" s="1334">
        <v>8298541</v>
      </c>
      <c r="QYO525" s="1334">
        <v>8298541</v>
      </c>
      <c r="QYP525" s="1334">
        <v>8298541</v>
      </c>
      <c r="QYQ525" s="1334">
        <v>8298541</v>
      </c>
      <c r="QYR525" s="1334">
        <v>8298541</v>
      </c>
      <c r="QYS525" s="1334">
        <v>8298541</v>
      </c>
      <c r="QYT525" s="1334">
        <v>8298541</v>
      </c>
      <c r="QYU525" s="1334">
        <v>8298541</v>
      </c>
      <c r="QYV525" s="1334">
        <v>8298541</v>
      </c>
      <c r="QYW525" s="1334">
        <v>8298541</v>
      </c>
      <c r="QYX525" s="1334">
        <v>8298541</v>
      </c>
      <c r="QYY525" s="1334">
        <v>8298541</v>
      </c>
      <c r="QYZ525" s="1334">
        <v>8298541</v>
      </c>
      <c r="QZA525" s="1334">
        <v>8298541</v>
      </c>
      <c r="QZB525" s="1334">
        <v>8298541</v>
      </c>
      <c r="QZC525" s="1334">
        <v>8298541</v>
      </c>
      <c r="QZD525" s="1334">
        <v>8298541</v>
      </c>
      <c r="QZE525" s="1334">
        <v>8298541</v>
      </c>
      <c r="QZF525" s="1334">
        <v>8298541</v>
      </c>
      <c r="QZG525" s="1334">
        <v>8298541</v>
      </c>
      <c r="QZH525" s="1334">
        <v>8298541</v>
      </c>
      <c r="QZI525" s="1334">
        <v>8298541</v>
      </c>
      <c r="QZJ525" s="1334">
        <v>8298541</v>
      </c>
      <c r="QZK525" s="1334">
        <v>8298541</v>
      </c>
      <c r="QZL525" s="1334">
        <v>8298541</v>
      </c>
      <c r="QZM525" s="1334">
        <v>8298541</v>
      </c>
      <c r="QZN525" s="1334">
        <v>8298541</v>
      </c>
      <c r="QZO525" s="1334">
        <v>8298541</v>
      </c>
      <c r="QZP525" s="1334">
        <v>8298541</v>
      </c>
      <c r="QZQ525" s="1334">
        <v>8298541</v>
      </c>
      <c r="QZR525" s="1334">
        <v>8298541</v>
      </c>
      <c r="QZS525" s="1334">
        <v>8298541</v>
      </c>
      <c r="QZT525" s="1334">
        <v>8298541</v>
      </c>
      <c r="QZU525" s="1334">
        <v>8298541</v>
      </c>
      <c r="QZV525" s="1334">
        <v>8298541</v>
      </c>
      <c r="QZW525" s="1334">
        <v>8298541</v>
      </c>
      <c r="QZX525" s="1334">
        <v>8298541</v>
      </c>
      <c r="QZY525" s="1334">
        <v>8298541</v>
      </c>
      <c r="QZZ525" s="1334">
        <v>8298541</v>
      </c>
      <c r="RAA525" s="1334">
        <v>8298541</v>
      </c>
      <c r="RAB525" s="1334">
        <v>8298541</v>
      </c>
      <c r="RAC525" s="1334">
        <v>8298541</v>
      </c>
      <c r="RAD525" s="1334">
        <v>8298541</v>
      </c>
      <c r="RAE525" s="1334">
        <v>8298541</v>
      </c>
      <c r="RAF525" s="1334">
        <v>8298541</v>
      </c>
      <c r="RAG525" s="1334">
        <v>8298541</v>
      </c>
      <c r="RAH525" s="1334">
        <v>8298541</v>
      </c>
      <c r="RAI525" s="1334">
        <v>8298541</v>
      </c>
      <c r="RAJ525" s="1334">
        <v>8298541</v>
      </c>
      <c r="RAK525" s="1334">
        <v>8298541</v>
      </c>
      <c r="RAL525" s="1334">
        <v>8298541</v>
      </c>
      <c r="RAM525" s="1334">
        <v>8298541</v>
      </c>
      <c r="RAN525" s="1334">
        <v>8298541</v>
      </c>
      <c r="RAO525" s="1334">
        <v>8298541</v>
      </c>
      <c r="RAP525" s="1334">
        <v>8298541</v>
      </c>
      <c r="RAQ525" s="1334">
        <v>8298541</v>
      </c>
      <c r="RAR525" s="1334">
        <v>8298541</v>
      </c>
      <c r="RAS525" s="1334">
        <v>8298541</v>
      </c>
      <c r="RAT525" s="1334">
        <v>8298541</v>
      </c>
      <c r="RAU525" s="1334">
        <v>8298541</v>
      </c>
      <c r="RAV525" s="1334">
        <v>8298541</v>
      </c>
      <c r="RAW525" s="1334">
        <v>8298541</v>
      </c>
      <c r="RAX525" s="1334">
        <v>8298541</v>
      </c>
      <c r="RAY525" s="1334">
        <v>8298541</v>
      </c>
      <c r="RAZ525" s="1334">
        <v>8298541</v>
      </c>
      <c r="RBA525" s="1334">
        <v>8298541</v>
      </c>
      <c r="RBB525" s="1334">
        <v>8298541</v>
      </c>
      <c r="RBC525" s="1334">
        <v>8298541</v>
      </c>
      <c r="RBD525" s="1334">
        <v>8298541</v>
      </c>
      <c r="RBE525" s="1334">
        <v>8298541</v>
      </c>
      <c r="RBF525" s="1334">
        <v>8298541</v>
      </c>
      <c r="RBG525" s="1334">
        <v>8298541</v>
      </c>
      <c r="RBH525" s="1334">
        <v>8298541</v>
      </c>
      <c r="RBI525" s="1334">
        <v>8298541</v>
      </c>
      <c r="RBJ525" s="1334">
        <v>8298541</v>
      </c>
      <c r="RBK525" s="1334">
        <v>8298541</v>
      </c>
      <c r="RBL525" s="1334">
        <v>8298541</v>
      </c>
      <c r="RBM525" s="1334">
        <v>8298541</v>
      </c>
      <c r="RBN525" s="1334">
        <v>8298541</v>
      </c>
      <c r="RBO525" s="1334">
        <v>8298541</v>
      </c>
      <c r="RBP525" s="1334">
        <v>8298541</v>
      </c>
      <c r="RBQ525" s="1334">
        <v>8298541</v>
      </c>
      <c r="RBR525" s="1334">
        <v>8298541</v>
      </c>
      <c r="RBS525" s="1334">
        <v>8298541</v>
      </c>
      <c r="RBT525" s="1334">
        <v>8298541</v>
      </c>
      <c r="RBU525" s="1334">
        <v>8298541</v>
      </c>
      <c r="RBV525" s="1334">
        <v>8298541</v>
      </c>
      <c r="RBW525" s="1334">
        <v>8298541</v>
      </c>
      <c r="RBX525" s="1334">
        <v>8298541</v>
      </c>
      <c r="RBY525" s="1334">
        <v>8298541</v>
      </c>
      <c r="RBZ525" s="1334">
        <v>8298541</v>
      </c>
      <c r="RCA525" s="1334">
        <v>8298541</v>
      </c>
      <c r="RCB525" s="1334">
        <v>8298541</v>
      </c>
      <c r="RCC525" s="1334">
        <v>8298541</v>
      </c>
      <c r="RCD525" s="1334">
        <v>8298541</v>
      </c>
      <c r="RCE525" s="1334">
        <v>8298541</v>
      </c>
      <c r="RCF525" s="1334">
        <v>8298541</v>
      </c>
      <c r="RCG525" s="1334">
        <v>8298541</v>
      </c>
      <c r="RCH525" s="1334">
        <v>8298541</v>
      </c>
      <c r="RCI525" s="1334">
        <v>8298541</v>
      </c>
      <c r="RCJ525" s="1334">
        <v>8298541</v>
      </c>
      <c r="RCK525" s="1334">
        <v>8298541</v>
      </c>
      <c r="RCL525" s="1334">
        <v>8298541</v>
      </c>
      <c r="RCM525" s="1334">
        <v>8298541</v>
      </c>
      <c r="RCN525" s="1334">
        <v>8298541</v>
      </c>
      <c r="RCO525" s="1334">
        <v>8298541</v>
      </c>
      <c r="RCP525" s="1334">
        <v>8298541</v>
      </c>
      <c r="RCQ525" s="1334">
        <v>8298541</v>
      </c>
      <c r="RCR525" s="1334">
        <v>8298541</v>
      </c>
      <c r="RCS525" s="1334">
        <v>8298541</v>
      </c>
      <c r="RCT525" s="1334">
        <v>8298541</v>
      </c>
      <c r="RCU525" s="1334">
        <v>8298541</v>
      </c>
      <c r="RCV525" s="1334">
        <v>8298541</v>
      </c>
      <c r="RCW525" s="1334">
        <v>8298541</v>
      </c>
      <c r="RCX525" s="1334">
        <v>8298541</v>
      </c>
      <c r="RCY525" s="1334">
        <v>8298541</v>
      </c>
      <c r="RCZ525" s="1334">
        <v>8298541</v>
      </c>
      <c r="RDA525" s="1334">
        <v>8298541</v>
      </c>
      <c r="RDB525" s="1334">
        <v>8298541</v>
      </c>
      <c r="RDC525" s="1334">
        <v>8298541</v>
      </c>
      <c r="RDD525" s="1334">
        <v>8298541</v>
      </c>
      <c r="RDE525" s="1334">
        <v>8298541</v>
      </c>
      <c r="RDF525" s="1334">
        <v>8298541</v>
      </c>
      <c r="RDG525" s="1334">
        <v>8298541</v>
      </c>
      <c r="RDH525" s="1334">
        <v>8298541</v>
      </c>
      <c r="RDI525" s="1334">
        <v>8298541</v>
      </c>
      <c r="RDJ525" s="1334">
        <v>8298541</v>
      </c>
      <c r="RDK525" s="1334">
        <v>8298541</v>
      </c>
      <c r="RDL525" s="1334">
        <v>8298541</v>
      </c>
      <c r="RDM525" s="1334">
        <v>8298541</v>
      </c>
      <c r="RDN525" s="1334">
        <v>8298541</v>
      </c>
      <c r="RDO525" s="1334">
        <v>8298541</v>
      </c>
      <c r="RDP525" s="1334">
        <v>8298541</v>
      </c>
      <c r="RDQ525" s="1334">
        <v>8298541</v>
      </c>
      <c r="RDR525" s="1334">
        <v>8298541</v>
      </c>
      <c r="RDS525" s="1334">
        <v>8298541</v>
      </c>
      <c r="RDT525" s="1334">
        <v>8298541</v>
      </c>
      <c r="RDU525" s="1334">
        <v>8298541</v>
      </c>
      <c r="RDV525" s="1334">
        <v>8298541</v>
      </c>
      <c r="RDW525" s="1334">
        <v>8298541</v>
      </c>
      <c r="RDX525" s="1334">
        <v>8298541</v>
      </c>
      <c r="RDY525" s="1334">
        <v>8298541</v>
      </c>
      <c r="RDZ525" s="1334">
        <v>8298541</v>
      </c>
      <c r="REA525" s="1334">
        <v>8298541</v>
      </c>
      <c r="REB525" s="1334">
        <v>8298541</v>
      </c>
      <c r="REC525" s="1334">
        <v>8298541</v>
      </c>
      <c r="RED525" s="1334">
        <v>8298541</v>
      </c>
      <c r="REE525" s="1334">
        <v>8298541</v>
      </c>
      <c r="REF525" s="1334">
        <v>8298541</v>
      </c>
      <c r="REG525" s="1334">
        <v>8298541</v>
      </c>
      <c r="REH525" s="1334">
        <v>8298541</v>
      </c>
      <c r="REI525" s="1334">
        <v>8298541</v>
      </c>
      <c r="REJ525" s="1334">
        <v>8298541</v>
      </c>
      <c r="REK525" s="1334">
        <v>8298541</v>
      </c>
      <c r="REL525" s="1334">
        <v>8298541</v>
      </c>
      <c r="REM525" s="1334">
        <v>8298541</v>
      </c>
      <c r="REN525" s="1334">
        <v>8298541</v>
      </c>
      <c r="REO525" s="1334">
        <v>8298541</v>
      </c>
      <c r="REP525" s="1334">
        <v>8298541</v>
      </c>
      <c r="REQ525" s="1334">
        <v>8298541</v>
      </c>
      <c r="RER525" s="1334">
        <v>8298541</v>
      </c>
      <c r="RES525" s="1334">
        <v>8298541</v>
      </c>
      <c r="RET525" s="1334">
        <v>8298541</v>
      </c>
      <c r="REU525" s="1334">
        <v>8298541</v>
      </c>
      <c r="REV525" s="1334">
        <v>8298541</v>
      </c>
      <c r="REW525" s="1334">
        <v>8298541</v>
      </c>
      <c r="REX525" s="1334">
        <v>8298541</v>
      </c>
      <c r="REY525" s="1334">
        <v>8298541</v>
      </c>
      <c r="REZ525" s="1334">
        <v>8298541</v>
      </c>
      <c r="RFA525" s="1334">
        <v>8298541</v>
      </c>
      <c r="RFB525" s="1334">
        <v>8298541</v>
      </c>
      <c r="RFC525" s="1334">
        <v>8298541</v>
      </c>
      <c r="RFD525" s="1334">
        <v>8298541</v>
      </c>
      <c r="RFE525" s="1334">
        <v>8298541</v>
      </c>
      <c r="RFF525" s="1334">
        <v>8298541</v>
      </c>
      <c r="RFG525" s="1334">
        <v>8298541</v>
      </c>
      <c r="RFH525" s="1334">
        <v>8298541</v>
      </c>
      <c r="RFI525" s="1334">
        <v>8298541</v>
      </c>
      <c r="RFJ525" s="1334">
        <v>8298541</v>
      </c>
      <c r="RFK525" s="1334">
        <v>8298541</v>
      </c>
      <c r="RFL525" s="1334">
        <v>8298541</v>
      </c>
      <c r="RFM525" s="1334">
        <v>8298541</v>
      </c>
      <c r="RFN525" s="1334">
        <v>8298541</v>
      </c>
      <c r="RFO525" s="1334">
        <v>8298541</v>
      </c>
      <c r="RFP525" s="1334">
        <v>8298541</v>
      </c>
      <c r="RFQ525" s="1334">
        <v>8298541</v>
      </c>
      <c r="RFR525" s="1334">
        <v>8298541</v>
      </c>
      <c r="RFS525" s="1334">
        <v>8298541</v>
      </c>
      <c r="RFT525" s="1334">
        <v>8298541</v>
      </c>
      <c r="RFU525" s="1334">
        <v>8298541</v>
      </c>
      <c r="RFV525" s="1334">
        <v>8298541</v>
      </c>
      <c r="RFW525" s="1334">
        <v>8298541</v>
      </c>
      <c r="RFX525" s="1334">
        <v>8298541</v>
      </c>
      <c r="RFY525" s="1334">
        <v>8298541</v>
      </c>
      <c r="RFZ525" s="1334">
        <v>8298541</v>
      </c>
      <c r="RGA525" s="1334">
        <v>8298541</v>
      </c>
      <c r="RGB525" s="1334">
        <v>8298541</v>
      </c>
      <c r="RGC525" s="1334">
        <v>8298541</v>
      </c>
      <c r="RGD525" s="1334">
        <v>8298541</v>
      </c>
      <c r="RGE525" s="1334">
        <v>8298541</v>
      </c>
      <c r="RGF525" s="1334">
        <v>8298541</v>
      </c>
      <c r="RGG525" s="1334">
        <v>8298541</v>
      </c>
      <c r="RGH525" s="1334">
        <v>8298541</v>
      </c>
      <c r="RGI525" s="1334">
        <v>8298541</v>
      </c>
      <c r="RGJ525" s="1334">
        <v>8298541</v>
      </c>
      <c r="RGK525" s="1334">
        <v>8298541</v>
      </c>
      <c r="RGL525" s="1334">
        <v>8298541</v>
      </c>
      <c r="RGM525" s="1334">
        <v>8298541</v>
      </c>
      <c r="RGN525" s="1334">
        <v>8298541</v>
      </c>
      <c r="RGO525" s="1334">
        <v>8298541</v>
      </c>
      <c r="RGP525" s="1334">
        <v>8298541</v>
      </c>
      <c r="RGQ525" s="1334">
        <v>8298541</v>
      </c>
      <c r="RGR525" s="1334">
        <v>8298541</v>
      </c>
      <c r="RGS525" s="1334">
        <v>8298541</v>
      </c>
      <c r="RGT525" s="1334">
        <v>8298541</v>
      </c>
      <c r="RGU525" s="1334">
        <v>8298541</v>
      </c>
      <c r="RGV525" s="1334">
        <v>8298541</v>
      </c>
      <c r="RGW525" s="1334">
        <v>8298541</v>
      </c>
      <c r="RGX525" s="1334">
        <v>8298541</v>
      </c>
      <c r="RGY525" s="1334">
        <v>8298541</v>
      </c>
      <c r="RGZ525" s="1334">
        <v>8298541</v>
      </c>
      <c r="RHA525" s="1334">
        <v>8298541</v>
      </c>
      <c r="RHB525" s="1334">
        <v>8298541</v>
      </c>
      <c r="RHC525" s="1334">
        <v>8298541</v>
      </c>
      <c r="RHD525" s="1334">
        <v>8298541</v>
      </c>
      <c r="RHE525" s="1334">
        <v>8298541</v>
      </c>
      <c r="RHF525" s="1334">
        <v>8298541</v>
      </c>
      <c r="RHG525" s="1334">
        <v>8298541</v>
      </c>
      <c r="RHH525" s="1334">
        <v>8298541</v>
      </c>
      <c r="RHI525" s="1334">
        <v>8298541</v>
      </c>
      <c r="RHJ525" s="1334">
        <v>8298541</v>
      </c>
      <c r="RHK525" s="1334">
        <v>8298541</v>
      </c>
      <c r="RHL525" s="1334">
        <v>8298541</v>
      </c>
      <c r="RHM525" s="1334">
        <v>8298541</v>
      </c>
      <c r="RHN525" s="1334">
        <v>8298541</v>
      </c>
      <c r="RHO525" s="1334">
        <v>8298541</v>
      </c>
      <c r="RHP525" s="1334">
        <v>8298541</v>
      </c>
      <c r="RHQ525" s="1334">
        <v>8298541</v>
      </c>
      <c r="RHR525" s="1334">
        <v>8298541</v>
      </c>
      <c r="RHS525" s="1334">
        <v>8298541</v>
      </c>
      <c r="RHT525" s="1334">
        <v>8298541</v>
      </c>
      <c r="RHU525" s="1334">
        <v>8298541</v>
      </c>
      <c r="RHV525" s="1334">
        <v>8298541</v>
      </c>
      <c r="RHW525" s="1334">
        <v>8298541</v>
      </c>
      <c r="RHX525" s="1334">
        <v>8298541</v>
      </c>
      <c r="RHY525" s="1334">
        <v>8298541</v>
      </c>
      <c r="RHZ525" s="1334">
        <v>8298541</v>
      </c>
      <c r="RIA525" s="1334">
        <v>8298541</v>
      </c>
      <c r="RIB525" s="1334">
        <v>8298541</v>
      </c>
      <c r="RIC525" s="1334">
        <v>8298541</v>
      </c>
      <c r="RID525" s="1334">
        <v>8298541</v>
      </c>
      <c r="RIE525" s="1334">
        <v>8298541</v>
      </c>
      <c r="RIF525" s="1334">
        <v>8298541</v>
      </c>
      <c r="RIG525" s="1334">
        <v>8298541</v>
      </c>
      <c r="RIH525" s="1334">
        <v>8298541</v>
      </c>
      <c r="RII525" s="1334">
        <v>8298541</v>
      </c>
      <c r="RIJ525" s="1334">
        <v>8298541</v>
      </c>
      <c r="RIK525" s="1334">
        <v>8298541</v>
      </c>
      <c r="RIL525" s="1334">
        <v>8298541</v>
      </c>
      <c r="RIM525" s="1334">
        <v>8298541</v>
      </c>
      <c r="RIN525" s="1334">
        <v>8298541</v>
      </c>
      <c r="RIO525" s="1334">
        <v>8298541</v>
      </c>
      <c r="RIP525" s="1334">
        <v>8298541</v>
      </c>
      <c r="RIQ525" s="1334">
        <v>8298541</v>
      </c>
      <c r="RIR525" s="1334">
        <v>8298541</v>
      </c>
      <c r="RIS525" s="1334">
        <v>8298541</v>
      </c>
      <c r="RIT525" s="1334">
        <v>8298541</v>
      </c>
      <c r="RIU525" s="1334">
        <v>8298541</v>
      </c>
      <c r="RIV525" s="1334">
        <v>8298541</v>
      </c>
      <c r="RIW525" s="1334">
        <v>8298541</v>
      </c>
      <c r="RIX525" s="1334">
        <v>8298541</v>
      </c>
      <c r="RIY525" s="1334">
        <v>8298541</v>
      </c>
      <c r="RIZ525" s="1334">
        <v>8298541</v>
      </c>
      <c r="RJA525" s="1334">
        <v>8298541</v>
      </c>
      <c r="RJB525" s="1334">
        <v>8298541</v>
      </c>
      <c r="RJC525" s="1334">
        <v>8298541</v>
      </c>
      <c r="RJD525" s="1334">
        <v>8298541</v>
      </c>
      <c r="RJE525" s="1334">
        <v>8298541</v>
      </c>
      <c r="RJF525" s="1334">
        <v>8298541</v>
      </c>
      <c r="RJG525" s="1334">
        <v>8298541</v>
      </c>
      <c r="RJH525" s="1334">
        <v>8298541</v>
      </c>
      <c r="RJI525" s="1334">
        <v>8298541</v>
      </c>
      <c r="RJJ525" s="1334">
        <v>8298541</v>
      </c>
      <c r="RJK525" s="1334">
        <v>8298541</v>
      </c>
      <c r="RJL525" s="1334">
        <v>8298541</v>
      </c>
      <c r="RJM525" s="1334">
        <v>8298541</v>
      </c>
      <c r="RJN525" s="1334">
        <v>8298541</v>
      </c>
      <c r="RJO525" s="1334">
        <v>8298541</v>
      </c>
      <c r="RJP525" s="1334">
        <v>8298541</v>
      </c>
      <c r="RJQ525" s="1334">
        <v>8298541</v>
      </c>
      <c r="RJR525" s="1334">
        <v>8298541</v>
      </c>
      <c r="RJS525" s="1334">
        <v>8298541</v>
      </c>
      <c r="RJT525" s="1334">
        <v>8298541</v>
      </c>
      <c r="RJU525" s="1334">
        <v>8298541</v>
      </c>
      <c r="RJV525" s="1334">
        <v>8298541</v>
      </c>
      <c r="RJW525" s="1334">
        <v>8298541</v>
      </c>
      <c r="RJX525" s="1334">
        <v>8298541</v>
      </c>
      <c r="RJY525" s="1334">
        <v>8298541</v>
      </c>
      <c r="RJZ525" s="1334">
        <v>8298541</v>
      </c>
      <c r="RKA525" s="1334">
        <v>8298541</v>
      </c>
      <c r="RKB525" s="1334">
        <v>8298541</v>
      </c>
      <c r="RKC525" s="1334">
        <v>8298541</v>
      </c>
      <c r="RKD525" s="1334">
        <v>8298541</v>
      </c>
      <c r="RKE525" s="1334">
        <v>8298541</v>
      </c>
      <c r="RKF525" s="1334">
        <v>8298541</v>
      </c>
      <c r="RKG525" s="1334">
        <v>8298541</v>
      </c>
      <c r="RKH525" s="1334">
        <v>8298541</v>
      </c>
      <c r="RKI525" s="1334">
        <v>8298541</v>
      </c>
      <c r="RKJ525" s="1334">
        <v>8298541</v>
      </c>
      <c r="RKK525" s="1334">
        <v>8298541</v>
      </c>
      <c r="RKL525" s="1334">
        <v>8298541</v>
      </c>
      <c r="RKM525" s="1334">
        <v>8298541</v>
      </c>
      <c r="RKN525" s="1334">
        <v>8298541</v>
      </c>
      <c r="RKO525" s="1334">
        <v>8298541</v>
      </c>
      <c r="RKP525" s="1334">
        <v>8298541</v>
      </c>
      <c r="RKQ525" s="1334">
        <v>8298541</v>
      </c>
      <c r="RKR525" s="1334">
        <v>8298541</v>
      </c>
      <c r="RKS525" s="1334">
        <v>8298541</v>
      </c>
      <c r="RKT525" s="1334">
        <v>8298541</v>
      </c>
      <c r="RKU525" s="1334">
        <v>8298541</v>
      </c>
      <c r="RKV525" s="1334">
        <v>8298541</v>
      </c>
      <c r="RKW525" s="1334">
        <v>8298541</v>
      </c>
      <c r="RKX525" s="1334">
        <v>8298541</v>
      </c>
      <c r="RKY525" s="1334">
        <v>8298541</v>
      </c>
      <c r="RKZ525" s="1334">
        <v>8298541</v>
      </c>
      <c r="RLA525" s="1334">
        <v>8298541</v>
      </c>
      <c r="RLB525" s="1334">
        <v>8298541</v>
      </c>
      <c r="RLC525" s="1334">
        <v>8298541</v>
      </c>
      <c r="RLD525" s="1334">
        <v>8298541</v>
      </c>
      <c r="RLE525" s="1334">
        <v>8298541</v>
      </c>
      <c r="RLF525" s="1334">
        <v>8298541</v>
      </c>
      <c r="RLG525" s="1334">
        <v>8298541</v>
      </c>
      <c r="RLH525" s="1334">
        <v>8298541</v>
      </c>
      <c r="RLI525" s="1334">
        <v>8298541</v>
      </c>
      <c r="RLJ525" s="1334">
        <v>8298541</v>
      </c>
      <c r="RLK525" s="1334">
        <v>8298541</v>
      </c>
      <c r="RLL525" s="1334">
        <v>8298541</v>
      </c>
      <c r="RLM525" s="1334">
        <v>8298541</v>
      </c>
      <c r="RLN525" s="1334">
        <v>8298541</v>
      </c>
      <c r="RLO525" s="1334">
        <v>8298541</v>
      </c>
      <c r="RLP525" s="1334">
        <v>8298541</v>
      </c>
      <c r="RLQ525" s="1334">
        <v>8298541</v>
      </c>
      <c r="RLR525" s="1334">
        <v>8298541</v>
      </c>
      <c r="RLS525" s="1334">
        <v>8298541</v>
      </c>
      <c r="RLT525" s="1334">
        <v>8298541</v>
      </c>
      <c r="RLU525" s="1334">
        <v>8298541</v>
      </c>
      <c r="RLV525" s="1334">
        <v>8298541</v>
      </c>
      <c r="RLW525" s="1334">
        <v>8298541</v>
      </c>
      <c r="RLX525" s="1334">
        <v>8298541</v>
      </c>
      <c r="RLY525" s="1334">
        <v>8298541</v>
      </c>
      <c r="RLZ525" s="1334">
        <v>8298541</v>
      </c>
      <c r="RMA525" s="1334">
        <v>8298541</v>
      </c>
      <c r="RMB525" s="1334">
        <v>8298541</v>
      </c>
      <c r="RMC525" s="1334">
        <v>8298541</v>
      </c>
      <c r="RMD525" s="1334">
        <v>8298541</v>
      </c>
      <c r="RME525" s="1334">
        <v>8298541</v>
      </c>
      <c r="RMF525" s="1334">
        <v>8298541</v>
      </c>
      <c r="RMG525" s="1334">
        <v>8298541</v>
      </c>
      <c r="RMH525" s="1334">
        <v>8298541</v>
      </c>
      <c r="RMI525" s="1334">
        <v>8298541</v>
      </c>
      <c r="RMJ525" s="1334">
        <v>8298541</v>
      </c>
      <c r="RMK525" s="1334">
        <v>8298541</v>
      </c>
      <c r="RML525" s="1334">
        <v>8298541</v>
      </c>
      <c r="RMM525" s="1334">
        <v>8298541</v>
      </c>
      <c r="RMN525" s="1334">
        <v>8298541</v>
      </c>
      <c r="RMO525" s="1334">
        <v>8298541</v>
      </c>
      <c r="RMP525" s="1334">
        <v>8298541</v>
      </c>
      <c r="RMQ525" s="1334">
        <v>8298541</v>
      </c>
      <c r="RMR525" s="1334">
        <v>8298541</v>
      </c>
      <c r="RMS525" s="1334">
        <v>8298541</v>
      </c>
      <c r="RMT525" s="1334">
        <v>8298541</v>
      </c>
      <c r="RMU525" s="1334">
        <v>8298541</v>
      </c>
      <c r="RMV525" s="1334">
        <v>8298541</v>
      </c>
      <c r="RMW525" s="1334">
        <v>8298541</v>
      </c>
      <c r="RMX525" s="1334">
        <v>8298541</v>
      </c>
      <c r="RMY525" s="1334">
        <v>8298541</v>
      </c>
      <c r="RMZ525" s="1334">
        <v>8298541</v>
      </c>
      <c r="RNA525" s="1334">
        <v>8298541</v>
      </c>
      <c r="RNB525" s="1334">
        <v>8298541</v>
      </c>
      <c r="RNC525" s="1334">
        <v>8298541</v>
      </c>
      <c r="RND525" s="1334">
        <v>8298541</v>
      </c>
      <c r="RNE525" s="1334">
        <v>8298541</v>
      </c>
      <c r="RNF525" s="1334">
        <v>8298541</v>
      </c>
      <c r="RNG525" s="1334">
        <v>8298541</v>
      </c>
      <c r="RNH525" s="1334">
        <v>8298541</v>
      </c>
      <c r="RNI525" s="1334">
        <v>8298541</v>
      </c>
      <c r="RNJ525" s="1334">
        <v>8298541</v>
      </c>
      <c r="RNK525" s="1334">
        <v>8298541</v>
      </c>
      <c r="RNL525" s="1334">
        <v>8298541</v>
      </c>
      <c r="RNM525" s="1334">
        <v>8298541</v>
      </c>
      <c r="RNN525" s="1334">
        <v>8298541</v>
      </c>
      <c r="RNO525" s="1334">
        <v>8298541</v>
      </c>
      <c r="RNP525" s="1334">
        <v>8298541</v>
      </c>
      <c r="RNQ525" s="1334">
        <v>8298541</v>
      </c>
      <c r="RNR525" s="1334">
        <v>8298541</v>
      </c>
      <c r="RNS525" s="1334">
        <v>8298541</v>
      </c>
      <c r="RNT525" s="1334">
        <v>8298541</v>
      </c>
      <c r="RNU525" s="1334">
        <v>8298541</v>
      </c>
      <c r="RNV525" s="1334">
        <v>8298541</v>
      </c>
      <c r="RNW525" s="1334">
        <v>8298541</v>
      </c>
      <c r="RNX525" s="1334">
        <v>8298541</v>
      </c>
      <c r="RNY525" s="1334">
        <v>8298541</v>
      </c>
      <c r="RNZ525" s="1334">
        <v>8298541</v>
      </c>
      <c r="ROA525" s="1334">
        <v>8298541</v>
      </c>
      <c r="ROB525" s="1334">
        <v>8298541</v>
      </c>
      <c r="ROC525" s="1334">
        <v>8298541</v>
      </c>
      <c r="ROD525" s="1334">
        <v>8298541</v>
      </c>
      <c r="ROE525" s="1334">
        <v>8298541</v>
      </c>
      <c r="ROF525" s="1334">
        <v>8298541</v>
      </c>
      <c r="ROG525" s="1334">
        <v>8298541</v>
      </c>
      <c r="ROH525" s="1334">
        <v>8298541</v>
      </c>
      <c r="ROI525" s="1334">
        <v>8298541</v>
      </c>
      <c r="ROJ525" s="1334">
        <v>8298541</v>
      </c>
      <c r="ROK525" s="1334">
        <v>8298541</v>
      </c>
      <c r="ROL525" s="1334">
        <v>8298541</v>
      </c>
      <c r="ROM525" s="1334">
        <v>8298541</v>
      </c>
      <c r="RON525" s="1334">
        <v>8298541</v>
      </c>
      <c r="ROO525" s="1334">
        <v>8298541</v>
      </c>
      <c r="ROP525" s="1334">
        <v>8298541</v>
      </c>
      <c r="ROQ525" s="1334">
        <v>8298541</v>
      </c>
      <c r="ROR525" s="1334">
        <v>8298541</v>
      </c>
      <c r="ROS525" s="1334">
        <v>8298541</v>
      </c>
      <c r="ROT525" s="1334">
        <v>8298541</v>
      </c>
      <c r="ROU525" s="1334">
        <v>8298541</v>
      </c>
      <c r="ROV525" s="1334">
        <v>8298541</v>
      </c>
      <c r="ROW525" s="1334">
        <v>8298541</v>
      </c>
      <c r="ROX525" s="1334">
        <v>8298541</v>
      </c>
      <c r="ROY525" s="1334">
        <v>8298541</v>
      </c>
      <c r="ROZ525" s="1334">
        <v>8298541</v>
      </c>
      <c r="RPA525" s="1334">
        <v>8298541</v>
      </c>
      <c r="RPB525" s="1334">
        <v>8298541</v>
      </c>
      <c r="RPC525" s="1334">
        <v>8298541</v>
      </c>
      <c r="RPD525" s="1334">
        <v>8298541</v>
      </c>
      <c r="RPE525" s="1334">
        <v>8298541</v>
      </c>
      <c r="RPF525" s="1334">
        <v>8298541</v>
      </c>
      <c r="RPG525" s="1334">
        <v>8298541</v>
      </c>
      <c r="RPH525" s="1334">
        <v>8298541</v>
      </c>
      <c r="RPI525" s="1334">
        <v>8298541</v>
      </c>
      <c r="RPJ525" s="1334">
        <v>8298541</v>
      </c>
      <c r="RPK525" s="1334">
        <v>8298541</v>
      </c>
      <c r="RPL525" s="1334">
        <v>8298541</v>
      </c>
      <c r="RPM525" s="1334">
        <v>8298541</v>
      </c>
      <c r="RPN525" s="1334">
        <v>8298541</v>
      </c>
      <c r="RPO525" s="1334">
        <v>8298541</v>
      </c>
      <c r="RPP525" s="1334">
        <v>8298541</v>
      </c>
      <c r="RPQ525" s="1334">
        <v>8298541</v>
      </c>
      <c r="RPR525" s="1334">
        <v>8298541</v>
      </c>
      <c r="RPS525" s="1334">
        <v>8298541</v>
      </c>
      <c r="RPT525" s="1334">
        <v>8298541</v>
      </c>
      <c r="RPU525" s="1334">
        <v>8298541</v>
      </c>
      <c r="RPV525" s="1334">
        <v>8298541</v>
      </c>
      <c r="RPW525" s="1334">
        <v>8298541</v>
      </c>
      <c r="RPX525" s="1334">
        <v>8298541</v>
      </c>
      <c r="RPY525" s="1334">
        <v>8298541</v>
      </c>
      <c r="RPZ525" s="1334">
        <v>8298541</v>
      </c>
      <c r="RQA525" s="1334">
        <v>8298541</v>
      </c>
      <c r="RQB525" s="1334">
        <v>8298541</v>
      </c>
      <c r="RQC525" s="1334">
        <v>8298541</v>
      </c>
      <c r="RQD525" s="1334">
        <v>8298541</v>
      </c>
      <c r="RQE525" s="1334">
        <v>8298541</v>
      </c>
      <c r="RQF525" s="1334">
        <v>8298541</v>
      </c>
      <c r="RQG525" s="1334">
        <v>8298541</v>
      </c>
      <c r="RQH525" s="1334">
        <v>8298541</v>
      </c>
      <c r="RQI525" s="1334">
        <v>8298541</v>
      </c>
      <c r="RQJ525" s="1334">
        <v>8298541</v>
      </c>
      <c r="RQK525" s="1334">
        <v>8298541</v>
      </c>
      <c r="RQL525" s="1334">
        <v>8298541</v>
      </c>
      <c r="RQM525" s="1334">
        <v>8298541</v>
      </c>
      <c r="RQN525" s="1334">
        <v>8298541</v>
      </c>
      <c r="RQO525" s="1334">
        <v>8298541</v>
      </c>
      <c r="RQP525" s="1334">
        <v>8298541</v>
      </c>
      <c r="RQQ525" s="1334">
        <v>8298541</v>
      </c>
      <c r="RQR525" s="1334">
        <v>8298541</v>
      </c>
      <c r="RQS525" s="1334">
        <v>8298541</v>
      </c>
      <c r="RQT525" s="1334">
        <v>8298541</v>
      </c>
      <c r="RQU525" s="1334">
        <v>8298541</v>
      </c>
      <c r="RQV525" s="1334">
        <v>8298541</v>
      </c>
      <c r="RQW525" s="1334">
        <v>8298541</v>
      </c>
      <c r="RQX525" s="1334">
        <v>8298541</v>
      </c>
      <c r="RQY525" s="1334">
        <v>8298541</v>
      </c>
      <c r="RQZ525" s="1334">
        <v>8298541</v>
      </c>
      <c r="RRA525" s="1334">
        <v>8298541</v>
      </c>
      <c r="RRB525" s="1334">
        <v>8298541</v>
      </c>
      <c r="RRC525" s="1334">
        <v>8298541</v>
      </c>
      <c r="RRD525" s="1334">
        <v>8298541</v>
      </c>
      <c r="RRE525" s="1334">
        <v>8298541</v>
      </c>
      <c r="RRF525" s="1334">
        <v>8298541</v>
      </c>
      <c r="RRG525" s="1334">
        <v>8298541</v>
      </c>
      <c r="RRH525" s="1334">
        <v>8298541</v>
      </c>
      <c r="RRI525" s="1334">
        <v>8298541</v>
      </c>
      <c r="RRJ525" s="1334">
        <v>8298541</v>
      </c>
      <c r="RRK525" s="1334">
        <v>8298541</v>
      </c>
      <c r="RRL525" s="1334">
        <v>8298541</v>
      </c>
      <c r="RRM525" s="1334">
        <v>8298541</v>
      </c>
      <c r="RRN525" s="1334">
        <v>8298541</v>
      </c>
      <c r="RRO525" s="1334">
        <v>8298541</v>
      </c>
      <c r="RRP525" s="1334">
        <v>8298541</v>
      </c>
      <c r="RRQ525" s="1334">
        <v>8298541</v>
      </c>
      <c r="RRR525" s="1334">
        <v>8298541</v>
      </c>
      <c r="RRS525" s="1334">
        <v>8298541</v>
      </c>
      <c r="RRT525" s="1334">
        <v>8298541</v>
      </c>
      <c r="RRU525" s="1334">
        <v>8298541</v>
      </c>
      <c r="RRV525" s="1334">
        <v>8298541</v>
      </c>
      <c r="RRW525" s="1334">
        <v>8298541</v>
      </c>
      <c r="RRX525" s="1334">
        <v>8298541</v>
      </c>
      <c r="RRY525" s="1334">
        <v>8298541</v>
      </c>
      <c r="RRZ525" s="1334">
        <v>8298541</v>
      </c>
      <c r="RSA525" s="1334">
        <v>8298541</v>
      </c>
      <c r="RSB525" s="1334">
        <v>8298541</v>
      </c>
      <c r="RSC525" s="1334">
        <v>8298541</v>
      </c>
      <c r="RSD525" s="1334">
        <v>8298541</v>
      </c>
      <c r="RSE525" s="1334">
        <v>8298541</v>
      </c>
      <c r="RSF525" s="1334">
        <v>8298541</v>
      </c>
      <c r="RSG525" s="1334">
        <v>8298541</v>
      </c>
      <c r="RSH525" s="1334">
        <v>8298541</v>
      </c>
      <c r="RSI525" s="1334">
        <v>8298541</v>
      </c>
      <c r="RSJ525" s="1334">
        <v>8298541</v>
      </c>
      <c r="RSK525" s="1334">
        <v>8298541</v>
      </c>
      <c r="RSL525" s="1334">
        <v>8298541</v>
      </c>
      <c r="RSM525" s="1334">
        <v>8298541</v>
      </c>
      <c r="RSN525" s="1334">
        <v>8298541</v>
      </c>
      <c r="RSO525" s="1334">
        <v>8298541</v>
      </c>
      <c r="RSP525" s="1334">
        <v>8298541</v>
      </c>
      <c r="RSQ525" s="1334">
        <v>8298541</v>
      </c>
      <c r="RSR525" s="1334">
        <v>8298541</v>
      </c>
      <c r="RSS525" s="1334">
        <v>8298541</v>
      </c>
      <c r="RST525" s="1334">
        <v>8298541</v>
      </c>
      <c r="RSU525" s="1334">
        <v>8298541</v>
      </c>
      <c r="RSV525" s="1334">
        <v>8298541</v>
      </c>
      <c r="RSW525" s="1334">
        <v>8298541</v>
      </c>
      <c r="RSX525" s="1334">
        <v>8298541</v>
      </c>
      <c r="RSY525" s="1334">
        <v>8298541</v>
      </c>
      <c r="RSZ525" s="1334">
        <v>8298541</v>
      </c>
      <c r="RTA525" s="1334">
        <v>8298541</v>
      </c>
      <c r="RTB525" s="1334">
        <v>8298541</v>
      </c>
      <c r="RTC525" s="1334">
        <v>8298541</v>
      </c>
      <c r="RTD525" s="1334">
        <v>8298541</v>
      </c>
      <c r="RTE525" s="1334">
        <v>8298541</v>
      </c>
      <c r="RTF525" s="1334">
        <v>8298541</v>
      </c>
      <c r="RTG525" s="1334">
        <v>8298541</v>
      </c>
      <c r="RTH525" s="1334">
        <v>8298541</v>
      </c>
      <c r="RTI525" s="1334">
        <v>8298541</v>
      </c>
      <c r="RTJ525" s="1334">
        <v>8298541</v>
      </c>
      <c r="RTK525" s="1334">
        <v>8298541</v>
      </c>
      <c r="RTL525" s="1334">
        <v>8298541</v>
      </c>
      <c r="RTM525" s="1334">
        <v>8298541</v>
      </c>
      <c r="RTN525" s="1334">
        <v>8298541</v>
      </c>
      <c r="RTO525" s="1334">
        <v>8298541</v>
      </c>
      <c r="RTP525" s="1334">
        <v>8298541</v>
      </c>
      <c r="RTQ525" s="1334">
        <v>8298541</v>
      </c>
      <c r="RTR525" s="1334">
        <v>8298541</v>
      </c>
      <c r="RTS525" s="1334">
        <v>8298541</v>
      </c>
      <c r="RTT525" s="1334">
        <v>8298541</v>
      </c>
      <c r="RTU525" s="1334">
        <v>8298541</v>
      </c>
      <c r="RTV525" s="1334">
        <v>8298541</v>
      </c>
      <c r="RTW525" s="1334">
        <v>8298541</v>
      </c>
      <c r="RTX525" s="1334">
        <v>8298541</v>
      </c>
      <c r="RTY525" s="1334">
        <v>8298541</v>
      </c>
      <c r="RTZ525" s="1334">
        <v>8298541</v>
      </c>
      <c r="RUA525" s="1334">
        <v>8298541</v>
      </c>
      <c r="RUB525" s="1334">
        <v>8298541</v>
      </c>
      <c r="RUC525" s="1334">
        <v>8298541</v>
      </c>
      <c r="RUD525" s="1334">
        <v>8298541</v>
      </c>
      <c r="RUE525" s="1334">
        <v>8298541</v>
      </c>
      <c r="RUF525" s="1334">
        <v>8298541</v>
      </c>
      <c r="RUG525" s="1334">
        <v>8298541</v>
      </c>
      <c r="RUH525" s="1334">
        <v>8298541</v>
      </c>
      <c r="RUI525" s="1334">
        <v>8298541</v>
      </c>
      <c r="RUJ525" s="1334">
        <v>8298541</v>
      </c>
      <c r="RUK525" s="1334">
        <v>8298541</v>
      </c>
      <c r="RUL525" s="1334">
        <v>8298541</v>
      </c>
      <c r="RUM525" s="1334">
        <v>8298541</v>
      </c>
      <c r="RUN525" s="1334">
        <v>8298541</v>
      </c>
      <c r="RUO525" s="1334">
        <v>8298541</v>
      </c>
      <c r="RUP525" s="1334">
        <v>8298541</v>
      </c>
      <c r="RUQ525" s="1334">
        <v>8298541</v>
      </c>
      <c r="RUR525" s="1334">
        <v>8298541</v>
      </c>
      <c r="RUS525" s="1334">
        <v>8298541</v>
      </c>
      <c r="RUT525" s="1334">
        <v>8298541</v>
      </c>
      <c r="RUU525" s="1334">
        <v>8298541</v>
      </c>
      <c r="RUV525" s="1334">
        <v>8298541</v>
      </c>
      <c r="RUW525" s="1334">
        <v>8298541</v>
      </c>
      <c r="RUX525" s="1334">
        <v>8298541</v>
      </c>
      <c r="RUY525" s="1334">
        <v>8298541</v>
      </c>
      <c r="RUZ525" s="1334">
        <v>8298541</v>
      </c>
      <c r="RVA525" s="1334">
        <v>8298541</v>
      </c>
      <c r="RVB525" s="1334">
        <v>8298541</v>
      </c>
      <c r="RVC525" s="1334">
        <v>8298541</v>
      </c>
      <c r="RVD525" s="1334">
        <v>8298541</v>
      </c>
      <c r="RVE525" s="1334">
        <v>8298541</v>
      </c>
      <c r="RVF525" s="1334">
        <v>8298541</v>
      </c>
      <c r="RVG525" s="1334">
        <v>8298541</v>
      </c>
      <c r="RVH525" s="1334">
        <v>8298541</v>
      </c>
      <c r="RVI525" s="1334">
        <v>8298541</v>
      </c>
      <c r="RVJ525" s="1334">
        <v>8298541</v>
      </c>
      <c r="RVK525" s="1334">
        <v>8298541</v>
      </c>
      <c r="RVL525" s="1334">
        <v>8298541</v>
      </c>
      <c r="RVM525" s="1334">
        <v>8298541</v>
      </c>
      <c r="RVN525" s="1334">
        <v>8298541</v>
      </c>
      <c r="RVO525" s="1334">
        <v>8298541</v>
      </c>
      <c r="RVP525" s="1334">
        <v>8298541</v>
      </c>
      <c r="RVQ525" s="1334">
        <v>8298541</v>
      </c>
      <c r="RVR525" s="1334">
        <v>8298541</v>
      </c>
      <c r="RVS525" s="1334">
        <v>8298541</v>
      </c>
      <c r="RVT525" s="1334">
        <v>8298541</v>
      </c>
      <c r="RVU525" s="1334">
        <v>8298541</v>
      </c>
      <c r="RVV525" s="1334">
        <v>8298541</v>
      </c>
      <c r="RVW525" s="1334">
        <v>8298541</v>
      </c>
      <c r="RVX525" s="1334">
        <v>8298541</v>
      </c>
      <c r="RVY525" s="1334">
        <v>8298541</v>
      </c>
      <c r="RVZ525" s="1334">
        <v>8298541</v>
      </c>
      <c r="RWA525" s="1334">
        <v>8298541</v>
      </c>
      <c r="RWB525" s="1334">
        <v>8298541</v>
      </c>
      <c r="RWC525" s="1334">
        <v>8298541</v>
      </c>
      <c r="RWD525" s="1334">
        <v>8298541</v>
      </c>
      <c r="RWE525" s="1334">
        <v>8298541</v>
      </c>
      <c r="RWF525" s="1334">
        <v>8298541</v>
      </c>
      <c r="RWG525" s="1334">
        <v>8298541</v>
      </c>
      <c r="RWH525" s="1334">
        <v>8298541</v>
      </c>
      <c r="RWI525" s="1334">
        <v>8298541</v>
      </c>
      <c r="RWJ525" s="1334">
        <v>8298541</v>
      </c>
      <c r="RWK525" s="1334">
        <v>8298541</v>
      </c>
      <c r="RWL525" s="1334">
        <v>8298541</v>
      </c>
      <c r="RWM525" s="1334">
        <v>8298541</v>
      </c>
      <c r="RWN525" s="1334">
        <v>8298541</v>
      </c>
      <c r="RWO525" s="1334">
        <v>8298541</v>
      </c>
      <c r="RWP525" s="1334">
        <v>8298541</v>
      </c>
      <c r="RWQ525" s="1334">
        <v>8298541</v>
      </c>
      <c r="RWR525" s="1334">
        <v>8298541</v>
      </c>
      <c r="RWS525" s="1334">
        <v>8298541</v>
      </c>
      <c r="RWT525" s="1334">
        <v>8298541</v>
      </c>
      <c r="RWU525" s="1334">
        <v>8298541</v>
      </c>
      <c r="RWV525" s="1334">
        <v>8298541</v>
      </c>
      <c r="RWW525" s="1334">
        <v>8298541</v>
      </c>
      <c r="RWX525" s="1334">
        <v>8298541</v>
      </c>
      <c r="RWY525" s="1334">
        <v>8298541</v>
      </c>
      <c r="RWZ525" s="1334">
        <v>8298541</v>
      </c>
      <c r="RXA525" s="1334">
        <v>8298541</v>
      </c>
      <c r="RXB525" s="1334">
        <v>8298541</v>
      </c>
      <c r="RXC525" s="1334">
        <v>8298541</v>
      </c>
      <c r="RXD525" s="1334">
        <v>8298541</v>
      </c>
      <c r="RXE525" s="1334">
        <v>8298541</v>
      </c>
      <c r="RXF525" s="1334">
        <v>8298541</v>
      </c>
      <c r="RXG525" s="1334">
        <v>8298541</v>
      </c>
      <c r="RXH525" s="1334">
        <v>8298541</v>
      </c>
      <c r="RXI525" s="1334">
        <v>8298541</v>
      </c>
      <c r="RXJ525" s="1334">
        <v>8298541</v>
      </c>
      <c r="RXK525" s="1334">
        <v>8298541</v>
      </c>
      <c r="RXL525" s="1334">
        <v>8298541</v>
      </c>
      <c r="RXM525" s="1334">
        <v>8298541</v>
      </c>
      <c r="RXN525" s="1334">
        <v>8298541</v>
      </c>
      <c r="RXO525" s="1334">
        <v>8298541</v>
      </c>
      <c r="RXP525" s="1334">
        <v>8298541</v>
      </c>
      <c r="RXQ525" s="1334">
        <v>8298541</v>
      </c>
      <c r="RXR525" s="1334">
        <v>8298541</v>
      </c>
      <c r="RXS525" s="1334">
        <v>8298541</v>
      </c>
      <c r="RXT525" s="1334">
        <v>8298541</v>
      </c>
      <c r="RXU525" s="1334">
        <v>8298541</v>
      </c>
      <c r="RXV525" s="1334">
        <v>8298541</v>
      </c>
      <c r="RXW525" s="1334">
        <v>8298541</v>
      </c>
      <c r="RXX525" s="1334">
        <v>8298541</v>
      </c>
      <c r="RXY525" s="1334">
        <v>8298541</v>
      </c>
      <c r="RXZ525" s="1334">
        <v>8298541</v>
      </c>
      <c r="RYA525" s="1334">
        <v>8298541</v>
      </c>
      <c r="RYB525" s="1334">
        <v>8298541</v>
      </c>
      <c r="RYC525" s="1334">
        <v>8298541</v>
      </c>
      <c r="RYD525" s="1334">
        <v>8298541</v>
      </c>
      <c r="RYE525" s="1334">
        <v>8298541</v>
      </c>
      <c r="RYF525" s="1334">
        <v>8298541</v>
      </c>
      <c r="RYG525" s="1334">
        <v>8298541</v>
      </c>
      <c r="RYH525" s="1334">
        <v>8298541</v>
      </c>
      <c r="RYI525" s="1334">
        <v>8298541</v>
      </c>
      <c r="RYJ525" s="1334">
        <v>8298541</v>
      </c>
      <c r="RYK525" s="1334">
        <v>8298541</v>
      </c>
      <c r="RYL525" s="1334">
        <v>8298541</v>
      </c>
      <c r="RYM525" s="1334">
        <v>8298541</v>
      </c>
      <c r="RYN525" s="1334">
        <v>8298541</v>
      </c>
      <c r="RYO525" s="1334">
        <v>8298541</v>
      </c>
      <c r="RYP525" s="1334">
        <v>8298541</v>
      </c>
      <c r="RYQ525" s="1334">
        <v>8298541</v>
      </c>
      <c r="RYR525" s="1334">
        <v>8298541</v>
      </c>
      <c r="RYS525" s="1334">
        <v>8298541</v>
      </c>
      <c r="RYT525" s="1334">
        <v>8298541</v>
      </c>
      <c r="RYU525" s="1334">
        <v>8298541</v>
      </c>
      <c r="RYV525" s="1334">
        <v>8298541</v>
      </c>
      <c r="RYW525" s="1334">
        <v>8298541</v>
      </c>
      <c r="RYX525" s="1334">
        <v>8298541</v>
      </c>
      <c r="RYY525" s="1334">
        <v>8298541</v>
      </c>
      <c r="RYZ525" s="1334">
        <v>8298541</v>
      </c>
      <c r="RZA525" s="1334">
        <v>8298541</v>
      </c>
      <c r="RZB525" s="1334">
        <v>8298541</v>
      </c>
      <c r="RZC525" s="1334">
        <v>8298541</v>
      </c>
      <c r="RZD525" s="1334">
        <v>8298541</v>
      </c>
      <c r="RZE525" s="1334">
        <v>8298541</v>
      </c>
      <c r="RZF525" s="1334">
        <v>8298541</v>
      </c>
      <c r="RZG525" s="1334">
        <v>8298541</v>
      </c>
      <c r="RZH525" s="1334">
        <v>8298541</v>
      </c>
      <c r="RZI525" s="1334">
        <v>8298541</v>
      </c>
      <c r="RZJ525" s="1334">
        <v>8298541</v>
      </c>
      <c r="RZK525" s="1334">
        <v>8298541</v>
      </c>
      <c r="RZL525" s="1334">
        <v>8298541</v>
      </c>
      <c r="RZM525" s="1334">
        <v>8298541</v>
      </c>
      <c r="RZN525" s="1334">
        <v>8298541</v>
      </c>
      <c r="RZO525" s="1334">
        <v>8298541</v>
      </c>
      <c r="RZP525" s="1334">
        <v>8298541</v>
      </c>
      <c r="RZQ525" s="1334">
        <v>8298541</v>
      </c>
      <c r="RZR525" s="1334">
        <v>8298541</v>
      </c>
      <c r="RZS525" s="1334">
        <v>8298541</v>
      </c>
      <c r="RZT525" s="1334">
        <v>8298541</v>
      </c>
      <c r="RZU525" s="1334">
        <v>8298541</v>
      </c>
      <c r="RZV525" s="1334">
        <v>8298541</v>
      </c>
      <c r="RZW525" s="1334">
        <v>8298541</v>
      </c>
      <c r="RZX525" s="1334">
        <v>8298541</v>
      </c>
      <c r="RZY525" s="1334">
        <v>8298541</v>
      </c>
      <c r="RZZ525" s="1334">
        <v>8298541</v>
      </c>
      <c r="SAA525" s="1334">
        <v>8298541</v>
      </c>
      <c r="SAB525" s="1334">
        <v>8298541</v>
      </c>
      <c r="SAC525" s="1334">
        <v>8298541</v>
      </c>
      <c r="SAD525" s="1334">
        <v>8298541</v>
      </c>
      <c r="SAE525" s="1334">
        <v>8298541</v>
      </c>
      <c r="SAF525" s="1334">
        <v>8298541</v>
      </c>
      <c r="SAG525" s="1334">
        <v>8298541</v>
      </c>
      <c r="SAH525" s="1334">
        <v>8298541</v>
      </c>
      <c r="SAI525" s="1334">
        <v>8298541</v>
      </c>
      <c r="SAJ525" s="1334">
        <v>8298541</v>
      </c>
      <c r="SAK525" s="1334">
        <v>8298541</v>
      </c>
      <c r="SAL525" s="1334">
        <v>8298541</v>
      </c>
      <c r="SAM525" s="1334">
        <v>8298541</v>
      </c>
      <c r="SAN525" s="1334">
        <v>8298541</v>
      </c>
      <c r="SAO525" s="1334">
        <v>8298541</v>
      </c>
      <c r="SAP525" s="1334">
        <v>8298541</v>
      </c>
      <c r="SAQ525" s="1334">
        <v>8298541</v>
      </c>
      <c r="SAR525" s="1334">
        <v>8298541</v>
      </c>
      <c r="SAS525" s="1334">
        <v>8298541</v>
      </c>
      <c r="SAT525" s="1334">
        <v>8298541</v>
      </c>
      <c r="SAU525" s="1334">
        <v>8298541</v>
      </c>
      <c r="SAV525" s="1334">
        <v>8298541</v>
      </c>
      <c r="SAW525" s="1334">
        <v>8298541</v>
      </c>
      <c r="SAX525" s="1334">
        <v>8298541</v>
      </c>
      <c r="SAY525" s="1334">
        <v>8298541</v>
      </c>
      <c r="SAZ525" s="1334">
        <v>8298541</v>
      </c>
      <c r="SBA525" s="1334">
        <v>8298541</v>
      </c>
      <c r="SBB525" s="1334">
        <v>8298541</v>
      </c>
      <c r="SBC525" s="1334">
        <v>8298541</v>
      </c>
      <c r="SBD525" s="1334">
        <v>8298541</v>
      </c>
      <c r="SBE525" s="1334">
        <v>8298541</v>
      </c>
      <c r="SBF525" s="1334">
        <v>8298541</v>
      </c>
      <c r="SBG525" s="1334">
        <v>8298541</v>
      </c>
      <c r="SBH525" s="1334">
        <v>8298541</v>
      </c>
      <c r="SBI525" s="1334">
        <v>8298541</v>
      </c>
      <c r="SBJ525" s="1334">
        <v>8298541</v>
      </c>
      <c r="SBK525" s="1334">
        <v>8298541</v>
      </c>
      <c r="SBL525" s="1334">
        <v>8298541</v>
      </c>
      <c r="SBM525" s="1334">
        <v>8298541</v>
      </c>
      <c r="SBN525" s="1334">
        <v>8298541</v>
      </c>
      <c r="SBO525" s="1334">
        <v>8298541</v>
      </c>
      <c r="SBP525" s="1334">
        <v>8298541</v>
      </c>
      <c r="SBQ525" s="1334">
        <v>8298541</v>
      </c>
      <c r="SBR525" s="1334">
        <v>8298541</v>
      </c>
      <c r="SBS525" s="1334">
        <v>8298541</v>
      </c>
      <c r="SBT525" s="1334">
        <v>8298541</v>
      </c>
      <c r="SBU525" s="1334">
        <v>8298541</v>
      </c>
      <c r="SBV525" s="1334">
        <v>8298541</v>
      </c>
      <c r="SBW525" s="1334">
        <v>8298541</v>
      </c>
      <c r="SBX525" s="1334">
        <v>8298541</v>
      </c>
      <c r="SBY525" s="1334">
        <v>8298541</v>
      </c>
      <c r="SBZ525" s="1334">
        <v>8298541</v>
      </c>
      <c r="SCA525" s="1334">
        <v>8298541</v>
      </c>
      <c r="SCB525" s="1334">
        <v>8298541</v>
      </c>
      <c r="SCC525" s="1334">
        <v>8298541</v>
      </c>
      <c r="SCD525" s="1334">
        <v>8298541</v>
      </c>
      <c r="SCE525" s="1334">
        <v>8298541</v>
      </c>
      <c r="SCF525" s="1334">
        <v>8298541</v>
      </c>
      <c r="SCG525" s="1334">
        <v>8298541</v>
      </c>
      <c r="SCH525" s="1334">
        <v>8298541</v>
      </c>
      <c r="SCI525" s="1334">
        <v>8298541</v>
      </c>
      <c r="SCJ525" s="1334">
        <v>8298541</v>
      </c>
      <c r="SCK525" s="1334">
        <v>8298541</v>
      </c>
      <c r="SCL525" s="1334">
        <v>8298541</v>
      </c>
      <c r="SCM525" s="1334">
        <v>8298541</v>
      </c>
      <c r="SCN525" s="1334">
        <v>8298541</v>
      </c>
      <c r="SCO525" s="1334">
        <v>8298541</v>
      </c>
      <c r="SCP525" s="1334">
        <v>8298541</v>
      </c>
      <c r="SCQ525" s="1334">
        <v>8298541</v>
      </c>
      <c r="SCR525" s="1334">
        <v>8298541</v>
      </c>
      <c r="SCS525" s="1334">
        <v>8298541</v>
      </c>
      <c r="SCT525" s="1334">
        <v>8298541</v>
      </c>
      <c r="SCU525" s="1334">
        <v>8298541</v>
      </c>
      <c r="SCV525" s="1334">
        <v>8298541</v>
      </c>
      <c r="SCW525" s="1334">
        <v>8298541</v>
      </c>
      <c r="SCX525" s="1334">
        <v>8298541</v>
      </c>
      <c r="SCY525" s="1334">
        <v>8298541</v>
      </c>
      <c r="SCZ525" s="1334">
        <v>8298541</v>
      </c>
      <c r="SDA525" s="1334">
        <v>8298541</v>
      </c>
      <c r="SDB525" s="1334">
        <v>8298541</v>
      </c>
      <c r="SDC525" s="1334">
        <v>8298541</v>
      </c>
      <c r="SDD525" s="1334">
        <v>8298541</v>
      </c>
      <c r="SDE525" s="1334">
        <v>8298541</v>
      </c>
      <c r="SDF525" s="1334">
        <v>8298541</v>
      </c>
      <c r="SDG525" s="1334">
        <v>8298541</v>
      </c>
      <c r="SDH525" s="1334">
        <v>8298541</v>
      </c>
      <c r="SDI525" s="1334">
        <v>8298541</v>
      </c>
      <c r="SDJ525" s="1334">
        <v>8298541</v>
      </c>
      <c r="SDK525" s="1334">
        <v>8298541</v>
      </c>
      <c r="SDL525" s="1334">
        <v>8298541</v>
      </c>
      <c r="SDM525" s="1334">
        <v>8298541</v>
      </c>
      <c r="SDN525" s="1334">
        <v>8298541</v>
      </c>
      <c r="SDO525" s="1334">
        <v>8298541</v>
      </c>
      <c r="SDP525" s="1334">
        <v>8298541</v>
      </c>
      <c r="SDQ525" s="1334">
        <v>8298541</v>
      </c>
      <c r="SDR525" s="1334">
        <v>8298541</v>
      </c>
      <c r="SDS525" s="1334">
        <v>8298541</v>
      </c>
      <c r="SDT525" s="1334">
        <v>8298541</v>
      </c>
      <c r="SDU525" s="1334">
        <v>8298541</v>
      </c>
      <c r="SDV525" s="1334">
        <v>8298541</v>
      </c>
      <c r="SDW525" s="1334">
        <v>8298541</v>
      </c>
      <c r="SDX525" s="1334">
        <v>8298541</v>
      </c>
      <c r="SDY525" s="1334">
        <v>8298541</v>
      </c>
      <c r="SDZ525" s="1334">
        <v>8298541</v>
      </c>
      <c r="SEA525" s="1334">
        <v>8298541</v>
      </c>
      <c r="SEB525" s="1334">
        <v>8298541</v>
      </c>
      <c r="SEC525" s="1334">
        <v>8298541</v>
      </c>
      <c r="SED525" s="1334">
        <v>8298541</v>
      </c>
      <c r="SEE525" s="1334">
        <v>8298541</v>
      </c>
      <c r="SEF525" s="1334">
        <v>8298541</v>
      </c>
      <c r="SEG525" s="1334">
        <v>8298541</v>
      </c>
      <c r="SEH525" s="1334">
        <v>8298541</v>
      </c>
      <c r="SEI525" s="1334">
        <v>8298541</v>
      </c>
      <c r="SEJ525" s="1334">
        <v>8298541</v>
      </c>
      <c r="SEK525" s="1334">
        <v>8298541</v>
      </c>
      <c r="SEL525" s="1334">
        <v>8298541</v>
      </c>
      <c r="SEM525" s="1334">
        <v>8298541</v>
      </c>
      <c r="SEN525" s="1334">
        <v>8298541</v>
      </c>
      <c r="SEO525" s="1334">
        <v>8298541</v>
      </c>
      <c r="SEP525" s="1334">
        <v>8298541</v>
      </c>
      <c r="SEQ525" s="1334">
        <v>8298541</v>
      </c>
      <c r="SER525" s="1334">
        <v>8298541</v>
      </c>
      <c r="SES525" s="1334">
        <v>8298541</v>
      </c>
      <c r="SET525" s="1334">
        <v>8298541</v>
      </c>
      <c r="SEU525" s="1334">
        <v>8298541</v>
      </c>
      <c r="SEV525" s="1334">
        <v>8298541</v>
      </c>
      <c r="SEW525" s="1334">
        <v>8298541</v>
      </c>
      <c r="SEX525" s="1334">
        <v>8298541</v>
      </c>
      <c r="SEY525" s="1334">
        <v>8298541</v>
      </c>
      <c r="SEZ525" s="1334">
        <v>8298541</v>
      </c>
      <c r="SFA525" s="1334">
        <v>8298541</v>
      </c>
      <c r="SFB525" s="1334">
        <v>8298541</v>
      </c>
      <c r="SFC525" s="1334">
        <v>8298541</v>
      </c>
      <c r="SFD525" s="1334">
        <v>8298541</v>
      </c>
      <c r="SFE525" s="1334">
        <v>8298541</v>
      </c>
      <c r="SFF525" s="1334">
        <v>8298541</v>
      </c>
      <c r="SFG525" s="1334">
        <v>8298541</v>
      </c>
      <c r="SFH525" s="1334">
        <v>8298541</v>
      </c>
      <c r="SFI525" s="1334">
        <v>8298541</v>
      </c>
      <c r="SFJ525" s="1334">
        <v>8298541</v>
      </c>
      <c r="SFK525" s="1334">
        <v>8298541</v>
      </c>
      <c r="SFL525" s="1334">
        <v>8298541</v>
      </c>
      <c r="SFM525" s="1334">
        <v>8298541</v>
      </c>
      <c r="SFN525" s="1334">
        <v>8298541</v>
      </c>
      <c r="SFO525" s="1334">
        <v>8298541</v>
      </c>
      <c r="SFP525" s="1334">
        <v>8298541</v>
      </c>
      <c r="SFQ525" s="1334">
        <v>8298541</v>
      </c>
      <c r="SFR525" s="1334">
        <v>8298541</v>
      </c>
      <c r="SFS525" s="1334">
        <v>8298541</v>
      </c>
      <c r="SFT525" s="1334">
        <v>8298541</v>
      </c>
      <c r="SFU525" s="1334">
        <v>8298541</v>
      </c>
      <c r="SFV525" s="1334">
        <v>8298541</v>
      </c>
      <c r="SFW525" s="1334">
        <v>8298541</v>
      </c>
      <c r="SFX525" s="1334">
        <v>8298541</v>
      </c>
      <c r="SFY525" s="1334">
        <v>8298541</v>
      </c>
      <c r="SFZ525" s="1334">
        <v>8298541</v>
      </c>
      <c r="SGA525" s="1334">
        <v>8298541</v>
      </c>
      <c r="SGB525" s="1334">
        <v>8298541</v>
      </c>
      <c r="SGC525" s="1334">
        <v>8298541</v>
      </c>
      <c r="SGD525" s="1334">
        <v>8298541</v>
      </c>
      <c r="SGE525" s="1334">
        <v>8298541</v>
      </c>
      <c r="SGF525" s="1334">
        <v>8298541</v>
      </c>
      <c r="SGG525" s="1334">
        <v>8298541</v>
      </c>
      <c r="SGH525" s="1334">
        <v>8298541</v>
      </c>
      <c r="SGI525" s="1334">
        <v>8298541</v>
      </c>
      <c r="SGJ525" s="1334">
        <v>8298541</v>
      </c>
      <c r="SGK525" s="1334">
        <v>8298541</v>
      </c>
      <c r="SGL525" s="1334">
        <v>8298541</v>
      </c>
      <c r="SGM525" s="1334">
        <v>8298541</v>
      </c>
      <c r="SGN525" s="1334">
        <v>8298541</v>
      </c>
      <c r="SGO525" s="1334">
        <v>8298541</v>
      </c>
      <c r="SGP525" s="1334">
        <v>8298541</v>
      </c>
      <c r="SGQ525" s="1334">
        <v>8298541</v>
      </c>
      <c r="SGR525" s="1334">
        <v>8298541</v>
      </c>
      <c r="SGS525" s="1334">
        <v>8298541</v>
      </c>
      <c r="SGT525" s="1334">
        <v>8298541</v>
      </c>
      <c r="SGU525" s="1334">
        <v>8298541</v>
      </c>
      <c r="SGV525" s="1334">
        <v>8298541</v>
      </c>
      <c r="SGW525" s="1334">
        <v>8298541</v>
      </c>
      <c r="SGX525" s="1334">
        <v>8298541</v>
      </c>
      <c r="SGY525" s="1334">
        <v>8298541</v>
      </c>
      <c r="SGZ525" s="1334">
        <v>8298541</v>
      </c>
      <c r="SHA525" s="1334">
        <v>8298541</v>
      </c>
      <c r="SHB525" s="1334">
        <v>8298541</v>
      </c>
      <c r="SHC525" s="1334">
        <v>8298541</v>
      </c>
      <c r="SHD525" s="1334">
        <v>8298541</v>
      </c>
      <c r="SHE525" s="1334">
        <v>8298541</v>
      </c>
      <c r="SHF525" s="1334">
        <v>8298541</v>
      </c>
      <c r="SHG525" s="1334">
        <v>8298541</v>
      </c>
      <c r="SHH525" s="1334">
        <v>8298541</v>
      </c>
      <c r="SHI525" s="1334">
        <v>8298541</v>
      </c>
      <c r="SHJ525" s="1334">
        <v>8298541</v>
      </c>
      <c r="SHK525" s="1334">
        <v>8298541</v>
      </c>
      <c r="SHL525" s="1334">
        <v>8298541</v>
      </c>
      <c r="SHM525" s="1334">
        <v>8298541</v>
      </c>
      <c r="SHN525" s="1334">
        <v>8298541</v>
      </c>
      <c r="SHO525" s="1334">
        <v>8298541</v>
      </c>
      <c r="SHP525" s="1334">
        <v>8298541</v>
      </c>
      <c r="SHQ525" s="1334">
        <v>8298541</v>
      </c>
      <c r="SHR525" s="1334">
        <v>8298541</v>
      </c>
      <c r="SHS525" s="1334">
        <v>8298541</v>
      </c>
      <c r="SHT525" s="1334">
        <v>8298541</v>
      </c>
      <c r="SHU525" s="1334">
        <v>8298541</v>
      </c>
      <c r="SHV525" s="1334">
        <v>8298541</v>
      </c>
      <c r="SHW525" s="1334">
        <v>8298541</v>
      </c>
      <c r="SHX525" s="1334">
        <v>8298541</v>
      </c>
      <c r="SHY525" s="1334">
        <v>8298541</v>
      </c>
      <c r="SHZ525" s="1334">
        <v>8298541</v>
      </c>
      <c r="SIA525" s="1334">
        <v>8298541</v>
      </c>
      <c r="SIB525" s="1334">
        <v>8298541</v>
      </c>
      <c r="SIC525" s="1334">
        <v>8298541</v>
      </c>
      <c r="SID525" s="1334">
        <v>8298541</v>
      </c>
      <c r="SIE525" s="1334">
        <v>8298541</v>
      </c>
      <c r="SIF525" s="1334">
        <v>8298541</v>
      </c>
      <c r="SIG525" s="1334">
        <v>8298541</v>
      </c>
      <c r="SIH525" s="1334">
        <v>8298541</v>
      </c>
      <c r="SII525" s="1334">
        <v>8298541</v>
      </c>
      <c r="SIJ525" s="1334">
        <v>8298541</v>
      </c>
      <c r="SIK525" s="1334">
        <v>8298541</v>
      </c>
      <c r="SIL525" s="1334">
        <v>8298541</v>
      </c>
      <c r="SIM525" s="1334">
        <v>8298541</v>
      </c>
      <c r="SIN525" s="1334">
        <v>8298541</v>
      </c>
      <c r="SIO525" s="1334">
        <v>8298541</v>
      </c>
      <c r="SIP525" s="1334">
        <v>8298541</v>
      </c>
      <c r="SIQ525" s="1334">
        <v>8298541</v>
      </c>
      <c r="SIR525" s="1334">
        <v>8298541</v>
      </c>
      <c r="SIS525" s="1334">
        <v>8298541</v>
      </c>
      <c r="SIT525" s="1334">
        <v>8298541</v>
      </c>
      <c r="SIU525" s="1334">
        <v>8298541</v>
      </c>
      <c r="SIV525" s="1334">
        <v>8298541</v>
      </c>
      <c r="SIW525" s="1334">
        <v>8298541</v>
      </c>
      <c r="SIX525" s="1334">
        <v>8298541</v>
      </c>
      <c r="SIY525" s="1334">
        <v>8298541</v>
      </c>
      <c r="SIZ525" s="1334">
        <v>8298541</v>
      </c>
      <c r="SJA525" s="1334">
        <v>8298541</v>
      </c>
      <c r="SJB525" s="1334">
        <v>8298541</v>
      </c>
      <c r="SJC525" s="1334">
        <v>8298541</v>
      </c>
      <c r="SJD525" s="1334">
        <v>8298541</v>
      </c>
      <c r="SJE525" s="1334">
        <v>8298541</v>
      </c>
      <c r="SJF525" s="1334">
        <v>8298541</v>
      </c>
      <c r="SJG525" s="1334">
        <v>8298541</v>
      </c>
      <c r="SJH525" s="1334">
        <v>8298541</v>
      </c>
      <c r="SJI525" s="1334">
        <v>8298541</v>
      </c>
      <c r="SJJ525" s="1334">
        <v>8298541</v>
      </c>
      <c r="SJK525" s="1334">
        <v>8298541</v>
      </c>
      <c r="SJL525" s="1334">
        <v>8298541</v>
      </c>
      <c r="SJM525" s="1334">
        <v>8298541</v>
      </c>
      <c r="SJN525" s="1334">
        <v>8298541</v>
      </c>
      <c r="SJO525" s="1334">
        <v>8298541</v>
      </c>
      <c r="SJP525" s="1334">
        <v>8298541</v>
      </c>
      <c r="SJQ525" s="1334">
        <v>8298541</v>
      </c>
      <c r="SJR525" s="1334">
        <v>8298541</v>
      </c>
      <c r="SJS525" s="1334">
        <v>8298541</v>
      </c>
      <c r="SJT525" s="1334">
        <v>8298541</v>
      </c>
      <c r="SJU525" s="1334">
        <v>8298541</v>
      </c>
      <c r="SJV525" s="1334">
        <v>8298541</v>
      </c>
      <c r="SJW525" s="1334">
        <v>8298541</v>
      </c>
      <c r="SJX525" s="1334">
        <v>8298541</v>
      </c>
      <c r="SJY525" s="1334">
        <v>8298541</v>
      </c>
      <c r="SJZ525" s="1334">
        <v>8298541</v>
      </c>
      <c r="SKA525" s="1334">
        <v>8298541</v>
      </c>
      <c r="SKB525" s="1334">
        <v>8298541</v>
      </c>
      <c r="SKC525" s="1334">
        <v>8298541</v>
      </c>
      <c r="SKD525" s="1334">
        <v>8298541</v>
      </c>
      <c r="SKE525" s="1334">
        <v>8298541</v>
      </c>
      <c r="SKF525" s="1334">
        <v>8298541</v>
      </c>
      <c r="SKG525" s="1334">
        <v>8298541</v>
      </c>
      <c r="SKH525" s="1334">
        <v>8298541</v>
      </c>
      <c r="SKI525" s="1334">
        <v>8298541</v>
      </c>
      <c r="SKJ525" s="1334">
        <v>8298541</v>
      </c>
      <c r="SKK525" s="1334">
        <v>8298541</v>
      </c>
      <c r="SKL525" s="1334">
        <v>8298541</v>
      </c>
      <c r="SKM525" s="1334">
        <v>8298541</v>
      </c>
      <c r="SKN525" s="1334">
        <v>8298541</v>
      </c>
      <c r="SKO525" s="1334">
        <v>8298541</v>
      </c>
      <c r="SKP525" s="1334">
        <v>8298541</v>
      </c>
      <c r="SKQ525" s="1334">
        <v>8298541</v>
      </c>
      <c r="SKR525" s="1334">
        <v>8298541</v>
      </c>
      <c r="SKS525" s="1334">
        <v>8298541</v>
      </c>
      <c r="SKT525" s="1334">
        <v>8298541</v>
      </c>
      <c r="SKU525" s="1334">
        <v>8298541</v>
      </c>
      <c r="SKV525" s="1334">
        <v>8298541</v>
      </c>
      <c r="SKW525" s="1334">
        <v>8298541</v>
      </c>
      <c r="SKX525" s="1334">
        <v>8298541</v>
      </c>
      <c r="SKY525" s="1334">
        <v>8298541</v>
      </c>
      <c r="SKZ525" s="1334">
        <v>8298541</v>
      </c>
      <c r="SLA525" s="1334">
        <v>8298541</v>
      </c>
      <c r="SLB525" s="1334">
        <v>8298541</v>
      </c>
      <c r="SLC525" s="1334">
        <v>8298541</v>
      </c>
      <c r="SLD525" s="1334">
        <v>8298541</v>
      </c>
      <c r="SLE525" s="1334">
        <v>8298541</v>
      </c>
      <c r="SLF525" s="1334">
        <v>8298541</v>
      </c>
      <c r="SLG525" s="1334">
        <v>8298541</v>
      </c>
      <c r="SLH525" s="1334">
        <v>8298541</v>
      </c>
      <c r="SLI525" s="1334">
        <v>8298541</v>
      </c>
      <c r="SLJ525" s="1334">
        <v>8298541</v>
      </c>
      <c r="SLK525" s="1334">
        <v>8298541</v>
      </c>
      <c r="SLL525" s="1334">
        <v>8298541</v>
      </c>
      <c r="SLM525" s="1334">
        <v>8298541</v>
      </c>
      <c r="SLN525" s="1334">
        <v>8298541</v>
      </c>
      <c r="SLO525" s="1334">
        <v>8298541</v>
      </c>
      <c r="SLP525" s="1334">
        <v>8298541</v>
      </c>
      <c r="SLQ525" s="1334">
        <v>8298541</v>
      </c>
      <c r="SLR525" s="1334">
        <v>8298541</v>
      </c>
      <c r="SLS525" s="1334">
        <v>8298541</v>
      </c>
      <c r="SLT525" s="1334">
        <v>8298541</v>
      </c>
      <c r="SLU525" s="1334">
        <v>8298541</v>
      </c>
      <c r="SLV525" s="1334">
        <v>8298541</v>
      </c>
      <c r="SLW525" s="1334">
        <v>8298541</v>
      </c>
      <c r="SLX525" s="1334">
        <v>8298541</v>
      </c>
      <c r="SLY525" s="1334">
        <v>8298541</v>
      </c>
      <c r="SLZ525" s="1334">
        <v>8298541</v>
      </c>
      <c r="SMA525" s="1334">
        <v>8298541</v>
      </c>
      <c r="SMB525" s="1334">
        <v>8298541</v>
      </c>
      <c r="SMC525" s="1334">
        <v>8298541</v>
      </c>
      <c r="SMD525" s="1334">
        <v>8298541</v>
      </c>
      <c r="SME525" s="1334">
        <v>8298541</v>
      </c>
      <c r="SMF525" s="1334">
        <v>8298541</v>
      </c>
      <c r="SMG525" s="1334">
        <v>8298541</v>
      </c>
      <c r="SMH525" s="1334">
        <v>8298541</v>
      </c>
      <c r="SMI525" s="1334">
        <v>8298541</v>
      </c>
      <c r="SMJ525" s="1334">
        <v>8298541</v>
      </c>
      <c r="SMK525" s="1334">
        <v>8298541</v>
      </c>
      <c r="SML525" s="1334">
        <v>8298541</v>
      </c>
      <c r="SMM525" s="1334">
        <v>8298541</v>
      </c>
      <c r="SMN525" s="1334">
        <v>8298541</v>
      </c>
      <c r="SMO525" s="1334">
        <v>8298541</v>
      </c>
      <c r="SMP525" s="1334">
        <v>8298541</v>
      </c>
      <c r="SMQ525" s="1334">
        <v>8298541</v>
      </c>
      <c r="SMR525" s="1334">
        <v>8298541</v>
      </c>
      <c r="SMS525" s="1334">
        <v>8298541</v>
      </c>
      <c r="SMT525" s="1334">
        <v>8298541</v>
      </c>
      <c r="SMU525" s="1334">
        <v>8298541</v>
      </c>
      <c r="SMV525" s="1334">
        <v>8298541</v>
      </c>
      <c r="SMW525" s="1334">
        <v>8298541</v>
      </c>
      <c r="SMX525" s="1334">
        <v>8298541</v>
      </c>
      <c r="SMY525" s="1334">
        <v>8298541</v>
      </c>
      <c r="SMZ525" s="1334">
        <v>8298541</v>
      </c>
      <c r="SNA525" s="1334">
        <v>8298541</v>
      </c>
      <c r="SNB525" s="1334">
        <v>8298541</v>
      </c>
      <c r="SNC525" s="1334">
        <v>8298541</v>
      </c>
      <c r="SND525" s="1334">
        <v>8298541</v>
      </c>
      <c r="SNE525" s="1334">
        <v>8298541</v>
      </c>
      <c r="SNF525" s="1334">
        <v>8298541</v>
      </c>
      <c r="SNG525" s="1334">
        <v>8298541</v>
      </c>
      <c r="SNH525" s="1334">
        <v>8298541</v>
      </c>
      <c r="SNI525" s="1334">
        <v>8298541</v>
      </c>
      <c r="SNJ525" s="1334">
        <v>8298541</v>
      </c>
      <c r="SNK525" s="1334">
        <v>8298541</v>
      </c>
      <c r="SNL525" s="1334">
        <v>8298541</v>
      </c>
      <c r="SNM525" s="1334">
        <v>8298541</v>
      </c>
      <c r="SNN525" s="1334">
        <v>8298541</v>
      </c>
      <c r="SNO525" s="1334">
        <v>8298541</v>
      </c>
      <c r="SNP525" s="1334">
        <v>8298541</v>
      </c>
      <c r="SNQ525" s="1334">
        <v>8298541</v>
      </c>
      <c r="SNR525" s="1334">
        <v>8298541</v>
      </c>
      <c r="SNS525" s="1334">
        <v>8298541</v>
      </c>
      <c r="SNT525" s="1334">
        <v>8298541</v>
      </c>
      <c r="SNU525" s="1334">
        <v>8298541</v>
      </c>
      <c r="SNV525" s="1334">
        <v>8298541</v>
      </c>
      <c r="SNW525" s="1334">
        <v>8298541</v>
      </c>
      <c r="SNX525" s="1334">
        <v>8298541</v>
      </c>
      <c r="SNY525" s="1334">
        <v>8298541</v>
      </c>
      <c r="SNZ525" s="1334">
        <v>8298541</v>
      </c>
      <c r="SOA525" s="1334">
        <v>8298541</v>
      </c>
      <c r="SOB525" s="1334">
        <v>8298541</v>
      </c>
      <c r="SOC525" s="1334">
        <v>8298541</v>
      </c>
      <c r="SOD525" s="1334">
        <v>8298541</v>
      </c>
      <c r="SOE525" s="1334">
        <v>8298541</v>
      </c>
      <c r="SOF525" s="1334">
        <v>8298541</v>
      </c>
      <c r="SOG525" s="1334">
        <v>8298541</v>
      </c>
      <c r="SOH525" s="1334">
        <v>8298541</v>
      </c>
      <c r="SOI525" s="1334">
        <v>8298541</v>
      </c>
      <c r="SOJ525" s="1334">
        <v>8298541</v>
      </c>
      <c r="SOK525" s="1334">
        <v>8298541</v>
      </c>
      <c r="SOL525" s="1334">
        <v>8298541</v>
      </c>
      <c r="SOM525" s="1334">
        <v>8298541</v>
      </c>
      <c r="SON525" s="1334">
        <v>8298541</v>
      </c>
      <c r="SOO525" s="1334">
        <v>8298541</v>
      </c>
      <c r="SOP525" s="1334">
        <v>8298541</v>
      </c>
      <c r="SOQ525" s="1334">
        <v>8298541</v>
      </c>
      <c r="SOR525" s="1334">
        <v>8298541</v>
      </c>
      <c r="SOS525" s="1334">
        <v>8298541</v>
      </c>
      <c r="SOT525" s="1334">
        <v>8298541</v>
      </c>
      <c r="SOU525" s="1334">
        <v>8298541</v>
      </c>
      <c r="SOV525" s="1334">
        <v>8298541</v>
      </c>
      <c r="SOW525" s="1334">
        <v>8298541</v>
      </c>
      <c r="SOX525" s="1334">
        <v>8298541</v>
      </c>
      <c r="SOY525" s="1334">
        <v>8298541</v>
      </c>
      <c r="SOZ525" s="1334">
        <v>8298541</v>
      </c>
      <c r="SPA525" s="1334">
        <v>8298541</v>
      </c>
      <c r="SPB525" s="1334">
        <v>8298541</v>
      </c>
      <c r="SPC525" s="1334">
        <v>8298541</v>
      </c>
      <c r="SPD525" s="1334">
        <v>8298541</v>
      </c>
      <c r="SPE525" s="1334">
        <v>8298541</v>
      </c>
      <c r="SPF525" s="1334">
        <v>8298541</v>
      </c>
      <c r="SPG525" s="1334">
        <v>8298541</v>
      </c>
      <c r="SPH525" s="1334">
        <v>8298541</v>
      </c>
      <c r="SPI525" s="1334">
        <v>8298541</v>
      </c>
      <c r="SPJ525" s="1334">
        <v>8298541</v>
      </c>
      <c r="SPK525" s="1334">
        <v>8298541</v>
      </c>
      <c r="SPL525" s="1334">
        <v>8298541</v>
      </c>
      <c r="SPM525" s="1334">
        <v>8298541</v>
      </c>
      <c r="SPN525" s="1334">
        <v>8298541</v>
      </c>
      <c r="SPO525" s="1334">
        <v>8298541</v>
      </c>
      <c r="SPP525" s="1334">
        <v>8298541</v>
      </c>
      <c r="SPQ525" s="1334">
        <v>8298541</v>
      </c>
      <c r="SPR525" s="1334">
        <v>8298541</v>
      </c>
      <c r="SPS525" s="1334">
        <v>8298541</v>
      </c>
      <c r="SPT525" s="1334">
        <v>8298541</v>
      </c>
      <c r="SPU525" s="1334">
        <v>8298541</v>
      </c>
      <c r="SPV525" s="1334">
        <v>8298541</v>
      </c>
      <c r="SPW525" s="1334">
        <v>8298541</v>
      </c>
      <c r="SPX525" s="1334">
        <v>8298541</v>
      </c>
      <c r="SPY525" s="1334">
        <v>8298541</v>
      </c>
      <c r="SPZ525" s="1334">
        <v>8298541</v>
      </c>
      <c r="SQA525" s="1334">
        <v>8298541</v>
      </c>
      <c r="SQB525" s="1334">
        <v>8298541</v>
      </c>
      <c r="SQC525" s="1334">
        <v>8298541</v>
      </c>
      <c r="SQD525" s="1334">
        <v>8298541</v>
      </c>
      <c r="SQE525" s="1334">
        <v>8298541</v>
      </c>
      <c r="SQF525" s="1334">
        <v>8298541</v>
      </c>
      <c r="SQG525" s="1334">
        <v>8298541</v>
      </c>
      <c r="SQH525" s="1334">
        <v>8298541</v>
      </c>
      <c r="SQI525" s="1334">
        <v>8298541</v>
      </c>
      <c r="SQJ525" s="1334">
        <v>8298541</v>
      </c>
      <c r="SQK525" s="1334">
        <v>8298541</v>
      </c>
      <c r="SQL525" s="1334">
        <v>8298541</v>
      </c>
      <c r="SQM525" s="1334">
        <v>8298541</v>
      </c>
      <c r="SQN525" s="1334">
        <v>8298541</v>
      </c>
      <c r="SQO525" s="1334">
        <v>8298541</v>
      </c>
      <c r="SQP525" s="1334">
        <v>8298541</v>
      </c>
      <c r="SQQ525" s="1334">
        <v>8298541</v>
      </c>
      <c r="SQR525" s="1334">
        <v>8298541</v>
      </c>
      <c r="SQS525" s="1334">
        <v>8298541</v>
      </c>
      <c r="SQT525" s="1334">
        <v>8298541</v>
      </c>
      <c r="SQU525" s="1334">
        <v>8298541</v>
      </c>
      <c r="SQV525" s="1334">
        <v>8298541</v>
      </c>
      <c r="SQW525" s="1334">
        <v>8298541</v>
      </c>
      <c r="SQX525" s="1334">
        <v>8298541</v>
      </c>
      <c r="SQY525" s="1334">
        <v>8298541</v>
      </c>
      <c r="SQZ525" s="1334">
        <v>8298541</v>
      </c>
      <c r="SRA525" s="1334">
        <v>8298541</v>
      </c>
      <c r="SRB525" s="1334">
        <v>8298541</v>
      </c>
      <c r="SRC525" s="1334">
        <v>8298541</v>
      </c>
      <c r="SRD525" s="1334">
        <v>8298541</v>
      </c>
      <c r="SRE525" s="1334">
        <v>8298541</v>
      </c>
      <c r="SRF525" s="1334">
        <v>8298541</v>
      </c>
      <c r="SRG525" s="1334">
        <v>8298541</v>
      </c>
      <c r="SRH525" s="1334">
        <v>8298541</v>
      </c>
      <c r="SRI525" s="1334">
        <v>8298541</v>
      </c>
      <c r="SRJ525" s="1334">
        <v>8298541</v>
      </c>
      <c r="SRK525" s="1334">
        <v>8298541</v>
      </c>
      <c r="SRL525" s="1334">
        <v>8298541</v>
      </c>
      <c r="SRM525" s="1334">
        <v>8298541</v>
      </c>
      <c r="SRN525" s="1334">
        <v>8298541</v>
      </c>
      <c r="SRO525" s="1334">
        <v>8298541</v>
      </c>
      <c r="SRP525" s="1334">
        <v>8298541</v>
      </c>
      <c r="SRQ525" s="1334">
        <v>8298541</v>
      </c>
      <c r="SRR525" s="1334">
        <v>8298541</v>
      </c>
      <c r="SRS525" s="1334">
        <v>8298541</v>
      </c>
      <c r="SRT525" s="1334">
        <v>8298541</v>
      </c>
      <c r="SRU525" s="1334">
        <v>8298541</v>
      </c>
      <c r="SRV525" s="1334">
        <v>8298541</v>
      </c>
      <c r="SRW525" s="1334">
        <v>8298541</v>
      </c>
      <c r="SRX525" s="1334">
        <v>8298541</v>
      </c>
      <c r="SRY525" s="1334">
        <v>8298541</v>
      </c>
      <c r="SRZ525" s="1334">
        <v>8298541</v>
      </c>
      <c r="SSA525" s="1334">
        <v>8298541</v>
      </c>
      <c r="SSB525" s="1334">
        <v>8298541</v>
      </c>
      <c r="SSC525" s="1334">
        <v>8298541</v>
      </c>
      <c r="SSD525" s="1334">
        <v>8298541</v>
      </c>
      <c r="SSE525" s="1334">
        <v>8298541</v>
      </c>
      <c r="SSF525" s="1334">
        <v>8298541</v>
      </c>
      <c r="SSG525" s="1334">
        <v>8298541</v>
      </c>
      <c r="SSH525" s="1334">
        <v>8298541</v>
      </c>
      <c r="SSI525" s="1334">
        <v>8298541</v>
      </c>
      <c r="SSJ525" s="1334">
        <v>8298541</v>
      </c>
      <c r="SSK525" s="1334">
        <v>8298541</v>
      </c>
      <c r="SSL525" s="1334">
        <v>8298541</v>
      </c>
      <c r="SSM525" s="1334">
        <v>8298541</v>
      </c>
      <c r="SSN525" s="1334">
        <v>8298541</v>
      </c>
      <c r="SSO525" s="1334">
        <v>8298541</v>
      </c>
      <c r="SSP525" s="1334">
        <v>8298541</v>
      </c>
      <c r="SSQ525" s="1334">
        <v>8298541</v>
      </c>
      <c r="SSR525" s="1334">
        <v>8298541</v>
      </c>
      <c r="SSS525" s="1334">
        <v>8298541</v>
      </c>
      <c r="SST525" s="1334">
        <v>8298541</v>
      </c>
      <c r="SSU525" s="1334">
        <v>8298541</v>
      </c>
      <c r="SSV525" s="1334">
        <v>8298541</v>
      </c>
      <c r="SSW525" s="1334">
        <v>8298541</v>
      </c>
      <c r="SSX525" s="1334">
        <v>8298541</v>
      </c>
      <c r="SSY525" s="1334">
        <v>8298541</v>
      </c>
      <c r="SSZ525" s="1334">
        <v>8298541</v>
      </c>
      <c r="STA525" s="1334">
        <v>8298541</v>
      </c>
      <c r="STB525" s="1334">
        <v>8298541</v>
      </c>
      <c r="STC525" s="1334">
        <v>8298541</v>
      </c>
      <c r="STD525" s="1334">
        <v>8298541</v>
      </c>
      <c r="STE525" s="1334">
        <v>8298541</v>
      </c>
      <c r="STF525" s="1334">
        <v>8298541</v>
      </c>
      <c r="STG525" s="1334">
        <v>8298541</v>
      </c>
      <c r="STH525" s="1334">
        <v>8298541</v>
      </c>
      <c r="STI525" s="1334">
        <v>8298541</v>
      </c>
      <c r="STJ525" s="1334">
        <v>8298541</v>
      </c>
      <c r="STK525" s="1334">
        <v>8298541</v>
      </c>
      <c r="STL525" s="1334">
        <v>8298541</v>
      </c>
      <c r="STM525" s="1334">
        <v>8298541</v>
      </c>
      <c r="STN525" s="1334">
        <v>8298541</v>
      </c>
      <c r="STO525" s="1334">
        <v>8298541</v>
      </c>
      <c r="STP525" s="1334">
        <v>8298541</v>
      </c>
      <c r="STQ525" s="1334">
        <v>8298541</v>
      </c>
      <c r="STR525" s="1334">
        <v>8298541</v>
      </c>
      <c r="STS525" s="1334">
        <v>8298541</v>
      </c>
      <c r="STT525" s="1334">
        <v>8298541</v>
      </c>
      <c r="STU525" s="1334">
        <v>8298541</v>
      </c>
      <c r="STV525" s="1334">
        <v>8298541</v>
      </c>
      <c r="STW525" s="1334">
        <v>8298541</v>
      </c>
      <c r="STX525" s="1334">
        <v>8298541</v>
      </c>
      <c r="STY525" s="1334">
        <v>8298541</v>
      </c>
      <c r="STZ525" s="1334">
        <v>8298541</v>
      </c>
      <c r="SUA525" s="1334">
        <v>8298541</v>
      </c>
      <c r="SUB525" s="1334">
        <v>8298541</v>
      </c>
      <c r="SUC525" s="1334">
        <v>8298541</v>
      </c>
      <c r="SUD525" s="1334">
        <v>8298541</v>
      </c>
      <c r="SUE525" s="1334">
        <v>8298541</v>
      </c>
      <c r="SUF525" s="1334">
        <v>8298541</v>
      </c>
      <c r="SUG525" s="1334">
        <v>8298541</v>
      </c>
      <c r="SUH525" s="1334">
        <v>8298541</v>
      </c>
      <c r="SUI525" s="1334">
        <v>8298541</v>
      </c>
      <c r="SUJ525" s="1334">
        <v>8298541</v>
      </c>
      <c r="SUK525" s="1334">
        <v>8298541</v>
      </c>
      <c r="SUL525" s="1334">
        <v>8298541</v>
      </c>
      <c r="SUM525" s="1334">
        <v>8298541</v>
      </c>
      <c r="SUN525" s="1334">
        <v>8298541</v>
      </c>
      <c r="SUO525" s="1334">
        <v>8298541</v>
      </c>
      <c r="SUP525" s="1334">
        <v>8298541</v>
      </c>
      <c r="SUQ525" s="1334">
        <v>8298541</v>
      </c>
      <c r="SUR525" s="1334">
        <v>8298541</v>
      </c>
      <c r="SUS525" s="1334">
        <v>8298541</v>
      </c>
      <c r="SUT525" s="1334">
        <v>8298541</v>
      </c>
      <c r="SUU525" s="1334">
        <v>8298541</v>
      </c>
      <c r="SUV525" s="1334">
        <v>8298541</v>
      </c>
      <c r="SUW525" s="1334">
        <v>8298541</v>
      </c>
      <c r="SUX525" s="1334">
        <v>8298541</v>
      </c>
      <c r="SUY525" s="1334">
        <v>8298541</v>
      </c>
      <c r="SUZ525" s="1334">
        <v>8298541</v>
      </c>
      <c r="SVA525" s="1334">
        <v>8298541</v>
      </c>
      <c r="SVB525" s="1334">
        <v>8298541</v>
      </c>
      <c r="SVC525" s="1334">
        <v>8298541</v>
      </c>
      <c r="SVD525" s="1334">
        <v>8298541</v>
      </c>
      <c r="SVE525" s="1334">
        <v>8298541</v>
      </c>
      <c r="SVF525" s="1334">
        <v>8298541</v>
      </c>
      <c r="SVG525" s="1334">
        <v>8298541</v>
      </c>
      <c r="SVH525" s="1334">
        <v>8298541</v>
      </c>
      <c r="SVI525" s="1334">
        <v>8298541</v>
      </c>
      <c r="SVJ525" s="1334">
        <v>8298541</v>
      </c>
      <c r="SVK525" s="1334">
        <v>8298541</v>
      </c>
      <c r="SVL525" s="1334">
        <v>8298541</v>
      </c>
      <c r="SVM525" s="1334">
        <v>8298541</v>
      </c>
      <c r="SVN525" s="1334">
        <v>8298541</v>
      </c>
      <c r="SVO525" s="1334">
        <v>8298541</v>
      </c>
      <c r="SVP525" s="1334">
        <v>8298541</v>
      </c>
      <c r="SVQ525" s="1334">
        <v>8298541</v>
      </c>
      <c r="SVR525" s="1334">
        <v>8298541</v>
      </c>
      <c r="SVS525" s="1334">
        <v>8298541</v>
      </c>
      <c r="SVT525" s="1334">
        <v>8298541</v>
      </c>
      <c r="SVU525" s="1334">
        <v>8298541</v>
      </c>
      <c r="SVV525" s="1334">
        <v>8298541</v>
      </c>
      <c r="SVW525" s="1334">
        <v>8298541</v>
      </c>
      <c r="SVX525" s="1334">
        <v>8298541</v>
      </c>
      <c r="SVY525" s="1334">
        <v>8298541</v>
      </c>
      <c r="SVZ525" s="1334">
        <v>8298541</v>
      </c>
      <c r="SWA525" s="1334">
        <v>8298541</v>
      </c>
      <c r="SWB525" s="1334">
        <v>8298541</v>
      </c>
      <c r="SWC525" s="1334">
        <v>8298541</v>
      </c>
      <c r="SWD525" s="1334">
        <v>8298541</v>
      </c>
      <c r="SWE525" s="1334">
        <v>8298541</v>
      </c>
      <c r="SWF525" s="1334">
        <v>8298541</v>
      </c>
      <c r="SWG525" s="1334">
        <v>8298541</v>
      </c>
      <c r="SWH525" s="1334">
        <v>8298541</v>
      </c>
      <c r="SWI525" s="1334">
        <v>8298541</v>
      </c>
      <c r="SWJ525" s="1334">
        <v>8298541</v>
      </c>
      <c r="SWK525" s="1334">
        <v>8298541</v>
      </c>
      <c r="SWL525" s="1334">
        <v>8298541</v>
      </c>
      <c r="SWM525" s="1334">
        <v>8298541</v>
      </c>
      <c r="SWN525" s="1334">
        <v>8298541</v>
      </c>
      <c r="SWO525" s="1334">
        <v>8298541</v>
      </c>
      <c r="SWP525" s="1334">
        <v>8298541</v>
      </c>
      <c r="SWQ525" s="1334">
        <v>8298541</v>
      </c>
      <c r="SWR525" s="1334">
        <v>8298541</v>
      </c>
      <c r="SWS525" s="1334">
        <v>8298541</v>
      </c>
      <c r="SWT525" s="1334">
        <v>8298541</v>
      </c>
      <c r="SWU525" s="1334">
        <v>8298541</v>
      </c>
      <c r="SWV525" s="1334">
        <v>8298541</v>
      </c>
      <c r="SWW525" s="1334">
        <v>8298541</v>
      </c>
      <c r="SWX525" s="1334">
        <v>8298541</v>
      </c>
      <c r="SWY525" s="1334">
        <v>8298541</v>
      </c>
      <c r="SWZ525" s="1334">
        <v>8298541</v>
      </c>
      <c r="SXA525" s="1334">
        <v>8298541</v>
      </c>
      <c r="SXB525" s="1334">
        <v>8298541</v>
      </c>
      <c r="SXC525" s="1334">
        <v>8298541</v>
      </c>
      <c r="SXD525" s="1334">
        <v>8298541</v>
      </c>
      <c r="SXE525" s="1334">
        <v>8298541</v>
      </c>
      <c r="SXF525" s="1334">
        <v>8298541</v>
      </c>
      <c r="SXG525" s="1334">
        <v>8298541</v>
      </c>
      <c r="SXH525" s="1334">
        <v>8298541</v>
      </c>
      <c r="SXI525" s="1334">
        <v>8298541</v>
      </c>
      <c r="SXJ525" s="1334">
        <v>8298541</v>
      </c>
      <c r="SXK525" s="1334">
        <v>8298541</v>
      </c>
      <c r="SXL525" s="1334">
        <v>8298541</v>
      </c>
      <c r="SXM525" s="1334">
        <v>8298541</v>
      </c>
      <c r="SXN525" s="1334">
        <v>8298541</v>
      </c>
      <c r="SXO525" s="1334">
        <v>8298541</v>
      </c>
      <c r="SXP525" s="1334">
        <v>8298541</v>
      </c>
      <c r="SXQ525" s="1334">
        <v>8298541</v>
      </c>
      <c r="SXR525" s="1334">
        <v>8298541</v>
      </c>
      <c r="SXS525" s="1334">
        <v>8298541</v>
      </c>
      <c r="SXT525" s="1334">
        <v>8298541</v>
      </c>
      <c r="SXU525" s="1334">
        <v>8298541</v>
      </c>
      <c r="SXV525" s="1334">
        <v>8298541</v>
      </c>
      <c r="SXW525" s="1334">
        <v>8298541</v>
      </c>
      <c r="SXX525" s="1334">
        <v>8298541</v>
      </c>
      <c r="SXY525" s="1334">
        <v>8298541</v>
      </c>
      <c r="SXZ525" s="1334">
        <v>8298541</v>
      </c>
      <c r="SYA525" s="1334">
        <v>8298541</v>
      </c>
      <c r="SYB525" s="1334">
        <v>8298541</v>
      </c>
      <c r="SYC525" s="1334">
        <v>8298541</v>
      </c>
      <c r="SYD525" s="1334">
        <v>8298541</v>
      </c>
      <c r="SYE525" s="1334">
        <v>8298541</v>
      </c>
      <c r="SYF525" s="1334">
        <v>8298541</v>
      </c>
      <c r="SYG525" s="1334">
        <v>8298541</v>
      </c>
      <c r="SYH525" s="1334">
        <v>8298541</v>
      </c>
      <c r="SYI525" s="1334">
        <v>8298541</v>
      </c>
      <c r="SYJ525" s="1334">
        <v>8298541</v>
      </c>
      <c r="SYK525" s="1334">
        <v>8298541</v>
      </c>
      <c r="SYL525" s="1334">
        <v>8298541</v>
      </c>
      <c r="SYM525" s="1334">
        <v>8298541</v>
      </c>
      <c r="SYN525" s="1334">
        <v>8298541</v>
      </c>
      <c r="SYO525" s="1334">
        <v>8298541</v>
      </c>
      <c r="SYP525" s="1334">
        <v>8298541</v>
      </c>
      <c r="SYQ525" s="1334">
        <v>8298541</v>
      </c>
      <c r="SYR525" s="1334">
        <v>8298541</v>
      </c>
      <c r="SYS525" s="1334">
        <v>8298541</v>
      </c>
      <c r="SYT525" s="1334">
        <v>8298541</v>
      </c>
      <c r="SYU525" s="1334">
        <v>8298541</v>
      </c>
      <c r="SYV525" s="1334">
        <v>8298541</v>
      </c>
      <c r="SYW525" s="1334">
        <v>8298541</v>
      </c>
      <c r="SYX525" s="1334">
        <v>8298541</v>
      </c>
      <c r="SYY525" s="1334">
        <v>8298541</v>
      </c>
      <c r="SYZ525" s="1334">
        <v>8298541</v>
      </c>
      <c r="SZA525" s="1334">
        <v>8298541</v>
      </c>
      <c r="SZB525" s="1334">
        <v>8298541</v>
      </c>
      <c r="SZC525" s="1334">
        <v>8298541</v>
      </c>
      <c r="SZD525" s="1334">
        <v>8298541</v>
      </c>
      <c r="SZE525" s="1334">
        <v>8298541</v>
      </c>
      <c r="SZF525" s="1334">
        <v>8298541</v>
      </c>
      <c r="SZG525" s="1334">
        <v>8298541</v>
      </c>
      <c r="SZH525" s="1334">
        <v>8298541</v>
      </c>
      <c r="SZI525" s="1334">
        <v>8298541</v>
      </c>
      <c r="SZJ525" s="1334">
        <v>8298541</v>
      </c>
      <c r="SZK525" s="1334">
        <v>8298541</v>
      </c>
      <c r="SZL525" s="1334">
        <v>8298541</v>
      </c>
      <c r="SZM525" s="1334">
        <v>8298541</v>
      </c>
      <c r="SZN525" s="1334">
        <v>8298541</v>
      </c>
      <c r="SZO525" s="1334">
        <v>8298541</v>
      </c>
      <c r="SZP525" s="1334">
        <v>8298541</v>
      </c>
      <c r="SZQ525" s="1334">
        <v>8298541</v>
      </c>
      <c r="SZR525" s="1334">
        <v>8298541</v>
      </c>
      <c r="SZS525" s="1334">
        <v>8298541</v>
      </c>
      <c r="SZT525" s="1334">
        <v>8298541</v>
      </c>
      <c r="SZU525" s="1334">
        <v>8298541</v>
      </c>
      <c r="SZV525" s="1334">
        <v>8298541</v>
      </c>
      <c r="SZW525" s="1334">
        <v>8298541</v>
      </c>
      <c r="SZX525" s="1334">
        <v>8298541</v>
      </c>
      <c r="SZY525" s="1334">
        <v>8298541</v>
      </c>
      <c r="SZZ525" s="1334">
        <v>8298541</v>
      </c>
      <c r="TAA525" s="1334">
        <v>8298541</v>
      </c>
      <c r="TAB525" s="1334">
        <v>8298541</v>
      </c>
      <c r="TAC525" s="1334">
        <v>8298541</v>
      </c>
      <c r="TAD525" s="1334">
        <v>8298541</v>
      </c>
      <c r="TAE525" s="1334">
        <v>8298541</v>
      </c>
      <c r="TAF525" s="1334">
        <v>8298541</v>
      </c>
      <c r="TAG525" s="1334">
        <v>8298541</v>
      </c>
      <c r="TAH525" s="1334">
        <v>8298541</v>
      </c>
      <c r="TAI525" s="1334">
        <v>8298541</v>
      </c>
      <c r="TAJ525" s="1334">
        <v>8298541</v>
      </c>
      <c r="TAK525" s="1334">
        <v>8298541</v>
      </c>
      <c r="TAL525" s="1334">
        <v>8298541</v>
      </c>
      <c r="TAM525" s="1334">
        <v>8298541</v>
      </c>
      <c r="TAN525" s="1334">
        <v>8298541</v>
      </c>
      <c r="TAO525" s="1334">
        <v>8298541</v>
      </c>
      <c r="TAP525" s="1334">
        <v>8298541</v>
      </c>
      <c r="TAQ525" s="1334">
        <v>8298541</v>
      </c>
      <c r="TAR525" s="1334">
        <v>8298541</v>
      </c>
      <c r="TAS525" s="1334">
        <v>8298541</v>
      </c>
      <c r="TAT525" s="1334">
        <v>8298541</v>
      </c>
      <c r="TAU525" s="1334">
        <v>8298541</v>
      </c>
      <c r="TAV525" s="1334">
        <v>8298541</v>
      </c>
      <c r="TAW525" s="1334">
        <v>8298541</v>
      </c>
      <c r="TAX525" s="1334">
        <v>8298541</v>
      </c>
      <c r="TAY525" s="1334">
        <v>8298541</v>
      </c>
      <c r="TAZ525" s="1334">
        <v>8298541</v>
      </c>
      <c r="TBA525" s="1334">
        <v>8298541</v>
      </c>
      <c r="TBB525" s="1334">
        <v>8298541</v>
      </c>
      <c r="TBC525" s="1334">
        <v>8298541</v>
      </c>
      <c r="TBD525" s="1334">
        <v>8298541</v>
      </c>
      <c r="TBE525" s="1334">
        <v>8298541</v>
      </c>
      <c r="TBF525" s="1334">
        <v>8298541</v>
      </c>
      <c r="TBG525" s="1334">
        <v>8298541</v>
      </c>
      <c r="TBH525" s="1334">
        <v>8298541</v>
      </c>
      <c r="TBI525" s="1334">
        <v>8298541</v>
      </c>
      <c r="TBJ525" s="1334">
        <v>8298541</v>
      </c>
      <c r="TBK525" s="1334">
        <v>8298541</v>
      </c>
      <c r="TBL525" s="1334">
        <v>8298541</v>
      </c>
      <c r="TBM525" s="1334">
        <v>8298541</v>
      </c>
      <c r="TBN525" s="1334">
        <v>8298541</v>
      </c>
      <c r="TBO525" s="1334">
        <v>8298541</v>
      </c>
      <c r="TBP525" s="1334">
        <v>8298541</v>
      </c>
      <c r="TBQ525" s="1334">
        <v>8298541</v>
      </c>
      <c r="TBR525" s="1334">
        <v>8298541</v>
      </c>
      <c r="TBS525" s="1334">
        <v>8298541</v>
      </c>
      <c r="TBT525" s="1334">
        <v>8298541</v>
      </c>
      <c r="TBU525" s="1334">
        <v>8298541</v>
      </c>
      <c r="TBV525" s="1334">
        <v>8298541</v>
      </c>
      <c r="TBW525" s="1334">
        <v>8298541</v>
      </c>
      <c r="TBX525" s="1334">
        <v>8298541</v>
      </c>
      <c r="TBY525" s="1334">
        <v>8298541</v>
      </c>
      <c r="TBZ525" s="1334">
        <v>8298541</v>
      </c>
      <c r="TCA525" s="1334">
        <v>8298541</v>
      </c>
      <c r="TCB525" s="1334">
        <v>8298541</v>
      </c>
      <c r="TCC525" s="1334">
        <v>8298541</v>
      </c>
      <c r="TCD525" s="1334">
        <v>8298541</v>
      </c>
      <c r="TCE525" s="1334">
        <v>8298541</v>
      </c>
      <c r="TCF525" s="1334">
        <v>8298541</v>
      </c>
      <c r="TCG525" s="1334">
        <v>8298541</v>
      </c>
      <c r="TCH525" s="1334">
        <v>8298541</v>
      </c>
      <c r="TCI525" s="1334">
        <v>8298541</v>
      </c>
      <c r="TCJ525" s="1334">
        <v>8298541</v>
      </c>
      <c r="TCK525" s="1334">
        <v>8298541</v>
      </c>
      <c r="TCL525" s="1334">
        <v>8298541</v>
      </c>
      <c r="TCM525" s="1334">
        <v>8298541</v>
      </c>
      <c r="TCN525" s="1334">
        <v>8298541</v>
      </c>
      <c r="TCO525" s="1334">
        <v>8298541</v>
      </c>
      <c r="TCP525" s="1334">
        <v>8298541</v>
      </c>
      <c r="TCQ525" s="1334">
        <v>8298541</v>
      </c>
      <c r="TCR525" s="1334">
        <v>8298541</v>
      </c>
      <c r="TCS525" s="1334">
        <v>8298541</v>
      </c>
      <c r="TCT525" s="1334">
        <v>8298541</v>
      </c>
      <c r="TCU525" s="1334">
        <v>8298541</v>
      </c>
      <c r="TCV525" s="1334">
        <v>8298541</v>
      </c>
      <c r="TCW525" s="1334">
        <v>8298541</v>
      </c>
      <c r="TCX525" s="1334">
        <v>8298541</v>
      </c>
      <c r="TCY525" s="1334">
        <v>8298541</v>
      </c>
      <c r="TCZ525" s="1334">
        <v>8298541</v>
      </c>
      <c r="TDA525" s="1334">
        <v>8298541</v>
      </c>
      <c r="TDB525" s="1334">
        <v>8298541</v>
      </c>
      <c r="TDC525" s="1334">
        <v>8298541</v>
      </c>
      <c r="TDD525" s="1334">
        <v>8298541</v>
      </c>
      <c r="TDE525" s="1334">
        <v>8298541</v>
      </c>
      <c r="TDF525" s="1334">
        <v>8298541</v>
      </c>
      <c r="TDG525" s="1334">
        <v>8298541</v>
      </c>
      <c r="TDH525" s="1334">
        <v>8298541</v>
      </c>
      <c r="TDI525" s="1334">
        <v>8298541</v>
      </c>
      <c r="TDJ525" s="1334">
        <v>8298541</v>
      </c>
      <c r="TDK525" s="1334">
        <v>8298541</v>
      </c>
      <c r="TDL525" s="1334">
        <v>8298541</v>
      </c>
      <c r="TDM525" s="1334">
        <v>8298541</v>
      </c>
      <c r="TDN525" s="1334">
        <v>8298541</v>
      </c>
      <c r="TDO525" s="1334">
        <v>8298541</v>
      </c>
      <c r="TDP525" s="1334">
        <v>8298541</v>
      </c>
      <c r="TDQ525" s="1334">
        <v>8298541</v>
      </c>
      <c r="TDR525" s="1334">
        <v>8298541</v>
      </c>
      <c r="TDS525" s="1334">
        <v>8298541</v>
      </c>
      <c r="TDT525" s="1334">
        <v>8298541</v>
      </c>
      <c r="TDU525" s="1334">
        <v>8298541</v>
      </c>
      <c r="TDV525" s="1334">
        <v>8298541</v>
      </c>
      <c r="TDW525" s="1334">
        <v>8298541</v>
      </c>
      <c r="TDX525" s="1334">
        <v>8298541</v>
      </c>
      <c r="TDY525" s="1334">
        <v>8298541</v>
      </c>
      <c r="TDZ525" s="1334">
        <v>8298541</v>
      </c>
      <c r="TEA525" s="1334">
        <v>8298541</v>
      </c>
      <c r="TEB525" s="1334">
        <v>8298541</v>
      </c>
      <c r="TEC525" s="1334">
        <v>8298541</v>
      </c>
      <c r="TED525" s="1334">
        <v>8298541</v>
      </c>
      <c r="TEE525" s="1334">
        <v>8298541</v>
      </c>
      <c r="TEF525" s="1334">
        <v>8298541</v>
      </c>
      <c r="TEG525" s="1334">
        <v>8298541</v>
      </c>
      <c r="TEH525" s="1334">
        <v>8298541</v>
      </c>
      <c r="TEI525" s="1334">
        <v>8298541</v>
      </c>
      <c r="TEJ525" s="1334">
        <v>8298541</v>
      </c>
      <c r="TEK525" s="1334">
        <v>8298541</v>
      </c>
      <c r="TEL525" s="1334">
        <v>8298541</v>
      </c>
      <c r="TEM525" s="1334">
        <v>8298541</v>
      </c>
      <c r="TEN525" s="1334">
        <v>8298541</v>
      </c>
      <c r="TEO525" s="1334">
        <v>8298541</v>
      </c>
      <c r="TEP525" s="1334">
        <v>8298541</v>
      </c>
      <c r="TEQ525" s="1334">
        <v>8298541</v>
      </c>
      <c r="TER525" s="1334">
        <v>8298541</v>
      </c>
      <c r="TES525" s="1334">
        <v>8298541</v>
      </c>
      <c r="TET525" s="1334">
        <v>8298541</v>
      </c>
      <c r="TEU525" s="1334">
        <v>8298541</v>
      </c>
      <c r="TEV525" s="1334">
        <v>8298541</v>
      </c>
      <c r="TEW525" s="1334">
        <v>8298541</v>
      </c>
      <c r="TEX525" s="1334">
        <v>8298541</v>
      </c>
      <c r="TEY525" s="1334">
        <v>8298541</v>
      </c>
      <c r="TEZ525" s="1334">
        <v>8298541</v>
      </c>
      <c r="TFA525" s="1334">
        <v>8298541</v>
      </c>
      <c r="TFB525" s="1334">
        <v>8298541</v>
      </c>
      <c r="TFC525" s="1334">
        <v>8298541</v>
      </c>
      <c r="TFD525" s="1334">
        <v>8298541</v>
      </c>
      <c r="TFE525" s="1334">
        <v>8298541</v>
      </c>
      <c r="TFF525" s="1334">
        <v>8298541</v>
      </c>
      <c r="TFG525" s="1334">
        <v>8298541</v>
      </c>
      <c r="TFH525" s="1334">
        <v>8298541</v>
      </c>
      <c r="TFI525" s="1334">
        <v>8298541</v>
      </c>
      <c r="TFJ525" s="1334">
        <v>8298541</v>
      </c>
      <c r="TFK525" s="1334">
        <v>8298541</v>
      </c>
      <c r="TFL525" s="1334">
        <v>8298541</v>
      </c>
      <c r="TFM525" s="1334">
        <v>8298541</v>
      </c>
      <c r="TFN525" s="1334">
        <v>8298541</v>
      </c>
      <c r="TFO525" s="1334">
        <v>8298541</v>
      </c>
      <c r="TFP525" s="1334">
        <v>8298541</v>
      </c>
      <c r="TFQ525" s="1334">
        <v>8298541</v>
      </c>
      <c r="TFR525" s="1334">
        <v>8298541</v>
      </c>
      <c r="TFS525" s="1334">
        <v>8298541</v>
      </c>
      <c r="TFT525" s="1334">
        <v>8298541</v>
      </c>
      <c r="TFU525" s="1334">
        <v>8298541</v>
      </c>
      <c r="TFV525" s="1334">
        <v>8298541</v>
      </c>
      <c r="TFW525" s="1334">
        <v>8298541</v>
      </c>
      <c r="TFX525" s="1334">
        <v>8298541</v>
      </c>
      <c r="TFY525" s="1334">
        <v>8298541</v>
      </c>
      <c r="TFZ525" s="1334">
        <v>8298541</v>
      </c>
      <c r="TGA525" s="1334">
        <v>8298541</v>
      </c>
      <c r="TGB525" s="1334">
        <v>8298541</v>
      </c>
      <c r="TGC525" s="1334">
        <v>8298541</v>
      </c>
      <c r="TGD525" s="1334">
        <v>8298541</v>
      </c>
      <c r="TGE525" s="1334">
        <v>8298541</v>
      </c>
      <c r="TGF525" s="1334">
        <v>8298541</v>
      </c>
      <c r="TGG525" s="1334">
        <v>8298541</v>
      </c>
      <c r="TGH525" s="1334">
        <v>8298541</v>
      </c>
      <c r="TGI525" s="1334">
        <v>8298541</v>
      </c>
      <c r="TGJ525" s="1334">
        <v>8298541</v>
      </c>
      <c r="TGK525" s="1334">
        <v>8298541</v>
      </c>
      <c r="TGL525" s="1334">
        <v>8298541</v>
      </c>
      <c r="TGM525" s="1334">
        <v>8298541</v>
      </c>
      <c r="TGN525" s="1334">
        <v>8298541</v>
      </c>
      <c r="TGO525" s="1334">
        <v>8298541</v>
      </c>
      <c r="TGP525" s="1334">
        <v>8298541</v>
      </c>
      <c r="TGQ525" s="1334">
        <v>8298541</v>
      </c>
      <c r="TGR525" s="1334">
        <v>8298541</v>
      </c>
      <c r="TGS525" s="1334">
        <v>8298541</v>
      </c>
      <c r="TGT525" s="1334">
        <v>8298541</v>
      </c>
      <c r="TGU525" s="1334">
        <v>8298541</v>
      </c>
      <c r="TGV525" s="1334">
        <v>8298541</v>
      </c>
      <c r="TGW525" s="1334">
        <v>8298541</v>
      </c>
      <c r="TGX525" s="1334">
        <v>8298541</v>
      </c>
      <c r="TGY525" s="1334">
        <v>8298541</v>
      </c>
      <c r="TGZ525" s="1334">
        <v>8298541</v>
      </c>
      <c r="THA525" s="1334">
        <v>8298541</v>
      </c>
      <c r="THB525" s="1334">
        <v>8298541</v>
      </c>
      <c r="THC525" s="1334">
        <v>8298541</v>
      </c>
      <c r="THD525" s="1334">
        <v>8298541</v>
      </c>
      <c r="THE525" s="1334">
        <v>8298541</v>
      </c>
      <c r="THF525" s="1334">
        <v>8298541</v>
      </c>
      <c r="THG525" s="1334">
        <v>8298541</v>
      </c>
      <c r="THH525" s="1334">
        <v>8298541</v>
      </c>
      <c r="THI525" s="1334">
        <v>8298541</v>
      </c>
      <c r="THJ525" s="1334">
        <v>8298541</v>
      </c>
      <c r="THK525" s="1334">
        <v>8298541</v>
      </c>
      <c r="THL525" s="1334">
        <v>8298541</v>
      </c>
      <c r="THM525" s="1334">
        <v>8298541</v>
      </c>
      <c r="THN525" s="1334">
        <v>8298541</v>
      </c>
      <c r="THO525" s="1334">
        <v>8298541</v>
      </c>
      <c r="THP525" s="1334">
        <v>8298541</v>
      </c>
      <c r="THQ525" s="1334">
        <v>8298541</v>
      </c>
      <c r="THR525" s="1334">
        <v>8298541</v>
      </c>
      <c r="THS525" s="1334">
        <v>8298541</v>
      </c>
      <c r="THT525" s="1334">
        <v>8298541</v>
      </c>
      <c r="THU525" s="1334">
        <v>8298541</v>
      </c>
      <c r="THV525" s="1334">
        <v>8298541</v>
      </c>
      <c r="THW525" s="1334">
        <v>8298541</v>
      </c>
      <c r="THX525" s="1334">
        <v>8298541</v>
      </c>
      <c r="THY525" s="1334">
        <v>8298541</v>
      </c>
      <c r="THZ525" s="1334">
        <v>8298541</v>
      </c>
      <c r="TIA525" s="1334">
        <v>8298541</v>
      </c>
      <c r="TIB525" s="1334">
        <v>8298541</v>
      </c>
      <c r="TIC525" s="1334">
        <v>8298541</v>
      </c>
      <c r="TID525" s="1334">
        <v>8298541</v>
      </c>
      <c r="TIE525" s="1334">
        <v>8298541</v>
      </c>
      <c r="TIF525" s="1334">
        <v>8298541</v>
      </c>
      <c r="TIG525" s="1334">
        <v>8298541</v>
      </c>
      <c r="TIH525" s="1334">
        <v>8298541</v>
      </c>
      <c r="TII525" s="1334">
        <v>8298541</v>
      </c>
      <c r="TIJ525" s="1334">
        <v>8298541</v>
      </c>
      <c r="TIK525" s="1334">
        <v>8298541</v>
      </c>
      <c r="TIL525" s="1334">
        <v>8298541</v>
      </c>
      <c r="TIM525" s="1334">
        <v>8298541</v>
      </c>
      <c r="TIN525" s="1334">
        <v>8298541</v>
      </c>
      <c r="TIO525" s="1334">
        <v>8298541</v>
      </c>
      <c r="TIP525" s="1334">
        <v>8298541</v>
      </c>
      <c r="TIQ525" s="1334">
        <v>8298541</v>
      </c>
      <c r="TIR525" s="1334">
        <v>8298541</v>
      </c>
      <c r="TIS525" s="1334">
        <v>8298541</v>
      </c>
      <c r="TIT525" s="1334">
        <v>8298541</v>
      </c>
      <c r="TIU525" s="1334">
        <v>8298541</v>
      </c>
      <c r="TIV525" s="1334">
        <v>8298541</v>
      </c>
      <c r="TIW525" s="1334">
        <v>8298541</v>
      </c>
      <c r="TIX525" s="1334">
        <v>8298541</v>
      </c>
      <c r="TIY525" s="1334">
        <v>8298541</v>
      </c>
      <c r="TIZ525" s="1334">
        <v>8298541</v>
      </c>
      <c r="TJA525" s="1334">
        <v>8298541</v>
      </c>
      <c r="TJB525" s="1334">
        <v>8298541</v>
      </c>
      <c r="TJC525" s="1334">
        <v>8298541</v>
      </c>
      <c r="TJD525" s="1334">
        <v>8298541</v>
      </c>
      <c r="TJE525" s="1334">
        <v>8298541</v>
      </c>
      <c r="TJF525" s="1334">
        <v>8298541</v>
      </c>
      <c r="TJG525" s="1334">
        <v>8298541</v>
      </c>
      <c r="TJH525" s="1334">
        <v>8298541</v>
      </c>
      <c r="TJI525" s="1334">
        <v>8298541</v>
      </c>
      <c r="TJJ525" s="1334">
        <v>8298541</v>
      </c>
      <c r="TJK525" s="1334">
        <v>8298541</v>
      </c>
      <c r="TJL525" s="1334">
        <v>8298541</v>
      </c>
      <c r="TJM525" s="1334">
        <v>8298541</v>
      </c>
      <c r="TJN525" s="1334">
        <v>8298541</v>
      </c>
      <c r="TJO525" s="1334">
        <v>8298541</v>
      </c>
      <c r="TJP525" s="1334">
        <v>8298541</v>
      </c>
      <c r="TJQ525" s="1334">
        <v>8298541</v>
      </c>
      <c r="TJR525" s="1334">
        <v>8298541</v>
      </c>
      <c r="TJS525" s="1334">
        <v>8298541</v>
      </c>
      <c r="TJT525" s="1334">
        <v>8298541</v>
      </c>
      <c r="TJU525" s="1334">
        <v>8298541</v>
      </c>
      <c r="TJV525" s="1334">
        <v>8298541</v>
      </c>
      <c r="TJW525" s="1334">
        <v>8298541</v>
      </c>
      <c r="TJX525" s="1334">
        <v>8298541</v>
      </c>
      <c r="TJY525" s="1334">
        <v>8298541</v>
      </c>
      <c r="TJZ525" s="1334">
        <v>8298541</v>
      </c>
      <c r="TKA525" s="1334">
        <v>8298541</v>
      </c>
      <c r="TKB525" s="1334">
        <v>8298541</v>
      </c>
      <c r="TKC525" s="1334">
        <v>8298541</v>
      </c>
      <c r="TKD525" s="1334">
        <v>8298541</v>
      </c>
      <c r="TKE525" s="1334">
        <v>8298541</v>
      </c>
      <c r="TKF525" s="1334">
        <v>8298541</v>
      </c>
      <c r="TKG525" s="1334">
        <v>8298541</v>
      </c>
      <c r="TKH525" s="1334">
        <v>8298541</v>
      </c>
      <c r="TKI525" s="1334">
        <v>8298541</v>
      </c>
      <c r="TKJ525" s="1334">
        <v>8298541</v>
      </c>
      <c r="TKK525" s="1334">
        <v>8298541</v>
      </c>
      <c r="TKL525" s="1334">
        <v>8298541</v>
      </c>
      <c r="TKM525" s="1334">
        <v>8298541</v>
      </c>
      <c r="TKN525" s="1334">
        <v>8298541</v>
      </c>
      <c r="TKO525" s="1334">
        <v>8298541</v>
      </c>
      <c r="TKP525" s="1334">
        <v>8298541</v>
      </c>
      <c r="TKQ525" s="1334">
        <v>8298541</v>
      </c>
      <c r="TKR525" s="1334">
        <v>8298541</v>
      </c>
      <c r="TKS525" s="1334">
        <v>8298541</v>
      </c>
      <c r="TKT525" s="1334">
        <v>8298541</v>
      </c>
      <c r="TKU525" s="1334">
        <v>8298541</v>
      </c>
      <c r="TKV525" s="1334">
        <v>8298541</v>
      </c>
      <c r="TKW525" s="1334">
        <v>8298541</v>
      </c>
      <c r="TKX525" s="1334">
        <v>8298541</v>
      </c>
      <c r="TKY525" s="1334">
        <v>8298541</v>
      </c>
      <c r="TKZ525" s="1334">
        <v>8298541</v>
      </c>
      <c r="TLA525" s="1334">
        <v>8298541</v>
      </c>
      <c r="TLB525" s="1334">
        <v>8298541</v>
      </c>
      <c r="TLC525" s="1334">
        <v>8298541</v>
      </c>
      <c r="TLD525" s="1334">
        <v>8298541</v>
      </c>
      <c r="TLE525" s="1334">
        <v>8298541</v>
      </c>
      <c r="TLF525" s="1334">
        <v>8298541</v>
      </c>
      <c r="TLG525" s="1334">
        <v>8298541</v>
      </c>
      <c r="TLH525" s="1334">
        <v>8298541</v>
      </c>
      <c r="TLI525" s="1334">
        <v>8298541</v>
      </c>
      <c r="TLJ525" s="1334">
        <v>8298541</v>
      </c>
      <c r="TLK525" s="1334">
        <v>8298541</v>
      </c>
      <c r="TLL525" s="1334">
        <v>8298541</v>
      </c>
      <c r="TLM525" s="1334">
        <v>8298541</v>
      </c>
      <c r="TLN525" s="1334">
        <v>8298541</v>
      </c>
      <c r="TLO525" s="1334">
        <v>8298541</v>
      </c>
      <c r="TLP525" s="1334">
        <v>8298541</v>
      </c>
      <c r="TLQ525" s="1334">
        <v>8298541</v>
      </c>
      <c r="TLR525" s="1334">
        <v>8298541</v>
      </c>
      <c r="TLS525" s="1334">
        <v>8298541</v>
      </c>
      <c r="TLT525" s="1334">
        <v>8298541</v>
      </c>
      <c r="TLU525" s="1334">
        <v>8298541</v>
      </c>
      <c r="TLV525" s="1334">
        <v>8298541</v>
      </c>
      <c r="TLW525" s="1334">
        <v>8298541</v>
      </c>
      <c r="TLX525" s="1334">
        <v>8298541</v>
      </c>
      <c r="TLY525" s="1334">
        <v>8298541</v>
      </c>
      <c r="TLZ525" s="1334">
        <v>8298541</v>
      </c>
      <c r="TMA525" s="1334">
        <v>8298541</v>
      </c>
      <c r="TMB525" s="1334">
        <v>8298541</v>
      </c>
      <c r="TMC525" s="1334">
        <v>8298541</v>
      </c>
      <c r="TMD525" s="1334">
        <v>8298541</v>
      </c>
      <c r="TME525" s="1334">
        <v>8298541</v>
      </c>
      <c r="TMF525" s="1334">
        <v>8298541</v>
      </c>
      <c r="TMG525" s="1334">
        <v>8298541</v>
      </c>
      <c r="TMH525" s="1334">
        <v>8298541</v>
      </c>
      <c r="TMI525" s="1334">
        <v>8298541</v>
      </c>
      <c r="TMJ525" s="1334">
        <v>8298541</v>
      </c>
      <c r="TMK525" s="1334">
        <v>8298541</v>
      </c>
      <c r="TML525" s="1334">
        <v>8298541</v>
      </c>
      <c r="TMM525" s="1334">
        <v>8298541</v>
      </c>
      <c r="TMN525" s="1334">
        <v>8298541</v>
      </c>
      <c r="TMO525" s="1334">
        <v>8298541</v>
      </c>
      <c r="TMP525" s="1334">
        <v>8298541</v>
      </c>
      <c r="TMQ525" s="1334">
        <v>8298541</v>
      </c>
      <c r="TMR525" s="1334">
        <v>8298541</v>
      </c>
      <c r="TMS525" s="1334">
        <v>8298541</v>
      </c>
      <c r="TMT525" s="1334">
        <v>8298541</v>
      </c>
      <c r="TMU525" s="1334">
        <v>8298541</v>
      </c>
      <c r="TMV525" s="1334">
        <v>8298541</v>
      </c>
      <c r="TMW525" s="1334">
        <v>8298541</v>
      </c>
      <c r="TMX525" s="1334">
        <v>8298541</v>
      </c>
      <c r="TMY525" s="1334">
        <v>8298541</v>
      </c>
      <c r="TMZ525" s="1334">
        <v>8298541</v>
      </c>
      <c r="TNA525" s="1334">
        <v>8298541</v>
      </c>
      <c r="TNB525" s="1334">
        <v>8298541</v>
      </c>
      <c r="TNC525" s="1334">
        <v>8298541</v>
      </c>
      <c r="TND525" s="1334">
        <v>8298541</v>
      </c>
      <c r="TNE525" s="1334">
        <v>8298541</v>
      </c>
      <c r="TNF525" s="1334">
        <v>8298541</v>
      </c>
      <c r="TNG525" s="1334">
        <v>8298541</v>
      </c>
      <c r="TNH525" s="1334">
        <v>8298541</v>
      </c>
      <c r="TNI525" s="1334">
        <v>8298541</v>
      </c>
      <c r="TNJ525" s="1334">
        <v>8298541</v>
      </c>
      <c r="TNK525" s="1334">
        <v>8298541</v>
      </c>
      <c r="TNL525" s="1334">
        <v>8298541</v>
      </c>
      <c r="TNM525" s="1334">
        <v>8298541</v>
      </c>
      <c r="TNN525" s="1334">
        <v>8298541</v>
      </c>
      <c r="TNO525" s="1334">
        <v>8298541</v>
      </c>
      <c r="TNP525" s="1334">
        <v>8298541</v>
      </c>
      <c r="TNQ525" s="1334">
        <v>8298541</v>
      </c>
      <c r="TNR525" s="1334">
        <v>8298541</v>
      </c>
      <c r="TNS525" s="1334">
        <v>8298541</v>
      </c>
      <c r="TNT525" s="1334">
        <v>8298541</v>
      </c>
      <c r="TNU525" s="1334">
        <v>8298541</v>
      </c>
      <c r="TNV525" s="1334">
        <v>8298541</v>
      </c>
      <c r="TNW525" s="1334">
        <v>8298541</v>
      </c>
      <c r="TNX525" s="1334">
        <v>8298541</v>
      </c>
      <c r="TNY525" s="1334">
        <v>8298541</v>
      </c>
      <c r="TNZ525" s="1334">
        <v>8298541</v>
      </c>
      <c r="TOA525" s="1334">
        <v>8298541</v>
      </c>
      <c r="TOB525" s="1334">
        <v>8298541</v>
      </c>
      <c r="TOC525" s="1334">
        <v>8298541</v>
      </c>
      <c r="TOD525" s="1334">
        <v>8298541</v>
      </c>
      <c r="TOE525" s="1334">
        <v>8298541</v>
      </c>
      <c r="TOF525" s="1334">
        <v>8298541</v>
      </c>
      <c r="TOG525" s="1334">
        <v>8298541</v>
      </c>
      <c r="TOH525" s="1334">
        <v>8298541</v>
      </c>
      <c r="TOI525" s="1334">
        <v>8298541</v>
      </c>
      <c r="TOJ525" s="1334">
        <v>8298541</v>
      </c>
      <c r="TOK525" s="1334">
        <v>8298541</v>
      </c>
      <c r="TOL525" s="1334">
        <v>8298541</v>
      </c>
      <c r="TOM525" s="1334">
        <v>8298541</v>
      </c>
      <c r="TON525" s="1334">
        <v>8298541</v>
      </c>
      <c r="TOO525" s="1334">
        <v>8298541</v>
      </c>
      <c r="TOP525" s="1334">
        <v>8298541</v>
      </c>
      <c r="TOQ525" s="1334">
        <v>8298541</v>
      </c>
      <c r="TOR525" s="1334">
        <v>8298541</v>
      </c>
      <c r="TOS525" s="1334">
        <v>8298541</v>
      </c>
      <c r="TOT525" s="1334">
        <v>8298541</v>
      </c>
      <c r="TOU525" s="1334">
        <v>8298541</v>
      </c>
      <c r="TOV525" s="1334">
        <v>8298541</v>
      </c>
      <c r="TOW525" s="1334">
        <v>8298541</v>
      </c>
      <c r="TOX525" s="1334">
        <v>8298541</v>
      </c>
      <c r="TOY525" s="1334">
        <v>8298541</v>
      </c>
      <c r="TOZ525" s="1334">
        <v>8298541</v>
      </c>
      <c r="TPA525" s="1334">
        <v>8298541</v>
      </c>
      <c r="TPB525" s="1334">
        <v>8298541</v>
      </c>
      <c r="TPC525" s="1334">
        <v>8298541</v>
      </c>
      <c r="TPD525" s="1334">
        <v>8298541</v>
      </c>
      <c r="TPE525" s="1334">
        <v>8298541</v>
      </c>
      <c r="TPF525" s="1334">
        <v>8298541</v>
      </c>
      <c r="TPG525" s="1334">
        <v>8298541</v>
      </c>
      <c r="TPH525" s="1334">
        <v>8298541</v>
      </c>
      <c r="TPI525" s="1334">
        <v>8298541</v>
      </c>
      <c r="TPJ525" s="1334">
        <v>8298541</v>
      </c>
      <c r="TPK525" s="1334">
        <v>8298541</v>
      </c>
      <c r="TPL525" s="1334">
        <v>8298541</v>
      </c>
      <c r="TPM525" s="1334">
        <v>8298541</v>
      </c>
      <c r="TPN525" s="1334">
        <v>8298541</v>
      </c>
      <c r="TPO525" s="1334">
        <v>8298541</v>
      </c>
      <c r="TPP525" s="1334">
        <v>8298541</v>
      </c>
      <c r="TPQ525" s="1334">
        <v>8298541</v>
      </c>
      <c r="TPR525" s="1334">
        <v>8298541</v>
      </c>
      <c r="TPS525" s="1334">
        <v>8298541</v>
      </c>
      <c r="TPT525" s="1334">
        <v>8298541</v>
      </c>
      <c r="TPU525" s="1334">
        <v>8298541</v>
      </c>
      <c r="TPV525" s="1334">
        <v>8298541</v>
      </c>
      <c r="TPW525" s="1334">
        <v>8298541</v>
      </c>
      <c r="TPX525" s="1334">
        <v>8298541</v>
      </c>
      <c r="TPY525" s="1334">
        <v>8298541</v>
      </c>
      <c r="TPZ525" s="1334">
        <v>8298541</v>
      </c>
      <c r="TQA525" s="1334">
        <v>8298541</v>
      </c>
      <c r="TQB525" s="1334">
        <v>8298541</v>
      </c>
      <c r="TQC525" s="1334">
        <v>8298541</v>
      </c>
      <c r="TQD525" s="1334">
        <v>8298541</v>
      </c>
      <c r="TQE525" s="1334">
        <v>8298541</v>
      </c>
      <c r="TQF525" s="1334">
        <v>8298541</v>
      </c>
      <c r="TQG525" s="1334">
        <v>8298541</v>
      </c>
      <c r="TQH525" s="1334">
        <v>8298541</v>
      </c>
      <c r="TQI525" s="1334">
        <v>8298541</v>
      </c>
      <c r="TQJ525" s="1334">
        <v>8298541</v>
      </c>
      <c r="TQK525" s="1334">
        <v>8298541</v>
      </c>
      <c r="TQL525" s="1334">
        <v>8298541</v>
      </c>
      <c r="TQM525" s="1334">
        <v>8298541</v>
      </c>
      <c r="TQN525" s="1334">
        <v>8298541</v>
      </c>
      <c r="TQO525" s="1334">
        <v>8298541</v>
      </c>
      <c r="TQP525" s="1334">
        <v>8298541</v>
      </c>
      <c r="TQQ525" s="1334">
        <v>8298541</v>
      </c>
      <c r="TQR525" s="1334">
        <v>8298541</v>
      </c>
      <c r="TQS525" s="1334">
        <v>8298541</v>
      </c>
      <c r="TQT525" s="1334">
        <v>8298541</v>
      </c>
      <c r="TQU525" s="1334">
        <v>8298541</v>
      </c>
      <c r="TQV525" s="1334">
        <v>8298541</v>
      </c>
      <c r="TQW525" s="1334">
        <v>8298541</v>
      </c>
      <c r="TQX525" s="1334">
        <v>8298541</v>
      </c>
      <c r="TQY525" s="1334">
        <v>8298541</v>
      </c>
      <c r="TQZ525" s="1334">
        <v>8298541</v>
      </c>
      <c r="TRA525" s="1334">
        <v>8298541</v>
      </c>
      <c r="TRB525" s="1334">
        <v>8298541</v>
      </c>
      <c r="TRC525" s="1334">
        <v>8298541</v>
      </c>
      <c r="TRD525" s="1334">
        <v>8298541</v>
      </c>
      <c r="TRE525" s="1334">
        <v>8298541</v>
      </c>
      <c r="TRF525" s="1334">
        <v>8298541</v>
      </c>
      <c r="TRG525" s="1334">
        <v>8298541</v>
      </c>
      <c r="TRH525" s="1334">
        <v>8298541</v>
      </c>
      <c r="TRI525" s="1334">
        <v>8298541</v>
      </c>
      <c r="TRJ525" s="1334">
        <v>8298541</v>
      </c>
      <c r="TRK525" s="1334">
        <v>8298541</v>
      </c>
      <c r="TRL525" s="1334">
        <v>8298541</v>
      </c>
      <c r="TRM525" s="1334">
        <v>8298541</v>
      </c>
      <c r="TRN525" s="1334">
        <v>8298541</v>
      </c>
      <c r="TRO525" s="1334">
        <v>8298541</v>
      </c>
      <c r="TRP525" s="1334">
        <v>8298541</v>
      </c>
      <c r="TRQ525" s="1334">
        <v>8298541</v>
      </c>
      <c r="TRR525" s="1334">
        <v>8298541</v>
      </c>
      <c r="TRS525" s="1334">
        <v>8298541</v>
      </c>
      <c r="TRT525" s="1334">
        <v>8298541</v>
      </c>
      <c r="TRU525" s="1334">
        <v>8298541</v>
      </c>
      <c r="TRV525" s="1334">
        <v>8298541</v>
      </c>
      <c r="TRW525" s="1334">
        <v>8298541</v>
      </c>
      <c r="TRX525" s="1334">
        <v>8298541</v>
      </c>
      <c r="TRY525" s="1334">
        <v>8298541</v>
      </c>
      <c r="TRZ525" s="1334">
        <v>8298541</v>
      </c>
      <c r="TSA525" s="1334">
        <v>8298541</v>
      </c>
      <c r="TSB525" s="1334">
        <v>8298541</v>
      </c>
      <c r="TSC525" s="1334">
        <v>8298541</v>
      </c>
      <c r="TSD525" s="1334">
        <v>8298541</v>
      </c>
      <c r="TSE525" s="1334">
        <v>8298541</v>
      </c>
      <c r="TSF525" s="1334">
        <v>8298541</v>
      </c>
      <c r="TSG525" s="1334">
        <v>8298541</v>
      </c>
      <c r="TSH525" s="1334">
        <v>8298541</v>
      </c>
      <c r="TSI525" s="1334">
        <v>8298541</v>
      </c>
      <c r="TSJ525" s="1334">
        <v>8298541</v>
      </c>
      <c r="TSK525" s="1334">
        <v>8298541</v>
      </c>
      <c r="TSL525" s="1334">
        <v>8298541</v>
      </c>
      <c r="TSM525" s="1334">
        <v>8298541</v>
      </c>
      <c r="TSN525" s="1334">
        <v>8298541</v>
      </c>
      <c r="TSO525" s="1334">
        <v>8298541</v>
      </c>
      <c r="TSP525" s="1334">
        <v>8298541</v>
      </c>
      <c r="TSQ525" s="1334">
        <v>8298541</v>
      </c>
      <c r="TSR525" s="1334">
        <v>8298541</v>
      </c>
      <c r="TSS525" s="1334">
        <v>8298541</v>
      </c>
      <c r="TST525" s="1334">
        <v>8298541</v>
      </c>
      <c r="TSU525" s="1334">
        <v>8298541</v>
      </c>
      <c r="TSV525" s="1334">
        <v>8298541</v>
      </c>
      <c r="TSW525" s="1334">
        <v>8298541</v>
      </c>
      <c r="TSX525" s="1334">
        <v>8298541</v>
      </c>
      <c r="TSY525" s="1334">
        <v>8298541</v>
      </c>
      <c r="TSZ525" s="1334">
        <v>8298541</v>
      </c>
      <c r="TTA525" s="1334">
        <v>8298541</v>
      </c>
      <c r="TTB525" s="1334">
        <v>8298541</v>
      </c>
      <c r="TTC525" s="1334">
        <v>8298541</v>
      </c>
      <c r="TTD525" s="1334">
        <v>8298541</v>
      </c>
      <c r="TTE525" s="1334">
        <v>8298541</v>
      </c>
      <c r="TTF525" s="1334">
        <v>8298541</v>
      </c>
      <c r="TTG525" s="1334">
        <v>8298541</v>
      </c>
      <c r="TTH525" s="1334">
        <v>8298541</v>
      </c>
      <c r="TTI525" s="1334">
        <v>8298541</v>
      </c>
      <c r="TTJ525" s="1334">
        <v>8298541</v>
      </c>
      <c r="TTK525" s="1334">
        <v>8298541</v>
      </c>
      <c r="TTL525" s="1334">
        <v>8298541</v>
      </c>
      <c r="TTM525" s="1334">
        <v>8298541</v>
      </c>
      <c r="TTN525" s="1334">
        <v>8298541</v>
      </c>
      <c r="TTO525" s="1334">
        <v>8298541</v>
      </c>
      <c r="TTP525" s="1334">
        <v>8298541</v>
      </c>
      <c r="TTQ525" s="1334">
        <v>8298541</v>
      </c>
      <c r="TTR525" s="1334">
        <v>8298541</v>
      </c>
      <c r="TTS525" s="1334">
        <v>8298541</v>
      </c>
      <c r="TTT525" s="1334">
        <v>8298541</v>
      </c>
      <c r="TTU525" s="1334">
        <v>8298541</v>
      </c>
      <c r="TTV525" s="1334">
        <v>8298541</v>
      </c>
      <c r="TTW525" s="1334">
        <v>8298541</v>
      </c>
      <c r="TTX525" s="1334">
        <v>8298541</v>
      </c>
      <c r="TTY525" s="1334">
        <v>8298541</v>
      </c>
      <c r="TTZ525" s="1334">
        <v>8298541</v>
      </c>
      <c r="TUA525" s="1334">
        <v>8298541</v>
      </c>
      <c r="TUB525" s="1334">
        <v>8298541</v>
      </c>
      <c r="TUC525" s="1334">
        <v>8298541</v>
      </c>
      <c r="TUD525" s="1334">
        <v>8298541</v>
      </c>
      <c r="TUE525" s="1334">
        <v>8298541</v>
      </c>
      <c r="TUF525" s="1334">
        <v>8298541</v>
      </c>
      <c r="TUG525" s="1334">
        <v>8298541</v>
      </c>
      <c r="TUH525" s="1334">
        <v>8298541</v>
      </c>
      <c r="TUI525" s="1334">
        <v>8298541</v>
      </c>
      <c r="TUJ525" s="1334">
        <v>8298541</v>
      </c>
      <c r="TUK525" s="1334">
        <v>8298541</v>
      </c>
      <c r="TUL525" s="1334">
        <v>8298541</v>
      </c>
      <c r="TUM525" s="1334">
        <v>8298541</v>
      </c>
      <c r="TUN525" s="1334">
        <v>8298541</v>
      </c>
      <c r="TUO525" s="1334">
        <v>8298541</v>
      </c>
      <c r="TUP525" s="1334">
        <v>8298541</v>
      </c>
      <c r="TUQ525" s="1334">
        <v>8298541</v>
      </c>
      <c r="TUR525" s="1334">
        <v>8298541</v>
      </c>
      <c r="TUS525" s="1334">
        <v>8298541</v>
      </c>
      <c r="TUT525" s="1334">
        <v>8298541</v>
      </c>
      <c r="TUU525" s="1334">
        <v>8298541</v>
      </c>
      <c r="TUV525" s="1334">
        <v>8298541</v>
      </c>
      <c r="TUW525" s="1334">
        <v>8298541</v>
      </c>
      <c r="TUX525" s="1334">
        <v>8298541</v>
      </c>
      <c r="TUY525" s="1334">
        <v>8298541</v>
      </c>
      <c r="TUZ525" s="1334">
        <v>8298541</v>
      </c>
      <c r="TVA525" s="1334">
        <v>8298541</v>
      </c>
      <c r="TVB525" s="1334">
        <v>8298541</v>
      </c>
      <c r="TVC525" s="1334">
        <v>8298541</v>
      </c>
      <c r="TVD525" s="1334">
        <v>8298541</v>
      </c>
      <c r="TVE525" s="1334">
        <v>8298541</v>
      </c>
      <c r="TVF525" s="1334">
        <v>8298541</v>
      </c>
      <c r="TVG525" s="1334">
        <v>8298541</v>
      </c>
      <c r="TVH525" s="1334">
        <v>8298541</v>
      </c>
      <c r="TVI525" s="1334">
        <v>8298541</v>
      </c>
      <c r="TVJ525" s="1334">
        <v>8298541</v>
      </c>
      <c r="TVK525" s="1334">
        <v>8298541</v>
      </c>
      <c r="TVL525" s="1334">
        <v>8298541</v>
      </c>
      <c r="TVM525" s="1334">
        <v>8298541</v>
      </c>
      <c r="TVN525" s="1334">
        <v>8298541</v>
      </c>
      <c r="TVO525" s="1334">
        <v>8298541</v>
      </c>
      <c r="TVP525" s="1334">
        <v>8298541</v>
      </c>
      <c r="TVQ525" s="1334">
        <v>8298541</v>
      </c>
      <c r="TVR525" s="1334">
        <v>8298541</v>
      </c>
      <c r="TVS525" s="1334">
        <v>8298541</v>
      </c>
      <c r="TVT525" s="1334">
        <v>8298541</v>
      </c>
      <c r="TVU525" s="1334">
        <v>8298541</v>
      </c>
      <c r="TVV525" s="1334">
        <v>8298541</v>
      </c>
      <c r="TVW525" s="1334">
        <v>8298541</v>
      </c>
      <c r="TVX525" s="1334">
        <v>8298541</v>
      </c>
      <c r="TVY525" s="1334">
        <v>8298541</v>
      </c>
      <c r="TVZ525" s="1334">
        <v>8298541</v>
      </c>
      <c r="TWA525" s="1334">
        <v>8298541</v>
      </c>
      <c r="TWB525" s="1334">
        <v>8298541</v>
      </c>
      <c r="TWC525" s="1334">
        <v>8298541</v>
      </c>
      <c r="TWD525" s="1334">
        <v>8298541</v>
      </c>
      <c r="TWE525" s="1334">
        <v>8298541</v>
      </c>
      <c r="TWF525" s="1334">
        <v>8298541</v>
      </c>
      <c r="TWG525" s="1334">
        <v>8298541</v>
      </c>
      <c r="TWH525" s="1334">
        <v>8298541</v>
      </c>
      <c r="TWI525" s="1334">
        <v>8298541</v>
      </c>
      <c r="TWJ525" s="1334">
        <v>8298541</v>
      </c>
      <c r="TWK525" s="1334">
        <v>8298541</v>
      </c>
      <c r="TWL525" s="1334">
        <v>8298541</v>
      </c>
      <c r="TWM525" s="1334">
        <v>8298541</v>
      </c>
      <c r="TWN525" s="1334">
        <v>8298541</v>
      </c>
      <c r="TWO525" s="1334">
        <v>8298541</v>
      </c>
      <c r="TWP525" s="1334">
        <v>8298541</v>
      </c>
      <c r="TWQ525" s="1334">
        <v>8298541</v>
      </c>
      <c r="TWR525" s="1334">
        <v>8298541</v>
      </c>
      <c r="TWS525" s="1334">
        <v>8298541</v>
      </c>
      <c r="TWT525" s="1334">
        <v>8298541</v>
      </c>
      <c r="TWU525" s="1334">
        <v>8298541</v>
      </c>
      <c r="TWV525" s="1334">
        <v>8298541</v>
      </c>
      <c r="TWW525" s="1334">
        <v>8298541</v>
      </c>
      <c r="TWX525" s="1334">
        <v>8298541</v>
      </c>
      <c r="TWY525" s="1334">
        <v>8298541</v>
      </c>
      <c r="TWZ525" s="1334">
        <v>8298541</v>
      </c>
      <c r="TXA525" s="1334">
        <v>8298541</v>
      </c>
      <c r="TXB525" s="1334">
        <v>8298541</v>
      </c>
      <c r="TXC525" s="1334">
        <v>8298541</v>
      </c>
      <c r="TXD525" s="1334">
        <v>8298541</v>
      </c>
      <c r="TXE525" s="1334">
        <v>8298541</v>
      </c>
      <c r="TXF525" s="1334">
        <v>8298541</v>
      </c>
      <c r="TXG525" s="1334">
        <v>8298541</v>
      </c>
      <c r="TXH525" s="1334">
        <v>8298541</v>
      </c>
      <c r="TXI525" s="1334">
        <v>8298541</v>
      </c>
      <c r="TXJ525" s="1334">
        <v>8298541</v>
      </c>
      <c r="TXK525" s="1334">
        <v>8298541</v>
      </c>
      <c r="TXL525" s="1334">
        <v>8298541</v>
      </c>
      <c r="TXM525" s="1334">
        <v>8298541</v>
      </c>
      <c r="TXN525" s="1334">
        <v>8298541</v>
      </c>
      <c r="TXO525" s="1334">
        <v>8298541</v>
      </c>
      <c r="TXP525" s="1334">
        <v>8298541</v>
      </c>
      <c r="TXQ525" s="1334">
        <v>8298541</v>
      </c>
      <c r="TXR525" s="1334">
        <v>8298541</v>
      </c>
      <c r="TXS525" s="1334">
        <v>8298541</v>
      </c>
      <c r="TXT525" s="1334">
        <v>8298541</v>
      </c>
      <c r="TXU525" s="1334">
        <v>8298541</v>
      </c>
      <c r="TXV525" s="1334">
        <v>8298541</v>
      </c>
      <c r="TXW525" s="1334">
        <v>8298541</v>
      </c>
      <c r="TXX525" s="1334">
        <v>8298541</v>
      </c>
      <c r="TXY525" s="1334">
        <v>8298541</v>
      </c>
      <c r="TXZ525" s="1334">
        <v>8298541</v>
      </c>
      <c r="TYA525" s="1334">
        <v>8298541</v>
      </c>
      <c r="TYB525" s="1334">
        <v>8298541</v>
      </c>
      <c r="TYC525" s="1334">
        <v>8298541</v>
      </c>
      <c r="TYD525" s="1334">
        <v>8298541</v>
      </c>
      <c r="TYE525" s="1334">
        <v>8298541</v>
      </c>
      <c r="TYF525" s="1334">
        <v>8298541</v>
      </c>
      <c r="TYG525" s="1334">
        <v>8298541</v>
      </c>
      <c r="TYH525" s="1334">
        <v>8298541</v>
      </c>
      <c r="TYI525" s="1334">
        <v>8298541</v>
      </c>
      <c r="TYJ525" s="1334">
        <v>8298541</v>
      </c>
      <c r="TYK525" s="1334">
        <v>8298541</v>
      </c>
      <c r="TYL525" s="1334">
        <v>8298541</v>
      </c>
      <c r="TYM525" s="1334">
        <v>8298541</v>
      </c>
      <c r="TYN525" s="1334">
        <v>8298541</v>
      </c>
      <c r="TYO525" s="1334">
        <v>8298541</v>
      </c>
      <c r="TYP525" s="1334">
        <v>8298541</v>
      </c>
      <c r="TYQ525" s="1334">
        <v>8298541</v>
      </c>
      <c r="TYR525" s="1334">
        <v>8298541</v>
      </c>
      <c r="TYS525" s="1334">
        <v>8298541</v>
      </c>
      <c r="TYT525" s="1334">
        <v>8298541</v>
      </c>
      <c r="TYU525" s="1334">
        <v>8298541</v>
      </c>
      <c r="TYV525" s="1334">
        <v>8298541</v>
      </c>
      <c r="TYW525" s="1334">
        <v>8298541</v>
      </c>
      <c r="TYX525" s="1334">
        <v>8298541</v>
      </c>
      <c r="TYY525" s="1334">
        <v>8298541</v>
      </c>
      <c r="TYZ525" s="1334">
        <v>8298541</v>
      </c>
      <c r="TZA525" s="1334">
        <v>8298541</v>
      </c>
      <c r="TZB525" s="1334">
        <v>8298541</v>
      </c>
      <c r="TZC525" s="1334">
        <v>8298541</v>
      </c>
      <c r="TZD525" s="1334">
        <v>8298541</v>
      </c>
      <c r="TZE525" s="1334">
        <v>8298541</v>
      </c>
      <c r="TZF525" s="1334">
        <v>8298541</v>
      </c>
      <c r="TZG525" s="1334">
        <v>8298541</v>
      </c>
      <c r="TZH525" s="1334">
        <v>8298541</v>
      </c>
      <c r="TZI525" s="1334">
        <v>8298541</v>
      </c>
      <c r="TZJ525" s="1334">
        <v>8298541</v>
      </c>
      <c r="TZK525" s="1334">
        <v>8298541</v>
      </c>
      <c r="TZL525" s="1334">
        <v>8298541</v>
      </c>
      <c r="TZM525" s="1334">
        <v>8298541</v>
      </c>
      <c r="TZN525" s="1334">
        <v>8298541</v>
      </c>
      <c r="TZO525" s="1334">
        <v>8298541</v>
      </c>
      <c r="TZP525" s="1334">
        <v>8298541</v>
      </c>
      <c r="TZQ525" s="1334">
        <v>8298541</v>
      </c>
      <c r="TZR525" s="1334">
        <v>8298541</v>
      </c>
      <c r="TZS525" s="1334">
        <v>8298541</v>
      </c>
      <c r="TZT525" s="1334">
        <v>8298541</v>
      </c>
      <c r="TZU525" s="1334">
        <v>8298541</v>
      </c>
      <c r="TZV525" s="1334">
        <v>8298541</v>
      </c>
      <c r="TZW525" s="1334">
        <v>8298541</v>
      </c>
      <c r="TZX525" s="1334">
        <v>8298541</v>
      </c>
      <c r="TZY525" s="1334">
        <v>8298541</v>
      </c>
      <c r="TZZ525" s="1334">
        <v>8298541</v>
      </c>
      <c r="UAA525" s="1334">
        <v>8298541</v>
      </c>
      <c r="UAB525" s="1334">
        <v>8298541</v>
      </c>
      <c r="UAC525" s="1334">
        <v>8298541</v>
      </c>
      <c r="UAD525" s="1334">
        <v>8298541</v>
      </c>
      <c r="UAE525" s="1334">
        <v>8298541</v>
      </c>
      <c r="UAF525" s="1334">
        <v>8298541</v>
      </c>
      <c r="UAG525" s="1334">
        <v>8298541</v>
      </c>
      <c r="UAH525" s="1334">
        <v>8298541</v>
      </c>
      <c r="UAI525" s="1334">
        <v>8298541</v>
      </c>
      <c r="UAJ525" s="1334">
        <v>8298541</v>
      </c>
      <c r="UAK525" s="1334">
        <v>8298541</v>
      </c>
      <c r="UAL525" s="1334">
        <v>8298541</v>
      </c>
      <c r="UAM525" s="1334">
        <v>8298541</v>
      </c>
      <c r="UAN525" s="1334">
        <v>8298541</v>
      </c>
      <c r="UAO525" s="1334">
        <v>8298541</v>
      </c>
      <c r="UAP525" s="1334">
        <v>8298541</v>
      </c>
      <c r="UAQ525" s="1334">
        <v>8298541</v>
      </c>
      <c r="UAR525" s="1334">
        <v>8298541</v>
      </c>
      <c r="UAS525" s="1334">
        <v>8298541</v>
      </c>
      <c r="UAT525" s="1334">
        <v>8298541</v>
      </c>
      <c r="UAU525" s="1334">
        <v>8298541</v>
      </c>
      <c r="UAV525" s="1334">
        <v>8298541</v>
      </c>
      <c r="UAW525" s="1334">
        <v>8298541</v>
      </c>
      <c r="UAX525" s="1334">
        <v>8298541</v>
      </c>
      <c r="UAY525" s="1334">
        <v>8298541</v>
      </c>
      <c r="UAZ525" s="1334">
        <v>8298541</v>
      </c>
      <c r="UBA525" s="1334">
        <v>8298541</v>
      </c>
      <c r="UBB525" s="1334">
        <v>8298541</v>
      </c>
      <c r="UBC525" s="1334">
        <v>8298541</v>
      </c>
      <c r="UBD525" s="1334">
        <v>8298541</v>
      </c>
      <c r="UBE525" s="1334">
        <v>8298541</v>
      </c>
      <c r="UBF525" s="1334">
        <v>8298541</v>
      </c>
      <c r="UBG525" s="1334">
        <v>8298541</v>
      </c>
      <c r="UBH525" s="1334">
        <v>8298541</v>
      </c>
      <c r="UBI525" s="1334">
        <v>8298541</v>
      </c>
      <c r="UBJ525" s="1334">
        <v>8298541</v>
      </c>
      <c r="UBK525" s="1334">
        <v>8298541</v>
      </c>
      <c r="UBL525" s="1334">
        <v>8298541</v>
      </c>
      <c r="UBM525" s="1334">
        <v>8298541</v>
      </c>
      <c r="UBN525" s="1334">
        <v>8298541</v>
      </c>
      <c r="UBO525" s="1334">
        <v>8298541</v>
      </c>
      <c r="UBP525" s="1334">
        <v>8298541</v>
      </c>
      <c r="UBQ525" s="1334">
        <v>8298541</v>
      </c>
      <c r="UBR525" s="1334">
        <v>8298541</v>
      </c>
      <c r="UBS525" s="1334">
        <v>8298541</v>
      </c>
      <c r="UBT525" s="1334">
        <v>8298541</v>
      </c>
      <c r="UBU525" s="1334">
        <v>8298541</v>
      </c>
      <c r="UBV525" s="1334">
        <v>8298541</v>
      </c>
      <c r="UBW525" s="1334">
        <v>8298541</v>
      </c>
      <c r="UBX525" s="1334">
        <v>8298541</v>
      </c>
      <c r="UBY525" s="1334">
        <v>8298541</v>
      </c>
      <c r="UBZ525" s="1334">
        <v>8298541</v>
      </c>
      <c r="UCA525" s="1334">
        <v>8298541</v>
      </c>
      <c r="UCB525" s="1334">
        <v>8298541</v>
      </c>
      <c r="UCC525" s="1334">
        <v>8298541</v>
      </c>
      <c r="UCD525" s="1334">
        <v>8298541</v>
      </c>
      <c r="UCE525" s="1334">
        <v>8298541</v>
      </c>
      <c r="UCF525" s="1334">
        <v>8298541</v>
      </c>
      <c r="UCG525" s="1334">
        <v>8298541</v>
      </c>
      <c r="UCH525" s="1334">
        <v>8298541</v>
      </c>
      <c r="UCI525" s="1334">
        <v>8298541</v>
      </c>
      <c r="UCJ525" s="1334">
        <v>8298541</v>
      </c>
      <c r="UCK525" s="1334">
        <v>8298541</v>
      </c>
      <c r="UCL525" s="1334">
        <v>8298541</v>
      </c>
      <c r="UCM525" s="1334">
        <v>8298541</v>
      </c>
      <c r="UCN525" s="1334">
        <v>8298541</v>
      </c>
      <c r="UCO525" s="1334">
        <v>8298541</v>
      </c>
      <c r="UCP525" s="1334">
        <v>8298541</v>
      </c>
      <c r="UCQ525" s="1334">
        <v>8298541</v>
      </c>
      <c r="UCR525" s="1334">
        <v>8298541</v>
      </c>
      <c r="UCS525" s="1334">
        <v>8298541</v>
      </c>
      <c r="UCT525" s="1334">
        <v>8298541</v>
      </c>
      <c r="UCU525" s="1334">
        <v>8298541</v>
      </c>
      <c r="UCV525" s="1334">
        <v>8298541</v>
      </c>
      <c r="UCW525" s="1334">
        <v>8298541</v>
      </c>
      <c r="UCX525" s="1334">
        <v>8298541</v>
      </c>
      <c r="UCY525" s="1334">
        <v>8298541</v>
      </c>
      <c r="UCZ525" s="1334">
        <v>8298541</v>
      </c>
      <c r="UDA525" s="1334">
        <v>8298541</v>
      </c>
      <c r="UDB525" s="1334">
        <v>8298541</v>
      </c>
      <c r="UDC525" s="1334">
        <v>8298541</v>
      </c>
      <c r="UDD525" s="1334">
        <v>8298541</v>
      </c>
      <c r="UDE525" s="1334">
        <v>8298541</v>
      </c>
      <c r="UDF525" s="1334">
        <v>8298541</v>
      </c>
      <c r="UDG525" s="1334">
        <v>8298541</v>
      </c>
      <c r="UDH525" s="1334">
        <v>8298541</v>
      </c>
      <c r="UDI525" s="1334">
        <v>8298541</v>
      </c>
      <c r="UDJ525" s="1334">
        <v>8298541</v>
      </c>
      <c r="UDK525" s="1334">
        <v>8298541</v>
      </c>
      <c r="UDL525" s="1334">
        <v>8298541</v>
      </c>
      <c r="UDM525" s="1334">
        <v>8298541</v>
      </c>
      <c r="UDN525" s="1334">
        <v>8298541</v>
      </c>
      <c r="UDO525" s="1334">
        <v>8298541</v>
      </c>
      <c r="UDP525" s="1334">
        <v>8298541</v>
      </c>
      <c r="UDQ525" s="1334">
        <v>8298541</v>
      </c>
      <c r="UDR525" s="1334">
        <v>8298541</v>
      </c>
      <c r="UDS525" s="1334">
        <v>8298541</v>
      </c>
      <c r="UDT525" s="1334">
        <v>8298541</v>
      </c>
      <c r="UDU525" s="1334">
        <v>8298541</v>
      </c>
      <c r="UDV525" s="1334">
        <v>8298541</v>
      </c>
      <c r="UDW525" s="1334">
        <v>8298541</v>
      </c>
      <c r="UDX525" s="1334">
        <v>8298541</v>
      </c>
      <c r="UDY525" s="1334">
        <v>8298541</v>
      </c>
      <c r="UDZ525" s="1334">
        <v>8298541</v>
      </c>
      <c r="UEA525" s="1334">
        <v>8298541</v>
      </c>
      <c r="UEB525" s="1334">
        <v>8298541</v>
      </c>
      <c r="UEC525" s="1334">
        <v>8298541</v>
      </c>
      <c r="UED525" s="1334">
        <v>8298541</v>
      </c>
      <c r="UEE525" s="1334">
        <v>8298541</v>
      </c>
      <c r="UEF525" s="1334">
        <v>8298541</v>
      </c>
      <c r="UEG525" s="1334">
        <v>8298541</v>
      </c>
      <c r="UEH525" s="1334">
        <v>8298541</v>
      </c>
      <c r="UEI525" s="1334">
        <v>8298541</v>
      </c>
      <c r="UEJ525" s="1334">
        <v>8298541</v>
      </c>
      <c r="UEK525" s="1334">
        <v>8298541</v>
      </c>
      <c r="UEL525" s="1334">
        <v>8298541</v>
      </c>
      <c r="UEM525" s="1334">
        <v>8298541</v>
      </c>
      <c r="UEN525" s="1334">
        <v>8298541</v>
      </c>
      <c r="UEO525" s="1334">
        <v>8298541</v>
      </c>
      <c r="UEP525" s="1334">
        <v>8298541</v>
      </c>
      <c r="UEQ525" s="1334">
        <v>8298541</v>
      </c>
      <c r="UER525" s="1334">
        <v>8298541</v>
      </c>
      <c r="UES525" s="1334">
        <v>8298541</v>
      </c>
      <c r="UET525" s="1334">
        <v>8298541</v>
      </c>
      <c r="UEU525" s="1334">
        <v>8298541</v>
      </c>
      <c r="UEV525" s="1334">
        <v>8298541</v>
      </c>
      <c r="UEW525" s="1334">
        <v>8298541</v>
      </c>
      <c r="UEX525" s="1334">
        <v>8298541</v>
      </c>
      <c r="UEY525" s="1334">
        <v>8298541</v>
      </c>
      <c r="UEZ525" s="1334">
        <v>8298541</v>
      </c>
      <c r="UFA525" s="1334">
        <v>8298541</v>
      </c>
      <c r="UFB525" s="1334">
        <v>8298541</v>
      </c>
      <c r="UFC525" s="1334">
        <v>8298541</v>
      </c>
      <c r="UFD525" s="1334">
        <v>8298541</v>
      </c>
      <c r="UFE525" s="1334">
        <v>8298541</v>
      </c>
      <c r="UFF525" s="1334">
        <v>8298541</v>
      </c>
      <c r="UFG525" s="1334">
        <v>8298541</v>
      </c>
      <c r="UFH525" s="1334">
        <v>8298541</v>
      </c>
      <c r="UFI525" s="1334">
        <v>8298541</v>
      </c>
      <c r="UFJ525" s="1334">
        <v>8298541</v>
      </c>
      <c r="UFK525" s="1334">
        <v>8298541</v>
      </c>
      <c r="UFL525" s="1334">
        <v>8298541</v>
      </c>
      <c r="UFM525" s="1334">
        <v>8298541</v>
      </c>
      <c r="UFN525" s="1334">
        <v>8298541</v>
      </c>
      <c r="UFO525" s="1334">
        <v>8298541</v>
      </c>
      <c r="UFP525" s="1334">
        <v>8298541</v>
      </c>
      <c r="UFQ525" s="1334">
        <v>8298541</v>
      </c>
      <c r="UFR525" s="1334">
        <v>8298541</v>
      </c>
      <c r="UFS525" s="1334">
        <v>8298541</v>
      </c>
      <c r="UFT525" s="1334">
        <v>8298541</v>
      </c>
      <c r="UFU525" s="1334">
        <v>8298541</v>
      </c>
      <c r="UFV525" s="1334">
        <v>8298541</v>
      </c>
      <c r="UFW525" s="1334">
        <v>8298541</v>
      </c>
      <c r="UFX525" s="1334">
        <v>8298541</v>
      </c>
      <c r="UFY525" s="1334">
        <v>8298541</v>
      </c>
      <c r="UFZ525" s="1334">
        <v>8298541</v>
      </c>
      <c r="UGA525" s="1334">
        <v>8298541</v>
      </c>
      <c r="UGB525" s="1334">
        <v>8298541</v>
      </c>
      <c r="UGC525" s="1334">
        <v>8298541</v>
      </c>
      <c r="UGD525" s="1334">
        <v>8298541</v>
      </c>
      <c r="UGE525" s="1334">
        <v>8298541</v>
      </c>
      <c r="UGF525" s="1334">
        <v>8298541</v>
      </c>
      <c r="UGG525" s="1334">
        <v>8298541</v>
      </c>
      <c r="UGH525" s="1334">
        <v>8298541</v>
      </c>
      <c r="UGI525" s="1334">
        <v>8298541</v>
      </c>
      <c r="UGJ525" s="1334">
        <v>8298541</v>
      </c>
      <c r="UGK525" s="1334">
        <v>8298541</v>
      </c>
      <c r="UGL525" s="1334">
        <v>8298541</v>
      </c>
      <c r="UGM525" s="1334">
        <v>8298541</v>
      </c>
      <c r="UGN525" s="1334">
        <v>8298541</v>
      </c>
      <c r="UGO525" s="1334">
        <v>8298541</v>
      </c>
      <c r="UGP525" s="1334">
        <v>8298541</v>
      </c>
      <c r="UGQ525" s="1334">
        <v>8298541</v>
      </c>
      <c r="UGR525" s="1334">
        <v>8298541</v>
      </c>
      <c r="UGS525" s="1334">
        <v>8298541</v>
      </c>
      <c r="UGT525" s="1334">
        <v>8298541</v>
      </c>
      <c r="UGU525" s="1334">
        <v>8298541</v>
      </c>
      <c r="UGV525" s="1334">
        <v>8298541</v>
      </c>
      <c r="UGW525" s="1334">
        <v>8298541</v>
      </c>
      <c r="UGX525" s="1334">
        <v>8298541</v>
      </c>
      <c r="UGY525" s="1334">
        <v>8298541</v>
      </c>
      <c r="UGZ525" s="1334">
        <v>8298541</v>
      </c>
      <c r="UHA525" s="1334">
        <v>8298541</v>
      </c>
      <c r="UHB525" s="1334">
        <v>8298541</v>
      </c>
      <c r="UHC525" s="1334">
        <v>8298541</v>
      </c>
      <c r="UHD525" s="1334">
        <v>8298541</v>
      </c>
      <c r="UHE525" s="1334">
        <v>8298541</v>
      </c>
      <c r="UHF525" s="1334">
        <v>8298541</v>
      </c>
      <c r="UHG525" s="1334">
        <v>8298541</v>
      </c>
      <c r="UHH525" s="1334">
        <v>8298541</v>
      </c>
      <c r="UHI525" s="1334">
        <v>8298541</v>
      </c>
      <c r="UHJ525" s="1334">
        <v>8298541</v>
      </c>
      <c r="UHK525" s="1334">
        <v>8298541</v>
      </c>
      <c r="UHL525" s="1334">
        <v>8298541</v>
      </c>
      <c r="UHM525" s="1334">
        <v>8298541</v>
      </c>
      <c r="UHN525" s="1334">
        <v>8298541</v>
      </c>
      <c r="UHO525" s="1334">
        <v>8298541</v>
      </c>
      <c r="UHP525" s="1334">
        <v>8298541</v>
      </c>
      <c r="UHQ525" s="1334">
        <v>8298541</v>
      </c>
      <c r="UHR525" s="1334">
        <v>8298541</v>
      </c>
      <c r="UHS525" s="1334">
        <v>8298541</v>
      </c>
      <c r="UHT525" s="1334">
        <v>8298541</v>
      </c>
      <c r="UHU525" s="1334">
        <v>8298541</v>
      </c>
      <c r="UHV525" s="1334">
        <v>8298541</v>
      </c>
      <c r="UHW525" s="1334">
        <v>8298541</v>
      </c>
      <c r="UHX525" s="1334">
        <v>8298541</v>
      </c>
      <c r="UHY525" s="1334">
        <v>8298541</v>
      </c>
      <c r="UHZ525" s="1334">
        <v>8298541</v>
      </c>
      <c r="UIA525" s="1334">
        <v>8298541</v>
      </c>
      <c r="UIB525" s="1334">
        <v>8298541</v>
      </c>
      <c r="UIC525" s="1334">
        <v>8298541</v>
      </c>
      <c r="UID525" s="1334">
        <v>8298541</v>
      </c>
      <c r="UIE525" s="1334">
        <v>8298541</v>
      </c>
      <c r="UIF525" s="1334">
        <v>8298541</v>
      </c>
      <c r="UIG525" s="1334">
        <v>8298541</v>
      </c>
      <c r="UIH525" s="1334">
        <v>8298541</v>
      </c>
      <c r="UII525" s="1334">
        <v>8298541</v>
      </c>
      <c r="UIJ525" s="1334">
        <v>8298541</v>
      </c>
      <c r="UIK525" s="1334">
        <v>8298541</v>
      </c>
      <c r="UIL525" s="1334">
        <v>8298541</v>
      </c>
      <c r="UIM525" s="1334">
        <v>8298541</v>
      </c>
      <c r="UIN525" s="1334">
        <v>8298541</v>
      </c>
      <c r="UIO525" s="1334">
        <v>8298541</v>
      </c>
      <c r="UIP525" s="1334">
        <v>8298541</v>
      </c>
      <c r="UIQ525" s="1334">
        <v>8298541</v>
      </c>
      <c r="UIR525" s="1334">
        <v>8298541</v>
      </c>
      <c r="UIS525" s="1334">
        <v>8298541</v>
      </c>
      <c r="UIT525" s="1334">
        <v>8298541</v>
      </c>
      <c r="UIU525" s="1334">
        <v>8298541</v>
      </c>
      <c r="UIV525" s="1334">
        <v>8298541</v>
      </c>
      <c r="UIW525" s="1334">
        <v>8298541</v>
      </c>
      <c r="UIX525" s="1334">
        <v>8298541</v>
      </c>
      <c r="UIY525" s="1334">
        <v>8298541</v>
      </c>
      <c r="UIZ525" s="1334">
        <v>8298541</v>
      </c>
      <c r="UJA525" s="1334">
        <v>8298541</v>
      </c>
      <c r="UJB525" s="1334">
        <v>8298541</v>
      </c>
      <c r="UJC525" s="1334">
        <v>8298541</v>
      </c>
      <c r="UJD525" s="1334">
        <v>8298541</v>
      </c>
      <c r="UJE525" s="1334">
        <v>8298541</v>
      </c>
      <c r="UJF525" s="1334">
        <v>8298541</v>
      </c>
      <c r="UJG525" s="1334">
        <v>8298541</v>
      </c>
      <c r="UJH525" s="1334">
        <v>8298541</v>
      </c>
      <c r="UJI525" s="1334">
        <v>8298541</v>
      </c>
      <c r="UJJ525" s="1334">
        <v>8298541</v>
      </c>
      <c r="UJK525" s="1334">
        <v>8298541</v>
      </c>
      <c r="UJL525" s="1334">
        <v>8298541</v>
      </c>
      <c r="UJM525" s="1334">
        <v>8298541</v>
      </c>
      <c r="UJN525" s="1334">
        <v>8298541</v>
      </c>
      <c r="UJO525" s="1334">
        <v>8298541</v>
      </c>
      <c r="UJP525" s="1334">
        <v>8298541</v>
      </c>
      <c r="UJQ525" s="1334">
        <v>8298541</v>
      </c>
      <c r="UJR525" s="1334">
        <v>8298541</v>
      </c>
      <c r="UJS525" s="1334">
        <v>8298541</v>
      </c>
      <c r="UJT525" s="1334">
        <v>8298541</v>
      </c>
      <c r="UJU525" s="1334">
        <v>8298541</v>
      </c>
      <c r="UJV525" s="1334">
        <v>8298541</v>
      </c>
      <c r="UJW525" s="1334">
        <v>8298541</v>
      </c>
      <c r="UJX525" s="1334">
        <v>8298541</v>
      </c>
      <c r="UJY525" s="1334">
        <v>8298541</v>
      </c>
      <c r="UJZ525" s="1334">
        <v>8298541</v>
      </c>
      <c r="UKA525" s="1334">
        <v>8298541</v>
      </c>
      <c r="UKB525" s="1334">
        <v>8298541</v>
      </c>
      <c r="UKC525" s="1334">
        <v>8298541</v>
      </c>
      <c r="UKD525" s="1334">
        <v>8298541</v>
      </c>
      <c r="UKE525" s="1334">
        <v>8298541</v>
      </c>
      <c r="UKF525" s="1334">
        <v>8298541</v>
      </c>
      <c r="UKG525" s="1334">
        <v>8298541</v>
      </c>
      <c r="UKH525" s="1334">
        <v>8298541</v>
      </c>
      <c r="UKI525" s="1334">
        <v>8298541</v>
      </c>
      <c r="UKJ525" s="1334">
        <v>8298541</v>
      </c>
      <c r="UKK525" s="1334">
        <v>8298541</v>
      </c>
      <c r="UKL525" s="1334">
        <v>8298541</v>
      </c>
      <c r="UKM525" s="1334">
        <v>8298541</v>
      </c>
      <c r="UKN525" s="1334">
        <v>8298541</v>
      </c>
      <c r="UKO525" s="1334">
        <v>8298541</v>
      </c>
      <c r="UKP525" s="1334">
        <v>8298541</v>
      </c>
      <c r="UKQ525" s="1334">
        <v>8298541</v>
      </c>
      <c r="UKR525" s="1334">
        <v>8298541</v>
      </c>
      <c r="UKS525" s="1334">
        <v>8298541</v>
      </c>
      <c r="UKT525" s="1334">
        <v>8298541</v>
      </c>
      <c r="UKU525" s="1334">
        <v>8298541</v>
      </c>
      <c r="UKV525" s="1334">
        <v>8298541</v>
      </c>
      <c r="UKW525" s="1334">
        <v>8298541</v>
      </c>
      <c r="UKX525" s="1334">
        <v>8298541</v>
      </c>
      <c r="UKY525" s="1334">
        <v>8298541</v>
      </c>
      <c r="UKZ525" s="1334">
        <v>8298541</v>
      </c>
      <c r="ULA525" s="1334">
        <v>8298541</v>
      </c>
      <c r="ULB525" s="1334">
        <v>8298541</v>
      </c>
      <c r="ULC525" s="1334">
        <v>8298541</v>
      </c>
      <c r="ULD525" s="1334">
        <v>8298541</v>
      </c>
      <c r="ULE525" s="1334">
        <v>8298541</v>
      </c>
      <c r="ULF525" s="1334">
        <v>8298541</v>
      </c>
      <c r="ULG525" s="1334">
        <v>8298541</v>
      </c>
      <c r="ULH525" s="1334">
        <v>8298541</v>
      </c>
      <c r="ULI525" s="1334">
        <v>8298541</v>
      </c>
      <c r="ULJ525" s="1334">
        <v>8298541</v>
      </c>
      <c r="ULK525" s="1334">
        <v>8298541</v>
      </c>
      <c r="ULL525" s="1334">
        <v>8298541</v>
      </c>
      <c r="ULM525" s="1334">
        <v>8298541</v>
      </c>
      <c r="ULN525" s="1334">
        <v>8298541</v>
      </c>
      <c r="ULO525" s="1334">
        <v>8298541</v>
      </c>
      <c r="ULP525" s="1334">
        <v>8298541</v>
      </c>
      <c r="ULQ525" s="1334">
        <v>8298541</v>
      </c>
      <c r="ULR525" s="1334">
        <v>8298541</v>
      </c>
      <c r="ULS525" s="1334">
        <v>8298541</v>
      </c>
      <c r="ULT525" s="1334">
        <v>8298541</v>
      </c>
      <c r="ULU525" s="1334">
        <v>8298541</v>
      </c>
      <c r="ULV525" s="1334">
        <v>8298541</v>
      </c>
      <c r="ULW525" s="1334">
        <v>8298541</v>
      </c>
      <c r="ULX525" s="1334">
        <v>8298541</v>
      </c>
      <c r="ULY525" s="1334">
        <v>8298541</v>
      </c>
      <c r="ULZ525" s="1334">
        <v>8298541</v>
      </c>
      <c r="UMA525" s="1334">
        <v>8298541</v>
      </c>
      <c r="UMB525" s="1334">
        <v>8298541</v>
      </c>
      <c r="UMC525" s="1334">
        <v>8298541</v>
      </c>
      <c r="UMD525" s="1334">
        <v>8298541</v>
      </c>
      <c r="UME525" s="1334">
        <v>8298541</v>
      </c>
      <c r="UMF525" s="1334">
        <v>8298541</v>
      </c>
      <c r="UMG525" s="1334">
        <v>8298541</v>
      </c>
      <c r="UMH525" s="1334">
        <v>8298541</v>
      </c>
      <c r="UMI525" s="1334">
        <v>8298541</v>
      </c>
      <c r="UMJ525" s="1334">
        <v>8298541</v>
      </c>
      <c r="UMK525" s="1334">
        <v>8298541</v>
      </c>
      <c r="UML525" s="1334">
        <v>8298541</v>
      </c>
      <c r="UMM525" s="1334">
        <v>8298541</v>
      </c>
      <c r="UMN525" s="1334">
        <v>8298541</v>
      </c>
      <c r="UMO525" s="1334">
        <v>8298541</v>
      </c>
      <c r="UMP525" s="1334">
        <v>8298541</v>
      </c>
      <c r="UMQ525" s="1334">
        <v>8298541</v>
      </c>
      <c r="UMR525" s="1334">
        <v>8298541</v>
      </c>
      <c r="UMS525" s="1334">
        <v>8298541</v>
      </c>
      <c r="UMT525" s="1334">
        <v>8298541</v>
      </c>
      <c r="UMU525" s="1334">
        <v>8298541</v>
      </c>
      <c r="UMV525" s="1334">
        <v>8298541</v>
      </c>
      <c r="UMW525" s="1334">
        <v>8298541</v>
      </c>
      <c r="UMX525" s="1334">
        <v>8298541</v>
      </c>
      <c r="UMY525" s="1334">
        <v>8298541</v>
      </c>
      <c r="UMZ525" s="1334">
        <v>8298541</v>
      </c>
      <c r="UNA525" s="1334">
        <v>8298541</v>
      </c>
      <c r="UNB525" s="1334">
        <v>8298541</v>
      </c>
      <c r="UNC525" s="1334">
        <v>8298541</v>
      </c>
      <c r="UND525" s="1334">
        <v>8298541</v>
      </c>
      <c r="UNE525" s="1334">
        <v>8298541</v>
      </c>
      <c r="UNF525" s="1334">
        <v>8298541</v>
      </c>
      <c r="UNG525" s="1334">
        <v>8298541</v>
      </c>
      <c r="UNH525" s="1334">
        <v>8298541</v>
      </c>
      <c r="UNI525" s="1334">
        <v>8298541</v>
      </c>
      <c r="UNJ525" s="1334">
        <v>8298541</v>
      </c>
      <c r="UNK525" s="1334">
        <v>8298541</v>
      </c>
      <c r="UNL525" s="1334">
        <v>8298541</v>
      </c>
      <c r="UNM525" s="1334">
        <v>8298541</v>
      </c>
      <c r="UNN525" s="1334">
        <v>8298541</v>
      </c>
      <c r="UNO525" s="1334">
        <v>8298541</v>
      </c>
      <c r="UNP525" s="1334">
        <v>8298541</v>
      </c>
      <c r="UNQ525" s="1334">
        <v>8298541</v>
      </c>
      <c r="UNR525" s="1334">
        <v>8298541</v>
      </c>
      <c r="UNS525" s="1334">
        <v>8298541</v>
      </c>
      <c r="UNT525" s="1334">
        <v>8298541</v>
      </c>
      <c r="UNU525" s="1334">
        <v>8298541</v>
      </c>
      <c r="UNV525" s="1334">
        <v>8298541</v>
      </c>
      <c r="UNW525" s="1334">
        <v>8298541</v>
      </c>
      <c r="UNX525" s="1334">
        <v>8298541</v>
      </c>
      <c r="UNY525" s="1334">
        <v>8298541</v>
      </c>
      <c r="UNZ525" s="1334">
        <v>8298541</v>
      </c>
      <c r="UOA525" s="1334">
        <v>8298541</v>
      </c>
      <c r="UOB525" s="1334">
        <v>8298541</v>
      </c>
      <c r="UOC525" s="1334">
        <v>8298541</v>
      </c>
      <c r="UOD525" s="1334">
        <v>8298541</v>
      </c>
      <c r="UOE525" s="1334">
        <v>8298541</v>
      </c>
      <c r="UOF525" s="1334">
        <v>8298541</v>
      </c>
      <c r="UOG525" s="1334">
        <v>8298541</v>
      </c>
      <c r="UOH525" s="1334">
        <v>8298541</v>
      </c>
      <c r="UOI525" s="1334">
        <v>8298541</v>
      </c>
      <c r="UOJ525" s="1334">
        <v>8298541</v>
      </c>
      <c r="UOK525" s="1334">
        <v>8298541</v>
      </c>
      <c r="UOL525" s="1334">
        <v>8298541</v>
      </c>
      <c r="UOM525" s="1334">
        <v>8298541</v>
      </c>
      <c r="UON525" s="1334">
        <v>8298541</v>
      </c>
      <c r="UOO525" s="1334">
        <v>8298541</v>
      </c>
      <c r="UOP525" s="1334">
        <v>8298541</v>
      </c>
      <c r="UOQ525" s="1334">
        <v>8298541</v>
      </c>
      <c r="UOR525" s="1334">
        <v>8298541</v>
      </c>
      <c r="UOS525" s="1334">
        <v>8298541</v>
      </c>
      <c r="UOT525" s="1334">
        <v>8298541</v>
      </c>
      <c r="UOU525" s="1334">
        <v>8298541</v>
      </c>
      <c r="UOV525" s="1334">
        <v>8298541</v>
      </c>
      <c r="UOW525" s="1334">
        <v>8298541</v>
      </c>
      <c r="UOX525" s="1334">
        <v>8298541</v>
      </c>
      <c r="UOY525" s="1334">
        <v>8298541</v>
      </c>
      <c r="UOZ525" s="1334">
        <v>8298541</v>
      </c>
      <c r="UPA525" s="1334">
        <v>8298541</v>
      </c>
      <c r="UPB525" s="1334">
        <v>8298541</v>
      </c>
      <c r="UPC525" s="1334">
        <v>8298541</v>
      </c>
      <c r="UPD525" s="1334">
        <v>8298541</v>
      </c>
      <c r="UPE525" s="1334">
        <v>8298541</v>
      </c>
      <c r="UPF525" s="1334">
        <v>8298541</v>
      </c>
      <c r="UPG525" s="1334">
        <v>8298541</v>
      </c>
      <c r="UPH525" s="1334">
        <v>8298541</v>
      </c>
      <c r="UPI525" s="1334">
        <v>8298541</v>
      </c>
      <c r="UPJ525" s="1334">
        <v>8298541</v>
      </c>
      <c r="UPK525" s="1334">
        <v>8298541</v>
      </c>
      <c r="UPL525" s="1334">
        <v>8298541</v>
      </c>
      <c r="UPM525" s="1334">
        <v>8298541</v>
      </c>
      <c r="UPN525" s="1334">
        <v>8298541</v>
      </c>
      <c r="UPO525" s="1334">
        <v>8298541</v>
      </c>
      <c r="UPP525" s="1334">
        <v>8298541</v>
      </c>
      <c r="UPQ525" s="1334">
        <v>8298541</v>
      </c>
      <c r="UPR525" s="1334">
        <v>8298541</v>
      </c>
      <c r="UPS525" s="1334">
        <v>8298541</v>
      </c>
      <c r="UPT525" s="1334">
        <v>8298541</v>
      </c>
      <c r="UPU525" s="1334">
        <v>8298541</v>
      </c>
      <c r="UPV525" s="1334">
        <v>8298541</v>
      </c>
      <c r="UPW525" s="1334">
        <v>8298541</v>
      </c>
      <c r="UPX525" s="1334">
        <v>8298541</v>
      </c>
      <c r="UPY525" s="1334">
        <v>8298541</v>
      </c>
      <c r="UPZ525" s="1334">
        <v>8298541</v>
      </c>
      <c r="UQA525" s="1334">
        <v>8298541</v>
      </c>
      <c r="UQB525" s="1334">
        <v>8298541</v>
      </c>
      <c r="UQC525" s="1334">
        <v>8298541</v>
      </c>
      <c r="UQD525" s="1334">
        <v>8298541</v>
      </c>
      <c r="UQE525" s="1334">
        <v>8298541</v>
      </c>
      <c r="UQF525" s="1334">
        <v>8298541</v>
      </c>
      <c r="UQG525" s="1334">
        <v>8298541</v>
      </c>
      <c r="UQH525" s="1334">
        <v>8298541</v>
      </c>
      <c r="UQI525" s="1334">
        <v>8298541</v>
      </c>
      <c r="UQJ525" s="1334">
        <v>8298541</v>
      </c>
      <c r="UQK525" s="1334">
        <v>8298541</v>
      </c>
      <c r="UQL525" s="1334">
        <v>8298541</v>
      </c>
      <c r="UQM525" s="1334">
        <v>8298541</v>
      </c>
      <c r="UQN525" s="1334">
        <v>8298541</v>
      </c>
      <c r="UQO525" s="1334">
        <v>8298541</v>
      </c>
      <c r="UQP525" s="1334">
        <v>8298541</v>
      </c>
      <c r="UQQ525" s="1334">
        <v>8298541</v>
      </c>
      <c r="UQR525" s="1334">
        <v>8298541</v>
      </c>
      <c r="UQS525" s="1334">
        <v>8298541</v>
      </c>
      <c r="UQT525" s="1334">
        <v>8298541</v>
      </c>
      <c r="UQU525" s="1334">
        <v>8298541</v>
      </c>
      <c r="UQV525" s="1334">
        <v>8298541</v>
      </c>
      <c r="UQW525" s="1334">
        <v>8298541</v>
      </c>
      <c r="UQX525" s="1334">
        <v>8298541</v>
      </c>
      <c r="UQY525" s="1334">
        <v>8298541</v>
      </c>
      <c r="UQZ525" s="1334">
        <v>8298541</v>
      </c>
      <c r="URA525" s="1334">
        <v>8298541</v>
      </c>
      <c r="URB525" s="1334">
        <v>8298541</v>
      </c>
      <c r="URC525" s="1334">
        <v>8298541</v>
      </c>
      <c r="URD525" s="1334">
        <v>8298541</v>
      </c>
      <c r="URE525" s="1334">
        <v>8298541</v>
      </c>
      <c r="URF525" s="1334">
        <v>8298541</v>
      </c>
      <c r="URG525" s="1334">
        <v>8298541</v>
      </c>
      <c r="URH525" s="1334">
        <v>8298541</v>
      </c>
      <c r="URI525" s="1334">
        <v>8298541</v>
      </c>
      <c r="URJ525" s="1334">
        <v>8298541</v>
      </c>
      <c r="URK525" s="1334">
        <v>8298541</v>
      </c>
      <c r="URL525" s="1334">
        <v>8298541</v>
      </c>
      <c r="URM525" s="1334">
        <v>8298541</v>
      </c>
      <c r="URN525" s="1334">
        <v>8298541</v>
      </c>
      <c r="URO525" s="1334">
        <v>8298541</v>
      </c>
      <c r="URP525" s="1334">
        <v>8298541</v>
      </c>
      <c r="URQ525" s="1334">
        <v>8298541</v>
      </c>
      <c r="URR525" s="1334">
        <v>8298541</v>
      </c>
      <c r="URS525" s="1334">
        <v>8298541</v>
      </c>
      <c r="URT525" s="1334">
        <v>8298541</v>
      </c>
      <c r="URU525" s="1334">
        <v>8298541</v>
      </c>
      <c r="URV525" s="1334">
        <v>8298541</v>
      </c>
      <c r="URW525" s="1334">
        <v>8298541</v>
      </c>
      <c r="URX525" s="1334">
        <v>8298541</v>
      </c>
      <c r="URY525" s="1334">
        <v>8298541</v>
      </c>
      <c r="URZ525" s="1334">
        <v>8298541</v>
      </c>
      <c r="USA525" s="1334">
        <v>8298541</v>
      </c>
      <c r="USB525" s="1334">
        <v>8298541</v>
      </c>
      <c r="USC525" s="1334">
        <v>8298541</v>
      </c>
      <c r="USD525" s="1334">
        <v>8298541</v>
      </c>
      <c r="USE525" s="1334">
        <v>8298541</v>
      </c>
      <c r="USF525" s="1334">
        <v>8298541</v>
      </c>
      <c r="USG525" s="1334">
        <v>8298541</v>
      </c>
      <c r="USH525" s="1334">
        <v>8298541</v>
      </c>
      <c r="USI525" s="1334">
        <v>8298541</v>
      </c>
      <c r="USJ525" s="1334">
        <v>8298541</v>
      </c>
      <c r="USK525" s="1334">
        <v>8298541</v>
      </c>
      <c r="USL525" s="1334">
        <v>8298541</v>
      </c>
      <c r="USM525" s="1334">
        <v>8298541</v>
      </c>
      <c r="USN525" s="1334">
        <v>8298541</v>
      </c>
      <c r="USO525" s="1334">
        <v>8298541</v>
      </c>
      <c r="USP525" s="1334">
        <v>8298541</v>
      </c>
      <c r="USQ525" s="1334">
        <v>8298541</v>
      </c>
      <c r="USR525" s="1334">
        <v>8298541</v>
      </c>
      <c r="USS525" s="1334">
        <v>8298541</v>
      </c>
      <c r="UST525" s="1334">
        <v>8298541</v>
      </c>
      <c r="USU525" s="1334">
        <v>8298541</v>
      </c>
      <c r="USV525" s="1334">
        <v>8298541</v>
      </c>
      <c r="USW525" s="1334">
        <v>8298541</v>
      </c>
      <c r="USX525" s="1334">
        <v>8298541</v>
      </c>
      <c r="USY525" s="1334">
        <v>8298541</v>
      </c>
      <c r="USZ525" s="1334">
        <v>8298541</v>
      </c>
      <c r="UTA525" s="1334">
        <v>8298541</v>
      </c>
      <c r="UTB525" s="1334">
        <v>8298541</v>
      </c>
      <c r="UTC525" s="1334">
        <v>8298541</v>
      </c>
      <c r="UTD525" s="1334">
        <v>8298541</v>
      </c>
      <c r="UTE525" s="1334">
        <v>8298541</v>
      </c>
      <c r="UTF525" s="1334">
        <v>8298541</v>
      </c>
      <c r="UTG525" s="1334">
        <v>8298541</v>
      </c>
      <c r="UTH525" s="1334">
        <v>8298541</v>
      </c>
      <c r="UTI525" s="1334">
        <v>8298541</v>
      </c>
      <c r="UTJ525" s="1334">
        <v>8298541</v>
      </c>
      <c r="UTK525" s="1334">
        <v>8298541</v>
      </c>
      <c r="UTL525" s="1334">
        <v>8298541</v>
      </c>
      <c r="UTM525" s="1334">
        <v>8298541</v>
      </c>
      <c r="UTN525" s="1334">
        <v>8298541</v>
      </c>
      <c r="UTO525" s="1334">
        <v>8298541</v>
      </c>
      <c r="UTP525" s="1334">
        <v>8298541</v>
      </c>
      <c r="UTQ525" s="1334">
        <v>8298541</v>
      </c>
      <c r="UTR525" s="1334">
        <v>8298541</v>
      </c>
      <c r="UTS525" s="1334">
        <v>8298541</v>
      </c>
      <c r="UTT525" s="1334">
        <v>8298541</v>
      </c>
      <c r="UTU525" s="1334">
        <v>8298541</v>
      </c>
      <c r="UTV525" s="1334">
        <v>8298541</v>
      </c>
      <c r="UTW525" s="1334">
        <v>8298541</v>
      </c>
      <c r="UTX525" s="1334">
        <v>8298541</v>
      </c>
      <c r="UTY525" s="1334">
        <v>8298541</v>
      </c>
      <c r="UTZ525" s="1334">
        <v>8298541</v>
      </c>
      <c r="UUA525" s="1334">
        <v>8298541</v>
      </c>
      <c r="UUB525" s="1334">
        <v>8298541</v>
      </c>
      <c r="UUC525" s="1334">
        <v>8298541</v>
      </c>
      <c r="UUD525" s="1334">
        <v>8298541</v>
      </c>
      <c r="UUE525" s="1334">
        <v>8298541</v>
      </c>
      <c r="UUF525" s="1334">
        <v>8298541</v>
      </c>
      <c r="UUG525" s="1334">
        <v>8298541</v>
      </c>
      <c r="UUH525" s="1334">
        <v>8298541</v>
      </c>
      <c r="UUI525" s="1334">
        <v>8298541</v>
      </c>
      <c r="UUJ525" s="1334">
        <v>8298541</v>
      </c>
      <c r="UUK525" s="1334">
        <v>8298541</v>
      </c>
      <c r="UUL525" s="1334">
        <v>8298541</v>
      </c>
      <c r="UUM525" s="1334">
        <v>8298541</v>
      </c>
      <c r="UUN525" s="1334">
        <v>8298541</v>
      </c>
      <c r="UUO525" s="1334">
        <v>8298541</v>
      </c>
      <c r="UUP525" s="1334">
        <v>8298541</v>
      </c>
      <c r="UUQ525" s="1334">
        <v>8298541</v>
      </c>
      <c r="UUR525" s="1334">
        <v>8298541</v>
      </c>
      <c r="UUS525" s="1334">
        <v>8298541</v>
      </c>
      <c r="UUT525" s="1334">
        <v>8298541</v>
      </c>
      <c r="UUU525" s="1334">
        <v>8298541</v>
      </c>
      <c r="UUV525" s="1334">
        <v>8298541</v>
      </c>
      <c r="UUW525" s="1334">
        <v>8298541</v>
      </c>
      <c r="UUX525" s="1334">
        <v>8298541</v>
      </c>
      <c r="UUY525" s="1334">
        <v>8298541</v>
      </c>
      <c r="UUZ525" s="1334">
        <v>8298541</v>
      </c>
      <c r="UVA525" s="1334">
        <v>8298541</v>
      </c>
      <c r="UVB525" s="1334">
        <v>8298541</v>
      </c>
      <c r="UVC525" s="1334">
        <v>8298541</v>
      </c>
      <c r="UVD525" s="1334">
        <v>8298541</v>
      </c>
      <c r="UVE525" s="1334">
        <v>8298541</v>
      </c>
      <c r="UVF525" s="1334">
        <v>8298541</v>
      </c>
      <c r="UVG525" s="1334">
        <v>8298541</v>
      </c>
      <c r="UVH525" s="1334">
        <v>8298541</v>
      </c>
      <c r="UVI525" s="1334">
        <v>8298541</v>
      </c>
      <c r="UVJ525" s="1334">
        <v>8298541</v>
      </c>
      <c r="UVK525" s="1334">
        <v>8298541</v>
      </c>
      <c r="UVL525" s="1334">
        <v>8298541</v>
      </c>
      <c r="UVM525" s="1334">
        <v>8298541</v>
      </c>
      <c r="UVN525" s="1334">
        <v>8298541</v>
      </c>
      <c r="UVO525" s="1334">
        <v>8298541</v>
      </c>
      <c r="UVP525" s="1334">
        <v>8298541</v>
      </c>
      <c r="UVQ525" s="1334">
        <v>8298541</v>
      </c>
      <c r="UVR525" s="1334">
        <v>8298541</v>
      </c>
      <c r="UVS525" s="1334">
        <v>8298541</v>
      </c>
      <c r="UVT525" s="1334">
        <v>8298541</v>
      </c>
      <c r="UVU525" s="1334">
        <v>8298541</v>
      </c>
      <c r="UVV525" s="1334">
        <v>8298541</v>
      </c>
      <c r="UVW525" s="1334">
        <v>8298541</v>
      </c>
      <c r="UVX525" s="1334">
        <v>8298541</v>
      </c>
      <c r="UVY525" s="1334">
        <v>8298541</v>
      </c>
      <c r="UVZ525" s="1334">
        <v>8298541</v>
      </c>
      <c r="UWA525" s="1334">
        <v>8298541</v>
      </c>
      <c r="UWB525" s="1334">
        <v>8298541</v>
      </c>
      <c r="UWC525" s="1334">
        <v>8298541</v>
      </c>
      <c r="UWD525" s="1334">
        <v>8298541</v>
      </c>
      <c r="UWE525" s="1334">
        <v>8298541</v>
      </c>
      <c r="UWF525" s="1334">
        <v>8298541</v>
      </c>
      <c r="UWG525" s="1334">
        <v>8298541</v>
      </c>
      <c r="UWH525" s="1334">
        <v>8298541</v>
      </c>
      <c r="UWI525" s="1334">
        <v>8298541</v>
      </c>
      <c r="UWJ525" s="1334">
        <v>8298541</v>
      </c>
      <c r="UWK525" s="1334">
        <v>8298541</v>
      </c>
      <c r="UWL525" s="1334">
        <v>8298541</v>
      </c>
      <c r="UWM525" s="1334">
        <v>8298541</v>
      </c>
      <c r="UWN525" s="1334">
        <v>8298541</v>
      </c>
      <c r="UWO525" s="1334">
        <v>8298541</v>
      </c>
      <c r="UWP525" s="1334">
        <v>8298541</v>
      </c>
      <c r="UWQ525" s="1334">
        <v>8298541</v>
      </c>
      <c r="UWR525" s="1334">
        <v>8298541</v>
      </c>
      <c r="UWS525" s="1334">
        <v>8298541</v>
      </c>
      <c r="UWT525" s="1334">
        <v>8298541</v>
      </c>
      <c r="UWU525" s="1334">
        <v>8298541</v>
      </c>
      <c r="UWV525" s="1334">
        <v>8298541</v>
      </c>
      <c r="UWW525" s="1334">
        <v>8298541</v>
      </c>
      <c r="UWX525" s="1334">
        <v>8298541</v>
      </c>
      <c r="UWY525" s="1334">
        <v>8298541</v>
      </c>
      <c r="UWZ525" s="1334">
        <v>8298541</v>
      </c>
      <c r="UXA525" s="1334">
        <v>8298541</v>
      </c>
      <c r="UXB525" s="1334">
        <v>8298541</v>
      </c>
      <c r="UXC525" s="1334">
        <v>8298541</v>
      </c>
      <c r="UXD525" s="1334">
        <v>8298541</v>
      </c>
      <c r="UXE525" s="1334">
        <v>8298541</v>
      </c>
      <c r="UXF525" s="1334">
        <v>8298541</v>
      </c>
      <c r="UXG525" s="1334">
        <v>8298541</v>
      </c>
      <c r="UXH525" s="1334">
        <v>8298541</v>
      </c>
      <c r="UXI525" s="1334">
        <v>8298541</v>
      </c>
      <c r="UXJ525" s="1334">
        <v>8298541</v>
      </c>
      <c r="UXK525" s="1334">
        <v>8298541</v>
      </c>
      <c r="UXL525" s="1334">
        <v>8298541</v>
      </c>
      <c r="UXM525" s="1334">
        <v>8298541</v>
      </c>
      <c r="UXN525" s="1334">
        <v>8298541</v>
      </c>
      <c r="UXO525" s="1334">
        <v>8298541</v>
      </c>
      <c r="UXP525" s="1334">
        <v>8298541</v>
      </c>
      <c r="UXQ525" s="1334">
        <v>8298541</v>
      </c>
      <c r="UXR525" s="1334">
        <v>8298541</v>
      </c>
      <c r="UXS525" s="1334">
        <v>8298541</v>
      </c>
      <c r="UXT525" s="1334">
        <v>8298541</v>
      </c>
      <c r="UXU525" s="1334">
        <v>8298541</v>
      </c>
      <c r="UXV525" s="1334">
        <v>8298541</v>
      </c>
      <c r="UXW525" s="1334">
        <v>8298541</v>
      </c>
      <c r="UXX525" s="1334">
        <v>8298541</v>
      </c>
      <c r="UXY525" s="1334">
        <v>8298541</v>
      </c>
      <c r="UXZ525" s="1334">
        <v>8298541</v>
      </c>
      <c r="UYA525" s="1334">
        <v>8298541</v>
      </c>
      <c r="UYB525" s="1334">
        <v>8298541</v>
      </c>
      <c r="UYC525" s="1334">
        <v>8298541</v>
      </c>
      <c r="UYD525" s="1334">
        <v>8298541</v>
      </c>
      <c r="UYE525" s="1334">
        <v>8298541</v>
      </c>
      <c r="UYF525" s="1334">
        <v>8298541</v>
      </c>
      <c r="UYG525" s="1334">
        <v>8298541</v>
      </c>
      <c r="UYH525" s="1334">
        <v>8298541</v>
      </c>
      <c r="UYI525" s="1334">
        <v>8298541</v>
      </c>
      <c r="UYJ525" s="1334">
        <v>8298541</v>
      </c>
      <c r="UYK525" s="1334">
        <v>8298541</v>
      </c>
      <c r="UYL525" s="1334">
        <v>8298541</v>
      </c>
      <c r="UYM525" s="1334">
        <v>8298541</v>
      </c>
      <c r="UYN525" s="1334">
        <v>8298541</v>
      </c>
      <c r="UYO525" s="1334">
        <v>8298541</v>
      </c>
      <c r="UYP525" s="1334">
        <v>8298541</v>
      </c>
      <c r="UYQ525" s="1334">
        <v>8298541</v>
      </c>
      <c r="UYR525" s="1334">
        <v>8298541</v>
      </c>
      <c r="UYS525" s="1334">
        <v>8298541</v>
      </c>
      <c r="UYT525" s="1334">
        <v>8298541</v>
      </c>
      <c r="UYU525" s="1334">
        <v>8298541</v>
      </c>
      <c r="UYV525" s="1334">
        <v>8298541</v>
      </c>
      <c r="UYW525" s="1334">
        <v>8298541</v>
      </c>
      <c r="UYX525" s="1334">
        <v>8298541</v>
      </c>
      <c r="UYY525" s="1334">
        <v>8298541</v>
      </c>
      <c r="UYZ525" s="1334">
        <v>8298541</v>
      </c>
      <c r="UZA525" s="1334">
        <v>8298541</v>
      </c>
      <c r="UZB525" s="1334">
        <v>8298541</v>
      </c>
      <c r="UZC525" s="1334">
        <v>8298541</v>
      </c>
      <c r="UZD525" s="1334">
        <v>8298541</v>
      </c>
      <c r="UZE525" s="1334">
        <v>8298541</v>
      </c>
      <c r="UZF525" s="1334">
        <v>8298541</v>
      </c>
      <c r="UZG525" s="1334">
        <v>8298541</v>
      </c>
      <c r="UZH525" s="1334">
        <v>8298541</v>
      </c>
      <c r="UZI525" s="1334">
        <v>8298541</v>
      </c>
      <c r="UZJ525" s="1334">
        <v>8298541</v>
      </c>
      <c r="UZK525" s="1334">
        <v>8298541</v>
      </c>
      <c r="UZL525" s="1334">
        <v>8298541</v>
      </c>
      <c r="UZM525" s="1334">
        <v>8298541</v>
      </c>
      <c r="UZN525" s="1334">
        <v>8298541</v>
      </c>
      <c r="UZO525" s="1334">
        <v>8298541</v>
      </c>
      <c r="UZP525" s="1334">
        <v>8298541</v>
      </c>
      <c r="UZQ525" s="1334">
        <v>8298541</v>
      </c>
      <c r="UZR525" s="1334">
        <v>8298541</v>
      </c>
      <c r="UZS525" s="1334">
        <v>8298541</v>
      </c>
      <c r="UZT525" s="1334">
        <v>8298541</v>
      </c>
      <c r="UZU525" s="1334">
        <v>8298541</v>
      </c>
      <c r="UZV525" s="1334">
        <v>8298541</v>
      </c>
      <c r="UZW525" s="1334">
        <v>8298541</v>
      </c>
      <c r="UZX525" s="1334">
        <v>8298541</v>
      </c>
      <c r="UZY525" s="1334">
        <v>8298541</v>
      </c>
      <c r="UZZ525" s="1334">
        <v>8298541</v>
      </c>
      <c r="VAA525" s="1334">
        <v>8298541</v>
      </c>
      <c r="VAB525" s="1334">
        <v>8298541</v>
      </c>
      <c r="VAC525" s="1334">
        <v>8298541</v>
      </c>
      <c r="VAD525" s="1334">
        <v>8298541</v>
      </c>
      <c r="VAE525" s="1334">
        <v>8298541</v>
      </c>
      <c r="VAF525" s="1334">
        <v>8298541</v>
      </c>
      <c r="VAG525" s="1334">
        <v>8298541</v>
      </c>
      <c r="VAH525" s="1334">
        <v>8298541</v>
      </c>
      <c r="VAI525" s="1334">
        <v>8298541</v>
      </c>
      <c r="VAJ525" s="1334">
        <v>8298541</v>
      </c>
      <c r="VAK525" s="1334">
        <v>8298541</v>
      </c>
      <c r="VAL525" s="1334">
        <v>8298541</v>
      </c>
      <c r="VAM525" s="1334">
        <v>8298541</v>
      </c>
      <c r="VAN525" s="1334">
        <v>8298541</v>
      </c>
      <c r="VAO525" s="1334">
        <v>8298541</v>
      </c>
      <c r="VAP525" s="1334">
        <v>8298541</v>
      </c>
      <c r="VAQ525" s="1334">
        <v>8298541</v>
      </c>
      <c r="VAR525" s="1334">
        <v>8298541</v>
      </c>
      <c r="VAS525" s="1334">
        <v>8298541</v>
      </c>
      <c r="VAT525" s="1334">
        <v>8298541</v>
      </c>
      <c r="VAU525" s="1334">
        <v>8298541</v>
      </c>
      <c r="VAV525" s="1334">
        <v>8298541</v>
      </c>
      <c r="VAW525" s="1334">
        <v>8298541</v>
      </c>
      <c r="VAX525" s="1334">
        <v>8298541</v>
      </c>
      <c r="VAY525" s="1334">
        <v>8298541</v>
      </c>
      <c r="VAZ525" s="1334">
        <v>8298541</v>
      </c>
      <c r="VBA525" s="1334">
        <v>8298541</v>
      </c>
      <c r="VBB525" s="1334">
        <v>8298541</v>
      </c>
      <c r="VBC525" s="1334">
        <v>8298541</v>
      </c>
      <c r="VBD525" s="1334">
        <v>8298541</v>
      </c>
      <c r="VBE525" s="1334">
        <v>8298541</v>
      </c>
      <c r="VBF525" s="1334">
        <v>8298541</v>
      </c>
      <c r="VBG525" s="1334">
        <v>8298541</v>
      </c>
      <c r="VBH525" s="1334">
        <v>8298541</v>
      </c>
      <c r="VBI525" s="1334">
        <v>8298541</v>
      </c>
      <c r="VBJ525" s="1334">
        <v>8298541</v>
      </c>
      <c r="VBK525" s="1334">
        <v>8298541</v>
      </c>
      <c r="VBL525" s="1334">
        <v>8298541</v>
      </c>
      <c r="VBM525" s="1334">
        <v>8298541</v>
      </c>
      <c r="VBN525" s="1334">
        <v>8298541</v>
      </c>
      <c r="VBO525" s="1334">
        <v>8298541</v>
      </c>
      <c r="VBP525" s="1334">
        <v>8298541</v>
      </c>
      <c r="VBQ525" s="1334">
        <v>8298541</v>
      </c>
      <c r="VBR525" s="1334">
        <v>8298541</v>
      </c>
      <c r="VBS525" s="1334">
        <v>8298541</v>
      </c>
      <c r="VBT525" s="1334">
        <v>8298541</v>
      </c>
      <c r="VBU525" s="1334">
        <v>8298541</v>
      </c>
      <c r="VBV525" s="1334">
        <v>8298541</v>
      </c>
      <c r="VBW525" s="1334">
        <v>8298541</v>
      </c>
      <c r="VBX525" s="1334">
        <v>8298541</v>
      </c>
      <c r="VBY525" s="1334">
        <v>8298541</v>
      </c>
      <c r="VBZ525" s="1334">
        <v>8298541</v>
      </c>
      <c r="VCA525" s="1334">
        <v>8298541</v>
      </c>
      <c r="VCB525" s="1334">
        <v>8298541</v>
      </c>
      <c r="VCC525" s="1334">
        <v>8298541</v>
      </c>
      <c r="VCD525" s="1334">
        <v>8298541</v>
      </c>
      <c r="VCE525" s="1334">
        <v>8298541</v>
      </c>
      <c r="VCF525" s="1334">
        <v>8298541</v>
      </c>
      <c r="VCG525" s="1334">
        <v>8298541</v>
      </c>
      <c r="VCH525" s="1334">
        <v>8298541</v>
      </c>
      <c r="VCI525" s="1334">
        <v>8298541</v>
      </c>
      <c r="VCJ525" s="1334">
        <v>8298541</v>
      </c>
      <c r="VCK525" s="1334">
        <v>8298541</v>
      </c>
      <c r="VCL525" s="1334">
        <v>8298541</v>
      </c>
      <c r="VCM525" s="1334">
        <v>8298541</v>
      </c>
      <c r="VCN525" s="1334">
        <v>8298541</v>
      </c>
      <c r="VCO525" s="1334">
        <v>8298541</v>
      </c>
      <c r="VCP525" s="1334">
        <v>8298541</v>
      </c>
      <c r="VCQ525" s="1334">
        <v>8298541</v>
      </c>
      <c r="VCR525" s="1334">
        <v>8298541</v>
      </c>
      <c r="VCS525" s="1334">
        <v>8298541</v>
      </c>
      <c r="VCT525" s="1334">
        <v>8298541</v>
      </c>
      <c r="VCU525" s="1334">
        <v>8298541</v>
      </c>
      <c r="VCV525" s="1334">
        <v>8298541</v>
      </c>
      <c r="VCW525" s="1334">
        <v>8298541</v>
      </c>
      <c r="VCX525" s="1334">
        <v>8298541</v>
      </c>
      <c r="VCY525" s="1334">
        <v>8298541</v>
      </c>
      <c r="VCZ525" s="1334">
        <v>8298541</v>
      </c>
      <c r="VDA525" s="1334">
        <v>8298541</v>
      </c>
      <c r="VDB525" s="1334">
        <v>8298541</v>
      </c>
      <c r="VDC525" s="1334">
        <v>8298541</v>
      </c>
      <c r="VDD525" s="1334">
        <v>8298541</v>
      </c>
      <c r="VDE525" s="1334">
        <v>8298541</v>
      </c>
      <c r="VDF525" s="1334">
        <v>8298541</v>
      </c>
      <c r="VDG525" s="1334">
        <v>8298541</v>
      </c>
      <c r="VDH525" s="1334">
        <v>8298541</v>
      </c>
      <c r="VDI525" s="1334">
        <v>8298541</v>
      </c>
      <c r="VDJ525" s="1334">
        <v>8298541</v>
      </c>
      <c r="VDK525" s="1334">
        <v>8298541</v>
      </c>
      <c r="VDL525" s="1334">
        <v>8298541</v>
      </c>
      <c r="VDM525" s="1334">
        <v>8298541</v>
      </c>
      <c r="VDN525" s="1334">
        <v>8298541</v>
      </c>
      <c r="VDO525" s="1334">
        <v>8298541</v>
      </c>
      <c r="VDP525" s="1334">
        <v>8298541</v>
      </c>
      <c r="VDQ525" s="1334">
        <v>8298541</v>
      </c>
      <c r="VDR525" s="1334">
        <v>8298541</v>
      </c>
      <c r="VDS525" s="1334">
        <v>8298541</v>
      </c>
      <c r="VDT525" s="1334">
        <v>8298541</v>
      </c>
      <c r="VDU525" s="1334">
        <v>8298541</v>
      </c>
      <c r="VDV525" s="1334">
        <v>8298541</v>
      </c>
      <c r="VDW525" s="1334">
        <v>8298541</v>
      </c>
      <c r="VDX525" s="1334">
        <v>8298541</v>
      </c>
      <c r="VDY525" s="1334">
        <v>8298541</v>
      </c>
      <c r="VDZ525" s="1334">
        <v>8298541</v>
      </c>
      <c r="VEA525" s="1334">
        <v>8298541</v>
      </c>
      <c r="VEB525" s="1334">
        <v>8298541</v>
      </c>
      <c r="VEC525" s="1334">
        <v>8298541</v>
      </c>
      <c r="VED525" s="1334">
        <v>8298541</v>
      </c>
      <c r="VEE525" s="1334">
        <v>8298541</v>
      </c>
      <c r="VEF525" s="1334">
        <v>8298541</v>
      </c>
      <c r="VEG525" s="1334">
        <v>8298541</v>
      </c>
      <c r="VEH525" s="1334">
        <v>8298541</v>
      </c>
      <c r="VEI525" s="1334">
        <v>8298541</v>
      </c>
      <c r="VEJ525" s="1334">
        <v>8298541</v>
      </c>
      <c r="VEK525" s="1334">
        <v>8298541</v>
      </c>
      <c r="VEL525" s="1334">
        <v>8298541</v>
      </c>
      <c r="VEM525" s="1334">
        <v>8298541</v>
      </c>
      <c r="VEN525" s="1334">
        <v>8298541</v>
      </c>
      <c r="VEO525" s="1334">
        <v>8298541</v>
      </c>
      <c r="VEP525" s="1334">
        <v>8298541</v>
      </c>
      <c r="VEQ525" s="1334">
        <v>8298541</v>
      </c>
      <c r="VER525" s="1334">
        <v>8298541</v>
      </c>
      <c r="VES525" s="1334">
        <v>8298541</v>
      </c>
      <c r="VET525" s="1334">
        <v>8298541</v>
      </c>
      <c r="VEU525" s="1334">
        <v>8298541</v>
      </c>
      <c r="VEV525" s="1334">
        <v>8298541</v>
      </c>
      <c r="VEW525" s="1334">
        <v>8298541</v>
      </c>
      <c r="VEX525" s="1334">
        <v>8298541</v>
      </c>
      <c r="VEY525" s="1334">
        <v>8298541</v>
      </c>
      <c r="VEZ525" s="1334">
        <v>8298541</v>
      </c>
      <c r="VFA525" s="1334">
        <v>8298541</v>
      </c>
      <c r="VFB525" s="1334">
        <v>8298541</v>
      </c>
      <c r="VFC525" s="1334">
        <v>8298541</v>
      </c>
      <c r="VFD525" s="1334">
        <v>8298541</v>
      </c>
      <c r="VFE525" s="1334">
        <v>8298541</v>
      </c>
      <c r="VFF525" s="1334">
        <v>8298541</v>
      </c>
      <c r="VFG525" s="1334">
        <v>8298541</v>
      </c>
      <c r="VFH525" s="1334">
        <v>8298541</v>
      </c>
      <c r="VFI525" s="1334">
        <v>8298541</v>
      </c>
      <c r="VFJ525" s="1334">
        <v>8298541</v>
      </c>
      <c r="VFK525" s="1334">
        <v>8298541</v>
      </c>
      <c r="VFL525" s="1334">
        <v>8298541</v>
      </c>
      <c r="VFM525" s="1334">
        <v>8298541</v>
      </c>
      <c r="VFN525" s="1334">
        <v>8298541</v>
      </c>
      <c r="VFO525" s="1334">
        <v>8298541</v>
      </c>
      <c r="VFP525" s="1334">
        <v>8298541</v>
      </c>
      <c r="VFQ525" s="1334">
        <v>8298541</v>
      </c>
      <c r="VFR525" s="1334">
        <v>8298541</v>
      </c>
      <c r="VFS525" s="1334">
        <v>8298541</v>
      </c>
      <c r="VFT525" s="1334">
        <v>8298541</v>
      </c>
      <c r="VFU525" s="1334">
        <v>8298541</v>
      </c>
      <c r="VFV525" s="1334">
        <v>8298541</v>
      </c>
      <c r="VFW525" s="1334">
        <v>8298541</v>
      </c>
      <c r="VFX525" s="1334">
        <v>8298541</v>
      </c>
      <c r="VFY525" s="1334">
        <v>8298541</v>
      </c>
      <c r="VFZ525" s="1334">
        <v>8298541</v>
      </c>
      <c r="VGA525" s="1334">
        <v>8298541</v>
      </c>
      <c r="VGB525" s="1334">
        <v>8298541</v>
      </c>
      <c r="VGC525" s="1334">
        <v>8298541</v>
      </c>
      <c r="VGD525" s="1334">
        <v>8298541</v>
      </c>
      <c r="VGE525" s="1334">
        <v>8298541</v>
      </c>
      <c r="VGF525" s="1334">
        <v>8298541</v>
      </c>
      <c r="VGG525" s="1334">
        <v>8298541</v>
      </c>
      <c r="VGH525" s="1334">
        <v>8298541</v>
      </c>
      <c r="VGI525" s="1334">
        <v>8298541</v>
      </c>
      <c r="VGJ525" s="1334">
        <v>8298541</v>
      </c>
      <c r="VGK525" s="1334">
        <v>8298541</v>
      </c>
      <c r="VGL525" s="1334">
        <v>8298541</v>
      </c>
      <c r="VGM525" s="1334">
        <v>8298541</v>
      </c>
      <c r="VGN525" s="1334">
        <v>8298541</v>
      </c>
      <c r="VGO525" s="1334">
        <v>8298541</v>
      </c>
      <c r="VGP525" s="1334">
        <v>8298541</v>
      </c>
      <c r="VGQ525" s="1334">
        <v>8298541</v>
      </c>
      <c r="VGR525" s="1334">
        <v>8298541</v>
      </c>
      <c r="VGS525" s="1334">
        <v>8298541</v>
      </c>
      <c r="VGT525" s="1334">
        <v>8298541</v>
      </c>
      <c r="VGU525" s="1334">
        <v>8298541</v>
      </c>
      <c r="VGV525" s="1334">
        <v>8298541</v>
      </c>
      <c r="VGW525" s="1334">
        <v>8298541</v>
      </c>
      <c r="VGX525" s="1334">
        <v>8298541</v>
      </c>
      <c r="VGY525" s="1334">
        <v>8298541</v>
      </c>
      <c r="VGZ525" s="1334">
        <v>8298541</v>
      </c>
      <c r="VHA525" s="1334">
        <v>8298541</v>
      </c>
      <c r="VHB525" s="1334">
        <v>8298541</v>
      </c>
      <c r="VHC525" s="1334">
        <v>8298541</v>
      </c>
      <c r="VHD525" s="1334">
        <v>8298541</v>
      </c>
      <c r="VHE525" s="1334">
        <v>8298541</v>
      </c>
      <c r="VHF525" s="1334">
        <v>8298541</v>
      </c>
      <c r="VHG525" s="1334">
        <v>8298541</v>
      </c>
      <c r="VHH525" s="1334">
        <v>8298541</v>
      </c>
      <c r="VHI525" s="1334">
        <v>8298541</v>
      </c>
      <c r="VHJ525" s="1334">
        <v>8298541</v>
      </c>
      <c r="VHK525" s="1334">
        <v>8298541</v>
      </c>
      <c r="VHL525" s="1334">
        <v>8298541</v>
      </c>
      <c r="VHM525" s="1334">
        <v>8298541</v>
      </c>
      <c r="VHN525" s="1334">
        <v>8298541</v>
      </c>
      <c r="VHO525" s="1334">
        <v>8298541</v>
      </c>
      <c r="VHP525" s="1334">
        <v>8298541</v>
      </c>
      <c r="VHQ525" s="1334">
        <v>8298541</v>
      </c>
      <c r="VHR525" s="1334">
        <v>8298541</v>
      </c>
      <c r="VHS525" s="1334">
        <v>8298541</v>
      </c>
      <c r="VHT525" s="1334">
        <v>8298541</v>
      </c>
      <c r="VHU525" s="1334">
        <v>8298541</v>
      </c>
      <c r="VHV525" s="1334">
        <v>8298541</v>
      </c>
      <c r="VHW525" s="1334">
        <v>8298541</v>
      </c>
      <c r="VHX525" s="1334">
        <v>8298541</v>
      </c>
      <c r="VHY525" s="1334">
        <v>8298541</v>
      </c>
      <c r="VHZ525" s="1334">
        <v>8298541</v>
      </c>
      <c r="VIA525" s="1334">
        <v>8298541</v>
      </c>
      <c r="VIB525" s="1334">
        <v>8298541</v>
      </c>
      <c r="VIC525" s="1334">
        <v>8298541</v>
      </c>
      <c r="VID525" s="1334">
        <v>8298541</v>
      </c>
      <c r="VIE525" s="1334">
        <v>8298541</v>
      </c>
      <c r="VIF525" s="1334">
        <v>8298541</v>
      </c>
      <c r="VIG525" s="1334">
        <v>8298541</v>
      </c>
      <c r="VIH525" s="1334">
        <v>8298541</v>
      </c>
      <c r="VII525" s="1334">
        <v>8298541</v>
      </c>
      <c r="VIJ525" s="1334">
        <v>8298541</v>
      </c>
      <c r="VIK525" s="1334">
        <v>8298541</v>
      </c>
      <c r="VIL525" s="1334">
        <v>8298541</v>
      </c>
      <c r="VIM525" s="1334">
        <v>8298541</v>
      </c>
      <c r="VIN525" s="1334">
        <v>8298541</v>
      </c>
      <c r="VIO525" s="1334">
        <v>8298541</v>
      </c>
      <c r="VIP525" s="1334">
        <v>8298541</v>
      </c>
      <c r="VIQ525" s="1334">
        <v>8298541</v>
      </c>
      <c r="VIR525" s="1334">
        <v>8298541</v>
      </c>
      <c r="VIS525" s="1334">
        <v>8298541</v>
      </c>
      <c r="VIT525" s="1334">
        <v>8298541</v>
      </c>
      <c r="VIU525" s="1334">
        <v>8298541</v>
      </c>
      <c r="VIV525" s="1334">
        <v>8298541</v>
      </c>
      <c r="VIW525" s="1334">
        <v>8298541</v>
      </c>
      <c r="VIX525" s="1334">
        <v>8298541</v>
      </c>
      <c r="VIY525" s="1334">
        <v>8298541</v>
      </c>
      <c r="VIZ525" s="1334">
        <v>8298541</v>
      </c>
      <c r="VJA525" s="1334">
        <v>8298541</v>
      </c>
      <c r="VJB525" s="1334">
        <v>8298541</v>
      </c>
      <c r="VJC525" s="1334">
        <v>8298541</v>
      </c>
      <c r="VJD525" s="1334">
        <v>8298541</v>
      </c>
      <c r="VJE525" s="1334">
        <v>8298541</v>
      </c>
      <c r="VJF525" s="1334">
        <v>8298541</v>
      </c>
      <c r="VJG525" s="1334">
        <v>8298541</v>
      </c>
      <c r="VJH525" s="1334">
        <v>8298541</v>
      </c>
      <c r="VJI525" s="1334">
        <v>8298541</v>
      </c>
      <c r="VJJ525" s="1334">
        <v>8298541</v>
      </c>
      <c r="VJK525" s="1334">
        <v>8298541</v>
      </c>
      <c r="VJL525" s="1334">
        <v>8298541</v>
      </c>
      <c r="VJM525" s="1334">
        <v>8298541</v>
      </c>
      <c r="VJN525" s="1334">
        <v>8298541</v>
      </c>
      <c r="VJO525" s="1334">
        <v>8298541</v>
      </c>
      <c r="VJP525" s="1334">
        <v>8298541</v>
      </c>
      <c r="VJQ525" s="1334">
        <v>8298541</v>
      </c>
      <c r="VJR525" s="1334">
        <v>8298541</v>
      </c>
      <c r="VJS525" s="1334">
        <v>8298541</v>
      </c>
      <c r="VJT525" s="1334">
        <v>8298541</v>
      </c>
      <c r="VJU525" s="1334">
        <v>8298541</v>
      </c>
      <c r="VJV525" s="1334">
        <v>8298541</v>
      </c>
      <c r="VJW525" s="1334">
        <v>8298541</v>
      </c>
      <c r="VJX525" s="1334">
        <v>8298541</v>
      </c>
      <c r="VJY525" s="1334">
        <v>8298541</v>
      </c>
      <c r="VJZ525" s="1334">
        <v>8298541</v>
      </c>
      <c r="VKA525" s="1334">
        <v>8298541</v>
      </c>
      <c r="VKB525" s="1334">
        <v>8298541</v>
      </c>
      <c r="VKC525" s="1334">
        <v>8298541</v>
      </c>
      <c r="VKD525" s="1334">
        <v>8298541</v>
      </c>
      <c r="VKE525" s="1334">
        <v>8298541</v>
      </c>
      <c r="VKF525" s="1334">
        <v>8298541</v>
      </c>
      <c r="VKG525" s="1334">
        <v>8298541</v>
      </c>
      <c r="VKH525" s="1334">
        <v>8298541</v>
      </c>
      <c r="VKI525" s="1334">
        <v>8298541</v>
      </c>
      <c r="VKJ525" s="1334">
        <v>8298541</v>
      </c>
      <c r="VKK525" s="1334">
        <v>8298541</v>
      </c>
      <c r="VKL525" s="1334">
        <v>8298541</v>
      </c>
      <c r="VKM525" s="1334">
        <v>8298541</v>
      </c>
      <c r="VKN525" s="1334">
        <v>8298541</v>
      </c>
      <c r="VKO525" s="1334">
        <v>8298541</v>
      </c>
      <c r="VKP525" s="1334">
        <v>8298541</v>
      </c>
      <c r="VKQ525" s="1334">
        <v>8298541</v>
      </c>
      <c r="VKR525" s="1334">
        <v>8298541</v>
      </c>
      <c r="VKS525" s="1334">
        <v>8298541</v>
      </c>
      <c r="VKT525" s="1334">
        <v>8298541</v>
      </c>
      <c r="VKU525" s="1334">
        <v>8298541</v>
      </c>
      <c r="VKV525" s="1334">
        <v>8298541</v>
      </c>
      <c r="VKW525" s="1334">
        <v>8298541</v>
      </c>
      <c r="VKX525" s="1334">
        <v>8298541</v>
      </c>
      <c r="VKY525" s="1334">
        <v>8298541</v>
      </c>
      <c r="VKZ525" s="1334">
        <v>8298541</v>
      </c>
      <c r="VLA525" s="1334">
        <v>8298541</v>
      </c>
      <c r="VLB525" s="1334">
        <v>8298541</v>
      </c>
      <c r="VLC525" s="1334">
        <v>8298541</v>
      </c>
      <c r="VLD525" s="1334">
        <v>8298541</v>
      </c>
      <c r="VLE525" s="1334">
        <v>8298541</v>
      </c>
      <c r="VLF525" s="1334">
        <v>8298541</v>
      </c>
      <c r="VLG525" s="1334">
        <v>8298541</v>
      </c>
      <c r="VLH525" s="1334">
        <v>8298541</v>
      </c>
      <c r="VLI525" s="1334">
        <v>8298541</v>
      </c>
      <c r="VLJ525" s="1334">
        <v>8298541</v>
      </c>
      <c r="VLK525" s="1334">
        <v>8298541</v>
      </c>
      <c r="VLL525" s="1334">
        <v>8298541</v>
      </c>
      <c r="VLM525" s="1334">
        <v>8298541</v>
      </c>
      <c r="VLN525" s="1334">
        <v>8298541</v>
      </c>
      <c r="VLO525" s="1334">
        <v>8298541</v>
      </c>
      <c r="VLP525" s="1334">
        <v>8298541</v>
      </c>
      <c r="VLQ525" s="1334">
        <v>8298541</v>
      </c>
      <c r="VLR525" s="1334">
        <v>8298541</v>
      </c>
      <c r="VLS525" s="1334">
        <v>8298541</v>
      </c>
      <c r="VLT525" s="1334">
        <v>8298541</v>
      </c>
      <c r="VLU525" s="1334">
        <v>8298541</v>
      </c>
      <c r="VLV525" s="1334">
        <v>8298541</v>
      </c>
      <c r="VLW525" s="1334">
        <v>8298541</v>
      </c>
      <c r="VLX525" s="1334">
        <v>8298541</v>
      </c>
      <c r="VLY525" s="1334">
        <v>8298541</v>
      </c>
      <c r="VLZ525" s="1334">
        <v>8298541</v>
      </c>
      <c r="VMA525" s="1334">
        <v>8298541</v>
      </c>
      <c r="VMB525" s="1334">
        <v>8298541</v>
      </c>
      <c r="VMC525" s="1334">
        <v>8298541</v>
      </c>
      <c r="VMD525" s="1334">
        <v>8298541</v>
      </c>
      <c r="VME525" s="1334">
        <v>8298541</v>
      </c>
      <c r="VMF525" s="1334">
        <v>8298541</v>
      </c>
      <c r="VMG525" s="1334">
        <v>8298541</v>
      </c>
      <c r="VMH525" s="1334">
        <v>8298541</v>
      </c>
      <c r="VMI525" s="1334">
        <v>8298541</v>
      </c>
      <c r="VMJ525" s="1334">
        <v>8298541</v>
      </c>
      <c r="VMK525" s="1334">
        <v>8298541</v>
      </c>
      <c r="VML525" s="1334">
        <v>8298541</v>
      </c>
      <c r="VMM525" s="1334">
        <v>8298541</v>
      </c>
      <c r="VMN525" s="1334">
        <v>8298541</v>
      </c>
      <c r="VMO525" s="1334">
        <v>8298541</v>
      </c>
      <c r="VMP525" s="1334">
        <v>8298541</v>
      </c>
      <c r="VMQ525" s="1334">
        <v>8298541</v>
      </c>
      <c r="VMR525" s="1334">
        <v>8298541</v>
      </c>
      <c r="VMS525" s="1334">
        <v>8298541</v>
      </c>
      <c r="VMT525" s="1334">
        <v>8298541</v>
      </c>
      <c r="VMU525" s="1334">
        <v>8298541</v>
      </c>
      <c r="VMV525" s="1334">
        <v>8298541</v>
      </c>
      <c r="VMW525" s="1334">
        <v>8298541</v>
      </c>
      <c r="VMX525" s="1334">
        <v>8298541</v>
      </c>
      <c r="VMY525" s="1334">
        <v>8298541</v>
      </c>
      <c r="VMZ525" s="1334">
        <v>8298541</v>
      </c>
      <c r="VNA525" s="1334">
        <v>8298541</v>
      </c>
      <c r="VNB525" s="1334">
        <v>8298541</v>
      </c>
      <c r="VNC525" s="1334">
        <v>8298541</v>
      </c>
      <c r="VND525" s="1334">
        <v>8298541</v>
      </c>
      <c r="VNE525" s="1334">
        <v>8298541</v>
      </c>
      <c r="VNF525" s="1334">
        <v>8298541</v>
      </c>
      <c r="VNG525" s="1334">
        <v>8298541</v>
      </c>
      <c r="VNH525" s="1334">
        <v>8298541</v>
      </c>
      <c r="VNI525" s="1334">
        <v>8298541</v>
      </c>
      <c r="VNJ525" s="1334">
        <v>8298541</v>
      </c>
      <c r="VNK525" s="1334">
        <v>8298541</v>
      </c>
      <c r="VNL525" s="1334">
        <v>8298541</v>
      </c>
      <c r="VNM525" s="1334">
        <v>8298541</v>
      </c>
      <c r="VNN525" s="1334">
        <v>8298541</v>
      </c>
      <c r="VNO525" s="1334">
        <v>8298541</v>
      </c>
      <c r="VNP525" s="1334">
        <v>8298541</v>
      </c>
      <c r="VNQ525" s="1334">
        <v>8298541</v>
      </c>
      <c r="VNR525" s="1334">
        <v>8298541</v>
      </c>
      <c r="VNS525" s="1334">
        <v>8298541</v>
      </c>
      <c r="VNT525" s="1334">
        <v>8298541</v>
      </c>
      <c r="VNU525" s="1334">
        <v>8298541</v>
      </c>
      <c r="VNV525" s="1334">
        <v>8298541</v>
      </c>
      <c r="VNW525" s="1334">
        <v>8298541</v>
      </c>
      <c r="VNX525" s="1334">
        <v>8298541</v>
      </c>
      <c r="VNY525" s="1334">
        <v>8298541</v>
      </c>
      <c r="VNZ525" s="1334">
        <v>8298541</v>
      </c>
      <c r="VOA525" s="1334">
        <v>8298541</v>
      </c>
      <c r="VOB525" s="1334">
        <v>8298541</v>
      </c>
      <c r="VOC525" s="1334">
        <v>8298541</v>
      </c>
      <c r="VOD525" s="1334">
        <v>8298541</v>
      </c>
      <c r="VOE525" s="1334">
        <v>8298541</v>
      </c>
      <c r="VOF525" s="1334">
        <v>8298541</v>
      </c>
      <c r="VOG525" s="1334">
        <v>8298541</v>
      </c>
      <c r="VOH525" s="1334">
        <v>8298541</v>
      </c>
      <c r="VOI525" s="1334">
        <v>8298541</v>
      </c>
      <c r="VOJ525" s="1334">
        <v>8298541</v>
      </c>
      <c r="VOK525" s="1334">
        <v>8298541</v>
      </c>
      <c r="VOL525" s="1334">
        <v>8298541</v>
      </c>
      <c r="VOM525" s="1334">
        <v>8298541</v>
      </c>
      <c r="VON525" s="1334">
        <v>8298541</v>
      </c>
      <c r="VOO525" s="1334">
        <v>8298541</v>
      </c>
      <c r="VOP525" s="1334">
        <v>8298541</v>
      </c>
      <c r="VOQ525" s="1334">
        <v>8298541</v>
      </c>
      <c r="VOR525" s="1334">
        <v>8298541</v>
      </c>
      <c r="VOS525" s="1334">
        <v>8298541</v>
      </c>
      <c r="VOT525" s="1334">
        <v>8298541</v>
      </c>
      <c r="VOU525" s="1334">
        <v>8298541</v>
      </c>
      <c r="VOV525" s="1334">
        <v>8298541</v>
      </c>
      <c r="VOW525" s="1334">
        <v>8298541</v>
      </c>
      <c r="VOX525" s="1334">
        <v>8298541</v>
      </c>
      <c r="VOY525" s="1334">
        <v>8298541</v>
      </c>
      <c r="VOZ525" s="1334">
        <v>8298541</v>
      </c>
      <c r="VPA525" s="1334">
        <v>8298541</v>
      </c>
      <c r="VPB525" s="1334">
        <v>8298541</v>
      </c>
      <c r="VPC525" s="1334">
        <v>8298541</v>
      </c>
      <c r="VPD525" s="1334">
        <v>8298541</v>
      </c>
      <c r="VPE525" s="1334">
        <v>8298541</v>
      </c>
      <c r="VPF525" s="1334">
        <v>8298541</v>
      </c>
      <c r="VPG525" s="1334">
        <v>8298541</v>
      </c>
      <c r="VPH525" s="1334">
        <v>8298541</v>
      </c>
      <c r="VPI525" s="1334">
        <v>8298541</v>
      </c>
      <c r="VPJ525" s="1334">
        <v>8298541</v>
      </c>
      <c r="VPK525" s="1334">
        <v>8298541</v>
      </c>
      <c r="VPL525" s="1334">
        <v>8298541</v>
      </c>
      <c r="VPM525" s="1334">
        <v>8298541</v>
      </c>
      <c r="VPN525" s="1334">
        <v>8298541</v>
      </c>
      <c r="VPO525" s="1334">
        <v>8298541</v>
      </c>
      <c r="VPP525" s="1334">
        <v>8298541</v>
      </c>
      <c r="VPQ525" s="1334">
        <v>8298541</v>
      </c>
      <c r="VPR525" s="1334">
        <v>8298541</v>
      </c>
      <c r="VPS525" s="1334">
        <v>8298541</v>
      </c>
      <c r="VPT525" s="1334">
        <v>8298541</v>
      </c>
      <c r="VPU525" s="1334">
        <v>8298541</v>
      </c>
      <c r="VPV525" s="1334">
        <v>8298541</v>
      </c>
      <c r="VPW525" s="1334">
        <v>8298541</v>
      </c>
      <c r="VPX525" s="1334">
        <v>8298541</v>
      </c>
      <c r="VPY525" s="1334">
        <v>8298541</v>
      </c>
      <c r="VPZ525" s="1334">
        <v>8298541</v>
      </c>
      <c r="VQA525" s="1334">
        <v>8298541</v>
      </c>
      <c r="VQB525" s="1334">
        <v>8298541</v>
      </c>
      <c r="VQC525" s="1334">
        <v>8298541</v>
      </c>
      <c r="VQD525" s="1334">
        <v>8298541</v>
      </c>
      <c r="VQE525" s="1334">
        <v>8298541</v>
      </c>
      <c r="VQF525" s="1334">
        <v>8298541</v>
      </c>
      <c r="VQG525" s="1334">
        <v>8298541</v>
      </c>
      <c r="VQH525" s="1334">
        <v>8298541</v>
      </c>
      <c r="VQI525" s="1334">
        <v>8298541</v>
      </c>
      <c r="VQJ525" s="1334">
        <v>8298541</v>
      </c>
      <c r="VQK525" s="1334">
        <v>8298541</v>
      </c>
      <c r="VQL525" s="1334">
        <v>8298541</v>
      </c>
      <c r="VQM525" s="1334">
        <v>8298541</v>
      </c>
      <c r="VQN525" s="1334">
        <v>8298541</v>
      </c>
      <c r="VQO525" s="1334">
        <v>8298541</v>
      </c>
      <c r="VQP525" s="1334">
        <v>8298541</v>
      </c>
      <c r="VQQ525" s="1334">
        <v>8298541</v>
      </c>
      <c r="VQR525" s="1334">
        <v>8298541</v>
      </c>
      <c r="VQS525" s="1334">
        <v>8298541</v>
      </c>
      <c r="VQT525" s="1334">
        <v>8298541</v>
      </c>
      <c r="VQU525" s="1334">
        <v>8298541</v>
      </c>
      <c r="VQV525" s="1334">
        <v>8298541</v>
      </c>
      <c r="VQW525" s="1334">
        <v>8298541</v>
      </c>
      <c r="VQX525" s="1334">
        <v>8298541</v>
      </c>
      <c r="VQY525" s="1334">
        <v>8298541</v>
      </c>
      <c r="VQZ525" s="1334">
        <v>8298541</v>
      </c>
      <c r="VRA525" s="1334">
        <v>8298541</v>
      </c>
      <c r="VRB525" s="1334">
        <v>8298541</v>
      </c>
      <c r="VRC525" s="1334">
        <v>8298541</v>
      </c>
      <c r="VRD525" s="1334">
        <v>8298541</v>
      </c>
      <c r="VRE525" s="1334">
        <v>8298541</v>
      </c>
      <c r="VRF525" s="1334">
        <v>8298541</v>
      </c>
      <c r="VRG525" s="1334">
        <v>8298541</v>
      </c>
      <c r="VRH525" s="1334">
        <v>8298541</v>
      </c>
      <c r="VRI525" s="1334">
        <v>8298541</v>
      </c>
      <c r="VRJ525" s="1334">
        <v>8298541</v>
      </c>
      <c r="VRK525" s="1334">
        <v>8298541</v>
      </c>
      <c r="VRL525" s="1334">
        <v>8298541</v>
      </c>
      <c r="VRM525" s="1334">
        <v>8298541</v>
      </c>
      <c r="VRN525" s="1334">
        <v>8298541</v>
      </c>
      <c r="VRO525" s="1334">
        <v>8298541</v>
      </c>
      <c r="VRP525" s="1334">
        <v>8298541</v>
      </c>
      <c r="VRQ525" s="1334">
        <v>8298541</v>
      </c>
      <c r="VRR525" s="1334">
        <v>8298541</v>
      </c>
      <c r="VRS525" s="1334">
        <v>8298541</v>
      </c>
      <c r="VRT525" s="1334">
        <v>8298541</v>
      </c>
      <c r="VRU525" s="1334">
        <v>8298541</v>
      </c>
      <c r="VRV525" s="1334">
        <v>8298541</v>
      </c>
      <c r="VRW525" s="1334">
        <v>8298541</v>
      </c>
      <c r="VRX525" s="1334">
        <v>8298541</v>
      </c>
      <c r="VRY525" s="1334">
        <v>8298541</v>
      </c>
      <c r="VRZ525" s="1334">
        <v>8298541</v>
      </c>
      <c r="VSA525" s="1334">
        <v>8298541</v>
      </c>
      <c r="VSB525" s="1334">
        <v>8298541</v>
      </c>
      <c r="VSC525" s="1334">
        <v>8298541</v>
      </c>
      <c r="VSD525" s="1334">
        <v>8298541</v>
      </c>
      <c r="VSE525" s="1334">
        <v>8298541</v>
      </c>
      <c r="VSF525" s="1334">
        <v>8298541</v>
      </c>
      <c r="VSG525" s="1334">
        <v>8298541</v>
      </c>
      <c r="VSH525" s="1334">
        <v>8298541</v>
      </c>
      <c r="VSI525" s="1334">
        <v>8298541</v>
      </c>
      <c r="VSJ525" s="1334">
        <v>8298541</v>
      </c>
      <c r="VSK525" s="1334">
        <v>8298541</v>
      </c>
      <c r="VSL525" s="1334">
        <v>8298541</v>
      </c>
      <c r="VSM525" s="1334">
        <v>8298541</v>
      </c>
      <c r="VSN525" s="1334">
        <v>8298541</v>
      </c>
      <c r="VSO525" s="1334">
        <v>8298541</v>
      </c>
      <c r="VSP525" s="1334">
        <v>8298541</v>
      </c>
      <c r="VSQ525" s="1334">
        <v>8298541</v>
      </c>
      <c r="VSR525" s="1334">
        <v>8298541</v>
      </c>
      <c r="VSS525" s="1334">
        <v>8298541</v>
      </c>
      <c r="VST525" s="1334">
        <v>8298541</v>
      </c>
      <c r="VSU525" s="1334">
        <v>8298541</v>
      </c>
      <c r="VSV525" s="1334">
        <v>8298541</v>
      </c>
      <c r="VSW525" s="1334">
        <v>8298541</v>
      </c>
      <c r="VSX525" s="1334">
        <v>8298541</v>
      </c>
      <c r="VSY525" s="1334">
        <v>8298541</v>
      </c>
      <c r="VSZ525" s="1334">
        <v>8298541</v>
      </c>
      <c r="VTA525" s="1334">
        <v>8298541</v>
      </c>
      <c r="VTB525" s="1334">
        <v>8298541</v>
      </c>
      <c r="VTC525" s="1334">
        <v>8298541</v>
      </c>
      <c r="VTD525" s="1334">
        <v>8298541</v>
      </c>
      <c r="VTE525" s="1334">
        <v>8298541</v>
      </c>
      <c r="VTF525" s="1334">
        <v>8298541</v>
      </c>
      <c r="VTG525" s="1334">
        <v>8298541</v>
      </c>
      <c r="VTH525" s="1334">
        <v>8298541</v>
      </c>
      <c r="VTI525" s="1334">
        <v>8298541</v>
      </c>
      <c r="VTJ525" s="1334">
        <v>8298541</v>
      </c>
      <c r="VTK525" s="1334">
        <v>8298541</v>
      </c>
      <c r="VTL525" s="1334">
        <v>8298541</v>
      </c>
      <c r="VTM525" s="1334">
        <v>8298541</v>
      </c>
      <c r="VTN525" s="1334">
        <v>8298541</v>
      </c>
      <c r="VTO525" s="1334">
        <v>8298541</v>
      </c>
      <c r="VTP525" s="1334">
        <v>8298541</v>
      </c>
      <c r="VTQ525" s="1334">
        <v>8298541</v>
      </c>
      <c r="VTR525" s="1334">
        <v>8298541</v>
      </c>
      <c r="VTS525" s="1334">
        <v>8298541</v>
      </c>
      <c r="VTT525" s="1334">
        <v>8298541</v>
      </c>
      <c r="VTU525" s="1334">
        <v>8298541</v>
      </c>
      <c r="VTV525" s="1334">
        <v>8298541</v>
      </c>
      <c r="VTW525" s="1334">
        <v>8298541</v>
      </c>
      <c r="VTX525" s="1334">
        <v>8298541</v>
      </c>
      <c r="VTY525" s="1334">
        <v>8298541</v>
      </c>
      <c r="VTZ525" s="1334">
        <v>8298541</v>
      </c>
      <c r="VUA525" s="1334">
        <v>8298541</v>
      </c>
      <c r="VUB525" s="1334">
        <v>8298541</v>
      </c>
      <c r="VUC525" s="1334">
        <v>8298541</v>
      </c>
      <c r="VUD525" s="1334">
        <v>8298541</v>
      </c>
      <c r="VUE525" s="1334">
        <v>8298541</v>
      </c>
      <c r="VUF525" s="1334">
        <v>8298541</v>
      </c>
      <c r="VUG525" s="1334">
        <v>8298541</v>
      </c>
      <c r="VUH525" s="1334">
        <v>8298541</v>
      </c>
      <c r="VUI525" s="1334">
        <v>8298541</v>
      </c>
      <c r="VUJ525" s="1334">
        <v>8298541</v>
      </c>
      <c r="VUK525" s="1334">
        <v>8298541</v>
      </c>
      <c r="VUL525" s="1334">
        <v>8298541</v>
      </c>
      <c r="VUM525" s="1334">
        <v>8298541</v>
      </c>
      <c r="VUN525" s="1334">
        <v>8298541</v>
      </c>
      <c r="VUO525" s="1334">
        <v>8298541</v>
      </c>
      <c r="VUP525" s="1334">
        <v>8298541</v>
      </c>
      <c r="VUQ525" s="1334">
        <v>8298541</v>
      </c>
      <c r="VUR525" s="1334">
        <v>8298541</v>
      </c>
      <c r="VUS525" s="1334">
        <v>8298541</v>
      </c>
      <c r="VUT525" s="1334">
        <v>8298541</v>
      </c>
      <c r="VUU525" s="1334">
        <v>8298541</v>
      </c>
      <c r="VUV525" s="1334">
        <v>8298541</v>
      </c>
      <c r="VUW525" s="1334">
        <v>8298541</v>
      </c>
      <c r="VUX525" s="1334">
        <v>8298541</v>
      </c>
      <c r="VUY525" s="1334">
        <v>8298541</v>
      </c>
      <c r="VUZ525" s="1334">
        <v>8298541</v>
      </c>
      <c r="VVA525" s="1334">
        <v>8298541</v>
      </c>
      <c r="VVB525" s="1334">
        <v>8298541</v>
      </c>
      <c r="VVC525" s="1334">
        <v>8298541</v>
      </c>
      <c r="VVD525" s="1334">
        <v>8298541</v>
      </c>
      <c r="VVE525" s="1334">
        <v>8298541</v>
      </c>
      <c r="VVF525" s="1334">
        <v>8298541</v>
      </c>
      <c r="VVG525" s="1334">
        <v>8298541</v>
      </c>
      <c r="VVH525" s="1334">
        <v>8298541</v>
      </c>
      <c r="VVI525" s="1334">
        <v>8298541</v>
      </c>
      <c r="VVJ525" s="1334">
        <v>8298541</v>
      </c>
      <c r="VVK525" s="1334">
        <v>8298541</v>
      </c>
      <c r="VVL525" s="1334">
        <v>8298541</v>
      </c>
      <c r="VVM525" s="1334">
        <v>8298541</v>
      </c>
      <c r="VVN525" s="1334">
        <v>8298541</v>
      </c>
      <c r="VVO525" s="1334">
        <v>8298541</v>
      </c>
      <c r="VVP525" s="1334">
        <v>8298541</v>
      </c>
      <c r="VVQ525" s="1334">
        <v>8298541</v>
      </c>
      <c r="VVR525" s="1334">
        <v>8298541</v>
      </c>
      <c r="VVS525" s="1334">
        <v>8298541</v>
      </c>
      <c r="VVT525" s="1334">
        <v>8298541</v>
      </c>
      <c r="VVU525" s="1334">
        <v>8298541</v>
      </c>
      <c r="VVV525" s="1334">
        <v>8298541</v>
      </c>
      <c r="VVW525" s="1334">
        <v>8298541</v>
      </c>
      <c r="VVX525" s="1334">
        <v>8298541</v>
      </c>
      <c r="VVY525" s="1334">
        <v>8298541</v>
      </c>
      <c r="VVZ525" s="1334">
        <v>8298541</v>
      </c>
      <c r="VWA525" s="1334">
        <v>8298541</v>
      </c>
      <c r="VWB525" s="1334">
        <v>8298541</v>
      </c>
      <c r="VWC525" s="1334">
        <v>8298541</v>
      </c>
      <c r="VWD525" s="1334">
        <v>8298541</v>
      </c>
      <c r="VWE525" s="1334">
        <v>8298541</v>
      </c>
      <c r="VWF525" s="1334">
        <v>8298541</v>
      </c>
      <c r="VWG525" s="1334">
        <v>8298541</v>
      </c>
      <c r="VWH525" s="1334">
        <v>8298541</v>
      </c>
      <c r="VWI525" s="1334">
        <v>8298541</v>
      </c>
      <c r="VWJ525" s="1334">
        <v>8298541</v>
      </c>
      <c r="VWK525" s="1334">
        <v>8298541</v>
      </c>
      <c r="VWL525" s="1334">
        <v>8298541</v>
      </c>
      <c r="VWM525" s="1334">
        <v>8298541</v>
      </c>
      <c r="VWN525" s="1334">
        <v>8298541</v>
      </c>
      <c r="VWO525" s="1334">
        <v>8298541</v>
      </c>
      <c r="VWP525" s="1334">
        <v>8298541</v>
      </c>
      <c r="VWQ525" s="1334">
        <v>8298541</v>
      </c>
      <c r="VWR525" s="1334">
        <v>8298541</v>
      </c>
      <c r="VWS525" s="1334">
        <v>8298541</v>
      </c>
      <c r="VWT525" s="1334">
        <v>8298541</v>
      </c>
      <c r="VWU525" s="1334">
        <v>8298541</v>
      </c>
      <c r="VWV525" s="1334">
        <v>8298541</v>
      </c>
      <c r="VWW525" s="1334">
        <v>8298541</v>
      </c>
      <c r="VWX525" s="1334">
        <v>8298541</v>
      </c>
      <c r="VWY525" s="1334">
        <v>8298541</v>
      </c>
      <c r="VWZ525" s="1334">
        <v>8298541</v>
      </c>
      <c r="VXA525" s="1334">
        <v>8298541</v>
      </c>
      <c r="VXB525" s="1334">
        <v>8298541</v>
      </c>
      <c r="VXC525" s="1334">
        <v>8298541</v>
      </c>
      <c r="VXD525" s="1334">
        <v>8298541</v>
      </c>
      <c r="VXE525" s="1334">
        <v>8298541</v>
      </c>
      <c r="VXF525" s="1334">
        <v>8298541</v>
      </c>
      <c r="VXG525" s="1334">
        <v>8298541</v>
      </c>
      <c r="VXH525" s="1334">
        <v>8298541</v>
      </c>
      <c r="VXI525" s="1334">
        <v>8298541</v>
      </c>
      <c r="VXJ525" s="1334">
        <v>8298541</v>
      </c>
      <c r="VXK525" s="1334">
        <v>8298541</v>
      </c>
      <c r="VXL525" s="1334">
        <v>8298541</v>
      </c>
      <c r="VXM525" s="1334">
        <v>8298541</v>
      </c>
      <c r="VXN525" s="1334">
        <v>8298541</v>
      </c>
      <c r="VXO525" s="1334">
        <v>8298541</v>
      </c>
      <c r="VXP525" s="1334">
        <v>8298541</v>
      </c>
      <c r="VXQ525" s="1334">
        <v>8298541</v>
      </c>
      <c r="VXR525" s="1334">
        <v>8298541</v>
      </c>
      <c r="VXS525" s="1334">
        <v>8298541</v>
      </c>
      <c r="VXT525" s="1334">
        <v>8298541</v>
      </c>
      <c r="VXU525" s="1334">
        <v>8298541</v>
      </c>
      <c r="VXV525" s="1334">
        <v>8298541</v>
      </c>
      <c r="VXW525" s="1334">
        <v>8298541</v>
      </c>
      <c r="VXX525" s="1334">
        <v>8298541</v>
      </c>
      <c r="VXY525" s="1334">
        <v>8298541</v>
      </c>
      <c r="VXZ525" s="1334">
        <v>8298541</v>
      </c>
      <c r="VYA525" s="1334">
        <v>8298541</v>
      </c>
      <c r="VYB525" s="1334">
        <v>8298541</v>
      </c>
      <c r="VYC525" s="1334">
        <v>8298541</v>
      </c>
      <c r="VYD525" s="1334">
        <v>8298541</v>
      </c>
      <c r="VYE525" s="1334">
        <v>8298541</v>
      </c>
      <c r="VYF525" s="1334">
        <v>8298541</v>
      </c>
      <c r="VYG525" s="1334">
        <v>8298541</v>
      </c>
      <c r="VYH525" s="1334">
        <v>8298541</v>
      </c>
      <c r="VYI525" s="1334">
        <v>8298541</v>
      </c>
      <c r="VYJ525" s="1334">
        <v>8298541</v>
      </c>
      <c r="VYK525" s="1334">
        <v>8298541</v>
      </c>
      <c r="VYL525" s="1334">
        <v>8298541</v>
      </c>
      <c r="VYM525" s="1334">
        <v>8298541</v>
      </c>
      <c r="VYN525" s="1334">
        <v>8298541</v>
      </c>
      <c r="VYO525" s="1334">
        <v>8298541</v>
      </c>
      <c r="VYP525" s="1334">
        <v>8298541</v>
      </c>
      <c r="VYQ525" s="1334">
        <v>8298541</v>
      </c>
      <c r="VYR525" s="1334">
        <v>8298541</v>
      </c>
      <c r="VYS525" s="1334">
        <v>8298541</v>
      </c>
      <c r="VYT525" s="1334">
        <v>8298541</v>
      </c>
      <c r="VYU525" s="1334">
        <v>8298541</v>
      </c>
      <c r="VYV525" s="1334">
        <v>8298541</v>
      </c>
      <c r="VYW525" s="1334">
        <v>8298541</v>
      </c>
      <c r="VYX525" s="1334">
        <v>8298541</v>
      </c>
      <c r="VYY525" s="1334">
        <v>8298541</v>
      </c>
      <c r="VYZ525" s="1334">
        <v>8298541</v>
      </c>
      <c r="VZA525" s="1334">
        <v>8298541</v>
      </c>
      <c r="VZB525" s="1334">
        <v>8298541</v>
      </c>
      <c r="VZC525" s="1334">
        <v>8298541</v>
      </c>
      <c r="VZD525" s="1334">
        <v>8298541</v>
      </c>
      <c r="VZE525" s="1334">
        <v>8298541</v>
      </c>
      <c r="VZF525" s="1334">
        <v>8298541</v>
      </c>
      <c r="VZG525" s="1334">
        <v>8298541</v>
      </c>
      <c r="VZH525" s="1334">
        <v>8298541</v>
      </c>
      <c r="VZI525" s="1334">
        <v>8298541</v>
      </c>
      <c r="VZJ525" s="1334">
        <v>8298541</v>
      </c>
      <c r="VZK525" s="1334">
        <v>8298541</v>
      </c>
      <c r="VZL525" s="1334">
        <v>8298541</v>
      </c>
      <c r="VZM525" s="1334">
        <v>8298541</v>
      </c>
      <c r="VZN525" s="1334">
        <v>8298541</v>
      </c>
      <c r="VZO525" s="1334">
        <v>8298541</v>
      </c>
      <c r="VZP525" s="1334">
        <v>8298541</v>
      </c>
      <c r="VZQ525" s="1334">
        <v>8298541</v>
      </c>
      <c r="VZR525" s="1334">
        <v>8298541</v>
      </c>
      <c r="VZS525" s="1334">
        <v>8298541</v>
      </c>
      <c r="VZT525" s="1334">
        <v>8298541</v>
      </c>
      <c r="VZU525" s="1334">
        <v>8298541</v>
      </c>
      <c r="VZV525" s="1334">
        <v>8298541</v>
      </c>
      <c r="VZW525" s="1334">
        <v>8298541</v>
      </c>
      <c r="VZX525" s="1334">
        <v>8298541</v>
      </c>
      <c r="VZY525" s="1334">
        <v>8298541</v>
      </c>
      <c r="VZZ525" s="1334">
        <v>8298541</v>
      </c>
      <c r="WAA525" s="1334">
        <v>8298541</v>
      </c>
      <c r="WAB525" s="1334">
        <v>8298541</v>
      </c>
      <c r="WAC525" s="1334">
        <v>8298541</v>
      </c>
      <c r="WAD525" s="1334">
        <v>8298541</v>
      </c>
      <c r="WAE525" s="1334">
        <v>8298541</v>
      </c>
      <c r="WAF525" s="1334">
        <v>8298541</v>
      </c>
      <c r="WAG525" s="1334">
        <v>8298541</v>
      </c>
      <c r="WAH525" s="1334">
        <v>8298541</v>
      </c>
      <c r="WAI525" s="1334">
        <v>8298541</v>
      </c>
      <c r="WAJ525" s="1334">
        <v>8298541</v>
      </c>
      <c r="WAK525" s="1334">
        <v>8298541</v>
      </c>
      <c r="WAL525" s="1334">
        <v>8298541</v>
      </c>
      <c r="WAM525" s="1334">
        <v>8298541</v>
      </c>
      <c r="WAN525" s="1334">
        <v>8298541</v>
      </c>
      <c r="WAO525" s="1334">
        <v>8298541</v>
      </c>
      <c r="WAP525" s="1334">
        <v>8298541</v>
      </c>
      <c r="WAQ525" s="1334">
        <v>8298541</v>
      </c>
      <c r="WAR525" s="1334">
        <v>8298541</v>
      </c>
      <c r="WAS525" s="1334">
        <v>8298541</v>
      </c>
      <c r="WAT525" s="1334">
        <v>8298541</v>
      </c>
      <c r="WAU525" s="1334">
        <v>8298541</v>
      </c>
      <c r="WAV525" s="1334">
        <v>8298541</v>
      </c>
      <c r="WAW525" s="1334">
        <v>8298541</v>
      </c>
      <c r="WAX525" s="1334">
        <v>8298541</v>
      </c>
      <c r="WAY525" s="1334">
        <v>8298541</v>
      </c>
      <c r="WAZ525" s="1334">
        <v>8298541</v>
      </c>
      <c r="WBA525" s="1334">
        <v>8298541</v>
      </c>
      <c r="WBB525" s="1334">
        <v>8298541</v>
      </c>
      <c r="WBC525" s="1334">
        <v>8298541</v>
      </c>
      <c r="WBD525" s="1334">
        <v>8298541</v>
      </c>
      <c r="WBE525" s="1334">
        <v>8298541</v>
      </c>
      <c r="WBF525" s="1334">
        <v>8298541</v>
      </c>
      <c r="WBG525" s="1334">
        <v>8298541</v>
      </c>
      <c r="WBH525" s="1334">
        <v>8298541</v>
      </c>
      <c r="WBI525" s="1334">
        <v>8298541</v>
      </c>
      <c r="WBJ525" s="1334">
        <v>8298541</v>
      </c>
      <c r="WBK525" s="1334">
        <v>8298541</v>
      </c>
      <c r="WBL525" s="1334">
        <v>8298541</v>
      </c>
      <c r="WBM525" s="1334">
        <v>8298541</v>
      </c>
      <c r="WBN525" s="1334">
        <v>8298541</v>
      </c>
      <c r="WBO525" s="1334">
        <v>8298541</v>
      </c>
      <c r="WBP525" s="1334">
        <v>8298541</v>
      </c>
      <c r="WBQ525" s="1334">
        <v>8298541</v>
      </c>
      <c r="WBR525" s="1334">
        <v>8298541</v>
      </c>
      <c r="WBS525" s="1334">
        <v>8298541</v>
      </c>
      <c r="WBT525" s="1334">
        <v>8298541</v>
      </c>
      <c r="WBU525" s="1334">
        <v>8298541</v>
      </c>
      <c r="WBV525" s="1334">
        <v>8298541</v>
      </c>
      <c r="WBW525" s="1334">
        <v>8298541</v>
      </c>
      <c r="WBX525" s="1334">
        <v>8298541</v>
      </c>
      <c r="WBY525" s="1334">
        <v>8298541</v>
      </c>
      <c r="WBZ525" s="1334">
        <v>8298541</v>
      </c>
      <c r="WCA525" s="1334">
        <v>8298541</v>
      </c>
      <c r="WCB525" s="1334">
        <v>8298541</v>
      </c>
      <c r="WCC525" s="1334">
        <v>8298541</v>
      </c>
      <c r="WCD525" s="1334">
        <v>8298541</v>
      </c>
      <c r="WCE525" s="1334">
        <v>8298541</v>
      </c>
      <c r="WCF525" s="1334">
        <v>8298541</v>
      </c>
      <c r="WCG525" s="1334">
        <v>8298541</v>
      </c>
      <c r="WCH525" s="1334">
        <v>8298541</v>
      </c>
      <c r="WCI525" s="1334">
        <v>8298541</v>
      </c>
      <c r="WCJ525" s="1334">
        <v>8298541</v>
      </c>
      <c r="WCK525" s="1334">
        <v>8298541</v>
      </c>
      <c r="WCL525" s="1334">
        <v>8298541</v>
      </c>
      <c r="WCM525" s="1334">
        <v>8298541</v>
      </c>
      <c r="WCN525" s="1334">
        <v>8298541</v>
      </c>
      <c r="WCO525" s="1334">
        <v>8298541</v>
      </c>
      <c r="WCP525" s="1334">
        <v>8298541</v>
      </c>
      <c r="WCQ525" s="1334">
        <v>8298541</v>
      </c>
      <c r="WCR525" s="1334">
        <v>8298541</v>
      </c>
      <c r="WCS525" s="1334">
        <v>8298541</v>
      </c>
      <c r="WCT525" s="1334">
        <v>8298541</v>
      </c>
      <c r="WCU525" s="1334">
        <v>8298541</v>
      </c>
      <c r="WCV525" s="1334">
        <v>8298541</v>
      </c>
      <c r="WCW525" s="1334">
        <v>8298541</v>
      </c>
      <c r="WCX525" s="1334">
        <v>8298541</v>
      </c>
      <c r="WCY525" s="1334">
        <v>8298541</v>
      </c>
      <c r="WCZ525" s="1334">
        <v>8298541</v>
      </c>
      <c r="WDA525" s="1334">
        <v>8298541</v>
      </c>
      <c r="WDB525" s="1334">
        <v>8298541</v>
      </c>
      <c r="WDC525" s="1334">
        <v>8298541</v>
      </c>
      <c r="WDD525" s="1334">
        <v>8298541</v>
      </c>
      <c r="WDE525" s="1334">
        <v>8298541</v>
      </c>
      <c r="WDF525" s="1334">
        <v>8298541</v>
      </c>
      <c r="WDG525" s="1334">
        <v>8298541</v>
      </c>
      <c r="WDH525" s="1334">
        <v>8298541</v>
      </c>
      <c r="WDI525" s="1334">
        <v>8298541</v>
      </c>
      <c r="WDJ525" s="1334">
        <v>8298541</v>
      </c>
      <c r="WDK525" s="1334">
        <v>8298541</v>
      </c>
      <c r="WDL525" s="1334">
        <v>8298541</v>
      </c>
      <c r="WDM525" s="1334">
        <v>8298541</v>
      </c>
      <c r="WDN525" s="1334">
        <v>8298541</v>
      </c>
      <c r="WDO525" s="1334">
        <v>8298541</v>
      </c>
      <c r="WDP525" s="1334">
        <v>8298541</v>
      </c>
      <c r="WDQ525" s="1334">
        <v>8298541</v>
      </c>
      <c r="WDR525" s="1334">
        <v>8298541</v>
      </c>
      <c r="WDS525" s="1334">
        <v>8298541</v>
      </c>
      <c r="WDT525" s="1334">
        <v>8298541</v>
      </c>
      <c r="WDU525" s="1334">
        <v>8298541</v>
      </c>
      <c r="WDV525" s="1334">
        <v>8298541</v>
      </c>
      <c r="WDW525" s="1334">
        <v>8298541</v>
      </c>
      <c r="WDX525" s="1334">
        <v>8298541</v>
      </c>
      <c r="WDY525" s="1334">
        <v>8298541</v>
      </c>
      <c r="WDZ525" s="1334">
        <v>8298541</v>
      </c>
      <c r="WEA525" s="1334">
        <v>8298541</v>
      </c>
      <c r="WEB525" s="1334">
        <v>8298541</v>
      </c>
      <c r="WEC525" s="1334">
        <v>8298541</v>
      </c>
      <c r="WED525" s="1334">
        <v>8298541</v>
      </c>
      <c r="WEE525" s="1334">
        <v>8298541</v>
      </c>
      <c r="WEF525" s="1334">
        <v>8298541</v>
      </c>
      <c r="WEG525" s="1334">
        <v>8298541</v>
      </c>
      <c r="WEH525" s="1334">
        <v>8298541</v>
      </c>
      <c r="WEI525" s="1334">
        <v>8298541</v>
      </c>
      <c r="WEJ525" s="1334">
        <v>8298541</v>
      </c>
      <c r="WEK525" s="1334">
        <v>8298541</v>
      </c>
      <c r="WEL525" s="1334">
        <v>8298541</v>
      </c>
      <c r="WEM525" s="1334">
        <v>8298541</v>
      </c>
      <c r="WEN525" s="1334">
        <v>8298541</v>
      </c>
      <c r="WEO525" s="1334">
        <v>8298541</v>
      </c>
      <c r="WEP525" s="1334">
        <v>8298541</v>
      </c>
      <c r="WEQ525" s="1334">
        <v>8298541</v>
      </c>
      <c r="WER525" s="1334">
        <v>8298541</v>
      </c>
      <c r="WES525" s="1334">
        <v>8298541</v>
      </c>
      <c r="WET525" s="1334">
        <v>8298541</v>
      </c>
      <c r="WEU525" s="1334">
        <v>8298541</v>
      </c>
      <c r="WEV525" s="1334">
        <v>8298541</v>
      </c>
      <c r="WEW525" s="1334">
        <v>8298541</v>
      </c>
      <c r="WEX525" s="1334">
        <v>8298541</v>
      </c>
      <c r="WEY525" s="1334">
        <v>8298541</v>
      </c>
      <c r="WEZ525" s="1334">
        <v>8298541</v>
      </c>
      <c r="WFA525" s="1334">
        <v>8298541</v>
      </c>
      <c r="WFB525" s="1334">
        <v>8298541</v>
      </c>
      <c r="WFC525" s="1334">
        <v>8298541</v>
      </c>
      <c r="WFD525" s="1334">
        <v>8298541</v>
      </c>
      <c r="WFE525" s="1334">
        <v>8298541</v>
      </c>
      <c r="WFF525" s="1334">
        <v>8298541</v>
      </c>
      <c r="WFG525" s="1334">
        <v>8298541</v>
      </c>
      <c r="WFH525" s="1334">
        <v>8298541</v>
      </c>
      <c r="WFI525" s="1334">
        <v>8298541</v>
      </c>
      <c r="WFJ525" s="1334">
        <v>8298541</v>
      </c>
      <c r="WFK525" s="1334">
        <v>8298541</v>
      </c>
      <c r="WFL525" s="1334">
        <v>8298541</v>
      </c>
      <c r="WFM525" s="1334">
        <v>8298541</v>
      </c>
      <c r="WFN525" s="1334">
        <v>8298541</v>
      </c>
      <c r="WFO525" s="1334">
        <v>8298541</v>
      </c>
      <c r="WFP525" s="1334">
        <v>8298541</v>
      </c>
      <c r="WFQ525" s="1334">
        <v>8298541</v>
      </c>
      <c r="WFR525" s="1334">
        <v>8298541</v>
      </c>
      <c r="WFS525" s="1334">
        <v>8298541</v>
      </c>
      <c r="WFT525" s="1334">
        <v>8298541</v>
      </c>
      <c r="WFU525" s="1334">
        <v>8298541</v>
      </c>
      <c r="WFV525" s="1334">
        <v>8298541</v>
      </c>
      <c r="WFW525" s="1334">
        <v>8298541</v>
      </c>
      <c r="WFX525" s="1334">
        <v>8298541</v>
      </c>
      <c r="WFY525" s="1334">
        <v>8298541</v>
      </c>
      <c r="WFZ525" s="1334">
        <v>8298541</v>
      </c>
      <c r="WGA525" s="1334">
        <v>8298541</v>
      </c>
      <c r="WGB525" s="1334">
        <v>8298541</v>
      </c>
      <c r="WGC525" s="1334">
        <v>8298541</v>
      </c>
      <c r="WGD525" s="1334">
        <v>8298541</v>
      </c>
      <c r="WGE525" s="1334">
        <v>8298541</v>
      </c>
      <c r="WGF525" s="1334">
        <v>8298541</v>
      </c>
      <c r="WGG525" s="1334">
        <v>8298541</v>
      </c>
      <c r="WGH525" s="1334">
        <v>8298541</v>
      </c>
      <c r="WGI525" s="1334">
        <v>8298541</v>
      </c>
      <c r="WGJ525" s="1334">
        <v>8298541</v>
      </c>
      <c r="WGK525" s="1334">
        <v>8298541</v>
      </c>
      <c r="WGL525" s="1334">
        <v>8298541</v>
      </c>
      <c r="WGM525" s="1334">
        <v>8298541</v>
      </c>
      <c r="WGN525" s="1334">
        <v>8298541</v>
      </c>
      <c r="WGO525" s="1334">
        <v>8298541</v>
      </c>
      <c r="WGP525" s="1334">
        <v>8298541</v>
      </c>
      <c r="WGQ525" s="1334">
        <v>8298541</v>
      </c>
      <c r="WGR525" s="1334">
        <v>8298541</v>
      </c>
      <c r="WGS525" s="1334">
        <v>8298541</v>
      </c>
      <c r="WGT525" s="1334">
        <v>8298541</v>
      </c>
      <c r="WGU525" s="1334">
        <v>8298541</v>
      </c>
      <c r="WGV525" s="1334">
        <v>8298541</v>
      </c>
      <c r="WGW525" s="1334">
        <v>8298541</v>
      </c>
      <c r="WGX525" s="1334">
        <v>8298541</v>
      </c>
      <c r="WGY525" s="1334">
        <v>8298541</v>
      </c>
      <c r="WGZ525" s="1334">
        <v>8298541</v>
      </c>
      <c r="WHA525" s="1334">
        <v>8298541</v>
      </c>
      <c r="WHB525" s="1334">
        <v>8298541</v>
      </c>
      <c r="WHC525" s="1334">
        <v>8298541</v>
      </c>
      <c r="WHD525" s="1334">
        <v>8298541</v>
      </c>
      <c r="WHE525" s="1334">
        <v>8298541</v>
      </c>
      <c r="WHF525" s="1334">
        <v>8298541</v>
      </c>
      <c r="WHG525" s="1334">
        <v>8298541</v>
      </c>
      <c r="WHH525" s="1334">
        <v>8298541</v>
      </c>
      <c r="WHI525" s="1334">
        <v>8298541</v>
      </c>
      <c r="WHJ525" s="1334">
        <v>8298541</v>
      </c>
      <c r="WHK525" s="1334">
        <v>8298541</v>
      </c>
      <c r="WHL525" s="1334">
        <v>8298541</v>
      </c>
      <c r="WHM525" s="1334">
        <v>8298541</v>
      </c>
      <c r="WHN525" s="1334">
        <v>8298541</v>
      </c>
      <c r="WHO525" s="1334">
        <v>8298541</v>
      </c>
      <c r="WHP525" s="1334">
        <v>8298541</v>
      </c>
      <c r="WHQ525" s="1334">
        <v>8298541</v>
      </c>
      <c r="WHR525" s="1334">
        <v>8298541</v>
      </c>
      <c r="WHS525" s="1334">
        <v>8298541</v>
      </c>
      <c r="WHT525" s="1334">
        <v>8298541</v>
      </c>
      <c r="WHU525" s="1334">
        <v>8298541</v>
      </c>
      <c r="WHV525" s="1334">
        <v>8298541</v>
      </c>
      <c r="WHW525" s="1334">
        <v>8298541</v>
      </c>
      <c r="WHX525" s="1334">
        <v>8298541</v>
      </c>
      <c r="WHY525" s="1334">
        <v>8298541</v>
      </c>
      <c r="WHZ525" s="1334">
        <v>8298541</v>
      </c>
      <c r="WIA525" s="1334">
        <v>8298541</v>
      </c>
      <c r="WIB525" s="1334">
        <v>8298541</v>
      </c>
      <c r="WIC525" s="1334">
        <v>8298541</v>
      </c>
      <c r="WID525" s="1334">
        <v>8298541</v>
      </c>
      <c r="WIE525" s="1334">
        <v>8298541</v>
      </c>
      <c r="WIF525" s="1334">
        <v>8298541</v>
      </c>
      <c r="WIG525" s="1334">
        <v>8298541</v>
      </c>
      <c r="WIH525" s="1334">
        <v>8298541</v>
      </c>
      <c r="WII525" s="1334">
        <v>8298541</v>
      </c>
      <c r="WIJ525" s="1334">
        <v>8298541</v>
      </c>
      <c r="WIK525" s="1334">
        <v>8298541</v>
      </c>
      <c r="WIL525" s="1334">
        <v>8298541</v>
      </c>
      <c r="WIM525" s="1334">
        <v>8298541</v>
      </c>
      <c r="WIN525" s="1334">
        <v>8298541</v>
      </c>
      <c r="WIO525" s="1334">
        <v>8298541</v>
      </c>
      <c r="WIP525" s="1334">
        <v>8298541</v>
      </c>
      <c r="WIQ525" s="1334">
        <v>8298541</v>
      </c>
      <c r="WIR525" s="1334">
        <v>8298541</v>
      </c>
      <c r="WIS525" s="1334">
        <v>8298541</v>
      </c>
      <c r="WIT525" s="1334">
        <v>8298541</v>
      </c>
      <c r="WIU525" s="1334">
        <v>8298541</v>
      </c>
      <c r="WIV525" s="1334">
        <v>8298541</v>
      </c>
      <c r="WIW525" s="1334">
        <v>8298541</v>
      </c>
      <c r="WIX525" s="1334">
        <v>8298541</v>
      </c>
      <c r="WIY525" s="1334">
        <v>8298541</v>
      </c>
      <c r="WIZ525" s="1334">
        <v>8298541</v>
      </c>
      <c r="WJA525" s="1334">
        <v>8298541</v>
      </c>
      <c r="WJB525" s="1334">
        <v>8298541</v>
      </c>
      <c r="WJC525" s="1334">
        <v>8298541</v>
      </c>
      <c r="WJD525" s="1334">
        <v>8298541</v>
      </c>
      <c r="WJE525" s="1334">
        <v>8298541</v>
      </c>
      <c r="WJF525" s="1334">
        <v>8298541</v>
      </c>
      <c r="WJG525" s="1334">
        <v>8298541</v>
      </c>
      <c r="WJH525" s="1334">
        <v>8298541</v>
      </c>
      <c r="WJI525" s="1334">
        <v>8298541</v>
      </c>
      <c r="WJJ525" s="1334">
        <v>8298541</v>
      </c>
      <c r="WJK525" s="1334">
        <v>8298541</v>
      </c>
      <c r="WJL525" s="1334">
        <v>8298541</v>
      </c>
      <c r="WJM525" s="1334">
        <v>8298541</v>
      </c>
      <c r="WJN525" s="1334">
        <v>8298541</v>
      </c>
      <c r="WJO525" s="1334">
        <v>8298541</v>
      </c>
      <c r="WJP525" s="1334">
        <v>8298541</v>
      </c>
      <c r="WJQ525" s="1334">
        <v>8298541</v>
      </c>
      <c r="WJR525" s="1334">
        <v>8298541</v>
      </c>
      <c r="WJS525" s="1334">
        <v>8298541</v>
      </c>
      <c r="WJT525" s="1334">
        <v>8298541</v>
      </c>
      <c r="WJU525" s="1334">
        <v>8298541</v>
      </c>
      <c r="WJV525" s="1334">
        <v>8298541</v>
      </c>
      <c r="WJW525" s="1334">
        <v>8298541</v>
      </c>
      <c r="WJX525" s="1334">
        <v>8298541</v>
      </c>
      <c r="WJY525" s="1334">
        <v>8298541</v>
      </c>
      <c r="WJZ525" s="1334">
        <v>8298541</v>
      </c>
      <c r="WKA525" s="1334">
        <v>8298541</v>
      </c>
      <c r="WKB525" s="1334">
        <v>8298541</v>
      </c>
      <c r="WKC525" s="1334">
        <v>8298541</v>
      </c>
      <c r="WKD525" s="1334">
        <v>8298541</v>
      </c>
      <c r="WKE525" s="1334">
        <v>8298541</v>
      </c>
      <c r="WKF525" s="1334">
        <v>8298541</v>
      </c>
      <c r="WKG525" s="1334">
        <v>8298541</v>
      </c>
      <c r="WKH525" s="1334">
        <v>8298541</v>
      </c>
      <c r="WKI525" s="1334">
        <v>8298541</v>
      </c>
      <c r="WKJ525" s="1334">
        <v>8298541</v>
      </c>
      <c r="WKK525" s="1334">
        <v>8298541</v>
      </c>
      <c r="WKL525" s="1334">
        <v>8298541</v>
      </c>
      <c r="WKM525" s="1334">
        <v>8298541</v>
      </c>
      <c r="WKN525" s="1334">
        <v>8298541</v>
      </c>
      <c r="WKO525" s="1334">
        <v>8298541</v>
      </c>
      <c r="WKP525" s="1334">
        <v>8298541</v>
      </c>
      <c r="WKQ525" s="1334">
        <v>8298541</v>
      </c>
      <c r="WKR525" s="1334">
        <v>8298541</v>
      </c>
      <c r="WKS525" s="1334">
        <v>8298541</v>
      </c>
      <c r="WKT525" s="1334">
        <v>8298541</v>
      </c>
      <c r="WKU525" s="1334">
        <v>8298541</v>
      </c>
      <c r="WKV525" s="1334">
        <v>8298541</v>
      </c>
      <c r="WKW525" s="1334">
        <v>8298541</v>
      </c>
      <c r="WKX525" s="1334">
        <v>8298541</v>
      </c>
      <c r="WKY525" s="1334">
        <v>8298541</v>
      </c>
      <c r="WKZ525" s="1334">
        <v>8298541</v>
      </c>
      <c r="WLA525" s="1334">
        <v>8298541</v>
      </c>
      <c r="WLB525" s="1334">
        <v>8298541</v>
      </c>
      <c r="WLC525" s="1334">
        <v>8298541</v>
      </c>
      <c r="WLD525" s="1334">
        <v>8298541</v>
      </c>
      <c r="WLE525" s="1334">
        <v>8298541</v>
      </c>
      <c r="WLF525" s="1334">
        <v>8298541</v>
      </c>
      <c r="WLG525" s="1334">
        <v>8298541</v>
      </c>
      <c r="WLH525" s="1334">
        <v>8298541</v>
      </c>
      <c r="WLI525" s="1334">
        <v>8298541</v>
      </c>
      <c r="WLJ525" s="1334">
        <v>8298541</v>
      </c>
      <c r="WLK525" s="1334">
        <v>8298541</v>
      </c>
      <c r="WLL525" s="1334">
        <v>8298541</v>
      </c>
      <c r="WLM525" s="1334">
        <v>8298541</v>
      </c>
      <c r="WLN525" s="1334">
        <v>8298541</v>
      </c>
      <c r="WLO525" s="1334">
        <v>8298541</v>
      </c>
      <c r="WLP525" s="1334">
        <v>8298541</v>
      </c>
      <c r="WLQ525" s="1334">
        <v>8298541</v>
      </c>
      <c r="WLR525" s="1334">
        <v>8298541</v>
      </c>
      <c r="WLS525" s="1334">
        <v>8298541</v>
      </c>
      <c r="WLT525" s="1334">
        <v>8298541</v>
      </c>
      <c r="WLU525" s="1334">
        <v>8298541</v>
      </c>
      <c r="WLV525" s="1334">
        <v>8298541</v>
      </c>
      <c r="WLW525" s="1334">
        <v>8298541</v>
      </c>
      <c r="WLX525" s="1334">
        <v>8298541</v>
      </c>
      <c r="WLY525" s="1334">
        <v>8298541</v>
      </c>
      <c r="WLZ525" s="1334">
        <v>8298541</v>
      </c>
      <c r="WMA525" s="1334">
        <v>8298541</v>
      </c>
      <c r="WMB525" s="1334">
        <v>8298541</v>
      </c>
      <c r="WMC525" s="1334">
        <v>8298541</v>
      </c>
      <c r="WMD525" s="1334">
        <v>8298541</v>
      </c>
      <c r="WME525" s="1334">
        <v>8298541</v>
      </c>
      <c r="WMF525" s="1334">
        <v>8298541</v>
      </c>
      <c r="WMG525" s="1334">
        <v>8298541</v>
      </c>
      <c r="WMH525" s="1334">
        <v>8298541</v>
      </c>
      <c r="WMI525" s="1334">
        <v>8298541</v>
      </c>
      <c r="WMJ525" s="1334">
        <v>8298541</v>
      </c>
      <c r="WMK525" s="1334">
        <v>8298541</v>
      </c>
      <c r="WML525" s="1334">
        <v>8298541</v>
      </c>
      <c r="WMM525" s="1334">
        <v>8298541</v>
      </c>
      <c r="WMN525" s="1334">
        <v>8298541</v>
      </c>
      <c r="WMO525" s="1334">
        <v>8298541</v>
      </c>
      <c r="WMP525" s="1334">
        <v>8298541</v>
      </c>
      <c r="WMQ525" s="1334">
        <v>8298541</v>
      </c>
      <c r="WMR525" s="1334">
        <v>8298541</v>
      </c>
      <c r="WMS525" s="1334">
        <v>8298541</v>
      </c>
      <c r="WMT525" s="1334">
        <v>8298541</v>
      </c>
      <c r="WMU525" s="1334">
        <v>8298541</v>
      </c>
      <c r="WMV525" s="1334">
        <v>8298541</v>
      </c>
      <c r="WMW525" s="1334">
        <v>8298541</v>
      </c>
      <c r="WMX525" s="1334">
        <v>8298541</v>
      </c>
      <c r="WMY525" s="1334">
        <v>8298541</v>
      </c>
      <c r="WMZ525" s="1334">
        <v>8298541</v>
      </c>
      <c r="WNA525" s="1334">
        <v>8298541</v>
      </c>
      <c r="WNB525" s="1334">
        <v>8298541</v>
      </c>
      <c r="WNC525" s="1334">
        <v>8298541</v>
      </c>
      <c r="WND525" s="1334">
        <v>8298541</v>
      </c>
      <c r="WNE525" s="1334">
        <v>8298541</v>
      </c>
      <c r="WNF525" s="1334">
        <v>8298541</v>
      </c>
      <c r="WNG525" s="1334">
        <v>8298541</v>
      </c>
      <c r="WNH525" s="1334">
        <v>8298541</v>
      </c>
      <c r="WNI525" s="1334">
        <v>8298541</v>
      </c>
      <c r="WNJ525" s="1334">
        <v>8298541</v>
      </c>
      <c r="WNK525" s="1334">
        <v>8298541</v>
      </c>
      <c r="WNL525" s="1334">
        <v>8298541</v>
      </c>
      <c r="WNM525" s="1334">
        <v>8298541</v>
      </c>
      <c r="WNN525" s="1334">
        <v>8298541</v>
      </c>
      <c r="WNO525" s="1334">
        <v>8298541</v>
      </c>
      <c r="WNP525" s="1334">
        <v>8298541</v>
      </c>
      <c r="WNQ525" s="1334">
        <v>8298541</v>
      </c>
      <c r="WNR525" s="1334">
        <v>8298541</v>
      </c>
      <c r="WNS525" s="1334">
        <v>8298541</v>
      </c>
      <c r="WNT525" s="1334">
        <v>8298541</v>
      </c>
      <c r="WNU525" s="1334">
        <v>8298541</v>
      </c>
      <c r="WNV525" s="1334">
        <v>8298541</v>
      </c>
      <c r="WNW525" s="1334">
        <v>8298541</v>
      </c>
      <c r="WNX525" s="1334">
        <v>8298541</v>
      </c>
      <c r="WNY525" s="1334">
        <v>8298541</v>
      </c>
      <c r="WNZ525" s="1334">
        <v>8298541</v>
      </c>
      <c r="WOA525" s="1334">
        <v>8298541</v>
      </c>
      <c r="WOB525" s="1334">
        <v>8298541</v>
      </c>
      <c r="WOC525" s="1334">
        <v>8298541</v>
      </c>
      <c r="WOD525" s="1334">
        <v>8298541</v>
      </c>
      <c r="WOE525" s="1334">
        <v>8298541</v>
      </c>
      <c r="WOF525" s="1334">
        <v>8298541</v>
      </c>
      <c r="WOG525" s="1334">
        <v>8298541</v>
      </c>
      <c r="WOH525" s="1334">
        <v>8298541</v>
      </c>
      <c r="WOI525" s="1334">
        <v>8298541</v>
      </c>
      <c r="WOJ525" s="1334">
        <v>8298541</v>
      </c>
      <c r="WOK525" s="1334">
        <v>8298541</v>
      </c>
      <c r="WOL525" s="1334">
        <v>8298541</v>
      </c>
      <c r="WOM525" s="1334">
        <v>8298541</v>
      </c>
      <c r="WON525" s="1334">
        <v>8298541</v>
      </c>
      <c r="WOO525" s="1334">
        <v>8298541</v>
      </c>
      <c r="WOP525" s="1334">
        <v>8298541</v>
      </c>
      <c r="WOQ525" s="1334">
        <v>8298541</v>
      </c>
      <c r="WOR525" s="1334">
        <v>8298541</v>
      </c>
      <c r="WOS525" s="1334">
        <v>8298541</v>
      </c>
      <c r="WOT525" s="1334">
        <v>8298541</v>
      </c>
      <c r="WOU525" s="1334">
        <v>8298541</v>
      </c>
      <c r="WOV525" s="1334">
        <v>8298541</v>
      </c>
      <c r="WOW525" s="1334">
        <v>8298541</v>
      </c>
      <c r="WOX525" s="1334">
        <v>8298541</v>
      </c>
      <c r="WOY525" s="1334">
        <v>8298541</v>
      </c>
      <c r="WOZ525" s="1334">
        <v>8298541</v>
      </c>
      <c r="WPA525" s="1334">
        <v>8298541</v>
      </c>
      <c r="WPB525" s="1334">
        <v>8298541</v>
      </c>
      <c r="WPC525" s="1334">
        <v>8298541</v>
      </c>
      <c r="WPD525" s="1334">
        <v>8298541</v>
      </c>
      <c r="WPE525" s="1334">
        <v>8298541</v>
      </c>
      <c r="WPF525" s="1334">
        <v>8298541</v>
      </c>
      <c r="WPG525" s="1334">
        <v>8298541</v>
      </c>
      <c r="WPH525" s="1334">
        <v>8298541</v>
      </c>
      <c r="WPI525" s="1334">
        <v>8298541</v>
      </c>
      <c r="WPJ525" s="1334">
        <v>8298541</v>
      </c>
      <c r="WPK525" s="1334">
        <v>8298541</v>
      </c>
      <c r="WPL525" s="1334">
        <v>8298541</v>
      </c>
      <c r="WPM525" s="1334">
        <v>8298541</v>
      </c>
      <c r="WPN525" s="1334">
        <v>8298541</v>
      </c>
      <c r="WPO525" s="1334">
        <v>8298541</v>
      </c>
      <c r="WPP525" s="1334">
        <v>8298541</v>
      </c>
      <c r="WPQ525" s="1334">
        <v>8298541</v>
      </c>
      <c r="WPR525" s="1334">
        <v>8298541</v>
      </c>
      <c r="WPS525" s="1334">
        <v>8298541</v>
      </c>
      <c r="WPT525" s="1334">
        <v>8298541</v>
      </c>
      <c r="WPU525" s="1334">
        <v>8298541</v>
      </c>
      <c r="WPV525" s="1334">
        <v>8298541</v>
      </c>
      <c r="WPW525" s="1334">
        <v>8298541</v>
      </c>
      <c r="WPX525" s="1334">
        <v>8298541</v>
      </c>
      <c r="WPY525" s="1334">
        <v>8298541</v>
      </c>
      <c r="WPZ525" s="1334">
        <v>8298541</v>
      </c>
      <c r="WQA525" s="1334">
        <v>8298541</v>
      </c>
      <c r="WQB525" s="1334">
        <v>8298541</v>
      </c>
      <c r="WQC525" s="1334">
        <v>8298541</v>
      </c>
      <c r="WQD525" s="1334">
        <v>8298541</v>
      </c>
      <c r="WQE525" s="1334">
        <v>8298541</v>
      </c>
      <c r="WQF525" s="1334">
        <v>8298541</v>
      </c>
      <c r="WQG525" s="1334">
        <v>8298541</v>
      </c>
      <c r="WQH525" s="1334">
        <v>8298541</v>
      </c>
      <c r="WQI525" s="1334">
        <v>8298541</v>
      </c>
      <c r="WQJ525" s="1334">
        <v>8298541</v>
      </c>
      <c r="WQK525" s="1334">
        <v>8298541</v>
      </c>
      <c r="WQL525" s="1334">
        <v>8298541</v>
      </c>
      <c r="WQM525" s="1334">
        <v>8298541</v>
      </c>
      <c r="WQN525" s="1334">
        <v>8298541</v>
      </c>
      <c r="WQO525" s="1334">
        <v>8298541</v>
      </c>
      <c r="WQP525" s="1334">
        <v>8298541</v>
      </c>
      <c r="WQQ525" s="1334">
        <v>8298541</v>
      </c>
      <c r="WQR525" s="1334">
        <v>8298541</v>
      </c>
      <c r="WQS525" s="1334">
        <v>8298541</v>
      </c>
      <c r="WQT525" s="1334">
        <v>8298541</v>
      </c>
      <c r="WQU525" s="1334">
        <v>8298541</v>
      </c>
      <c r="WQV525" s="1334">
        <v>8298541</v>
      </c>
      <c r="WQW525" s="1334">
        <v>8298541</v>
      </c>
      <c r="WQX525" s="1334">
        <v>8298541</v>
      </c>
      <c r="WQY525" s="1334">
        <v>8298541</v>
      </c>
      <c r="WQZ525" s="1334">
        <v>8298541</v>
      </c>
      <c r="WRA525" s="1334">
        <v>8298541</v>
      </c>
      <c r="WRB525" s="1334">
        <v>8298541</v>
      </c>
      <c r="WRC525" s="1334">
        <v>8298541</v>
      </c>
      <c r="WRD525" s="1334">
        <v>8298541</v>
      </c>
      <c r="WRE525" s="1334">
        <v>8298541</v>
      </c>
      <c r="WRF525" s="1334">
        <v>8298541</v>
      </c>
      <c r="WRG525" s="1334">
        <v>8298541</v>
      </c>
      <c r="WRH525" s="1334">
        <v>8298541</v>
      </c>
      <c r="WRI525" s="1334">
        <v>8298541</v>
      </c>
      <c r="WRJ525" s="1334">
        <v>8298541</v>
      </c>
      <c r="WRK525" s="1334">
        <v>8298541</v>
      </c>
      <c r="WRL525" s="1334">
        <v>8298541</v>
      </c>
      <c r="WRM525" s="1334">
        <v>8298541</v>
      </c>
      <c r="WRN525" s="1334">
        <v>8298541</v>
      </c>
      <c r="WRO525" s="1334">
        <v>8298541</v>
      </c>
      <c r="WRP525" s="1334">
        <v>8298541</v>
      </c>
      <c r="WRQ525" s="1334">
        <v>8298541</v>
      </c>
      <c r="WRR525" s="1334">
        <v>8298541</v>
      </c>
      <c r="WRS525" s="1334">
        <v>8298541</v>
      </c>
      <c r="WRT525" s="1334">
        <v>8298541</v>
      </c>
      <c r="WRU525" s="1334">
        <v>8298541</v>
      </c>
      <c r="WRV525" s="1334">
        <v>8298541</v>
      </c>
      <c r="WRW525" s="1334">
        <v>8298541</v>
      </c>
      <c r="WRX525" s="1334">
        <v>8298541</v>
      </c>
      <c r="WRY525" s="1334">
        <v>8298541</v>
      </c>
      <c r="WRZ525" s="1334">
        <v>8298541</v>
      </c>
      <c r="WSA525" s="1334">
        <v>8298541</v>
      </c>
      <c r="WSB525" s="1334">
        <v>8298541</v>
      </c>
      <c r="WSC525" s="1334">
        <v>8298541</v>
      </c>
      <c r="WSD525" s="1334">
        <v>8298541</v>
      </c>
      <c r="WSE525" s="1334">
        <v>8298541</v>
      </c>
      <c r="WSF525" s="1334">
        <v>8298541</v>
      </c>
      <c r="WSG525" s="1334">
        <v>8298541</v>
      </c>
      <c r="WSH525" s="1334">
        <v>8298541</v>
      </c>
      <c r="WSI525" s="1334">
        <v>8298541</v>
      </c>
      <c r="WSJ525" s="1334">
        <v>8298541</v>
      </c>
      <c r="WSK525" s="1334">
        <v>8298541</v>
      </c>
      <c r="WSL525" s="1334">
        <v>8298541</v>
      </c>
      <c r="WSM525" s="1334">
        <v>8298541</v>
      </c>
      <c r="WSN525" s="1334">
        <v>8298541</v>
      </c>
      <c r="WSO525" s="1334">
        <v>8298541</v>
      </c>
      <c r="WSP525" s="1334">
        <v>8298541</v>
      </c>
      <c r="WSQ525" s="1334">
        <v>8298541</v>
      </c>
      <c r="WSR525" s="1334">
        <v>8298541</v>
      </c>
      <c r="WSS525" s="1334">
        <v>8298541</v>
      </c>
      <c r="WST525" s="1334">
        <v>8298541</v>
      </c>
      <c r="WSU525" s="1334">
        <v>8298541</v>
      </c>
      <c r="WSV525" s="1334">
        <v>8298541</v>
      </c>
      <c r="WSW525" s="1334">
        <v>8298541</v>
      </c>
      <c r="WSX525" s="1334">
        <v>8298541</v>
      </c>
      <c r="WSY525" s="1334">
        <v>8298541</v>
      </c>
      <c r="WSZ525" s="1334">
        <v>8298541</v>
      </c>
      <c r="WTA525" s="1334">
        <v>8298541</v>
      </c>
      <c r="WTB525" s="1334">
        <v>8298541</v>
      </c>
      <c r="WTC525" s="1334">
        <v>8298541</v>
      </c>
      <c r="WTD525" s="1334">
        <v>8298541</v>
      </c>
      <c r="WTE525" s="1334">
        <v>8298541</v>
      </c>
      <c r="WTF525" s="1334">
        <v>8298541</v>
      </c>
      <c r="WTG525" s="1334">
        <v>8298541</v>
      </c>
      <c r="WTH525" s="1334">
        <v>8298541</v>
      </c>
      <c r="WTI525" s="1334">
        <v>8298541</v>
      </c>
      <c r="WTJ525" s="1334">
        <v>8298541</v>
      </c>
      <c r="WTK525" s="1334">
        <v>8298541</v>
      </c>
      <c r="WTL525" s="1334">
        <v>8298541</v>
      </c>
      <c r="WTM525" s="1334">
        <v>8298541</v>
      </c>
      <c r="WTN525" s="1334">
        <v>8298541</v>
      </c>
      <c r="WTO525" s="1334">
        <v>8298541</v>
      </c>
      <c r="WTP525" s="1334">
        <v>8298541</v>
      </c>
      <c r="WTQ525" s="1334">
        <v>8298541</v>
      </c>
      <c r="WTR525" s="1334">
        <v>8298541</v>
      </c>
      <c r="WTS525" s="1334">
        <v>8298541</v>
      </c>
      <c r="WTT525" s="1334">
        <v>8298541</v>
      </c>
      <c r="WTU525" s="1334">
        <v>8298541</v>
      </c>
      <c r="WTV525" s="1334">
        <v>8298541</v>
      </c>
      <c r="WTW525" s="1334">
        <v>8298541</v>
      </c>
      <c r="WTX525" s="1334">
        <v>8298541</v>
      </c>
      <c r="WTY525" s="1334">
        <v>8298541</v>
      </c>
      <c r="WTZ525" s="1334">
        <v>8298541</v>
      </c>
      <c r="WUA525" s="1334">
        <v>8298541</v>
      </c>
      <c r="WUB525" s="1334">
        <v>8298541</v>
      </c>
      <c r="WUC525" s="1334">
        <v>8298541</v>
      </c>
      <c r="WUD525" s="1334">
        <v>8298541</v>
      </c>
      <c r="WUE525" s="1334">
        <v>8298541</v>
      </c>
      <c r="WUF525" s="1334">
        <v>8298541</v>
      </c>
      <c r="WUG525" s="1334">
        <v>8298541</v>
      </c>
      <c r="WUH525" s="1334">
        <v>8298541</v>
      </c>
      <c r="WUI525" s="1334">
        <v>8298541</v>
      </c>
      <c r="WUJ525" s="1334">
        <v>8298541</v>
      </c>
      <c r="WUK525" s="1334">
        <v>8298541</v>
      </c>
      <c r="WUL525" s="1334">
        <v>8298541</v>
      </c>
      <c r="WUM525" s="1334">
        <v>8298541</v>
      </c>
      <c r="WUN525" s="1334">
        <v>8298541</v>
      </c>
      <c r="WUO525" s="1334">
        <v>8298541</v>
      </c>
      <c r="WUP525" s="1334">
        <v>8298541</v>
      </c>
      <c r="WUQ525" s="1334">
        <v>8298541</v>
      </c>
      <c r="WUR525" s="1334">
        <v>8298541</v>
      </c>
      <c r="WUS525" s="1334">
        <v>8298541</v>
      </c>
      <c r="WUT525" s="1334">
        <v>8298541</v>
      </c>
      <c r="WUU525" s="1334">
        <v>8298541</v>
      </c>
      <c r="WUV525" s="1334">
        <v>8298541</v>
      </c>
      <c r="WUW525" s="1334">
        <v>8298541</v>
      </c>
      <c r="WUX525" s="1334">
        <v>8298541</v>
      </c>
      <c r="WUY525" s="1334">
        <v>8298541</v>
      </c>
      <c r="WUZ525" s="1334">
        <v>8298541</v>
      </c>
      <c r="WVA525" s="1334">
        <v>8298541</v>
      </c>
      <c r="WVB525" s="1334">
        <v>8298541</v>
      </c>
      <c r="WVC525" s="1334">
        <v>8298541</v>
      </c>
      <c r="WVD525" s="1334">
        <v>8298541</v>
      </c>
      <c r="WVE525" s="1334">
        <v>8298541</v>
      </c>
      <c r="WVF525" s="1334">
        <v>8298541</v>
      </c>
      <c r="WVG525" s="1334">
        <v>8298541</v>
      </c>
      <c r="WVH525" s="1334">
        <v>8298541</v>
      </c>
      <c r="WVI525" s="1334">
        <v>8298541</v>
      </c>
      <c r="WVJ525" s="1334">
        <v>8298541</v>
      </c>
      <c r="WVK525" s="1334">
        <v>8298541</v>
      </c>
      <c r="WVL525" s="1334">
        <v>8298541</v>
      </c>
      <c r="WVM525" s="1334">
        <v>8298541</v>
      </c>
      <c r="WVN525" s="1334">
        <v>8298541</v>
      </c>
      <c r="WVO525" s="1334">
        <v>8298541</v>
      </c>
      <c r="WVP525" s="1334">
        <v>8298541</v>
      </c>
      <c r="WVQ525" s="1334">
        <v>8298541</v>
      </c>
      <c r="WVR525" s="1334">
        <v>8298541</v>
      </c>
      <c r="WVS525" s="1334">
        <v>8298541</v>
      </c>
      <c r="WVT525" s="1334">
        <v>8298541</v>
      </c>
      <c r="WVU525" s="1334">
        <v>8298541</v>
      </c>
      <c r="WVV525" s="1334">
        <v>8298541</v>
      </c>
      <c r="WVW525" s="1334">
        <v>8298541</v>
      </c>
      <c r="WVX525" s="1334">
        <v>8298541</v>
      </c>
      <c r="WVY525" s="1334">
        <v>8298541</v>
      </c>
      <c r="WVZ525" s="1334">
        <v>8298541</v>
      </c>
      <c r="WWA525" s="1334">
        <v>8298541</v>
      </c>
      <c r="WWB525" s="1334">
        <v>8298541</v>
      </c>
      <c r="WWC525" s="1334">
        <v>8298541</v>
      </c>
      <c r="WWD525" s="1334">
        <v>8298541</v>
      </c>
      <c r="WWE525" s="1334">
        <v>8298541</v>
      </c>
      <c r="WWF525" s="1334">
        <v>8298541</v>
      </c>
      <c r="WWG525" s="1334">
        <v>8298541</v>
      </c>
      <c r="WWH525" s="1334">
        <v>8298541</v>
      </c>
      <c r="WWI525" s="1334">
        <v>8298541</v>
      </c>
      <c r="WWJ525" s="1334">
        <v>8298541</v>
      </c>
      <c r="WWK525" s="1334">
        <v>8298541</v>
      </c>
      <c r="WWL525" s="1334">
        <v>8298541</v>
      </c>
      <c r="WWM525" s="1334">
        <v>8298541</v>
      </c>
      <c r="WWN525" s="1334">
        <v>8298541</v>
      </c>
      <c r="WWO525" s="1334">
        <v>8298541</v>
      </c>
      <c r="WWP525" s="1334">
        <v>8298541</v>
      </c>
      <c r="WWQ525" s="1334">
        <v>8298541</v>
      </c>
      <c r="WWR525" s="1334">
        <v>8298541</v>
      </c>
      <c r="WWS525" s="1334">
        <v>8298541</v>
      </c>
      <c r="WWT525" s="1334">
        <v>8298541</v>
      </c>
      <c r="WWU525" s="1334">
        <v>8298541</v>
      </c>
      <c r="WWV525" s="1334">
        <v>8298541</v>
      </c>
      <c r="WWW525" s="1334">
        <v>8298541</v>
      </c>
      <c r="WWX525" s="1334">
        <v>8298541</v>
      </c>
      <c r="WWY525" s="1334">
        <v>8298541</v>
      </c>
      <c r="WWZ525" s="1334">
        <v>8298541</v>
      </c>
      <c r="WXA525" s="1334">
        <v>8298541</v>
      </c>
      <c r="WXB525" s="1334">
        <v>8298541</v>
      </c>
      <c r="WXC525" s="1334">
        <v>8298541</v>
      </c>
      <c r="WXD525" s="1334">
        <v>8298541</v>
      </c>
      <c r="WXE525" s="1334">
        <v>8298541</v>
      </c>
      <c r="WXF525" s="1334">
        <v>8298541</v>
      </c>
      <c r="WXG525" s="1334">
        <v>8298541</v>
      </c>
      <c r="WXH525" s="1334">
        <v>8298541</v>
      </c>
      <c r="WXI525" s="1334">
        <v>8298541</v>
      </c>
      <c r="WXJ525" s="1334">
        <v>8298541</v>
      </c>
      <c r="WXK525" s="1334">
        <v>8298541</v>
      </c>
      <c r="WXL525" s="1334">
        <v>8298541</v>
      </c>
      <c r="WXM525" s="1334">
        <v>8298541</v>
      </c>
      <c r="WXN525" s="1334">
        <v>8298541</v>
      </c>
      <c r="WXO525" s="1334">
        <v>8298541</v>
      </c>
      <c r="WXP525" s="1334">
        <v>8298541</v>
      </c>
      <c r="WXQ525" s="1334">
        <v>8298541</v>
      </c>
      <c r="WXR525" s="1334">
        <v>8298541</v>
      </c>
      <c r="WXS525" s="1334">
        <v>8298541</v>
      </c>
      <c r="WXT525" s="1334">
        <v>8298541</v>
      </c>
      <c r="WXU525" s="1334">
        <v>8298541</v>
      </c>
      <c r="WXV525" s="1334">
        <v>8298541</v>
      </c>
      <c r="WXW525" s="1334">
        <v>8298541</v>
      </c>
      <c r="WXX525" s="1334">
        <v>8298541</v>
      </c>
      <c r="WXY525" s="1334">
        <v>8298541</v>
      </c>
      <c r="WXZ525" s="1334">
        <v>8298541</v>
      </c>
      <c r="WYA525" s="1334">
        <v>8298541</v>
      </c>
      <c r="WYB525" s="1334">
        <v>8298541</v>
      </c>
      <c r="WYC525" s="1334">
        <v>8298541</v>
      </c>
      <c r="WYD525" s="1334">
        <v>8298541</v>
      </c>
      <c r="WYE525" s="1334">
        <v>8298541</v>
      </c>
      <c r="WYF525" s="1334">
        <v>8298541</v>
      </c>
      <c r="WYG525" s="1334">
        <v>8298541</v>
      </c>
      <c r="WYH525" s="1334">
        <v>8298541</v>
      </c>
      <c r="WYI525" s="1334">
        <v>8298541</v>
      </c>
      <c r="WYJ525" s="1334">
        <v>8298541</v>
      </c>
      <c r="WYK525" s="1334">
        <v>8298541</v>
      </c>
      <c r="WYL525" s="1334">
        <v>8298541</v>
      </c>
      <c r="WYM525" s="1334">
        <v>8298541</v>
      </c>
      <c r="WYN525" s="1334">
        <v>8298541</v>
      </c>
      <c r="WYO525" s="1334">
        <v>8298541</v>
      </c>
      <c r="WYP525" s="1334">
        <v>8298541</v>
      </c>
      <c r="WYQ525" s="1334">
        <v>8298541</v>
      </c>
      <c r="WYR525" s="1334">
        <v>8298541</v>
      </c>
      <c r="WYS525" s="1334">
        <v>8298541</v>
      </c>
      <c r="WYT525" s="1334">
        <v>8298541</v>
      </c>
      <c r="WYU525" s="1334">
        <v>8298541</v>
      </c>
      <c r="WYV525" s="1334">
        <v>8298541</v>
      </c>
      <c r="WYW525" s="1334">
        <v>8298541</v>
      </c>
      <c r="WYX525" s="1334">
        <v>8298541</v>
      </c>
      <c r="WYY525" s="1334">
        <v>8298541</v>
      </c>
      <c r="WYZ525" s="1334">
        <v>8298541</v>
      </c>
      <c r="WZA525" s="1334">
        <v>8298541</v>
      </c>
      <c r="WZB525" s="1334">
        <v>8298541</v>
      </c>
      <c r="WZC525" s="1334">
        <v>8298541</v>
      </c>
      <c r="WZD525" s="1334">
        <v>8298541</v>
      </c>
      <c r="WZE525" s="1334">
        <v>8298541</v>
      </c>
      <c r="WZF525" s="1334">
        <v>8298541</v>
      </c>
      <c r="WZG525" s="1334">
        <v>8298541</v>
      </c>
      <c r="WZH525" s="1334">
        <v>8298541</v>
      </c>
      <c r="WZI525" s="1334">
        <v>8298541</v>
      </c>
      <c r="WZJ525" s="1334">
        <v>8298541</v>
      </c>
      <c r="WZK525" s="1334">
        <v>8298541</v>
      </c>
      <c r="WZL525" s="1334">
        <v>8298541</v>
      </c>
      <c r="WZM525" s="1334">
        <v>8298541</v>
      </c>
      <c r="WZN525" s="1334">
        <v>8298541</v>
      </c>
      <c r="WZO525" s="1334">
        <v>8298541</v>
      </c>
      <c r="WZP525" s="1334">
        <v>8298541</v>
      </c>
      <c r="WZQ525" s="1334">
        <v>8298541</v>
      </c>
      <c r="WZR525" s="1334">
        <v>8298541</v>
      </c>
      <c r="WZS525" s="1334">
        <v>8298541</v>
      </c>
      <c r="WZT525" s="1334">
        <v>8298541</v>
      </c>
      <c r="WZU525" s="1334">
        <v>8298541</v>
      </c>
      <c r="WZV525" s="1334">
        <v>8298541</v>
      </c>
      <c r="WZW525" s="1334">
        <v>8298541</v>
      </c>
      <c r="WZX525" s="1334">
        <v>8298541</v>
      </c>
      <c r="WZY525" s="1334">
        <v>8298541</v>
      </c>
      <c r="WZZ525" s="1334">
        <v>8298541</v>
      </c>
      <c r="XAA525" s="1334">
        <v>8298541</v>
      </c>
      <c r="XAB525" s="1334">
        <v>8298541</v>
      </c>
      <c r="XAC525" s="1334">
        <v>8298541</v>
      </c>
      <c r="XAD525" s="1334">
        <v>8298541</v>
      </c>
      <c r="XAE525" s="1334">
        <v>8298541</v>
      </c>
      <c r="XAF525" s="1334">
        <v>8298541</v>
      </c>
      <c r="XAG525" s="1334">
        <v>8298541</v>
      </c>
      <c r="XAH525" s="1334">
        <v>8298541</v>
      </c>
      <c r="XAI525" s="1334">
        <v>8298541</v>
      </c>
      <c r="XAJ525" s="1334">
        <v>8298541</v>
      </c>
      <c r="XAK525" s="1334">
        <v>8298541</v>
      </c>
      <c r="XAL525" s="1334">
        <v>8298541</v>
      </c>
      <c r="XAM525" s="1334">
        <v>8298541</v>
      </c>
      <c r="XAN525" s="1334">
        <v>8298541</v>
      </c>
      <c r="XAO525" s="1334">
        <v>8298541</v>
      </c>
      <c r="XAP525" s="1334">
        <v>8298541</v>
      </c>
      <c r="XAQ525" s="1334">
        <v>8298541</v>
      </c>
      <c r="XAR525" s="1334">
        <v>8298541</v>
      </c>
      <c r="XAS525" s="1334">
        <v>8298541</v>
      </c>
      <c r="XAT525" s="1334">
        <v>8298541</v>
      </c>
      <c r="XAU525" s="1334">
        <v>8298541</v>
      </c>
      <c r="XAV525" s="1334">
        <v>8298541</v>
      </c>
      <c r="XAW525" s="1334">
        <v>8298541</v>
      </c>
      <c r="XAX525" s="1334">
        <v>8298541</v>
      </c>
      <c r="XAY525" s="1334">
        <v>8298541</v>
      </c>
      <c r="XAZ525" s="1334">
        <v>8298541</v>
      </c>
      <c r="XBA525" s="1334">
        <v>8298541</v>
      </c>
      <c r="XBB525" s="1334">
        <v>8298541</v>
      </c>
      <c r="XBC525" s="1334">
        <v>8298541</v>
      </c>
      <c r="XBD525" s="1334">
        <v>8298541</v>
      </c>
      <c r="XBE525" s="1334">
        <v>8298541</v>
      </c>
      <c r="XBF525" s="1334">
        <v>8298541</v>
      </c>
      <c r="XBG525" s="1334">
        <v>8298541</v>
      </c>
      <c r="XBH525" s="1334">
        <v>8298541</v>
      </c>
      <c r="XBI525" s="1334">
        <v>8298541</v>
      </c>
      <c r="XBJ525" s="1334">
        <v>8298541</v>
      </c>
      <c r="XBK525" s="1334">
        <v>8298541</v>
      </c>
      <c r="XBL525" s="1334">
        <v>8298541</v>
      </c>
      <c r="XBM525" s="1334">
        <v>8298541</v>
      </c>
      <c r="XBN525" s="1334">
        <v>8298541</v>
      </c>
      <c r="XBO525" s="1334">
        <v>8298541</v>
      </c>
      <c r="XBP525" s="1334">
        <v>8298541</v>
      </c>
      <c r="XBQ525" s="1334">
        <v>8298541</v>
      </c>
      <c r="XBR525" s="1334">
        <v>8298541</v>
      </c>
      <c r="XBS525" s="1334">
        <v>8298541</v>
      </c>
      <c r="XBT525" s="1334">
        <v>8298541</v>
      </c>
      <c r="XBU525" s="1334">
        <v>8298541</v>
      </c>
      <c r="XBV525" s="1334">
        <v>8298541</v>
      </c>
      <c r="XBW525" s="1334">
        <v>8298541</v>
      </c>
      <c r="XBX525" s="1334">
        <v>8298541</v>
      </c>
      <c r="XBY525" s="1334">
        <v>8298541</v>
      </c>
      <c r="XBZ525" s="1334">
        <v>8298541</v>
      </c>
      <c r="XCA525" s="1334">
        <v>8298541</v>
      </c>
      <c r="XCB525" s="1334">
        <v>8298541</v>
      </c>
      <c r="XCC525" s="1334">
        <v>8298541</v>
      </c>
      <c r="XCD525" s="1334">
        <v>8298541</v>
      </c>
      <c r="XCE525" s="1334">
        <v>8298541</v>
      </c>
      <c r="XCF525" s="1334">
        <v>8298541</v>
      </c>
      <c r="XCG525" s="1334">
        <v>8298541</v>
      </c>
      <c r="XCH525" s="1334">
        <v>8298541</v>
      </c>
      <c r="XCI525" s="1334">
        <v>8298541</v>
      </c>
      <c r="XCJ525" s="1334">
        <v>8298541</v>
      </c>
      <c r="XCK525" s="1334">
        <v>8298541</v>
      </c>
      <c r="XCL525" s="1334">
        <v>8298541</v>
      </c>
      <c r="XCM525" s="1334">
        <v>8298541</v>
      </c>
      <c r="XCN525" s="1334">
        <v>8298541</v>
      </c>
      <c r="XCO525" s="1334">
        <v>8298541</v>
      </c>
      <c r="XCP525" s="1334">
        <v>8298541</v>
      </c>
      <c r="XCQ525" s="1334">
        <v>8298541</v>
      </c>
      <c r="XCR525" s="1334">
        <v>8298541</v>
      </c>
      <c r="XCS525" s="1334">
        <v>8298541</v>
      </c>
      <c r="XCT525" s="1334">
        <v>8298541</v>
      </c>
      <c r="XCU525" s="1334">
        <v>8298541</v>
      </c>
      <c r="XCV525" s="1334">
        <v>8298541</v>
      </c>
      <c r="XCW525" s="1334">
        <v>8298541</v>
      </c>
      <c r="XCX525" s="1334">
        <v>8298541</v>
      </c>
      <c r="XCY525" s="1334">
        <v>8298541</v>
      </c>
      <c r="XCZ525" s="1334">
        <v>8298541</v>
      </c>
      <c r="XDA525" s="1334">
        <v>8298541</v>
      </c>
      <c r="XDB525" s="1334">
        <v>8298541</v>
      </c>
      <c r="XDC525" s="1334">
        <v>8298541</v>
      </c>
    </row>
    <row r="526" spans="1:16331" s="1280" customFormat="1">
      <c r="A526" s="1281">
        <v>79</v>
      </c>
      <c r="B526" s="1332" t="s">
        <v>1600</v>
      </c>
      <c r="C526" s="1268">
        <f t="shared" si="216"/>
        <v>6536930</v>
      </c>
      <c r="D526" s="1268">
        <f t="shared" si="217"/>
        <v>0</v>
      </c>
      <c r="E526" s="1268">
        <v>0</v>
      </c>
      <c r="F526" s="1268">
        <v>0</v>
      </c>
      <c r="G526" s="1268">
        <v>0</v>
      </c>
      <c r="H526" s="1268">
        <v>0</v>
      </c>
      <c r="I526" s="1268">
        <v>0</v>
      </c>
      <c r="J526" s="1268">
        <v>0</v>
      </c>
      <c r="K526" s="1278">
        <v>0</v>
      </c>
      <c r="L526" s="1268">
        <v>0</v>
      </c>
      <c r="M526" s="1278">
        <v>0</v>
      </c>
      <c r="N526" s="1268">
        <v>0</v>
      </c>
      <c r="O526" s="1268">
        <v>870</v>
      </c>
      <c r="P526" s="1268">
        <v>2730723</v>
      </c>
      <c r="Q526" s="1268">
        <v>0</v>
      </c>
      <c r="R526" s="1268">
        <v>0</v>
      </c>
      <c r="S526" s="1268">
        <v>1350</v>
      </c>
      <c r="T526" s="1268">
        <v>3331398</v>
      </c>
      <c r="U526" s="1268">
        <v>0</v>
      </c>
      <c r="V526" s="1268">
        <v>0</v>
      </c>
      <c r="W526" s="1328">
        <v>0</v>
      </c>
      <c r="X526" s="1268">
        <v>474809</v>
      </c>
      <c r="Y526" s="1268">
        <v>0</v>
      </c>
    </row>
    <row r="527" spans="1:16331" s="1280" customFormat="1">
      <c r="A527" s="1281">
        <v>80</v>
      </c>
      <c r="B527" s="1332" t="s">
        <v>1286</v>
      </c>
      <c r="C527" s="1268">
        <f t="shared" si="216"/>
        <v>6424639</v>
      </c>
      <c r="D527" s="1268">
        <f t="shared" si="217"/>
        <v>0</v>
      </c>
      <c r="E527" s="1268">
        <v>0</v>
      </c>
      <c r="F527" s="1268">
        <v>0</v>
      </c>
      <c r="G527" s="1268">
        <v>0</v>
      </c>
      <c r="H527" s="1268">
        <v>0</v>
      </c>
      <c r="I527" s="1268">
        <v>0</v>
      </c>
      <c r="J527" s="1268">
        <v>0</v>
      </c>
      <c r="K527" s="1278">
        <v>0</v>
      </c>
      <c r="L527" s="1268">
        <v>0</v>
      </c>
      <c r="M527" s="1278">
        <v>0</v>
      </c>
      <c r="N527" s="1268">
        <v>0</v>
      </c>
      <c r="O527" s="1268">
        <v>1237</v>
      </c>
      <c r="P527" s="1268">
        <v>3882649</v>
      </c>
      <c r="Q527" s="1268">
        <v>0</v>
      </c>
      <c r="R527" s="1268">
        <v>0</v>
      </c>
      <c r="S527" s="1268">
        <v>450</v>
      </c>
      <c r="T527" s="1268">
        <v>2075338</v>
      </c>
      <c r="U527" s="1268">
        <v>0</v>
      </c>
      <c r="V527" s="1268">
        <v>0</v>
      </c>
      <c r="W527" s="1268">
        <v>0</v>
      </c>
      <c r="X527" s="1268">
        <v>466652</v>
      </c>
      <c r="Y527" s="1268">
        <v>0</v>
      </c>
    </row>
    <row r="528" spans="1:16331" s="1280" customFormat="1">
      <c r="A528" s="1281">
        <v>81</v>
      </c>
      <c r="B528" s="1332" t="s">
        <v>1056</v>
      </c>
      <c r="C528" s="1268">
        <f t="shared" si="216"/>
        <v>6458205</v>
      </c>
      <c r="D528" s="1268">
        <f t="shared" si="217"/>
        <v>0</v>
      </c>
      <c r="E528" s="1268">
        <v>0</v>
      </c>
      <c r="F528" s="1268">
        <v>0</v>
      </c>
      <c r="G528" s="1268">
        <v>0</v>
      </c>
      <c r="H528" s="1268">
        <v>0</v>
      </c>
      <c r="I528" s="1268">
        <v>0</v>
      </c>
      <c r="J528" s="1268">
        <v>0</v>
      </c>
      <c r="K528" s="1278">
        <v>0</v>
      </c>
      <c r="L528" s="1268">
        <v>0</v>
      </c>
      <c r="M528" s="1278">
        <v>0</v>
      </c>
      <c r="N528" s="1268">
        <v>0</v>
      </c>
      <c r="O528" s="1268">
        <v>0</v>
      </c>
      <c r="P528" s="1268">
        <v>0</v>
      </c>
      <c r="Q528" s="1268">
        <v>0</v>
      </c>
      <c r="R528" s="1268">
        <v>0</v>
      </c>
      <c r="S528" s="1268">
        <v>2427</v>
      </c>
      <c r="T528" s="1268">
        <v>5989114</v>
      </c>
      <c r="U528" s="1268">
        <v>0</v>
      </c>
      <c r="V528" s="1268">
        <v>0</v>
      </c>
      <c r="W528" s="1328">
        <v>0</v>
      </c>
      <c r="X528" s="1268">
        <v>469091</v>
      </c>
      <c r="Y528" s="1268">
        <v>0</v>
      </c>
    </row>
    <row r="529" spans="1:25" s="1280" customFormat="1">
      <c r="A529" s="1281">
        <v>82</v>
      </c>
      <c r="B529" s="1332" t="s">
        <v>793</v>
      </c>
      <c r="C529" s="1268">
        <f t="shared" si="216"/>
        <v>3308450</v>
      </c>
      <c r="D529" s="1268">
        <f t="shared" si="217"/>
        <v>0</v>
      </c>
      <c r="E529" s="1268">
        <v>0</v>
      </c>
      <c r="F529" s="1268">
        <v>0</v>
      </c>
      <c r="G529" s="1268">
        <v>0</v>
      </c>
      <c r="H529" s="1268">
        <v>0</v>
      </c>
      <c r="I529" s="1268">
        <v>0</v>
      </c>
      <c r="J529" s="1268">
        <v>0</v>
      </c>
      <c r="K529" s="1278">
        <v>0</v>
      </c>
      <c r="L529" s="1268">
        <v>0</v>
      </c>
      <c r="M529" s="1278">
        <v>0</v>
      </c>
      <c r="N529" s="1268">
        <v>0</v>
      </c>
      <c r="O529" s="1268">
        <v>977.5</v>
      </c>
      <c r="P529" s="1268">
        <v>3068141</v>
      </c>
      <c r="Q529" s="1268">
        <v>0</v>
      </c>
      <c r="R529" s="1268">
        <v>0</v>
      </c>
      <c r="S529" s="1268">
        <v>0</v>
      </c>
      <c r="T529" s="1268">
        <v>0</v>
      </c>
      <c r="U529" s="1268">
        <v>0</v>
      </c>
      <c r="V529" s="1268">
        <v>0</v>
      </c>
      <c r="W529" s="1268">
        <v>0</v>
      </c>
      <c r="X529" s="1268">
        <v>240309</v>
      </c>
      <c r="Y529" s="1268">
        <v>0</v>
      </c>
    </row>
    <row r="530" spans="1:25" s="1280" customFormat="1" ht="75.599999999999994">
      <c r="A530" s="1281"/>
      <c r="B530" s="1277" t="s">
        <v>2482</v>
      </c>
      <c r="C530" s="1268">
        <f>SUM(C531:C544)</f>
        <v>27726309</v>
      </c>
      <c r="D530" s="1268">
        <f t="shared" ref="D530:Y530" si="218">SUM(D531:D544)</f>
        <v>10965825</v>
      </c>
      <c r="E530" s="1268">
        <f t="shared" si="218"/>
        <v>0</v>
      </c>
      <c r="F530" s="1268">
        <f t="shared" si="218"/>
        <v>0</v>
      </c>
      <c r="G530" s="1268">
        <f t="shared" si="218"/>
        <v>0</v>
      </c>
      <c r="H530" s="1268">
        <f t="shared" si="218"/>
        <v>10809859</v>
      </c>
      <c r="I530" s="1268">
        <f t="shared" si="218"/>
        <v>0</v>
      </c>
      <c r="J530" s="1268">
        <f t="shared" si="218"/>
        <v>155966</v>
      </c>
      <c r="K530" s="1278">
        <f t="shared" si="218"/>
        <v>0</v>
      </c>
      <c r="L530" s="1268">
        <f t="shared" si="218"/>
        <v>0</v>
      </c>
      <c r="M530" s="1278">
        <f t="shared" si="218"/>
        <v>0</v>
      </c>
      <c r="N530" s="1268">
        <f t="shared" si="218"/>
        <v>0</v>
      </c>
      <c r="O530" s="1268">
        <f t="shared" si="218"/>
        <v>3220.96</v>
      </c>
      <c r="P530" s="1268">
        <f t="shared" si="218"/>
        <v>9539137</v>
      </c>
      <c r="Q530" s="1268">
        <f t="shared" si="218"/>
        <v>0</v>
      </c>
      <c r="R530" s="1268">
        <f t="shared" si="218"/>
        <v>0</v>
      </c>
      <c r="S530" s="1268">
        <f t="shared" si="218"/>
        <v>2061.59</v>
      </c>
      <c r="T530" s="1268">
        <f t="shared" si="218"/>
        <v>5087390</v>
      </c>
      <c r="U530" s="1268">
        <f t="shared" si="218"/>
        <v>0</v>
      </c>
      <c r="V530" s="1268">
        <f t="shared" si="218"/>
        <v>0</v>
      </c>
      <c r="W530" s="1328">
        <v>0</v>
      </c>
      <c r="X530" s="1268">
        <f t="shared" si="218"/>
        <v>2004492</v>
      </c>
      <c r="Y530" s="1268">
        <f t="shared" si="218"/>
        <v>129465</v>
      </c>
    </row>
    <row r="531" spans="1:25" s="1280" customFormat="1">
      <c r="A531" s="1281">
        <v>83</v>
      </c>
      <c r="B531" s="1267" t="s">
        <v>2037</v>
      </c>
      <c r="C531" s="1268">
        <f>D531+N531+P531+R531+T531+V531+X531</f>
        <v>2547928</v>
      </c>
      <c r="D531" s="1268">
        <f t="shared" ref="D531" si="219">SUM(E531:J531)</f>
        <v>0</v>
      </c>
      <c r="E531" s="1268">
        <v>0</v>
      </c>
      <c r="F531" s="1268">
        <v>0</v>
      </c>
      <c r="G531" s="1268">
        <v>0</v>
      </c>
      <c r="H531" s="1268">
        <v>0</v>
      </c>
      <c r="I531" s="1268">
        <v>0</v>
      </c>
      <c r="J531" s="1268">
        <v>0</v>
      </c>
      <c r="K531" s="1278">
        <v>0</v>
      </c>
      <c r="L531" s="1268">
        <v>0</v>
      </c>
      <c r="M531" s="1278">
        <v>0</v>
      </c>
      <c r="N531" s="1268">
        <v>0</v>
      </c>
      <c r="O531" s="1268">
        <v>752.8</v>
      </c>
      <c r="P531" s="1268">
        <v>2362860</v>
      </c>
      <c r="Q531" s="1268">
        <v>0</v>
      </c>
      <c r="R531" s="1268">
        <v>0</v>
      </c>
      <c r="S531" s="1268">
        <v>0</v>
      </c>
      <c r="T531" s="1268">
        <v>0</v>
      </c>
      <c r="U531" s="1268">
        <v>0</v>
      </c>
      <c r="V531" s="1268">
        <v>0</v>
      </c>
      <c r="W531" s="1268">
        <v>0</v>
      </c>
      <c r="X531" s="1268">
        <v>185068</v>
      </c>
      <c r="Y531" s="1268">
        <v>0</v>
      </c>
    </row>
    <row r="532" spans="1:25" s="1280" customFormat="1">
      <c r="A532" s="1281">
        <v>84</v>
      </c>
      <c r="B532" s="1267" t="s">
        <v>1871</v>
      </c>
      <c r="C532" s="1268">
        <f t="shared" ref="C532:C543" si="220">D532+N532+P532+R532+T532+V532+X532</f>
        <v>1259274</v>
      </c>
      <c r="D532" s="1268">
        <f t="shared" ref="D532:D543" si="221">SUM(E532:J532)</f>
        <v>0</v>
      </c>
      <c r="E532" s="1268">
        <v>0</v>
      </c>
      <c r="F532" s="1268">
        <v>0</v>
      </c>
      <c r="G532" s="1268">
        <v>0</v>
      </c>
      <c r="H532" s="1268">
        <v>0</v>
      </c>
      <c r="I532" s="1268">
        <v>0</v>
      </c>
      <c r="J532" s="1268">
        <v>0</v>
      </c>
      <c r="K532" s="1278">
        <v>0</v>
      </c>
      <c r="L532" s="1268">
        <v>0</v>
      </c>
      <c r="M532" s="1278">
        <v>0</v>
      </c>
      <c r="N532" s="1268">
        <v>0</v>
      </c>
      <c r="O532" s="1268">
        <v>372.06</v>
      </c>
      <c r="P532" s="1268">
        <v>1167807</v>
      </c>
      <c r="Q532" s="1268">
        <v>0</v>
      </c>
      <c r="R532" s="1268">
        <v>0</v>
      </c>
      <c r="S532" s="1268">
        <v>0</v>
      </c>
      <c r="T532" s="1268">
        <v>0</v>
      </c>
      <c r="U532" s="1268">
        <v>0</v>
      </c>
      <c r="V532" s="1268">
        <v>0</v>
      </c>
      <c r="W532" s="1328">
        <v>0</v>
      </c>
      <c r="X532" s="1268">
        <v>91467</v>
      </c>
      <c r="Y532" s="1268">
        <v>0</v>
      </c>
    </row>
    <row r="533" spans="1:25" s="1280" customFormat="1" ht="75.599999999999994">
      <c r="A533" s="1281">
        <v>85</v>
      </c>
      <c r="B533" s="1267" t="s">
        <v>2456</v>
      </c>
      <c r="C533" s="1268">
        <f t="shared" si="220"/>
        <v>3036379</v>
      </c>
      <c r="D533" s="1268">
        <f t="shared" si="221"/>
        <v>2815832</v>
      </c>
      <c r="E533" s="1268">
        <v>0</v>
      </c>
      <c r="F533" s="1268">
        <v>0</v>
      </c>
      <c r="G533" s="1268">
        <v>0</v>
      </c>
      <c r="H533" s="1268">
        <v>2815832</v>
      </c>
      <c r="I533" s="1268">
        <v>0</v>
      </c>
      <c r="J533" s="1268">
        <v>0</v>
      </c>
      <c r="K533" s="1278">
        <v>0</v>
      </c>
      <c r="L533" s="1268">
        <v>0</v>
      </c>
      <c r="M533" s="1278">
        <v>0</v>
      </c>
      <c r="N533" s="1268">
        <v>0</v>
      </c>
      <c r="O533" s="1268">
        <v>0</v>
      </c>
      <c r="P533" s="1268">
        <v>0</v>
      </c>
      <c r="Q533" s="1268">
        <v>0</v>
      </c>
      <c r="R533" s="1268">
        <v>0</v>
      </c>
      <c r="S533" s="1268">
        <v>0</v>
      </c>
      <c r="T533" s="1268">
        <v>0</v>
      </c>
      <c r="U533" s="1268">
        <v>0</v>
      </c>
      <c r="V533" s="1268">
        <v>0</v>
      </c>
      <c r="W533" s="1268">
        <v>0</v>
      </c>
      <c r="X533" s="1268">
        <v>220547</v>
      </c>
      <c r="Y533" s="1268">
        <v>0</v>
      </c>
    </row>
    <row r="534" spans="1:25" s="1280" customFormat="1">
      <c r="A534" s="1281">
        <v>86</v>
      </c>
      <c r="B534" s="1267" t="s">
        <v>1425</v>
      </c>
      <c r="C534" s="1268">
        <f t="shared" si="220"/>
        <v>5301433</v>
      </c>
      <c r="D534" s="1268">
        <f t="shared" si="221"/>
        <v>4916364</v>
      </c>
      <c r="E534" s="1268">
        <v>0</v>
      </c>
      <c r="F534" s="1268">
        <v>0</v>
      </c>
      <c r="G534" s="1268">
        <v>0</v>
      </c>
      <c r="H534" s="1268">
        <v>4916364</v>
      </c>
      <c r="I534" s="1268">
        <v>0</v>
      </c>
      <c r="J534" s="1268">
        <v>0</v>
      </c>
      <c r="K534" s="1278">
        <v>0</v>
      </c>
      <c r="L534" s="1268">
        <v>0</v>
      </c>
      <c r="M534" s="1278">
        <v>0</v>
      </c>
      <c r="N534" s="1268">
        <v>0</v>
      </c>
      <c r="O534" s="1268">
        <v>0</v>
      </c>
      <c r="P534" s="1268">
        <v>0</v>
      </c>
      <c r="Q534" s="1268">
        <v>0</v>
      </c>
      <c r="R534" s="1268">
        <v>0</v>
      </c>
      <c r="S534" s="1268">
        <v>0</v>
      </c>
      <c r="T534" s="1268">
        <v>0</v>
      </c>
      <c r="U534" s="1268">
        <v>0</v>
      </c>
      <c r="V534" s="1268">
        <v>0</v>
      </c>
      <c r="W534" s="1328">
        <v>0</v>
      </c>
      <c r="X534" s="1268">
        <v>385069</v>
      </c>
      <c r="Y534" s="1268">
        <v>0</v>
      </c>
    </row>
    <row r="535" spans="1:25" s="1280" customFormat="1" ht="75.599999999999994">
      <c r="A535" s="1281">
        <v>87</v>
      </c>
      <c r="B535" s="1267" t="s">
        <v>1426</v>
      </c>
      <c r="C535" s="1268">
        <f t="shared" si="220"/>
        <v>1274980</v>
      </c>
      <c r="D535" s="1268">
        <f t="shared" si="221"/>
        <v>0</v>
      </c>
      <c r="E535" s="1268">
        <v>0</v>
      </c>
      <c r="F535" s="1268">
        <v>0</v>
      </c>
      <c r="G535" s="1268">
        <v>0</v>
      </c>
      <c r="H535" s="1268">
        <v>0</v>
      </c>
      <c r="I535" s="1268">
        <v>0</v>
      </c>
      <c r="J535" s="1268">
        <v>0</v>
      </c>
      <c r="K535" s="1278">
        <v>0</v>
      </c>
      <c r="L535" s="1268">
        <v>0</v>
      </c>
      <c r="M535" s="1278">
        <v>0</v>
      </c>
      <c r="N535" s="1268">
        <v>0</v>
      </c>
      <c r="O535" s="1268">
        <v>376.7</v>
      </c>
      <c r="P535" s="1268">
        <v>1182372</v>
      </c>
      <c r="Q535" s="1268">
        <v>0</v>
      </c>
      <c r="R535" s="1268">
        <v>0</v>
      </c>
      <c r="S535" s="1268">
        <v>0</v>
      </c>
      <c r="T535" s="1268">
        <v>0</v>
      </c>
      <c r="U535" s="1268">
        <v>0</v>
      </c>
      <c r="V535" s="1268">
        <v>0</v>
      </c>
      <c r="W535" s="1268">
        <v>0</v>
      </c>
      <c r="X535" s="1268">
        <v>92608</v>
      </c>
      <c r="Y535" s="1268">
        <v>0</v>
      </c>
    </row>
    <row r="536" spans="1:25" s="1280" customFormat="1">
      <c r="A536" s="1281">
        <v>88</v>
      </c>
      <c r="B536" s="1267" t="s">
        <v>1427</v>
      </c>
      <c r="C536" s="1268">
        <f t="shared" si="220"/>
        <v>3318717</v>
      </c>
      <c r="D536" s="1268">
        <f t="shared" si="221"/>
        <v>3077663</v>
      </c>
      <c r="E536" s="1268">
        <v>0</v>
      </c>
      <c r="F536" s="1268">
        <v>0</v>
      </c>
      <c r="G536" s="1268">
        <v>0</v>
      </c>
      <c r="H536" s="1268">
        <v>3077663</v>
      </c>
      <c r="I536" s="1268">
        <v>0</v>
      </c>
      <c r="J536" s="1268">
        <v>0</v>
      </c>
      <c r="K536" s="1278">
        <v>0</v>
      </c>
      <c r="L536" s="1268">
        <v>0</v>
      </c>
      <c r="M536" s="1278">
        <v>0</v>
      </c>
      <c r="N536" s="1268">
        <v>0</v>
      </c>
      <c r="O536" s="1268">
        <v>0</v>
      </c>
      <c r="P536" s="1268">
        <v>0</v>
      </c>
      <c r="Q536" s="1268">
        <v>0</v>
      </c>
      <c r="R536" s="1268">
        <v>0</v>
      </c>
      <c r="S536" s="1268">
        <v>0</v>
      </c>
      <c r="T536" s="1268">
        <v>0</v>
      </c>
      <c r="U536" s="1268">
        <v>0</v>
      </c>
      <c r="V536" s="1268">
        <v>0</v>
      </c>
      <c r="W536" s="1328">
        <v>0</v>
      </c>
      <c r="X536" s="1268">
        <v>241054</v>
      </c>
      <c r="Y536" s="1268">
        <v>0</v>
      </c>
    </row>
    <row r="537" spans="1:25" s="1280" customFormat="1">
      <c r="A537" s="1281">
        <v>89</v>
      </c>
      <c r="B537" s="1267" t="s">
        <v>1428</v>
      </c>
      <c r="C537" s="1268">
        <f t="shared" si="220"/>
        <v>168182</v>
      </c>
      <c r="D537" s="1268">
        <f t="shared" si="221"/>
        <v>155966</v>
      </c>
      <c r="E537" s="1268">
        <v>0</v>
      </c>
      <c r="F537" s="1268">
        <v>0</v>
      </c>
      <c r="G537" s="1268">
        <v>0</v>
      </c>
      <c r="H537" s="1268">
        <v>0</v>
      </c>
      <c r="I537" s="1268">
        <v>0</v>
      </c>
      <c r="J537" s="1268">
        <v>155966</v>
      </c>
      <c r="K537" s="1278">
        <v>0</v>
      </c>
      <c r="L537" s="1268">
        <v>0</v>
      </c>
      <c r="M537" s="1278">
        <v>0</v>
      </c>
      <c r="N537" s="1268">
        <v>0</v>
      </c>
      <c r="O537" s="1268">
        <v>0</v>
      </c>
      <c r="P537" s="1268">
        <v>0</v>
      </c>
      <c r="Q537" s="1268">
        <v>0</v>
      </c>
      <c r="R537" s="1268">
        <v>0</v>
      </c>
      <c r="S537" s="1268">
        <v>0</v>
      </c>
      <c r="T537" s="1268">
        <v>0</v>
      </c>
      <c r="U537" s="1268">
        <v>0</v>
      </c>
      <c r="V537" s="1268">
        <v>0</v>
      </c>
      <c r="W537" s="1268">
        <v>0</v>
      </c>
      <c r="X537" s="1268">
        <v>12216</v>
      </c>
      <c r="Y537" s="1268">
        <v>0</v>
      </c>
    </row>
    <row r="538" spans="1:25" s="1280" customFormat="1" ht="75.599999999999994">
      <c r="A538" s="1281">
        <v>90</v>
      </c>
      <c r="B538" s="1267" t="s">
        <v>2457</v>
      </c>
      <c r="C538" s="1268">
        <f t="shared" si="220"/>
        <v>1065134</v>
      </c>
      <c r="D538" s="1268">
        <f t="shared" si="221"/>
        <v>0</v>
      </c>
      <c r="E538" s="1268">
        <v>0</v>
      </c>
      <c r="F538" s="1268">
        <v>0</v>
      </c>
      <c r="G538" s="1268">
        <v>0</v>
      </c>
      <c r="H538" s="1268">
        <v>0</v>
      </c>
      <c r="I538" s="1268">
        <v>0</v>
      </c>
      <c r="J538" s="1268">
        <v>0</v>
      </c>
      <c r="K538" s="1278">
        <v>0</v>
      </c>
      <c r="L538" s="1268">
        <v>0</v>
      </c>
      <c r="M538" s="1278">
        <v>0</v>
      </c>
      <c r="N538" s="1268">
        <v>0</v>
      </c>
      <c r="O538" s="1268">
        <v>314.7</v>
      </c>
      <c r="P538" s="1268">
        <v>987768</v>
      </c>
      <c r="Q538" s="1268">
        <v>0</v>
      </c>
      <c r="R538" s="1268">
        <v>0</v>
      </c>
      <c r="S538" s="1268">
        <v>0</v>
      </c>
      <c r="T538" s="1268">
        <v>0</v>
      </c>
      <c r="U538" s="1268">
        <v>0</v>
      </c>
      <c r="V538" s="1268">
        <v>0</v>
      </c>
      <c r="W538" s="1328">
        <v>0</v>
      </c>
      <c r="X538" s="1268">
        <v>77366</v>
      </c>
      <c r="Y538" s="1268">
        <v>0</v>
      </c>
    </row>
    <row r="539" spans="1:25" s="1280" customFormat="1">
      <c r="A539" s="1281">
        <v>91</v>
      </c>
      <c r="B539" s="1267" t="s">
        <v>1118</v>
      </c>
      <c r="C539" s="1268">
        <f>D539+N539+P539+R539+T539+V539+X539+Y539</f>
        <v>129465</v>
      </c>
      <c r="D539" s="1268">
        <f t="shared" si="221"/>
        <v>0</v>
      </c>
      <c r="E539" s="1268">
        <v>0</v>
      </c>
      <c r="F539" s="1268">
        <v>0</v>
      </c>
      <c r="G539" s="1268">
        <v>0</v>
      </c>
      <c r="H539" s="1268">
        <v>0</v>
      </c>
      <c r="I539" s="1268">
        <v>0</v>
      </c>
      <c r="J539" s="1268">
        <v>0</v>
      </c>
      <c r="K539" s="1278">
        <v>0</v>
      </c>
      <c r="L539" s="1268">
        <v>0</v>
      </c>
      <c r="M539" s="1278">
        <v>0</v>
      </c>
      <c r="N539" s="1268">
        <v>0</v>
      </c>
      <c r="O539" s="1268">
        <v>0</v>
      </c>
      <c r="P539" s="1268">
        <v>0</v>
      </c>
      <c r="Q539" s="1268">
        <v>0</v>
      </c>
      <c r="R539" s="1268">
        <v>0</v>
      </c>
      <c r="S539" s="1268">
        <v>0</v>
      </c>
      <c r="T539" s="1268">
        <v>0</v>
      </c>
      <c r="U539" s="1268">
        <v>0</v>
      </c>
      <c r="V539" s="1268">
        <v>0</v>
      </c>
      <c r="W539" s="1328">
        <v>0</v>
      </c>
      <c r="X539" s="1268">
        <v>0</v>
      </c>
      <c r="Y539" s="1268">
        <v>129465</v>
      </c>
    </row>
    <row r="540" spans="1:25" s="1280" customFormat="1">
      <c r="A540" s="1281">
        <v>92</v>
      </c>
      <c r="B540" s="1267" t="s">
        <v>1421</v>
      </c>
      <c r="C540" s="1268">
        <f t="shared" si="220"/>
        <v>1633747</v>
      </c>
      <c r="D540" s="1268">
        <f t="shared" si="221"/>
        <v>0</v>
      </c>
      <c r="E540" s="1289">
        <v>0</v>
      </c>
      <c r="F540" s="1289">
        <v>0</v>
      </c>
      <c r="G540" s="1289">
        <v>0</v>
      </c>
      <c r="H540" s="1289">
        <v>0</v>
      </c>
      <c r="I540" s="1289">
        <v>0</v>
      </c>
      <c r="J540" s="1289">
        <v>0</v>
      </c>
      <c r="K540" s="1278">
        <v>0</v>
      </c>
      <c r="L540" s="1289">
        <v>0</v>
      </c>
      <c r="M540" s="1278">
        <v>0</v>
      </c>
      <c r="N540" s="1289">
        <v>0</v>
      </c>
      <c r="O540" s="1289">
        <v>482.7</v>
      </c>
      <c r="P540" s="1289">
        <v>1515080</v>
      </c>
      <c r="Q540" s="1289">
        <v>0</v>
      </c>
      <c r="R540" s="1289">
        <v>0</v>
      </c>
      <c r="S540" s="1289">
        <v>0</v>
      </c>
      <c r="T540" s="1289">
        <v>0</v>
      </c>
      <c r="U540" s="1289">
        <v>0</v>
      </c>
      <c r="V540" s="1289">
        <v>0</v>
      </c>
      <c r="W540" s="1268">
        <v>0</v>
      </c>
      <c r="X540" s="1289">
        <v>118667</v>
      </c>
      <c r="Y540" s="1289">
        <v>0</v>
      </c>
    </row>
    <row r="541" spans="1:25" s="1280" customFormat="1">
      <c r="A541" s="1281">
        <v>93</v>
      </c>
      <c r="B541" s="1267" t="s">
        <v>1422</v>
      </c>
      <c r="C541" s="1268">
        <f t="shared" si="220"/>
        <v>2990944</v>
      </c>
      <c r="D541" s="1268">
        <f t="shared" si="221"/>
        <v>0</v>
      </c>
      <c r="E541" s="1289">
        <v>0</v>
      </c>
      <c r="F541" s="1289">
        <v>0</v>
      </c>
      <c r="G541" s="1289">
        <v>0</v>
      </c>
      <c r="H541" s="1289">
        <v>0</v>
      </c>
      <c r="I541" s="1289">
        <v>0</v>
      </c>
      <c r="J541" s="1289">
        <v>0</v>
      </c>
      <c r="K541" s="1278">
        <v>0</v>
      </c>
      <c r="L541" s="1289">
        <v>0</v>
      </c>
      <c r="M541" s="1278">
        <v>0</v>
      </c>
      <c r="N541" s="1289">
        <v>0</v>
      </c>
      <c r="O541" s="1289">
        <v>0</v>
      </c>
      <c r="P541" s="1289">
        <v>0</v>
      </c>
      <c r="Q541" s="1289">
        <v>0</v>
      </c>
      <c r="R541" s="1289">
        <v>0</v>
      </c>
      <c r="S541" s="1289">
        <v>1124</v>
      </c>
      <c r="T541" s="1289">
        <v>2773697</v>
      </c>
      <c r="U541" s="1289">
        <v>0</v>
      </c>
      <c r="V541" s="1289">
        <v>0</v>
      </c>
      <c r="W541" s="1328">
        <v>0</v>
      </c>
      <c r="X541" s="1289">
        <v>217247</v>
      </c>
      <c r="Y541" s="1289">
        <v>0</v>
      </c>
    </row>
    <row r="542" spans="1:25" s="1280" customFormat="1" ht="75.599999999999994">
      <c r="A542" s="1281">
        <v>94</v>
      </c>
      <c r="B542" s="1267" t="s">
        <v>2458</v>
      </c>
      <c r="C542" s="1268">
        <f t="shared" si="220"/>
        <v>2494910</v>
      </c>
      <c r="D542" s="1268">
        <f t="shared" si="221"/>
        <v>0</v>
      </c>
      <c r="E542" s="1289">
        <v>0</v>
      </c>
      <c r="F542" s="1289">
        <v>0</v>
      </c>
      <c r="G542" s="1289">
        <v>0</v>
      </c>
      <c r="H542" s="1289">
        <v>0</v>
      </c>
      <c r="I542" s="1289">
        <v>0</v>
      </c>
      <c r="J542" s="1289">
        <v>0</v>
      </c>
      <c r="K542" s="1278">
        <v>0</v>
      </c>
      <c r="L542" s="1289">
        <v>0</v>
      </c>
      <c r="M542" s="1278">
        <v>0</v>
      </c>
      <c r="N542" s="1289">
        <v>0</v>
      </c>
      <c r="O542" s="1289">
        <v>0</v>
      </c>
      <c r="P542" s="1289">
        <v>0</v>
      </c>
      <c r="Q542" s="1289">
        <v>0</v>
      </c>
      <c r="R542" s="1289">
        <v>0</v>
      </c>
      <c r="S542" s="1289">
        <v>937.59</v>
      </c>
      <c r="T542" s="1289">
        <v>2313693</v>
      </c>
      <c r="U542" s="1289">
        <v>0</v>
      </c>
      <c r="V542" s="1289">
        <v>0</v>
      </c>
      <c r="W542" s="1268">
        <v>0</v>
      </c>
      <c r="X542" s="1289">
        <v>181217</v>
      </c>
      <c r="Y542" s="1289">
        <v>0</v>
      </c>
    </row>
    <row r="543" spans="1:25" s="1280" customFormat="1" ht="51.6" customHeight="1">
      <c r="A543" s="1281">
        <v>95</v>
      </c>
      <c r="B543" s="1267" t="s">
        <v>1424</v>
      </c>
      <c r="C543" s="1268">
        <f t="shared" si="220"/>
        <v>1244457</v>
      </c>
      <c r="D543" s="1268">
        <f t="shared" si="221"/>
        <v>0</v>
      </c>
      <c r="E543" s="1289">
        <v>0</v>
      </c>
      <c r="F543" s="1289">
        <v>0</v>
      </c>
      <c r="G543" s="1289">
        <v>0</v>
      </c>
      <c r="H543" s="1289">
        <v>0</v>
      </c>
      <c r="I543" s="1289">
        <v>0</v>
      </c>
      <c r="J543" s="1289">
        <v>0</v>
      </c>
      <c r="K543" s="1278">
        <v>0</v>
      </c>
      <c r="L543" s="1289">
        <v>0</v>
      </c>
      <c r="M543" s="1278">
        <v>0</v>
      </c>
      <c r="N543" s="1289">
        <v>0</v>
      </c>
      <c r="O543" s="1289">
        <v>458</v>
      </c>
      <c r="P543" s="1289">
        <v>1154066</v>
      </c>
      <c r="Q543" s="1289">
        <v>0</v>
      </c>
      <c r="R543" s="1289">
        <v>0</v>
      </c>
      <c r="S543" s="1289">
        <v>0</v>
      </c>
      <c r="T543" s="1289">
        <v>0</v>
      </c>
      <c r="U543" s="1289">
        <v>0</v>
      </c>
      <c r="V543" s="1289">
        <v>0</v>
      </c>
      <c r="W543" s="1328">
        <v>0</v>
      </c>
      <c r="X543" s="1289">
        <v>90391</v>
      </c>
      <c r="Y543" s="1289">
        <v>0</v>
      </c>
    </row>
    <row r="544" spans="1:25" s="1280" customFormat="1">
      <c r="A544" s="1281">
        <v>96</v>
      </c>
      <c r="B544" s="1267" t="s">
        <v>1418</v>
      </c>
      <c r="C544" s="1268">
        <f>D544+N544+P544+R544+T544+V544+X544</f>
        <v>1260759</v>
      </c>
      <c r="D544" s="1268">
        <f>SUM(E544:J544)</f>
        <v>0</v>
      </c>
      <c r="E544" s="1289">
        <v>0</v>
      </c>
      <c r="F544" s="1289">
        <v>0</v>
      </c>
      <c r="G544" s="1289">
        <v>0</v>
      </c>
      <c r="H544" s="1289">
        <v>0</v>
      </c>
      <c r="I544" s="1289">
        <v>0</v>
      </c>
      <c r="J544" s="1289">
        <v>0</v>
      </c>
      <c r="K544" s="1278">
        <v>0</v>
      </c>
      <c r="L544" s="1289">
        <v>0</v>
      </c>
      <c r="M544" s="1278">
        <v>0</v>
      </c>
      <c r="N544" s="1289">
        <v>0</v>
      </c>
      <c r="O544" s="1289">
        <v>464</v>
      </c>
      <c r="P544" s="1289">
        <v>1169184</v>
      </c>
      <c r="Q544" s="1289">
        <v>0</v>
      </c>
      <c r="R544" s="1289">
        <v>0</v>
      </c>
      <c r="S544" s="1289">
        <v>0</v>
      </c>
      <c r="T544" s="1289">
        <v>0</v>
      </c>
      <c r="U544" s="1289">
        <v>0</v>
      </c>
      <c r="V544" s="1289">
        <v>0</v>
      </c>
      <c r="W544" s="1268">
        <v>0</v>
      </c>
      <c r="X544" s="1289">
        <v>91575</v>
      </c>
      <c r="Y544" s="1289">
        <v>0</v>
      </c>
    </row>
    <row r="545" spans="1:25" s="1280" customFormat="1" ht="75.599999999999994">
      <c r="A545" s="1281"/>
      <c r="B545" s="1267" t="s">
        <v>1163</v>
      </c>
      <c r="C545" s="1289">
        <f>SUM(C546:C550)</f>
        <v>14990322</v>
      </c>
      <c r="D545" s="1289">
        <f t="shared" ref="D545:Y545" si="222">SUM(D546:D550)</f>
        <v>3571109</v>
      </c>
      <c r="E545" s="1289">
        <f t="shared" si="222"/>
        <v>0</v>
      </c>
      <c r="F545" s="1289">
        <f t="shared" si="222"/>
        <v>3571109</v>
      </c>
      <c r="G545" s="1289">
        <f t="shared" si="222"/>
        <v>0</v>
      </c>
      <c r="H545" s="1289">
        <f t="shared" si="222"/>
        <v>0</v>
      </c>
      <c r="I545" s="1289">
        <f t="shared" si="222"/>
        <v>0</v>
      </c>
      <c r="J545" s="1289">
        <f t="shared" si="222"/>
        <v>0</v>
      </c>
      <c r="K545" s="1278">
        <f t="shared" si="222"/>
        <v>1</v>
      </c>
      <c r="L545" s="1289">
        <f t="shared" si="222"/>
        <v>276639</v>
      </c>
      <c r="M545" s="1278">
        <f t="shared" si="222"/>
        <v>0</v>
      </c>
      <c r="N545" s="1289">
        <f t="shared" si="222"/>
        <v>0</v>
      </c>
      <c r="O545" s="1289">
        <f t="shared" si="222"/>
        <v>3844</v>
      </c>
      <c r="P545" s="1289">
        <f t="shared" si="222"/>
        <v>10053755</v>
      </c>
      <c r="Q545" s="1289">
        <f t="shared" si="222"/>
        <v>0</v>
      </c>
      <c r="R545" s="1289">
        <f t="shared" si="222"/>
        <v>0</v>
      </c>
      <c r="S545" s="1289">
        <f t="shared" si="222"/>
        <v>0</v>
      </c>
      <c r="T545" s="1289">
        <f t="shared" si="222"/>
        <v>0</v>
      </c>
      <c r="U545" s="1289">
        <f t="shared" si="222"/>
        <v>0</v>
      </c>
      <c r="V545" s="1289">
        <f t="shared" si="222"/>
        <v>0</v>
      </c>
      <c r="W545" s="1328">
        <v>0</v>
      </c>
      <c r="X545" s="1289">
        <f t="shared" si="222"/>
        <v>1088819</v>
      </c>
      <c r="Y545" s="1289">
        <f t="shared" si="222"/>
        <v>0</v>
      </c>
    </row>
    <row r="546" spans="1:25" s="1280" customFormat="1">
      <c r="A546" s="1281">
        <v>97</v>
      </c>
      <c r="B546" s="1277" t="s">
        <v>239</v>
      </c>
      <c r="C546" s="1268">
        <f t="shared" ref="C546" si="223">D546+N546+P546+R546+T546+V546+X546</f>
        <v>3070384</v>
      </c>
      <c r="D546" s="1268">
        <f t="shared" ref="D546" si="224">SUM(E546:J546)</f>
        <v>0</v>
      </c>
      <c r="E546" s="1289">
        <v>0</v>
      </c>
      <c r="F546" s="1289">
        <v>0</v>
      </c>
      <c r="G546" s="1289">
        <v>0</v>
      </c>
      <c r="H546" s="1289">
        <v>0</v>
      </c>
      <c r="I546" s="1289">
        <v>0</v>
      </c>
      <c r="J546" s="1289">
        <v>0</v>
      </c>
      <c r="K546" s="1278">
        <v>0</v>
      </c>
      <c r="L546" s="1289">
        <v>0</v>
      </c>
      <c r="M546" s="1278">
        <v>0</v>
      </c>
      <c r="N546" s="1289">
        <v>0</v>
      </c>
      <c r="O546" s="1277">
        <v>1130</v>
      </c>
      <c r="P546" s="1289">
        <v>2847367</v>
      </c>
      <c r="Q546" s="1289">
        <v>0</v>
      </c>
      <c r="R546" s="1289">
        <v>0</v>
      </c>
      <c r="S546" s="1289">
        <v>0</v>
      </c>
      <c r="T546" s="1289">
        <v>0</v>
      </c>
      <c r="U546" s="1289">
        <v>0</v>
      </c>
      <c r="V546" s="1289">
        <v>0</v>
      </c>
      <c r="W546" s="1268">
        <v>0</v>
      </c>
      <c r="X546" s="1289">
        <v>223017</v>
      </c>
      <c r="Y546" s="1289">
        <v>0</v>
      </c>
    </row>
    <row r="547" spans="1:25" s="1280" customFormat="1">
      <c r="A547" s="1281">
        <v>98</v>
      </c>
      <c r="B547" s="1277" t="s">
        <v>1522</v>
      </c>
      <c r="C547" s="1268">
        <f t="shared" ref="C547:C549" si="225">D547+N547+P547+R547+T547+V547+X547</f>
        <v>3021475</v>
      </c>
      <c r="D547" s="1268">
        <f t="shared" ref="D547:D550" si="226">SUM(E547:J547)</f>
        <v>0</v>
      </c>
      <c r="E547" s="1289">
        <v>0</v>
      </c>
      <c r="F547" s="1289">
        <v>0</v>
      </c>
      <c r="G547" s="1289">
        <v>0</v>
      </c>
      <c r="H547" s="1289">
        <v>0</v>
      </c>
      <c r="I547" s="1289">
        <v>0</v>
      </c>
      <c r="J547" s="1289">
        <v>0</v>
      </c>
      <c r="K547" s="1278">
        <v>0</v>
      </c>
      <c r="L547" s="1289">
        <v>0</v>
      </c>
      <c r="M547" s="1278">
        <v>0</v>
      </c>
      <c r="N547" s="1289">
        <v>0</v>
      </c>
      <c r="O547" s="1321">
        <v>1112</v>
      </c>
      <c r="P547" s="1289">
        <v>2802011</v>
      </c>
      <c r="Q547" s="1289">
        <v>0</v>
      </c>
      <c r="R547" s="1289">
        <v>0</v>
      </c>
      <c r="S547" s="1289">
        <v>0</v>
      </c>
      <c r="T547" s="1289">
        <v>0</v>
      </c>
      <c r="U547" s="1289">
        <v>0</v>
      </c>
      <c r="V547" s="1289">
        <v>0</v>
      </c>
      <c r="W547" s="1328">
        <v>0</v>
      </c>
      <c r="X547" s="1289">
        <v>219464</v>
      </c>
      <c r="Y547" s="1289">
        <v>0</v>
      </c>
    </row>
    <row r="548" spans="1:25" s="1280" customFormat="1">
      <c r="A548" s="1281">
        <v>99</v>
      </c>
      <c r="B548" s="1277" t="s">
        <v>1523</v>
      </c>
      <c r="C548" s="1268">
        <f t="shared" si="225"/>
        <v>2738891</v>
      </c>
      <c r="D548" s="1268">
        <f t="shared" si="226"/>
        <v>0</v>
      </c>
      <c r="E548" s="1289">
        <v>0</v>
      </c>
      <c r="F548" s="1289">
        <v>0</v>
      </c>
      <c r="G548" s="1289">
        <v>0</v>
      </c>
      <c r="H548" s="1289">
        <v>0</v>
      </c>
      <c r="I548" s="1289">
        <v>0</v>
      </c>
      <c r="J548" s="1289">
        <v>0</v>
      </c>
      <c r="K548" s="1278">
        <v>0</v>
      </c>
      <c r="L548" s="1289">
        <v>0</v>
      </c>
      <c r="M548" s="1278">
        <v>0</v>
      </c>
      <c r="N548" s="1289">
        <v>0</v>
      </c>
      <c r="O548" s="1321">
        <v>1008</v>
      </c>
      <c r="P548" s="1289">
        <v>2539952</v>
      </c>
      <c r="Q548" s="1289">
        <v>0</v>
      </c>
      <c r="R548" s="1289">
        <v>0</v>
      </c>
      <c r="S548" s="1289">
        <v>0</v>
      </c>
      <c r="T548" s="1289">
        <v>0</v>
      </c>
      <c r="U548" s="1289">
        <v>0</v>
      </c>
      <c r="V548" s="1289">
        <v>0</v>
      </c>
      <c r="W548" s="1328">
        <v>0</v>
      </c>
      <c r="X548" s="1289">
        <v>198939</v>
      </c>
      <c r="Y548" s="1289">
        <v>0</v>
      </c>
    </row>
    <row r="549" spans="1:25" s="1337" customFormat="1">
      <c r="A549" s="1281">
        <v>100</v>
      </c>
      <c r="B549" s="1277" t="s">
        <v>1874</v>
      </c>
      <c r="C549" s="1268">
        <f t="shared" si="225"/>
        <v>2010454</v>
      </c>
      <c r="D549" s="1268">
        <f t="shared" si="226"/>
        <v>0</v>
      </c>
      <c r="E549" s="1289">
        <v>0</v>
      </c>
      <c r="F549" s="1289">
        <v>0</v>
      </c>
      <c r="G549" s="1289">
        <v>0</v>
      </c>
      <c r="H549" s="1289">
        <v>0</v>
      </c>
      <c r="I549" s="1289">
        <v>0</v>
      </c>
      <c r="J549" s="1289">
        <v>0</v>
      </c>
      <c r="K549" s="1278">
        <v>0</v>
      </c>
      <c r="L549" s="1289">
        <v>0</v>
      </c>
      <c r="M549" s="1278">
        <v>0</v>
      </c>
      <c r="N549" s="1289">
        <v>0</v>
      </c>
      <c r="O549" s="1321">
        <v>594</v>
      </c>
      <c r="P549" s="1289">
        <v>1864425</v>
      </c>
      <c r="Q549" s="1289">
        <v>0</v>
      </c>
      <c r="R549" s="1289">
        <v>0</v>
      </c>
      <c r="S549" s="1289">
        <v>0</v>
      </c>
      <c r="T549" s="1289">
        <v>0</v>
      </c>
      <c r="U549" s="1289">
        <v>0</v>
      </c>
      <c r="V549" s="1289">
        <v>0</v>
      </c>
      <c r="W549" s="1268">
        <v>0</v>
      </c>
      <c r="X549" s="1289">
        <v>146029</v>
      </c>
      <c r="Y549" s="1289">
        <v>0</v>
      </c>
    </row>
    <row r="550" spans="1:25" s="1337" customFormat="1">
      <c r="A550" s="1281">
        <v>101</v>
      </c>
      <c r="B550" s="1338" t="s">
        <v>1524</v>
      </c>
      <c r="C550" s="1268">
        <f>D550+N550+P550+R550+T550+V550+X550+L550</f>
        <v>4149118</v>
      </c>
      <c r="D550" s="1268">
        <f t="shared" si="226"/>
        <v>3571109</v>
      </c>
      <c r="E550" s="1289">
        <v>0</v>
      </c>
      <c r="F550" s="1289">
        <v>3571109</v>
      </c>
      <c r="G550" s="1289">
        <v>0</v>
      </c>
      <c r="H550" s="1289">
        <v>0</v>
      </c>
      <c r="I550" s="1289">
        <v>0</v>
      </c>
      <c r="J550" s="1289">
        <v>0</v>
      </c>
      <c r="K550" s="1278">
        <v>1</v>
      </c>
      <c r="L550" s="1289">
        <v>276639</v>
      </c>
      <c r="M550" s="1278">
        <v>0</v>
      </c>
      <c r="N550" s="1289">
        <v>0</v>
      </c>
      <c r="O550" s="1289">
        <v>0</v>
      </c>
      <c r="P550" s="1289">
        <v>0</v>
      </c>
      <c r="Q550" s="1289">
        <v>0</v>
      </c>
      <c r="R550" s="1289">
        <v>0</v>
      </c>
      <c r="S550" s="1289">
        <v>0</v>
      </c>
      <c r="T550" s="1289">
        <v>0</v>
      </c>
      <c r="U550" s="1289">
        <v>0</v>
      </c>
      <c r="V550" s="1289">
        <v>0</v>
      </c>
      <c r="W550" s="1328">
        <v>0</v>
      </c>
      <c r="X550" s="1289">
        <f>21667+279703</f>
        <v>301370</v>
      </c>
      <c r="Y550" s="1289">
        <v>0</v>
      </c>
    </row>
    <row r="551" spans="1:25" s="1292" customFormat="1" ht="75.599999999999994">
      <c r="A551" s="1281"/>
      <c r="B551" s="1277" t="s">
        <v>1681</v>
      </c>
      <c r="C551" s="1268">
        <f>C552+C553</f>
        <v>4041216</v>
      </c>
      <c r="D551" s="1268">
        <f t="shared" ref="D551:Y551" si="227">D552+D553</f>
        <v>0</v>
      </c>
      <c r="E551" s="1268">
        <f t="shared" si="227"/>
        <v>0</v>
      </c>
      <c r="F551" s="1268">
        <f t="shared" si="227"/>
        <v>0</v>
      </c>
      <c r="G551" s="1268">
        <f t="shared" si="227"/>
        <v>0</v>
      </c>
      <c r="H551" s="1268">
        <f t="shared" si="227"/>
        <v>0</v>
      </c>
      <c r="I551" s="1268">
        <f t="shared" si="227"/>
        <v>0</v>
      </c>
      <c r="J551" s="1268">
        <f t="shared" si="227"/>
        <v>0</v>
      </c>
      <c r="K551" s="1278">
        <f t="shared" si="227"/>
        <v>0</v>
      </c>
      <c r="L551" s="1268">
        <f t="shared" si="227"/>
        <v>0</v>
      </c>
      <c r="M551" s="1278">
        <f t="shared" si="227"/>
        <v>0</v>
      </c>
      <c r="N551" s="1268">
        <f t="shared" si="227"/>
        <v>0</v>
      </c>
      <c r="O551" s="1268">
        <f t="shared" si="227"/>
        <v>1194</v>
      </c>
      <c r="P551" s="1268">
        <f t="shared" si="227"/>
        <v>3747683</v>
      </c>
      <c r="Q551" s="1268">
        <f t="shared" si="227"/>
        <v>0</v>
      </c>
      <c r="R551" s="1268">
        <f t="shared" si="227"/>
        <v>0</v>
      </c>
      <c r="S551" s="1268">
        <f t="shared" si="227"/>
        <v>0</v>
      </c>
      <c r="T551" s="1268">
        <f t="shared" si="227"/>
        <v>0</v>
      </c>
      <c r="U551" s="1268">
        <f t="shared" si="227"/>
        <v>0</v>
      </c>
      <c r="V551" s="1268">
        <f t="shared" si="227"/>
        <v>0</v>
      </c>
      <c r="W551" s="1328">
        <v>0</v>
      </c>
      <c r="X551" s="1268">
        <f t="shared" si="227"/>
        <v>293533</v>
      </c>
      <c r="Y551" s="1268">
        <f t="shared" si="227"/>
        <v>0</v>
      </c>
    </row>
    <row r="552" spans="1:25" s="1292" customFormat="1">
      <c r="A552" s="1281">
        <v>102</v>
      </c>
      <c r="B552" s="1277" t="s">
        <v>1875</v>
      </c>
      <c r="C552" s="1268">
        <f t="shared" ref="C552" si="228">D552+N552+P552+R552+T552+V552+X552</f>
        <v>3195065</v>
      </c>
      <c r="D552" s="1268">
        <f t="shared" ref="D552" si="229">SUM(E552:J552)</f>
        <v>0</v>
      </c>
      <c r="E552" s="1289">
        <v>0</v>
      </c>
      <c r="F552" s="1289">
        <v>0</v>
      </c>
      <c r="G552" s="1289">
        <v>0</v>
      </c>
      <c r="H552" s="1289">
        <v>0</v>
      </c>
      <c r="I552" s="1289">
        <v>0</v>
      </c>
      <c r="J552" s="1289">
        <v>0</v>
      </c>
      <c r="K552" s="1278">
        <v>0</v>
      </c>
      <c r="L552" s="1289">
        <v>0</v>
      </c>
      <c r="M552" s="1278">
        <v>0</v>
      </c>
      <c r="N552" s="1289">
        <v>0</v>
      </c>
      <c r="O552" s="1289">
        <v>944</v>
      </c>
      <c r="P552" s="1289">
        <v>2962992</v>
      </c>
      <c r="Q552" s="1289">
        <v>0</v>
      </c>
      <c r="R552" s="1289">
        <v>0</v>
      </c>
      <c r="S552" s="1289">
        <v>0</v>
      </c>
      <c r="T552" s="1289">
        <v>0</v>
      </c>
      <c r="U552" s="1289">
        <v>0</v>
      </c>
      <c r="V552" s="1289">
        <v>0</v>
      </c>
      <c r="W552" s="1268">
        <v>0</v>
      </c>
      <c r="X552" s="1289">
        <v>232073</v>
      </c>
      <c r="Y552" s="1289">
        <v>0</v>
      </c>
    </row>
    <row r="553" spans="1:25" s="1280" customFormat="1">
      <c r="A553" s="1281">
        <v>103</v>
      </c>
      <c r="B553" s="1277" t="s">
        <v>620</v>
      </c>
      <c r="C553" s="1268">
        <f t="shared" ref="C553" si="230">D553+N553+P553+R553+T553+V553+X553</f>
        <v>846151</v>
      </c>
      <c r="D553" s="1268">
        <f t="shared" ref="D553" si="231">SUM(E553:J553)</f>
        <v>0</v>
      </c>
      <c r="E553" s="1289">
        <v>0</v>
      </c>
      <c r="F553" s="1289">
        <v>0</v>
      </c>
      <c r="G553" s="1289">
        <v>0</v>
      </c>
      <c r="H553" s="1289">
        <v>0</v>
      </c>
      <c r="I553" s="1289">
        <v>0</v>
      </c>
      <c r="J553" s="1289">
        <v>0</v>
      </c>
      <c r="K553" s="1278">
        <v>0</v>
      </c>
      <c r="L553" s="1289">
        <v>0</v>
      </c>
      <c r="M553" s="1278">
        <v>0</v>
      </c>
      <c r="N553" s="1289">
        <v>0</v>
      </c>
      <c r="O553" s="1289">
        <v>250</v>
      </c>
      <c r="P553" s="1289">
        <v>784691</v>
      </c>
      <c r="Q553" s="1289">
        <v>0</v>
      </c>
      <c r="R553" s="1289">
        <v>0</v>
      </c>
      <c r="S553" s="1289">
        <v>0</v>
      </c>
      <c r="T553" s="1289">
        <v>0</v>
      </c>
      <c r="U553" s="1289">
        <v>0</v>
      </c>
      <c r="V553" s="1289">
        <v>0</v>
      </c>
      <c r="W553" s="1328">
        <v>0</v>
      </c>
      <c r="X553" s="1289">
        <v>61460</v>
      </c>
      <c r="Y553" s="1289">
        <v>0</v>
      </c>
    </row>
    <row r="554" spans="1:25" s="1280" customFormat="1">
      <c r="A554" s="1281"/>
      <c r="B554" s="1267" t="s">
        <v>41</v>
      </c>
      <c r="C554" s="1268">
        <f>C555</f>
        <v>39582444</v>
      </c>
      <c r="D554" s="1268">
        <f t="shared" ref="D554:Y554" si="232">D555</f>
        <v>2545708</v>
      </c>
      <c r="E554" s="1268">
        <f t="shared" si="232"/>
        <v>0</v>
      </c>
      <c r="F554" s="1268">
        <f t="shared" si="232"/>
        <v>0</v>
      </c>
      <c r="G554" s="1268">
        <f t="shared" si="232"/>
        <v>0</v>
      </c>
      <c r="H554" s="1268">
        <f t="shared" si="232"/>
        <v>0</v>
      </c>
      <c r="I554" s="1268">
        <f t="shared" si="232"/>
        <v>0</v>
      </c>
      <c r="J554" s="1268">
        <f t="shared" si="232"/>
        <v>2545708</v>
      </c>
      <c r="K554" s="1278">
        <f t="shared" si="232"/>
        <v>0</v>
      </c>
      <c r="L554" s="1268">
        <f t="shared" si="232"/>
        <v>0</v>
      </c>
      <c r="M554" s="1278">
        <f t="shared" si="232"/>
        <v>0</v>
      </c>
      <c r="N554" s="1268">
        <f t="shared" si="232"/>
        <v>0</v>
      </c>
      <c r="O554" s="1268">
        <f t="shared" si="232"/>
        <v>4896.8100000000004</v>
      </c>
      <c r="P554" s="1268">
        <f t="shared" si="232"/>
        <v>19343021</v>
      </c>
      <c r="Q554" s="1268">
        <f t="shared" si="232"/>
        <v>0</v>
      </c>
      <c r="R554" s="1268">
        <f t="shared" si="232"/>
        <v>0</v>
      </c>
      <c r="S554" s="1268">
        <f t="shared" si="232"/>
        <v>6005.04</v>
      </c>
      <c r="T554" s="1268">
        <f t="shared" si="232"/>
        <v>14818652</v>
      </c>
      <c r="U554" s="1268">
        <f t="shared" si="232"/>
        <v>0</v>
      </c>
      <c r="V554" s="1268">
        <f t="shared" si="232"/>
        <v>0</v>
      </c>
      <c r="W554" s="1328">
        <v>0</v>
      </c>
      <c r="X554" s="1268">
        <f t="shared" si="232"/>
        <v>2875063</v>
      </c>
      <c r="Y554" s="1268">
        <f t="shared" si="232"/>
        <v>0</v>
      </c>
    </row>
    <row r="555" spans="1:25" s="1280" customFormat="1" ht="75.599999999999994">
      <c r="A555" s="1281"/>
      <c r="B555" s="1267" t="s">
        <v>1075</v>
      </c>
      <c r="C555" s="1289">
        <f>SUM(C556:C561)</f>
        <v>39582444</v>
      </c>
      <c r="D555" s="1289">
        <f t="shared" ref="D555:Y555" si="233">SUM(D556:D561)</f>
        <v>2545708</v>
      </c>
      <c r="E555" s="1289">
        <f t="shared" si="233"/>
        <v>0</v>
      </c>
      <c r="F555" s="1289">
        <f t="shared" si="233"/>
        <v>0</v>
      </c>
      <c r="G555" s="1289">
        <f t="shared" si="233"/>
        <v>0</v>
      </c>
      <c r="H555" s="1289">
        <f t="shared" si="233"/>
        <v>0</v>
      </c>
      <c r="I555" s="1289">
        <f t="shared" si="233"/>
        <v>0</v>
      </c>
      <c r="J555" s="1289">
        <f t="shared" si="233"/>
        <v>2545708</v>
      </c>
      <c r="K555" s="1278">
        <f t="shared" si="233"/>
        <v>0</v>
      </c>
      <c r="L555" s="1289">
        <f t="shared" si="233"/>
        <v>0</v>
      </c>
      <c r="M555" s="1278">
        <f t="shared" si="233"/>
        <v>0</v>
      </c>
      <c r="N555" s="1289">
        <f t="shared" si="233"/>
        <v>0</v>
      </c>
      <c r="O555" s="1289">
        <f t="shared" si="233"/>
        <v>4896.8100000000004</v>
      </c>
      <c r="P555" s="1289">
        <f t="shared" si="233"/>
        <v>19343021</v>
      </c>
      <c r="Q555" s="1289">
        <f t="shared" si="233"/>
        <v>0</v>
      </c>
      <c r="R555" s="1289">
        <f t="shared" si="233"/>
        <v>0</v>
      </c>
      <c r="S555" s="1289">
        <f t="shared" si="233"/>
        <v>6005.04</v>
      </c>
      <c r="T555" s="1289">
        <f t="shared" si="233"/>
        <v>14818652</v>
      </c>
      <c r="U555" s="1289">
        <f t="shared" si="233"/>
        <v>0</v>
      </c>
      <c r="V555" s="1289">
        <f t="shared" si="233"/>
        <v>0</v>
      </c>
      <c r="W555" s="1268">
        <v>0</v>
      </c>
      <c r="X555" s="1289">
        <f t="shared" si="233"/>
        <v>2875063</v>
      </c>
      <c r="Y555" s="1289">
        <f t="shared" si="233"/>
        <v>0</v>
      </c>
    </row>
    <row r="556" spans="1:25" s="1280" customFormat="1" ht="75.599999999999994">
      <c r="A556" s="1281">
        <v>104</v>
      </c>
      <c r="B556" s="1267" t="s">
        <v>2459</v>
      </c>
      <c r="C556" s="1268">
        <f t="shared" ref="C556:C561" si="234">D556+N556+P556+R556+T556+V556+X556</f>
        <v>3502141</v>
      </c>
      <c r="D556" s="1268">
        <f t="shared" ref="D556:D561" si="235">SUM(E556:J556)</f>
        <v>0</v>
      </c>
      <c r="E556" s="1268">
        <v>0</v>
      </c>
      <c r="F556" s="1268">
        <v>0</v>
      </c>
      <c r="G556" s="1268">
        <v>0</v>
      </c>
      <c r="H556" s="1268">
        <v>0</v>
      </c>
      <c r="I556" s="1268">
        <v>0</v>
      </c>
      <c r="J556" s="1268">
        <v>0</v>
      </c>
      <c r="K556" s="1278">
        <v>0</v>
      </c>
      <c r="L556" s="1268">
        <v>0</v>
      </c>
      <c r="M556" s="1278">
        <v>0</v>
      </c>
      <c r="N556" s="1268">
        <v>0</v>
      </c>
      <c r="O556" s="1268">
        <v>877.89</v>
      </c>
      <c r="P556" s="1289">
        <v>3247764</v>
      </c>
      <c r="Q556" s="1268">
        <v>0</v>
      </c>
      <c r="R556" s="1268">
        <v>0</v>
      </c>
      <c r="S556" s="1268">
        <v>0</v>
      </c>
      <c r="T556" s="1268">
        <v>0</v>
      </c>
      <c r="U556" s="1268">
        <v>0</v>
      </c>
      <c r="V556" s="1268">
        <v>0</v>
      </c>
      <c r="W556" s="1328">
        <v>0</v>
      </c>
      <c r="X556" s="1268">
        <v>254377</v>
      </c>
      <c r="Y556" s="1268">
        <v>0</v>
      </c>
    </row>
    <row r="557" spans="1:25" s="1280" customFormat="1">
      <c r="A557" s="1281">
        <v>105</v>
      </c>
      <c r="B557" s="1267" t="s">
        <v>1877</v>
      </c>
      <c r="C557" s="1268">
        <f t="shared" si="234"/>
        <v>8318308</v>
      </c>
      <c r="D557" s="1268">
        <f t="shared" si="235"/>
        <v>2545708</v>
      </c>
      <c r="E557" s="1268">
        <v>0</v>
      </c>
      <c r="F557" s="1268">
        <v>0</v>
      </c>
      <c r="G557" s="1268">
        <v>0</v>
      </c>
      <c r="H557" s="1268">
        <v>0</v>
      </c>
      <c r="I557" s="1268">
        <v>0</v>
      </c>
      <c r="J557" s="1268">
        <v>2545708</v>
      </c>
      <c r="K557" s="1278">
        <v>0</v>
      </c>
      <c r="L557" s="1268">
        <v>0</v>
      </c>
      <c r="M557" s="1278">
        <v>0</v>
      </c>
      <c r="N557" s="1268">
        <v>0</v>
      </c>
      <c r="O557" s="1268">
        <v>1397.05</v>
      </c>
      <c r="P557" s="1289">
        <v>5168401</v>
      </c>
      <c r="Q557" s="1268">
        <v>0</v>
      </c>
      <c r="R557" s="1268">
        <v>0</v>
      </c>
      <c r="S557" s="1268">
        <v>0</v>
      </c>
      <c r="T557" s="1268">
        <v>0</v>
      </c>
      <c r="U557" s="1268">
        <v>0</v>
      </c>
      <c r="V557" s="1268">
        <v>0</v>
      </c>
      <c r="W557" s="1328">
        <v>0</v>
      </c>
      <c r="X557" s="1268">
        <v>604199</v>
      </c>
      <c r="Y557" s="1268">
        <v>0</v>
      </c>
    </row>
    <row r="558" spans="1:25" s="1280" customFormat="1">
      <c r="A558" s="1281">
        <v>106</v>
      </c>
      <c r="B558" s="1267" t="s">
        <v>1878</v>
      </c>
      <c r="C558" s="1268">
        <f t="shared" si="234"/>
        <v>15979306</v>
      </c>
      <c r="D558" s="1268">
        <f t="shared" si="235"/>
        <v>0</v>
      </c>
      <c r="E558" s="1268">
        <v>0</v>
      </c>
      <c r="F558" s="1268">
        <v>0</v>
      </c>
      <c r="G558" s="1268">
        <v>0</v>
      </c>
      <c r="H558" s="1268">
        <v>0</v>
      </c>
      <c r="I558" s="1268">
        <v>0</v>
      </c>
      <c r="J558" s="1268">
        <v>0</v>
      </c>
      <c r="K558" s="1278">
        <v>0</v>
      </c>
      <c r="L558" s="1268">
        <v>0</v>
      </c>
      <c r="M558" s="1278">
        <v>0</v>
      </c>
      <c r="N558" s="1268">
        <v>0</v>
      </c>
      <c r="O558" s="1268">
        <v>0</v>
      </c>
      <c r="P558" s="1268">
        <v>0</v>
      </c>
      <c r="Q558" s="1268">
        <v>0</v>
      </c>
      <c r="R558" s="1268">
        <v>0</v>
      </c>
      <c r="S558" s="1268">
        <v>6005.04</v>
      </c>
      <c r="T558" s="1268">
        <v>14818652</v>
      </c>
      <c r="U558" s="1268">
        <v>0</v>
      </c>
      <c r="V558" s="1268">
        <v>0</v>
      </c>
      <c r="W558" s="1268">
        <v>0</v>
      </c>
      <c r="X558" s="1268">
        <v>1160654</v>
      </c>
      <c r="Y558" s="1268">
        <v>0</v>
      </c>
    </row>
    <row r="559" spans="1:25" s="1280" customFormat="1">
      <c r="A559" s="1281">
        <v>107</v>
      </c>
      <c r="B559" s="1267" t="s">
        <v>1879</v>
      </c>
      <c r="C559" s="1268">
        <f t="shared" si="234"/>
        <v>5202215</v>
      </c>
      <c r="D559" s="1268">
        <f t="shared" si="235"/>
        <v>0</v>
      </c>
      <c r="E559" s="1268">
        <v>0</v>
      </c>
      <c r="F559" s="1268">
        <v>0</v>
      </c>
      <c r="G559" s="1268">
        <v>0</v>
      </c>
      <c r="H559" s="1268">
        <v>0</v>
      </c>
      <c r="I559" s="1268">
        <v>0</v>
      </c>
      <c r="J559" s="1268">
        <v>0</v>
      </c>
      <c r="K559" s="1278">
        <v>0</v>
      </c>
      <c r="L559" s="1268">
        <v>0</v>
      </c>
      <c r="M559" s="1278">
        <v>0</v>
      </c>
      <c r="N559" s="1268">
        <v>0</v>
      </c>
      <c r="O559" s="1268">
        <v>1065</v>
      </c>
      <c r="P559" s="1268">
        <v>4824353</v>
      </c>
      <c r="Q559" s="1268">
        <v>0</v>
      </c>
      <c r="R559" s="1268">
        <v>0</v>
      </c>
      <c r="S559" s="1268">
        <v>0</v>
      </c>
      <c r="T559" s="1268">
        <v>0</v>
      </c>
      <c r="U559" s="1268">
        <v>0</v>
      </c>
      <c r="V559" s="1268">
        <v>0</v>
      </c>
      <c r="W559" s="1328">
        <v>0</v>
      </c>
      <c r="X559" s="1268">
        <v>377862</v>
      </c>
      <c r="Y559" s="1268">
        <v>0</v>
      </c>
    </row>
    <row r="560" spans="1:25" s="1280" customFormat="1">
      <c r="A560" s="1281">
        <v>108</v>
      </c>
      <c r="B560" s="1267" t="s">
        <v>1880</v>
      </c>
      <c r="C560" s="1268">
        <f t="shared" si="234"/>
        <v>4563725</v>
      </c>
      <c r="D560" s="1268">
        <f t="shared" si="235"/>
        <v>0</v>
      </c>
      <c r="E560" s="1268">
        <v>0</v>
      </c>
      <c r="F560" s="1268">
        <v>0</v>
      </c>
      <c r="G560" s="1268">
        <v>0</v>
      </c>
      <c r="H560" s="1268">
        <v>0</v>
      </c>
      <c r="I560" s="1268">
        <v>0</v>
      </c>
      <c r="J560" s="1268">
        <v>0</v>
      </c>
      <c r="K560" s="1278">
        <v>0</v>
      </c>
      <c r="L560" s="1268">
        <v>0</v>
      </c>
      <c r="M560" s="1278">
        <v>0</v>
      </c>
      <c r="N560" s="1268">
        <v>0</v>
      </c>
      <c r="O560" s="1268">
        <v>1144</v>
      </c>
      <c r="P560" s="1268">
        <v>4232240</v>
      </c>
      <c r="Q560" s="1268">
        <v>0</v>
      </c>
      <c r="R560" s="1268">
        <v>0</v>
      </c>
      <c r="S560" s="1268">
        <v>0</v>
      </c>
      <c r="T560" s="1268">
        <v>0</v>
      </c>
      <c r="U560" s="1268">
        <v>0</v>
      </c>
      <c r="V560" s="1268">
        <v>0</v>
      </c>
      <c r="W560" s="1328">
        <v>0</v>
      </c>
      <c r="X560" s="1268">
        <v>331485</v>
      </c>
      <c r="Y560" s="1268">
        <v>0</v>
      </c>
    </row>
    <row r="561" spans="1:25" s="1280" customFormat="1" ht="75.599999999999994">
      <c r="A561" s="1281">
        <v>109</v>
      </c>
      <c r="B561" s="1267" t="s">
        <v>2390</v>
      </c>
      <c r="C561" s="1268">
        <f t="shared" si="234"/>
        <v>2016749</v>
      </c>
      <c r="D561" s="1268">
        <f t="shared" si="235"/>
        <v>0</v>
      </c>
      <c r="E561" s="1268">
        <v>0</v>
      </c>
      <c r="F561" s="1268">
        <v>0</v>
      </c>
      <c r="G561" s="1268">
        <v>0</v>
      </c>
      <c r="H561" s="1268">
        <v>0</v>
      </c>
      <c r="I561" s="1268">
        <v>0</v>
      </c>
      <c r="J561" s="1268">
        <v>0</v>
      </c>
      <c r="K561" s="1278">
        <v>0</v>
      </c>
      <c r="L561" s="1268">
        <v>0</v>
      </c>
      <c r="M561" s="1278">
        <v>0</v>
      </c>
      <c r="N561" s="1268">
        <v>0</v>
      </c>
      <c r="O561" s="1268">
        <v>412.87</v>
      </c>
      <c r="P561" s="1268">
        <v>1870263</v>
      </c>
      <c r="Q561" s="1268">
        <v>0</v>
      </c>
      <c r="R561" s="1268">
        <v>0</v>
      </c>
      <c r="S561" s="1268">
        <v>0</v>
      </c>
      <c r="T561" s="1268">
        <v>0</v>
      </c>
      <c r="U561" s="1268">
        <v>0</v>
      </c>
      <c r="V561" s="1268">
        <v>0</v>
      </c>
      <c r="W561" s="1268">
        <v>0</v>
      </c>
      <c r="X561" s="1268">
        <v>146486</v>
      </c>
      <c r="Y561" s="1268">
        <v>0</v>
      </c>
    </row>
    <row r="562" spans="1:25" s="1280" customFormat="1">
      <c r="A562" s="1281"/>
      <c r="B562" s="1267" t="s">
        <v>68</v>
      </c>
      <c r="C562" s="1268">
        <f>C563</f>
        <v>1392426</v>
      </c>
      <c r="D562" s="1268">
        <f t="shared" ref="D562:Y562" si="236">D563</f>
        <v>0</v>
      </c>
      <c r="E562" s="1268">
        <f t="shared" si="236"/>
        <v>0</v>
      </c>
      <c r="F562" s="1268">
        <f t="shared" si="236"/>
        <v>0</v>
      </c>
      <c r="G562" s="1268">
        <f t="shared" si="236"/>
        <v>0</v>
      </c>
      <c r="H562" s="1268">
        <f t="shared" si="236"/>
        <v>0</v>
      </c>
      <c r="I562" s="1268">
        <f t="shared" si="236"/>
        <v>0</v>
      </c>
      <c r="J562" s="1268">
        <f t="shared" si="236"/>
        <v>0</v>
      </c>
      <c r="K562" s="1278">
        <f t="shared" si="236"/>
        <v>0</v>
      </c>
      <c r="L562" s="1268">
        <f t="shared" si="236"/>
        <v>0</v>
      </c>
      <c r="M562" s="1278">
        <f t="shared" si="236"/>
        <v>0</v>
      </c>
      <c r="N562" s="1268">
        <f t="shared" si="236"/>
        <v>0</v>
      </c>
      <c r="O562" s="1268">
        <f t="shared" si="236"/>
        <v>411.4</v>
      </c>
      <c r="P562" s="1268">
        <f t="shared" si="236"/>
        <v>1291287</v>
      </c>
      <c r="Q562" s="1268">
        <f t="shared" si="236"/>
        <v>0</v>
      </c>
      <c r="R562" s="1268">
        <f t="shared" si="236"/>
        <v>0</v>
      </c>
      <c r="S562" s="1268">
        <f t="shared" si="236"/>
        <v>0</v>
      </c>
      <c r="T562" s="1268">
        <f t="shared" si="236"/>
        <v>0</v>
      </c>
      <c r="U562" s="1268">
        <f t="shared" si="236"/>
        <v>0</v>
      </c>
      <c r="V562" s="1268">
        <f t="shared" si="236"/>
        <v>0</v>
      </c>
      <c r="W562" s="1328">
        <v>0</v>
      </c>
      <c r="X562" s="1268">
        <f t="shared" si="236"/>
        <v>101139</v>
      </c>
      <c r="Y562" s="1268">
        <f t="shared" si="236"/>
        <v>0</v>
      </c>
    </row>
    <row r="563" spans="1:25" s="1280" customFormat="1" ht="75.599999999999994">
      <c r="A563" s="1281"/>
      <c r="B563" s="1267" t="s">
        <v>1076</v>
      </c>
      <c r="C563" s="1268">
        <f>C564</f>
        <v>1392426</v>
      </c>
      <c r="D563" s="1268">
        <f t="shared" ref="D563:Y563" si="237">D564</f>
        <v>0</v>
      </c>
      <c r="E563" s="1268">
        <f t="shared" si="237"/>
        <v>0</v>
      </c>
      <c r="F563" s="1268">
        <f t="shared" si="237"/>
        <v>0</v>
      </c>
      <c r="G563" s="1268">
        <f t="shared" si="237"/>
        <v>0</v>
      </c>
      <c r="H563" s="1268">
        <f t="shared" si="237"/>
        <v>0</v>
      </c>
      <c r="I563" s="1268">
        <f t="shared" si="237"/>
        <v>0</v>
      </c>
      <c r="J563" s="1268">
        <f t="shared" si="237"/>
        <v>0</v>
      </c>
      <c r="K563" s="1278">
        <f t="shared" si="237"/>
        <v>0</v>
      </c>
      <c r="L563" s="1268">
        <f t="shared" si="237"/>
        <v>0</v>
      </c>
      <c r="M563" s="1278">
        <f t="shared" si="237"/>
        <v>0</v>
      </c>
      <c r="N563" s="1268">
        <f t="shared" si="237"/>
        <v>0</v>
      </c>
      <c r="O563" s="1268">
        <f t="shared" si="237"/>
        <v>411.4</v>
      </c>
      <c r="P563" s="1268">
        <f t="shared" si="237"/>
        <v>1291287</v>
      </c>
      <c r="Q563" s="1268">
        <f t="shared" si="237"/>
        <v>0</v>
      </c>
      <c r="R563" s="1268">
        <f t="shared" si="237"/>
        <v>0</v>
      </c>
      <c r="S563" s="1268">
        <f t="shared" si="237"/>
        <v>0</v>
      </c>
      <c r="T563" s="1268">
        <f t="shared" si="237"/>
        <v>0</v>
      </c>
      <c r="U563" s="1268">
        <f t="shared" si="237"/>
        <v>0</v>
      </c>
      <c r="V563" s="1268">
        <f t="shared" si="237"/>
        <v>0</v>
      </c>
      <c r="W563" s="1328">
        <v>0</v>
      </c>
      <c r="X563" s="1268">
        <f t="shared" si="237"/>
        <v>101139</v>
      </c>
      <c r="Y563" s="1268">
        <f t="shared" si="237"/>
        <v>0</v>
      </c>
    </row>
    <row r="564" spans="1:25" s="1280" customFormat="1">
      <c r="A564" s="1281">
        <v>110</v>
      </c>
      <c r="B564" s="1267" t="s">
        <v>1133</v>
      </c>
      <c r="C564" s="1268">
        <f t="shared" ref="C564" si="238">D564+N564+P564+R564+T564+V564+X564</f>
        <v>1392426</v>
      </c>
      <c r="D564" s="1268">
        <f t="shared" ref="D564" si="239">SUM(E564:J564)</f>
        <v>0</v>
      </c>
      <c r="E564" s="1268">
        <v>0</v>
      </c>
      <c r="F564" s="1268">
        <v>0</v>
      </c>
      <c r="G564" s="1268">
        <v>0</v>
      </c>
      <c r="H564" s="1268">
        <v>0</v>
      </c>
      <c r="I564" s="1268">
        <v>0</v>
      </c>
      <c r="J564" s="1268">
        <v>0</v>
      </c>
      <c r="K564" s="1278">
        <v>0</v>
      </c>
      <c r="L564" s="1268">
        <v>0</v>
      </c>
      <c r="M564" s="1278">
        <v>0</v>
      </c>
      <c r="N564" s="1268">
        <v>0</v>
      </c>
      <c r="O564" s="1268">
        <v>411.4</v>
      </c>
      <c r="P564" s="1268">
        <v>1291287</v>
      </c>
      <c r="Q564" s="1268">
        <v>0</v>
      </c>
      <c r="R564" s="1268">
        <v>0</v>
      </c>
      <c r="S564" s="1268">
        <v>0</v>
      </c>
      <c r="T564" s="1268">
        <v>0</v>
      </c>
      <c r="U564" s="1268">
        <v>0</v>
      </c>
      <c r="V564" s="1268">
        <v>0</v>
      </c>
      <c r="W564" s="1268">
        <v>0</v>
      </c>
      <c r="X564" s="1268">
        <v>101139</v>
      </c>
      <c r="Y564" s="1268">
        <v>0</v>
      </c>
    </row>
    <row r="565" spans="1:25" s="1280" customFormat="1">
      <c r="A565" s="1281"/>
      <c r="B565" s="1267" t="s">
        <v>43</v>
      </c>
      <c r="C565" s="1268">
        <f>C566</f>
        <v>17807929</v>
      </c>
      <c r="D565" s="1268">
        <f t="shared" ref="D565:Y565" si="240">D566</f>
        <v>5074061</v>
      </c>
      <c r="E565" s="1268">
        <f t="shared" si="240"/>
        <v>0</v>
      </c>
      <c r="F565" s="1268">
        <f t="shared" si="240"/>
        <v>4405960</v>
      </c>
      <c r="G565" s="1268">
        <f t="shared" si="240"/>
        <v>0</v>
      </c>
      <c r="H565" s="1268">
        <f t="shared" si="240"/>
        <v>409292</v>
      </c>
      <c r="I565" s="1268">
        <f t="shared" si="240"/>
        <v>0</v>
      </c>
      <c r="J565" s="1268">
        <f t="shared" si="240"/>
        <v>258809</v>
      </c>
      <c r="K565" s="1278">
        <f t="shared" si="240"/>
        <v>0</v>
      </c>
      <c r="L565" s="1268">
        <f t="shared" si="240"/>
        <v>0</v>
      </c>
      <c r="M565" s="1278">
        <f t="shared" si="240"/>
        <v>0</v>
      </c>
      <c r="N565" s="1268">
        <f t="shared" si="240"/>
        <v>0</v>
      </c>
      <c r="O565" s="1268">
        <f t="shared" si="240"/>
        <v>3857.2200000000003</v>
      </c>
      <c r="P565" s="1268">
        <f t="shared" si="240"/>
        <v>11440392</v>
      </c>
      <c r="Q565" s="1268">
        <f t="shared" si="240"/>
        <v>0</v>
      </c>
      <c r="R565" s="1268">
        <f t="shared" si="240"/>
        <v>0</v>
      </c>
      <c r="S565" s="1268">
        <f t="shared" si="240"/>
        <v>0</v>
      </c>
      <c r="T565" s="1268">
        <f t="shared" si="240"/>
        <v>0</v>
      </c>
      <c r="U565" s="1268">
        <f t="shared" si="240"/>
        <v>0</v>
      </c>
      <c r="V565" s="1268">
        <f t="shared" si="240"/>
        <v>0</v>
      </c>
      <c r="W565" s="1328">
        <v>0</v>
      </c>
      <c r="X565" s="1268">
        <f t="shared" si="240"/>
        <v>1293476</v>
      </c>
      <c r="Y565" s="1268">
        <f t="shared" si="240"/>
        <v>0</v>
      </c>
    </row>
    <row r="566" spans="1:25" s="1280" customFormat="1" ht="113.4">
      <c r="A566" s="1281"/>
      <c r="B566" s="1277" t="s">
        <v>1115</v>
      </c>
      <c r="C566" s="1289">
        <f>SUM(C567:C572)</f>
        <v>17807929</v>
      </c>
      <c r="D566" s="1289">
        <f t="shared" ref="D566:Y566" si="241">SUM(D567:D572)</f>
        <v>5074061</v>
      </c>
      <c r="E566" s="1289">
        <f t="shared" si="241"/>
        <v>0</v>
      </c>
      <c r="F566" s="1289">
        <f t="shared" si="241"/>
        <v>4405960</v>
      </c>
      <c r="G566" s="1289">
        <f t="shared" si="241"/>
        <v>0</v>
      </c>
      <c r="H566" s="1289">
        <f t="shared" si="241"/>
        <v>409292</v>
      </c>
      <c r="I566" s="1289">
        <f t="shared" si="241"/>
        <v>0</v>
      </c>
      <c r="J566" s="1289">
        <f t="shared" si="241"/>
        <v>258809</v>
      </c>
      <c r="K566" s="1278">
        <f t="shared" si="241"/>
        <v>0</v>
      </c>
      <c r="L566" s="1289">
        <f t="shared" si="241"/>
        <v>0</v>
      </c>
      <c r="M566" s="1278">
        <f t="shared" si="241"/>
        <v>0</v>
      </c>
      <c r="N566" s="1289">
        <f t="shared" si="241"/>
        <v>0</v>
      </c>
      <c r="O566" s="1289">
        <f t="shared" si="241"/>
        <v>3857.2200000000003</v>
      </c>
      <c r="P566" s="1289">
        <f t="shared" si="241"/>
        <v>11440392</v>
      </c>
      <c r="Q566" s="1289">
        <f t="shared" si="241"/>
        <v>0</v>
      </c>
      <c r="R566" s="1289">
        <f t="shared" si="241"/>
        <v>0</v>
      </c>
      <c r="S566" s="1289">
        <f t="shared" si="241"/>
        <v>0</v>
      </c>
      <c r="T566" s="1289">
        <f t="shared" si="241"/>
        <v>0</v>
      </c>
      <c r="U566" s="1289">
        <f t="shared" si="241"/>
        <v>0</v>
      </c>
      <c r="V566" s="1289">
        <f t="shared" si="241"/>
        <v>0</v>
      </c>
      <c r="W566" s="1328">
        <v>0</v>
      </c>
      <c r="X566" s="1289">
        <f t="shared" si="241"/>
        <v>1293476</v>
      </c>
      <c r="Y566" s="1289">
        <f t="shared" si="241"/>
        <v>0</v>
      </c>
    </row>
    <row r="567" spans="1:25" s="1280" customFormat="1">
      <c r="A567" s="1281">
        <v>111</v>
      </c>
      <c r="B567" s="1277" t="s">
        <v>1029</v>
      </c>
      <c r="C567" s="1268">
        <f t="shared" ref="C567" si="242">D567+N567+P567+R567+T567+V567+X567</f>
        <v>4751052</v>
      </c>
      <c r="D567" s="1268">
        <f t="shared" ref="D567" si="243">SUM(E567:J567)</f>
        <v>4405960</v>
      </c>
      <c r="E567" s="1268">
        <v>0</v>
      </c>
      <c r="F567" s="1268">
        <v>4405960</v>
      </c>
      <c r="G567" s="1268">
        <v>0</v>
      </c>
      <c r="H567" s="1268">
        <v>0</v>
      </c>
      <c r="I567" s="1268">
        <v>0</v>
      </c>
      <c r="J567" s="1268">
        <v>0</v>
      </c>
      <c r="K567" s="1278">
        <v>0</v>
      </c>
      <c r="L567" s="1268">
        <v>0</v>
      </c>
      <c r="M567" s="1278">
        <v>0</v>
      </c>
      <c r="N567" s="1268">
        <v>0</v>
      </c>
      <c r="O567" s="1268">
        <v>0</v>
      </c>
      <c r="P567" s="1268">
        <v>0</v>
      </c>
      <c r="Q567" s="1268">
        <v>0</v>
      </c>
      <c r="R567" s="1268">
        <v>0</v>
      </c>
      <c r="S567" s="1268">
        <v>0</v>
      </c>
      <c r="T567" s="1268">
        <v>0</v>
      </c>
      <c r="U567" s="1268">
        <v>0</v>
      </c>
      <c r="V567" s="1268">
        <v>0</v>
      </c>
      <c r="W567" s="1268">
        <v>0</v>
      </c>
      <c r="X567" s="1268">
        <v>345092</v>
      </c>
      <c r="Y567" s="1268">
        <v>0</v>
      </c>
    </row>
    <row r="568" spans="1:25" s="1280" customFormat="1">
      <c r="A568" s="1281">
        <v>112</v>
      </c>
      <c r="B568" s="1277" t="s">
        <v>1450</v>
      </c>
      <c r="C568" s="1268">
        <f t="shared" ref="C568:C572" si="244">D568+N568+P568+R568+T568+V568+X568</f>
        <v>720429</v>
      </c>
      <c r="D568" s="1268">
        <f t="shared" ref="D568:D572" si="245">SUM(E568:J568)</f>
        <v>668101</v>
      </c>
      <c r="E568" s="1268">
        <v>0</v>
      </c>
      <c r="F568" s="1268">
        <v>0</v>
      </c>
      <c r="G568" s="1268">
        <v>0</v>
      </c>
      <c r="H568" s="1268">
        <v>409292</v>
      </c>
      <c r="I568" s="1268">
        <v>0</v>
      </c>
      <c r="J568" s="1268">
        <v>258809</v>
      </c>
      <c r="K568" s="1278">
        <v>0</v>
      </c>
      <c r="L568" s="1268">
        <v>0</v>
      </c>
      <c r="M568" s="1278">
        <v>0</v>
      </c>
      <c r="N568" s="1268">
        <v>0</v>
      </c>
      <c r="O568" s="1268">
        <v>0</v>
      </c>
      <c r="P568" s="1268">
        <v>0</v>
      </c>
      <c r="Q568" s="1268">
        <v>0</v>
      </c>
      <c r="R568" s="1268">
        <v>0</v>
      </c>
      <c r="S568" s="1268">
        <v>0</v>
      </c>
      <c r="T568" s="1268">
        <v>0</v>
      </c>
      <c r="U568" s="1268">
        <v>0</v>
      </c>
      <c r="V568" s="1268">
        <v>0</v>
      </c>
      <c r="W568" s="1328">
        <v>0</v>
      </c>
      <c r="X568" s="1268">
        <v>52328</v>
      </c>
      <c r="Y568" s="1268">
        <v>0</v>
      </c>
    </row>
    <row r="569" spans="1:25" s="1280" customFormat="1">
      <c r="A569" s="1281">
        <v>113</v>
      </c>
      <c r="B569" s="1339" t="s">
        <v>1535</v>
      </c>
      <c r="C569" s="1268">
        <f t="shared" si="244"/>
        <v>2925831</v>
      </c>
      <c r="D569" s="1268">
        <f t="shared" si="245"/>
        <v>0</v>
      </c>
      <c r="E569" s="1268">
        <v>0</v>
      </c>
      <c r="F569" s="1268">
        <v>0</v>
      </c>
      <c r="G569" s="1268">
        <v>0</v>
      </c>
      <c r="H569" s="1268">
        <v>0</v>
      </c>
      <c r="I569" s="1268">
        <v>0</v>
      </c>
      <c r="J569" s="1268">
        <v>0</v>
      </c>
      <c r="K569" s="1278">
        <v>0</v>
      </c>
      <c r="L569" s="1268">
        <v>0</v>
      </c>
      <c r="M569" s="1278">
        <v>0</v>
      </c>
      <c r="N569" s="1268">
        <v>0</v>
      </c>
      <c r="O569" s="1268">
        <v>1076.8</v>
      </c>
      <c r="P569" s="1268">
        <v>2713314</v>
      </c>
      <c r="Q569" s="1268">
        <v>0</v>
      </c>
      <c r="R569" s="1268">
        <v>0</v>
      </c>
      <c r="S569" s="1268">
        <v>0</v>
      </c>
      <c r="T569" s="1268">
        <v>0</v>
      </c>
      <c r="U569" s="1268">
        <v>0</v>
      </c>
      <c r="V569" s="1268">
        <v>0</v>
      </c>
      <c r="W569" s="1328">
        <v>0</v>
      </c>
      <c r="X569" s="1268">
        <v>212517</v>
      </c>
      <c r="Y569" s="1268">
        <v>0</v>
      </c>
    </row>
    <row r="570" spans="1:25" s="1299" customFormat="1">
      <c r="A570" s="1281">
        <v>114</v>
      </c>
      <c r="B570" s="1340" t="s">
        <v>1536</v>
      </c>
      <c r="C570" s="1268">
        <f t="shared" si="244"/>
        <v>6566129</v>
      </c>
      <c r="D570" s="1268">
        <f t="shared" si="245"/>
        <v>0</v>
      </c>
      <c r="E570" s="1268">
        <v>0</v>
      </c>
      <c r="F570" s="1268">
        <v>0</v>
      </c>
      <c r="G570" s="1268">
        <v>0</v>
      </c>
      <c r="H570" s="1268">
        <v>0</v>
      </c>
      <c r="I570" s="1268">
        <v>0</v>
      </c>
      <c r="J570" s="1268">
        <v>0</v>
      </c>
      <c r="K570" s="1278">
        <v>0</v>
      </c>
      <c r="L570" s="1268">
        <v>0</v>
      </c>
      <c r="M570" s="1278">
        <v>0</v>
      </c>
      <c r="N570" s="1268">
        <v>0</v>
      </c>
      <c r="O570" s="1268">
        <v>1940</v>
      </c>
      <c r="P570" s="1268">
        <v>6089199</v>
      </c>
      <c r="Q570" s="1268">
        <v>0</v>
      </c>
      <c r="R570" s="1268">
        <v>0</v>
      </c>
      <c r="S570" s="1268">
        <v>0</v>
      </c>
      <c r="T570" s="1268">
        <v>0</v>
      </c>
      <c r="U570" s="1268">
        <v>0</v>
      </c>
      <c r="V570" s="1268">
        <v>0</v>
      </c>
      <c r="W570" s="1268">
        <v>0</v>
      </c>
      <c r="X570" s="1268">
        <v>476930</v>
      </c>
      <c r="Y570" s="1268">
        <v>0</v>
      </c>
    </row>
    <row r="571" spans="1:25" s="1299" customFormat="1">
      <c r="A571" s="1281">
        <v>115</v>
      </c>
      <c r="B571" s="1277" t="s">
        <v>1881</v>
      </c>
      <c r="C571" s="1268">
        <f t="shared" si="244"/>
        <v>2099875</v>
      </c>
      <c r="D571" s="1268">
        <f t="shared" si="245"/>
        <v>0</v>
      </c>
      <c r="E571" s="1268">
        <v>0</v>
      </c>
      <c r="F571" s="1268">
        <v>0</v>
      </c>
      <c r="G571" s="1268">
        <v>0</v>
      </c>
      <c r="H571" s="1268">
        <v>0</v>
      </c>
      <c r="I571" s="1268">
        <v>0</v>
      </c>
      <c r="J571" s="1268">
        <v>0</v>
      </c>
      <c r="K571" s="1278">
        <v>0</v>
      </c>
      <c r="L571" s="1268">
        <v>0</v>
      </c>
      <c r="M571" s="1278">
        <v>0</v>
      </c>
      <c r="N571" s="1268">
        <v>0</v>
      </c>
      <c r="O571" s="1268">
        <v>620.41999999999996</v>
      </c>
      <c r="P571" s="1268">
        <v>1947351</v>
      </c>
      <c r="Q571" s="1268">
        <v>0</v>
      </c>
      <c r="R571" s="1268">
        <v>0</v>
      </c>
      <c r="S571" s="1268">
        <v>0</v>
      </c>
      <c r="T571" s="1268">
        <v>0</v>
      </c>
      <c r="U571" s="1268">
        <v>0</v>
      </c>
      <c r="V571" s="1268">
        <v>0</v>
      </c>
      <c r="W571" s="1328">
        <v>0</v>
      </c>
      <c r="X571" s="1268">
        <v>152524</v>
      </c>
      <c r="Y571" s="1268">
        <v>0</v>
      </c>
    </row>
    <row r="572" spans="1:25" s="1299" customFormat="1">
      <c r="A572" s="1281">
        <v>116</v>
      </c>
      <c r="B572" s="1277" t="s">
        <v>1882</v>
      </c>
      <c r="C572" s="1268">
        <f t="shared" si="244"/>
        <v>744613</v>
      </c>
      <c r="D572" s="1268">
        <f t="shared" si="245"/>
        <v>0</v>
      </c>
      <c r="E572" s="1268">
        <v>0</v>
      </c>
      <c r="F572" s="1268">
        <v>0</v>
      </c>
      <c r="G572" s="1268">
        <v>0</v>
      </c>
      <c r="H572" s="1268">
        <v>0</v>
      </c>
      <c r="I572" s="1268">
        <v>0</v>
      </c>
      <c r="J572" s="1268">
        <v>0</v>
      </c>
      <c r="K572" s="1278">
        <v>0</v>
      </c>
      <c r="L572" s="1268">
        <v>0</v>
      </c>
      <c r="M572" s="1278">
        <v>0</v>
      </c>
      <c r="N572" s="1268">
        <v>0</v>
      </c>
      <c r="O572" s="1268">
        <v>220</v>
      </c>
      <c r="P572" s="1268">
        <v>690528</v>
      </c>
      <c r="Q572" s="1268">
        <v>0</v>
      </c>
      <c r="R572" s="1268">
        <v>0</v>
      </c>
      <c r="S572" s="1268">
        <v>0</v>
      </c>
      <c r="T572" s="1268">
        <v>0</v>
      </c>
      <c r="U572" s="1268">
        <v>0</v>
      </c>
      <c r="V572" s="1268">
        <v>0</v>
      </c>
      <c r="W572" s="1328">
        <v>0</v>
      </c>
      <c r="X572" s="1268">
        <v>54085</v>
      </c>
      <c r="Y572" s="1268">
        <v>0</v>
      </c>
    </row>
    <row r="573" spans="1:25" s="1299" customFormat="1" ht="75.599999999999994">
      <c r="A573" s="1281"/>
      <c r="B573" s="1277" t="s">
        <v>1588</v>
      </c>
      <c r="C573" s="1268">
        <f>C574+C575</f>
        <v>2431837</v>
      </c>
      <c r="D573" s="1268">
        <f t="shared" ref="D573:Y573" si="246">D574+D575</f>
        <v>0</v>
      </c>
      <c r="E573" s="1268">
        <f t="shared" si="246"/>
        <v>0</v>
      </c>
      <c r="F573" s="1268">
        <f t="shared" si="246"/>
        <v>0</v>
      </c>
      <c r="G573" s="1268">
        <f t="shared" si="246"/>
        <v>0</v>
      </c>
      <c r="H573" s="1268">
        <f t="shared" si="246"/>
        <v>0</v>
      </c>
      <c r="I573" s="1268">
        <f t="shared" si="246"/>
        <v>0</v>
      </c>
      <c r="J573" s="1268">
        <f t="shared" si="246"/>
        <v>0</v>
      </c>
      <c r="K573" s="1278">
        <f t="shared" si="246"/>
        <v>0</v>
      </c>
      <c r="L573" s="1268">
        <f t="shared" si="246"/>
        <v>0</v>
      </c>
      <c r="M573" s="1278">
        <f t="shared" si="246"/>
        <v>0</v>
      </c>
      <c r="N573" s="1268">
        <f t="shared" si="246"/>
        <v>0</v>
      </c>
      <c r="O573" s="1268">
        <f t="shared" si="246"/>
        <v>718.5</v>
      </c>
      <c r="P573" s="1268">
        <f t="shared" si="246"/>
        <v>2255201</v>
      </c>
      <c r="Q573" s="1268">
        <f t="shared" si="246"/>
        <v>0</v>
      </c>
      <c r="R573" s="1268">
        <f t="shared" si="246"/>
        <v>0</v>
      </c>
      <c r="S573" s="1268">
        <f t="shared" si="246"/>
        <v>0</v>
      </c>
      <c r="T573" s="1268">
        <f t="shared" si="246"/>
        <v>0</v>
      </c>
      <c r="U573" s="1268">
        <f t="shared" si="246"/>
        <v>0</v>
      </c>
      <c r="V573" s="1268">
        <f t="shared" si="246"/>
        <v>0</v>
      </c>
      <c r="W573" s="1268">
        <v>0</v>
      </c>
      <c r="X573" s="1268">
        <f t="shared" si="246"/>
        <v>176636</v>
      </c>
      <c r="Y573" s="1268">
        <f t="shared" si="246"/>
        <v>0</v>
      </c>
    </row>
    <row r="574" spans="1:25" s="1299" customFormat="1">
      <c r="A574" s="1281">
        <v>117</v>
      </c>
      <c r="B574" s="1297" t="s">
        <v>1292</v>
      </c>
      <c r="C574" s="1268">
        <f t="shared" ref="C574:C575" si="247">D574+N574+P574+R574+T574+V574+X574</f>
        <v>1275995</v>
      </c>
      <c r="D574" s="1268">
        <f t="shared" ref="D574:D575" si="248">SUM(E574:J574)</f>
        <v>0</v>
      </c>
      <c r="E574" s="1268">
        <v>0</v>
      </c>
      <c r="F574" s="1268">
        <v>0</v>
      </c>
      <c r="G574" s="1268">
        <v>0</v>
      </c>
      <c r="H574" s="1268">
        <v>0</v>
      </c>
      <c r="I574" s="1268">
        <v>0</v>
      </c>
      <c r="J574" s="1268">
        <v>0</v>
      </c>
      <c r="K574" s="1278">
        <v>0</v>
      </c>
      <c r="L574" s="1268">
        <v>0</v>
      </c>
      <c r="M574" s="1278">
        <v>0</v>
      </c>
      <c r="N574" s="1268">
        <v>0</v>
      </c>
      <c r="O574" s="1268">
        <v>377</v>
      </c>
      <c r="P574" s="1268">
        <v>1183313</v>
      </c>
      <c r="Q574" s="1268">
        <v>0</v>
      </c>
      <c r="R574" s="1268">
        <v>0</v>
      </c>
      <c r="S574" s="1268">
        <v>0</v>
      </c>
      <c r="T574" s="1268">
        <v>0</v>
      </c>
      <c r="U574" s="1268">
        <v>0</v>
      </c>
      <c r="V574" s="1268">
        <v>0</v>
      </c>
      <c r="W574" s="1328">
        <v>0</v>
      </c>
      <c r="X574" s="1268">
        <v>92682</v>
      </c>
      <c r="Y574" s="1268">
        <v>0</v>
      </c>
    </row>
    <row r="575" spans="1:25" s="1299" customFormat="1" ht="81.599999999999994" customHeight="1">
      <c r="A575" s="1281">
        <v>118</v>
      </c>
      <c r="B575" s="1297" t="s">
        <v>1293</v>
      </c>
      <c r="C575" s="1268">
        <f t="shared" si="247"/>
        <v>1155842</v>
      </c>
      <c r="D575" s="1268">
        <f t="shared" si="248"/>
        <v>0</v>
      </c>
      <c r="E575" s="1268">
        <v>0</v>
      </c>
      <c r="F575" s="1268">
        <v>0</v>
      </c>
      <c r="G575" s="1268">
        <v>0</v>
      </c>
      <c r="H575" s="1268">
        <v>0</v>
      </c>
      <c r="I575" s="1268">
        <v>0</v>
      </c>
      <c r="J575" s="1268">
        <v>0</v>
      </c>
      <c r="K575" s="1278">
        <v>0</v>
      </c>
      <c r="L575" s="1268">
        <v>0</v>
      </c>
      <c r="M575" s="1278">
        <v>0</v>
      </c>
      <c r="N575" s="1268">
        <v>0</v>
      </c>
      <c r="O575" s="1268">
        <v>341.5</v>
      </c>
      <c r="P575" s="1268">
        <v>1071888</v>
      </c>
      <c r="Q575" s="1268">
        <v>0</v>
      </c>
      <c r="R575" s="1268">
        <v>0</v>
      </c>
      <c r="S575" s="1268">
        <v>0</v>
      </c>
      <c r="T575" s="1268">
        <v>0</v>
      </c>
      <c r="U575" s="1268">
        <v>0</v>
      </c>
      <c r="V575" s="1268">
        <v>0</v>
      </c>
      <c r="W575" s="1328">
        <v>0</v>
      </c>
      <c r="X575" s="1268">
        <v>83954</v>
      </c>
      <c r="Y575" s="1268">
        <v>0</v>
      </c>
    </row>
    <row r="576" spans="1:25" s="1299" customFormat="1">
      <c r="A576" s="1281"/>
      <c r="B576" s="1277" t="s">
        <v>46</v>
      </c>
      <c r="C576" s="1268">
        <f>C577</f>
        <v>1603120</v>
      </c>
      <c r="D576" s="1268">
        <f t="shared" ref="D576:Y576" si="249">D577</f>
        <v>0</v>
      </c>
      <c r="E576" s="1268">
        <f t="shared" si="249"/>
        <v>0</v>
      </c>
      <c r="F576" s="1268">
        <f t="shared" si="249"/>
        <v>0</v>
      </c>
      <c r="G576" s="1268">
        <f t="shared" si="249"/>
        <v>0</v>
      </c>
      <c r="H576" s="1268">
        <f t="shared" si="249"/>
        <v>0</v>
      </c>
      <c r="I576" s="1268">
        <f t="shared" si="249"/>
        <v>0</v>
      </c>
      <c r="J576" s="1268">
        <f t="shared" si="249"/>
        <v>0</v>
      </c>
      <c r="K576" s="1278">
        <f t="shared" si="249"/>
        <v>0</v>
      </c>
      <c r="L576" s="1268">
        <f t="shared" si="249"/>
        <v>0</v>
      </c>
      <c r="M576" s="1278">
        <f t="shared" si="249"/>
        <v>0</v>
      </c>
      <c r="N576" s="1268">
        <f t="shared" si="249"/>
        <v>0</v>
      </c>
      <c r="O576" s="1268">
        <f t="shared" si="249"/>
        <v>590</v>
      </c>
      <c r="P576" s="1268">
        <f t="shared" si="249"/>
        <v>1486678</v>
      </c>
      <c r="Q576" s="1268">
        <f t="shared" si="249"/>
        <v>0</v>
      </c>
      <c r="R576" s="1268">
        <f t="shared" si="249"/>
        <v>0</v>
      </c>
      <c r="S576" s="1268">
        <f t="shared" si="249"/>
        <v>0</v>
      </c>
      <c r="T576" s="1268">
        <f t="shared" si="249"/>
        <v>0</v>
      </c>
      <c r="U576" s="1268">
        <f t="shared" si="249"/>
        <v>0</v>
      </c>
      <c r="V576" s="1268">
        <f t="shared" si="249"/>
        <v>0</v>
      </c>
      <c r="W576" s="1268">
        <v>0</v>
      </c>
      <c r="X576" s="1268">
        <f t="shared" si="249"/>
        <v>116442</v>
      </c>
      <c r="Y576" s="1268">
        <f t="shared" si="249"/>
        <v>0</v>
      </c>
    </row>
    <row r="577" spans="1:25" s="1299" customFormat="1" ht="113.4">
      <c r="A577" s="1281"/>
      <c r="B577" s="1277" t="s">
        <v>2460</v>
      </c>
      <c r="C577" s="1268">
        <f>C578</f>
        <v>1603120</v>
      </c>
      <c r="D577" s="1268">
        <f t="shared" ref="D577:Y577" si="250">D578</f>
        <v>0</v>
      </c>
      <c r="E577" s="1268">
        <f t="shared" si="250"/>
        <v>0</v>
      </c>
      <c r="F577" s="1268">
        <f t="shared" si="250"/>
        <v>0</v>
      </c>
      <c r="G577" s="1268">
        <f t="shared" si="250"/>
        <v>0</v>
      </c>
      <c r="H577" s="1268">
        <f t="shared" si="250"/>
        <v>0</v>
      </c>
      <c r="I577" s="1268">
        <f t="shared" si="250"/>
        <v>0</v>
      </c>
      <c r="J577" s="1268">
        <f t="shared" si="250"/>
        <v>0</v>
      </c>
      <c r="K577" s="1278">
        <f t="shared" si="250"/>
        <v>0</v>
      </c>
      <c r="L577" s="1268">
        <f t="shared" si="250"/>
        <v>0</v>
      </c>
      <c r="M577" s="1278">
        <f t="shared" si="250"/>
        <v>0</v>
      </c>
      <c r="N577" s="1268">
        <f t="shared" si="250"/>
        <v>0</v>
      </c>
      <c r="O577" s="1268">
        <f t="shared" si="250"/>
        <v>590</v>
      </c>
      <c r="P577" s="1268">
        <f t="shared" si="250"/>
        <v>1486678</v>
      </c>
      <c r="Q577" s="1268">
        <f t="shared" si="250"/>
        <v>0</v>
      </c>
      <c r="R577" s="1268">
        <f t="shared" si="250"/>
        <v>0</v>
      </c>
      <c r="S577" s="1268">
        <f t="shared" si="250"/>
        <v>0</v>
      </c>
      <c r="T577" s="1268">
        <f t="shared" si="250"/>
        <v>0</v>
      </c>
      <c r="U577" s="1268">
        <f t="shared" si="250"/>
        <v>0</v>
      </c>
      <c r="V577" s="1268">
        <f t="shared" si="250"/>
        <v>0</v>
      </c>
      <c r="W577" s="1328">
        <v>0</v>
      </c>
      <c r="X577" s="1268">
        <f t="shared" si="250"/>
        <v>116442</v>
      </c>
      <c r="Y577" s="1268">
        <f t="shared" si="250"/>
        <v>0</v>
      </c>
    </row>
    <row r="578" spans="1:25" s="1299" customFormat="1">
      <c r="A578" s="1281">
        <v>119</v>
      </c>
      <c r="B578" s="1267" t="s">
        <v>1279</v>
      </c>
      <c r="C578" s="1268">
        <f t="shared" ref="C578" si="251">D578+N578+P578+R578+T578+V578+X578</f>
        <v>1603120</v>
      </c>
      <c r="D578" s="1268">
        <f t="shared" ref="D578" si="252">SUM(E578:J578)</f>
        <v>0</v>
      </c>
      <c r="E578" s="1268">
        <v>0</v>
      </c>
      <c r="F578" s="1268">
        <v>0</v>
      </c>
      <c r="G578" s="1268">
        <v>0</v>
      </c>
      <c r="H578" s="1268">
        <v>0</v>
      </c>
      <c r="I578" s="1268">
        <v>0</v>
      </c>
      <c r="J578" s="1268">
        <v>0</v>
      </c>
      <c r="K578" s="1278">
        <v>0</v>
      </c>
      <c r="L578" s="1268">
        <v>0</v>
      </c>
      <c r="M578" s="1278">
        <v>0</v>
      </c>
      <c r="N578" s="1268">
        <v>0</v>
      </c>
      <c r="O578" s="1268">
        <v>590</v>
      </c>
      <c r="P578" s="1268">
        <v>1486678</v>
      </c>
      <c r="Q578" s="1268">
        <v>0</v>
      </c>
      <c r="R578" s="1268">
        <v>0</v>
      </c>
      <c r="S578" s="1268">
        <v>0</v>
      </c>
      <c r="T578" s="1268">
        <v>0</v>
      </c>
      <c r="U578" s="1268">
        <v>0</v>
      </c>
      <c r="V578" s="1268">
        <v>0</v>
      </c>
      <c r="W578" s="1328">
        <v>0</v>
      </c>
      <c r="X578" s="1268">
        <v>116442</v>
      </c>
      <c r="Y578" s="1268">
        <v>0</v>
      </c>
    </row>
    <row r="579" spans="1:25" s="1299" customFormat="1" ht="80.400000000000006" customHeight="1">
      <c r="A579" s="1281"/>
      <c r="B579" s="1277" t="s">
        <v>2012</v>
      </c>
      <c r="C579" s="1268">
        <f>C580+C581</f>
        <v>3824601</v>
      </c>
      <c r="D579" s="1268">
        <f t="shared" ref="D579:Y579" si="253">D580+D581</f>
        <v>0</v>
      </c>
      <c r="E579" s="1268">
        <f t="shared" si="253"/>
        <v>0</v>
      </c>
      <c r="F579" s="1268">
        <f t="shared" si="253"/>
        <v>0</v>
      </c>
      <c r="G579" s="1268">
        <f t="shared" si="253"/>
        <v>0</v>
      </c>
      <c r="H579" s="1268">
        <f t="shared" si="253"/>
        <v>0</v>
      </c>
      <c r="I579" s="1268">
        <f t="shared" si="253"/>
        <v>0</v>
      </c>
      <c r="J579" s="1268">
        <f t="shared" si="253"/>
        <v>0</v>
      </c>
      <c r="K579" s="1278">
        <f t="shared" si="253"/>
        <v>0</v>
      </c>
      <c r="L579" s="1268">
        <f t="shared" si="253"/>
        <v>0</v>
      </c>
      <c r="M579" s="1278">
        <f t="shared" si="253"/>
        <v>0</v>
      </c>
      <c r="N579" s="1268">
        <f t="shared" si="253"/>
        <v>0</v>
      </c>
      <c r="O579" s="1268">
        <f t="shared" si="253"/>
        <v>1130</v>
      </c>
      <c r="P579" s="1268">
        <f t="shared" si="253"/>
        <v>3546802</v>
      </c>
      <c r="Q579" s="1268">
        <f t="shared" si="253"/>
        <v>0</v>
      </c>
      <c r="R579" s="1268">
        <f t="shared" si="253"/>
        <v>0</v>
      </c>
      <c r="S579" s="1268">
        <f t="shared" si="253"/>
        <v>0</v>
      </c>
      <c r="T579" s="1268">
        <f t="shared" si="253"/>
        <v>0</v>
      </c>
      <c r="U579" s="1268">
        <f t="shared" si="253"/>
        <v>0</v>
      </c>
      <c r="V579" s="1268">
        <f t="shared" si="253"/>
        <v>0</v>
      </c>
      <c r="W579" s="1268">
        <v>0</v>
      </c>
      <c r="X579" s="1268">
        <f t="shared" si="253"/>
        <v>277799</v>
      </c>
      <c r="Y579" s="1268">
        <f t="shared" si="253"/>
        <v>0</v>
      </c>
    </row>
    <row r="580" spans="1:25" s="1299" customFormat="1">
      <c r="A580" s="1281">
        <v>120</v>
      </c>
      <c r="B580" s="1267" t="s">
        <v>1262</v>
      </c>
      <c r="C580" s="1268">
        <f t="shared" ref="C580:C581" si="254">D580+N580+P580+R580+T580+V580+X580</f>
        <v>1556917</v>
      </c>
      <c r="D580" s="1268">
        <f t="shared" ref="D580:D581" si="255">SUM(E580:J580)</f>
        <v>0</v>
      </c>
      <c r="E580" s="1268">
        <v>0</v>
      </c>
      <c r="F580" s="1268">
        <v>0</v>
      </c>
      <c r="G580" s="1268">
        <v>0</v>
      </c>
      <c r="H580" s="1268">
        <v>0</v>
      </c>
      <c r="I580" s="1268">
        <v>0</v>
      </c>
      <c r="J580" s="1268">
        <v>0</v>
      </c>
      <c r="K580" s="1278">
        <v>0</v>
      </c>
      <c r="L580" s="1268">
        <v>0</v>
      </c>
      <c r="M580" s="1278">
        <v>0</v>
      </c>
      <c r="N580" s="1268">
        <v>0</v>
      </c>
      <c r="O580" s="1310">
        <v>460</v>
      </c>
      <c r="P580" s="1310">
        <v>1443831</v>
      </c>
      <c r="Q580" s="1268">
        <v>0</v>
      </c>
      <c r="R580" s="1268">
        <v>0</v>
      </c>
      <c r="S580" s="1268">
        <v>0</v>
      </c>
      <c r="T580" s="1268">
        <v>0</v>
      </c>
      <c r="U580" s="1268">
        <v>0</v>
      </c>
      <c r="V580" s="1268">
        <v>0</v>
      </c>
      <c r="W580" s="1328">
        <v>0</v>
      </c>
      <c r="X580" s="1310">
        <v>113086</v>
      </c>
      <c r="Y580" s="1268">
        <v>0</v>
      </c>
    </row>
    <row r="581" spans="1:25" s="1299" customFormat="1">
      <c r="A581" s="1281">
        <v>121</v>
      </c>
      <c r="B581" s="1267" t="s">
        <v>1263</v>
      </c>
      <c r="C581" s="1268">
        <f t="shared" si="254"/>
        <v>2267684</v>
      </c>
      <c r="D581" s="1268">
        <f t="shared" si="255"/>
        <v>0</v>
      </c>
      <c r="E581" s="1268">
        <v>0</v>
      </c>
      <c r="F581" s="1268">
        <v>0</v>
      </c>
      <c r="G581" s="1268">
        <v>0</v>
      </c>
      <c r="H581" s="1268">
        <v>0</v>
      </c>
      <c r="I581" s="1268">
        <v>0</v>
      </c>
      <c r="J581" s="1268">
        <v>0</v>
      </c>
      <c r="K581" s="1278">
        <v>0</v>
      </c>
      <c r="L581" s="1268">
        <v>0</v>
      </c>
      <c r="M581" s="1278">
        <v>0</v>
      </c>
      <c r="N581" s="1268">
        <v>0</v>
      </c>
      <c r="O581" s="1268">
        <v>670</v>
      </c>
      <c r="P581" s="1268">
        <v>2102971</v>
      </c>
      <c r="Q581" s="1268">
        <v>0</v>
      </c>
      <c r="R581" s="1268">
        <v>0</v>
      </c>
      <c r="S581" s="1268">
        <v>0</v>
      </c>
      <c r="T581" s="1268">
        <v>0</v>
      </c>
      <c r="U581" s="1268">
        <v>0</v>
      </c>
      <c r="V581" s="1268">
        <v>0</v>
      </c>
      <c r="W581" s="1328">
        <v>0</v>
      </c>
      <c r="X581" s="1268">
        <v>164713</v>
      </c>
      <c r="Y581" s="1268">
        <v>0</v>
      </c>
    </row>
    <row r="582" spans="1:25" s="1299" customFormat="1">
      <c r="A582" s="1281"/>
      <c r="B582" s="1277" t="s">
        <v>49</v>
      </c>
      <c r="C582" s="1268">
        <f>C585+C587+C583+C589</f>
        <v>9398778</v>
      </c>
      <c r="D582" s="1268">
        <f t="shared" ref="D582:Y582" si="256">D585+D587+D583+D589</f>
        <v>0</v>
      </c>
      <c r="E582" s="1268">
        <f t="shared" si="256"/>
        <v>0</v>
      </c>
      <c r="F582" s="1268">
        <f t="shared" si="256"/>
        <v>0</v>
      </c>
      <c r="G582" s="1268">
        <f t="shared" si="256"/>
        <v>0</v>
      </c>
      <c r="H582" s="1268">
        <f t="shared" si="256"/>
        <v>0</v>
      </c>
      <c r="I582" s="1268">
        <f t="shared" si="256"/>
        <v>0</v>
      </c>
      <c r="J582" s="1268">
        <f t="shared" si="256"/>
        <v>0</v>
      </c>
      <c r="K582" s="1278">
        <f t="shared" si="256"/>
        <v>0</v>
      </c>
      <c r="L582" s="1268">
        <f t="shared" si="256"/>
        <v>0</v>
      </c>
      <c r="M582" s="1278">
        <f t="shared" si="256"/>
        <v>0</v>
      </c>
      <c r="N582" s="1268">
        <f t="shared" si="256"/>
        <v>0</v>
      </c>
      <c r="O582" s="1268">
        <f t="shared" si="256"/>
        <v>2591.5</v>
      </c>
      <c r="P582" s="1268">
        <f t="shared" si="256"/>
        <v>7457571</v>
      </c>
      <c r="Q582" s="1268">
        <f t="shared" si="256"/>
        <v>0</v>
      </c>
      <c r="R582" s="1268">
        <f t="shared" si="256"/>
        <v>0</v>
      </c>
      <c r="S582" s="1268">
        <f t="shared" si="256"/>
        <v>510</v>
      </c>
      <c r="T582" s="1268">
        <f t="shared" si="256"/>
        <v>1258528</v>
      </c>
      <c r="U582" s="1268">
        <f t="shared" si="256"/>
        <v>0</v>
      </c>
      <c r="V582" s="1268">
        <f t="shared" si="256"/>
        <v>0</v>
      </c>
      <c r="W582" s="1268">
        <v>0</v>
      </c>
      <c r="X582" s="1268">
        <f t="shared" si="256"/>
        <v>682679</v>
      </c>
      <c r="Y582" s="1268">
        <f t="shared" si="256"/>
        <v>0</v>
      </c>
    </row>
    <row r="583" spans="1:25" s="1299" customFormat="1" ht="113.4" customHeight="1">
      <c r="A583" s="1281"/>
      <c r="B583" s="1277" t="s">
        <v>2461</v>
      </c>
      <c r="C583" s="1268">
        <f>C584</f>
        <v>2953066</v>
      </c>
      <c r="D583" s="1268">
        <f t="shared" ref="D583:Y583" si="257">D584</f>
        <v>0</v>
      </c>
      <c r="E583" s="1268">
        <f t="shared" si="257"/>
        <v>0</v>
      </c>
      <c r="F583" s="1268">
        <f t="shared" si="257"/>
        <v>0</v>
      </c>
      <c r="G583" s="1268">
        <f t="shared" si="257"/>
        <v>0</v>
      </c>
      <c r="H583" s="1268">
        <f t="shared" si="257"/>
        <v>0</v>
      </c>
      <c r="I583" s="1268">
        <f t="shared" si="257"/>
        <v>0</v>
      </c>
      <c r="J583" s="1268">
        <f t="shared" si="257"/>
        <v>0</v>
      </c>
      <c r="K583" s="1278">
        <f t="shared" si="257"/>
        <v>0</v>
      </c>
      <c r="L583" s="1268">
        <f t="shared" si="257"/>
        <v>0</v>
      </c>
      <c r="M583" s="1278">
        <f t="shared" si="257"/>
        <v>0</v>
      </c>
      <c r="N583" s="1268">
        <f t="shared" si="257"/>
        <v>0</v>
      </c>
      <c r="O583" s="1268">
        <f t="shared" si="257"/>
        <v>872.5</v>
      </c>
      <c r="P583" s="1268">
        <f t="shared" si="257"/>
        <v>2738571</v>
      </c>
      <c r="Q583" s="1268">
        <f t="shared" si="257"/>
        <v>0</v>
      </c>
      <c r="R583" s="1268">
        <f t="shared" si="257"/>
        <v>0</v>
      </c>
      <c r="S583" s="1268">
        <f t="shared" si="257"/>
        <v>0</v>
      </c>
      <c r="T583" s="1268">
        <f t="shared" si="257"/>
        <v>0</v>
      </c>
      <c r="U583" s="1268">
        <f t="shared" si="257"/>
        <v>0</v>
      </c>
      <c r="V583" s="1268">
        <f t="shared" si="257"/>
        <v>0</v>
      </c>
      <c r="W583" s="1328">
        <v>0</v>
      </c>
      <c r="X583" s="1268">
        <f t="shared" si="257"/>
        <v>214495</v>
      </c>
      <c r="Y583" s="1268">
        <f t="shared" si="257"/>
        <v>0</v>
      </c>
    </row>
    <row r="584" spans="1:25" s="1299" customFormat="1">
      <c r="A584" s="1281">
        <v>122</v>
      </c>
      <c r="B584" s="1277" t="s">
        <v>1547</v>
      </c>
      <c r="C584" s="1268">
        <f>D584+N584+P584+R584+T584+V584+X584</f>
        <v>2953066</v>
      </c>
      <c r="D584" s="1268">
        <f>SUM(E584:J584)</f>
        <v>0</v>
      </c>
      <c r="E584" s="1268">
        <v>0</v>
      </c>
      <c r="F584" s="1268">
        <v>0</v>
      </c>
      <c r="G584" s="1268">
        <v>0</v>
      </c>
      <c r="H584" s="1268">
        <v>0</v>
      </c>
      <c r="I584" s="1268">
        <v>0</v>
      </c>
      <c r="J584" s="1268">
        <v>0</v>
      </c>
      <c r="K584" s="1278">
        <v>0</v>
      </c>
      <c r="L584" s="1268">
        <v>0</v>
      </c>
      <c r="M584" s="1278">
        <v>0</v>
      </c>
      <c r="N584" s="1268">
        <v>0</v>
      </c>
      <c r="O584" s="1268">
        <v>872.5</v>
      </c>
      <c r="P584" s="1268">
        <v>2738571</v>
      </c>
      <c r="Q584" s="1268">
        <v>0</v>
      </c>
      <c r="R584" s="1268">
        <v>0</v>
      </c>
      <c r="S584" s="1268">
        <v>0</v>
      </c>
      <c r="T584" s="1268">
        <v>0</v>
      </c>
      <c r="U584" s="1268">
        <v>0</v>
      </c>
      <c r="V584" s="1268">
        <v>0</v>
      </c>
      <c r="W584" s="1328">
        <v>0</v>
      </c>
      <c r="X584" s="1268">
        <v>214495</v>
      </c>
      <c r="Y584" s="1268">
        <v>0</v>
      </c>
    </row>
    <row r="585" spans="1:25" s="1299" customFormat="1" ht="113.4">
      <c r="A585" s="1281"/>
      <c r="B585" s="1277" t="s">
        <v>1165</v>
      </c>
      <c r="C585" s="1268">
        <f>C586</f>
        <v>2389620</v>
      </c>
      <c r="D585" s="1268">
        <f t="shared" ref="D585:Y585" si="258">D586</f>
        <v>0</v>
      </c>
      <c r="E585" s="1268">
        <f t="shared" si="258"/>
        <v>0</v>
      </c>
      <c r="F585" s="1268">
        <f t="shared" si="258"/>
        <v>0</v>
      </c>
      <c r="G585" s="1268">
        <f t="shared" si="258"/>
        <v>0</v>
      </c>
      <c r="H585" s="1268">
        <f t="shared" si="258"/>
        <v>0</v>
      </c>
      <c r="I585" s="1268">
        <f t="shared" si="258"/>
        <v>0</v>
      </c>
      <c r="J585" s="1268">
        <f t="shared" si="258"/>
        <v>0</v>
      </c>
      <c r="K585" s="1278">
        <v>0</v>
      </c>
      <c r="L585" s="1268">
        <v>0</v>
      </c>
      <c r="M585" s="1278">
        <f t="shared" si="258"/>
        <v>0</v>
      </c>
      <c r="N585" s="1268">
        <f t="shared" si="258"/>
        <v>0</v>
      </c>
      <c r="O585" s="1268">
        <f t="shared" si="258"/>
        <v>380</v>
      </c>
      <c r="P585" s="1268">
        <f t="shared" si="258"/>
        <v>957522</v>
      </c>
      <c r="Q585" s="1268">
        <f t="shared" si="258"/>
        <v>0</v>
      </c>
      <c r="R585" s="1268">
        <f t="shared" si="258"/>
        <v>0</v>
      </c>
      <c r="S585" s="1268">
        <f t="shared" si="258"/>
        <v>510</v>
      </c>
      <c r="T585" s="1268">
        <f t="shared" si="258"/>
        <v>1258528</v>
      </c>
      <c r="U585" s="1268">
        <f t="shared" si="258"/>
        <v>0</v>
      </c>
      <c r="V585" s="1268">
        <f t="shared" si="258"/>
        <v>0</v>
      </c>
      <c r="W585" s="1268">
        <v>0</v>
      </c>
      <c r="X585" s="1268">
        <f t="shared" si="258"/>
        <v>173570</v>
      </c>
      <c r="Y585" s="1268">
        <f t="shared" si="258"/>
        <v>0</v>
      </c>
    </row>
    <row r="586" spans="1:25" s="1299" customFormat="1" ht="75.599999999999994">
      <c r="A586" s="1281">
        <v>123</v>
      </c>
      <c r="B586" s="1267" t="s">
        <v>1321</v>
      </c>
      <c r="C586" s="1268">
        <f>D586+N586+P586+R586+T586+V586+X586</f>
        <v>2389620</v>
      </c>
      <c r="D586" s="1268">
        <f>SUM(E586:J586)</f>
        <v>0</v>
      </c>
      <c r="E586" s="1268">
        <v>0</v>
      </c>
      <c r="F586" s="1268">
        <v>0</v>
      </c>
      <c r="G586" s="1268">
        <v>0</v>
      </c>
      <c r="H586" s="1268">
        <v>0</v>
      </c>
      <c r="I586" s="1268">
        <v>0</v>
      </c>
      <c r="J586" s="1268">
        <v>0</v>
      </c>
      <c r="K586" s="1278">
        <v>0</v>
      </c>
      <c r="L586" s="1268">
        <v>0</v>
      </c>
      <c r="M586" s="1278">
        <v>0</v>
      </c>
      <c r="N586" s="1268">
        <v>0</v>
      </c>
      <c r="O586" s="1268">
        <v>380</v>
      </c>
      <c r="P586" s="1268">
        <v>957522</v>
      </c>
      <c r="Q586" s="1268">
        <v>0</v>
      </c>
      <c r="R586" s="1268">
        <v>0</v>
      </c>
      <c r="S586" s="1268">
        <v>510</v>
      </c>
      <c r="T586" s="1268">
        <v>1258528</v>
      </c>
      <c r="U586" s="1268">
        <v>0</v>
      </c>
      <c r="V586" s="1268">
        <v>0</v>
      </c>
      <c r="W586" s="1328">
        <v>0</v>
      </c>
      <c r="X586" s="1268">
        <v>173570</v>
      </c>
      <c r="Y586" s="1268">
        <v>0</v>
      </c>
    </row>
    <row r="587" spans="1:25" s="1299" customFormat="1" ht="75.599999999999994">
      <c r="A587" s="1281"/>
      <c r="B587" s="1277" t="s">
        <v>1079</v>
      </c>
      <c r="C587" s="1268">
        <f>C588</f>
        <v>2118761</v>
      </c>
      <c r="D587" s="1268">
        <f t="shared" ref="D587:Y587" si="259">D588</f>
        <v>0</v>
      </c>
      <c r="E587" s="1268">
        <f t="shared" si="259"/>
        <v>0</v>
      </c>
      <c r="F587" s="1268">
        <f t="shared" si="259"/>
        <v>0</v>
      </c>
      <c r="G587" s="1268">
        <f t="shared" si="259"/>
        <v>0</v>
      </c>
      <c r="H587" s="1268">
        <f t="shared" si="259"/>
        <v>0</v>
      </c>
      <c r="I587" s="1268">
        <f t="shared" si="259"/>
        <v>0</v>
      </c>
      <c r="J587" s="1268">
        <f t="shared" si="259"/>
        <v>0</v>
      </c>
      <c r="K587" s="1278">
        <f t="shared" si="259"/>
        <v>0</v>
      </c>
      <c r="L587" s="1268">
        <f t="shared" si="259"/>
        <v>0</v>
      </c>
      <c r="M587" s="1278">
        <f t="shared" si="259"/>
        <v>0</v>
      </c>
      <c r="N587" s="1268">
        <f t="shared" si="259"/>
        <v>0</v>
      </c>
      <c r="O587" s="1268">
        <f t="shared" si="259"/>
        <v>626</v>
      </c>
      <c r="P587" s="1268">
        <f t="shared" si="259"/>
        <v>1964865</v>
      </c>
      <c r="Q587" s="1268">
        <f t="shared" si="259"/>
        <v>0</v>
      </c>
      <c r="R587" s="1268">
        <f t="shared" si="259"/>
        <v>0</v>
      </c>
      <c r="S587" s="1268">
        <f t="shared" si="259"/>
        <v>0</v>
      </c>
      <c r="T587" s="1268">
        <f t="shared" si="259"/>
        <v>0</v>
      </c>
      <c r="U587" s="1268">
        <f t="shared" si="259"/>
        <v>0</v>
      </c>
      <c r="V587" s="1268">
        <f t="shared" si="259"/>
        <v>0</v>
      </c>
      <c r="W587" s="1328">
        <v>0</v>
      </c>
      <c r="X587" s="1268">
        <f t="shared" si="259"/>
        <v>153896</v>
      </c>
      <c r="Y587" s="1268">
        <f t="shared" si="259"/>
        <v>0</v>
      </c>
    </row>
    <row r="588" spans="1:25" s="1299" customFormat="1">
      <c r="A588" s="1281">
        <v>124</v>
      </c>
      <c r="B588" s="1267" t="s">
        <v>1254</v>
      </c>
      <c r="C588" s="1268">
        <f>D588+N588+P588+R588+T588+V588+X588</f>
        <v>2118761</v>
      </c>
      <c r="D588" s="1268">
        <f>SUM(E588:J588)</f>
        <v>0</v>
      </c>
      <c r="E588" s="1268">
        <v>0</v>
      </c>
      <c r="F588" s="1268">
        <v>0</v>
      </c>
      <c r="G588" s="1268">
        <v>0</v>
      </c>
      <c r="H588" s="1268">
        <v>0</v>
      </c>
      <c r="I588" s="1268">
        <v>0</v>
      </c>
      <c r="J588" s="1268">
        <v>0</v>
      </c>
      <c r="K588" s="1278">
        <v>0</v>
      </c>
      <c r="L588" s="1268">
        <v>0</v>
      </c>
      <c r="M588" s="1278">
        <v>0</v>
      </c>
      <c r="N588" s="1268">
        <v>0</v>
      </c>
      <c r="O588" s="1268">
        <v>626</v>
      </c>
      <c r="P588" s="1268">
        <v>1964865</v>
      </c>
      <c r="Q588" s="1268">
        <v>0</v>
      </c>
      <c r="R588" s="1268">
        <v>0</v>
      </c>
      <c r="S588" s="1268">
        <v>0</v>
      </c>
      <c r="T588" s="1268">
        <v>0</v>
      </c>
      <c r="U588" s="1268">
        <v>0</v>
      </c>
      <c r="V588" s="1268">
        <v>0</v>
      </c>
      <c r="W588" s="1268">
        <v>0</v>
      </c>
      <c r="X588" s="1268">
        <v>153896</v>
      </c>
      <c r="Y588" s="1268">
        <v>0</v>
      </c>
    </row>
    <row r="589" spans="1:25" s="1299" customFormat="1" ht="113.4">
      <c r="A589" s="1281"/>
      <c r="B589" s="1277" t="s">
        <v>1168</v>
      </c>
      <c r="C589" s="1268">
        <f>C590</f>
        <v>1937331</v>
      </c>
      <c r="D589" s="1268">
        <f t="shared" ref="D589:Y589" si="260">D590</f>
        <v>0</v>
      </c>
      <c r="E589" s="1268">
        <f t="shared" si="260"/>
        <v>0</v>
      </c>
      <c r="F589" s="1268">
        <f t="shared" si="260"/>
        <v>0</v>
      </c>
      <c r="G589" s="1268">
        <f t="shared" si="260"/>
        <v>0</v>
      </c>
      <c r="H589" s="1268">
        <f t="shared" si="260"/>
        <v>0</v>
      </c>
      <c r="I589" s="1268">
        <f t="shared" si="260"/>
        <v>0</v>
      </c>
      <c r="J589" s="1268">
        <f t="shared" si="260"/>
        <v>0</v>
      </c>
      <c r="K589" s="1278">
        <f t="shared" si="260"/>
        <v>0</v>
      </c>
      <c r="L589" s="1268">
        <f t="shared" si="260"/>
        <v>0</v>
      </c>
      <c r="M589" s="1278">
        <f t="shared" si="260"/>
        <v>0</v>
      </c>
      <c r="N589" s="1268">
        <f t="shared" si="260"/>
        <v>0</v>
      </c>
      <c r="O589" s="1268">
        <f t="shared" si="260"/>
        <v>713</v>
      </c>
      <c r="P589" s="1268">
        <f t="shared" si="260"/>
        <v>1796613</v>
      </c>
      <c r="Q589" s="1268">
        <f t="shared" si="260"/>
        <v>0</v>
      </c>
      <c r="R589" s="1268">
        <f t="shared" si="260"/>
        <v>0</v>
      </c>
      <c r="S589" s="1268">
        <f t="shared" si="260"/>
        <v>0</v>
      </c>
      <c r="T589" s="1268">
        <f t="shared" si="260"/>
        <v>0</v>
      </c>
      <c r="U589" s="1268">
        <f t="shared" si="260"/>
        <v>0</v>
      </c>
      <c r="V589" s="1268">
        <f t="shared" si="260"/>
        <v>0</v>
      </c>
      <c r="W589" s="1328">
        <v>0</v>
      </c>
      <c r="X589" s="1268">
        <f t="shared" si="260"/>
        <v>140718</v>
      </c>
      <c r="Y589" s="1268">
        <f t="shared" si="260"/>
        <v>0</v>
      </c>
    </row>
    <row r="590" spans="1:25" s="1301" customFormat="1" ht="75.599999999999994">
      <c r="A590" s="1281">
        <v>125</v>
      </c>
      <c r="B590" s="1277" t="s">
        <v>2462</v>
      </c>
      <c r="C590" s="1268">
        <f>D590+N590+P590+R590+T590+V590+X590</f>
        <v>1937331</v>
      </c>
      <c r="D590" s="1268">
        <f>SUM(E590:J590)</f>
        <v>0</v>
      </c>
      <c r="E590" s="1268">
        <v>0</v>
      </c>
      <c r="F590" s="1268">
        <v>0</v>
      </c>
      <c r="G590" s="1268">
        <v>0</v>
      </c>
      <c r="H590" s="1268">
        <v>0</v>
      </c>
      <c r="I590" s="1268">
        <v>0</v>
      </c>
      <c r="J590" s="1268">
        <v>0</v>
      </c>
      <c r="K590" s="1278">
        <v>0</v>
      </c>
      <c r="L590" s="1268">
        <v>0</v>
      </c>
      <c r="M590" s="1278">
        <v>0</v>
      </c>
      <c r="N590" s="1268">
        <v>0</v>
      </c>
      <c r="O590" s="1268">
        <v>713</v>
      </c>
      <c r="P590" s="1268">
        <v>1796613</v>
      </c>
      <c r="Q590" s="1268">
        <v>0</v>
      </c>
      <c r="R590" s="1268">
        <v>0</v>
      </c>
      <c r="S590" s="1268">
        <v>0</v>
      </c>
      <c r="T590" s="1268">
        <v>0</v>
      </c>
      <c r="U590" s="1268">
        <v>0</v>
      </c>
      <c r="V590" s="1268">
        <v>0</v>
      </c>
      <c r="W590" s="1268">
        <v>0</v>
      </c>
      <c r="X590" s="1268">
        <v>140718</v>
      </c>
      <c r="Y590" s="1268">
        <v>0</v>
      </c>
    </row>
    <row r="591" spans="1:25" s="1280" customFormat="1">
      <c r="A591" s="1281"/>
      <c r="B591" s="1277" t="s">
        <v>50</v>
      </c>
      <c r="C591" s="1268">
        <f>C592</f>
        <v>12056009</v>
      </c>
      <c r="D591" s="1268">
        <f t="shared" ref="D591:Y591" si="261">D592</f>
        <v>0</v>
      </c>
      <c r="E591" s="1268">
        <f t="shared" si="261"/>
        <v>0</v>
      </c>
      <c r="F591" s="1268">
        <f t="shared" si="261"/>
        <v>0</v>
      </c>
      <c r="G591" s="1268">
        <f t="shared" si="261"/>
        <v>0</v>
      </c>
      <c r="H591" s="1268">
        <f t="shared" si="261"/>
        <v>0</v>
      </c>
      <c r="I591" s="1268">
        <f t="shared" si="261"/>
        <v>0</v>
      </c>
      <c r="J591" s="1268">
        <f t="shared" si="261"/>
        <v>0</v>
      </c>
      <c r="K591" s="1278">
        <v>0</v>
      </c>
      <c r="L591" s="1268">
        <v>0</v>
      </c>
      <c r="M591" s="1278">
        <f t="shared" si="261"/>
        <v>0</v>
      </c>
      <c r="N591" s="1268">
        <f t="shared" si="261"/>
        <v>0</v>
      </c>
      <c r="O591" s="1268">
        <f t="shared" si="261"/>
        <v>4437</v>
      </c>
      <c r="P591" s="1268">
        <f t="shared" si="261"/>
        <v>11180324</v>
      </c>
      <c r="Q591" s="1268">
        <f t="shared" si="261"/>
        <v>0</v>
      </c>
      <c r="R591" s="1268">
        <f t="shared" si="261"/>
        <v>0</v>
      </c>
      <c r="S591" s="1268">
        <f t="shared" si="261"/>
        <v>0</v>
      </c>
      <c r="T591" s="1268">
        <f t="shared" si="261"/>
        <v>0</v>
      </c>
      <c r="U591" s="1268">
        <f t="shared" si="261"/>
        <v>0</v>
      </c>
      <c r="V591" s="1268">
        <f t="shared" si="261"/>
        <v>0</v>
      </c>
      <c r="W591" s="1328">
        <v>0</v>
      </c>
      <c r="X591" s="1268">
        <f t="shared" si="261"/>
        <v>875685</v>
      </c>
      <c r="Y591" s="1268">
        <f t="shared" si="261"/>
        <v>0</v>
      </c>
    </row>
    <row r="592" spans="1:25" s="1299" customFormat="1" ht="113.4">
      <c r="A592" s="1281"/>
      <c r="B592" s="1277" t="s">
        <v>2619</v>
      </c>
      <c r="C592" s="1289">
        <f>SUM(C593:C596)</f>
        <v>12056009</v>
      </c>
      <c r="D592" s="1289">
        <f t="shared" ref="D592:Y592" si="262">SUM(D593:D596)</f>
        <v>0</v>
      </c>
      <c r="E592" s="1289">
        <f t="shared" si="262"/>
        <v>0</v>
      </c>
      <c r="F592" s="1289">
        <f t="shared" si="262"/>
        <v>0</v>
      </c>
      <c r="G592" s="1289">
        <f t="shared" si="262"/>
        <v>0</v>
      </c>
      <c r="H592" s="1289">
        <f t="shared" si="262"/>
        <v>0</v>
      </c>
      <c r="I592" s="1289">
        <f t="shared" si="262"/>
        <v>0</v>
      </c>
      <c r="J592" s="1289">
        <f t="shared" si="262"/>
        <v>0</v>
      </c>
      <c r="K592" s="1278">
        <f t="shared" si="262"/>
        <v>0</v>
      </c>
      <c r="L592" s="1289">
        <f t="shared" si="262"/>
        <v>0</v>
      </c>
      <c r="M592" s="1278">
        <f t="shared" si="262"/>
        <v>0</v>
      </c>
      <c r="N592" s="1289">
        <f t="shared" si="262"/>
        <v>0</v>
      </c>
      <c r="O592" s="1289">
        <f t="shared" si="262"/>
        <v>4437</v>
      </c>
      <c r="P592" s="1289">
        <f t="shared" si="262"/>
        <v>11180324</v>
      </c>
      <c r="Q592" s="1289">
        <f t="shared" si="262"/>
        <v>0</v>
      </c>
      <c r="R592" s="1289">
        <f t="shared" si="262"/>
        <v>0</v>
      </c>
      <c r="S592" s="1289">
        <f t="shared" si="262"/>
        <v>0</v>
      </c>
      <c r="T592" s="1289">
        <f t="shared" si="262"/>
        <v>0</v>
      </c>
      <c r="U592" s="1289">
        <f t="shared" si="262"/>
        <v>0</v>
      </c>
      <c r="V592" s="1289">
        <f t="shared" si="262"/>
        <v>0</v>
      </c>
      <c r="W592" s="1328">
        <v>0</v>
      </c>
      <c r="X592" s="1289">
        <f t="shared" si="262"/>
        <v>875685</v>
      </c>
      <c r="Y592" s="1289">
        <f t="shared" si="262"/>
        <v>0</v>
      </c>
    </row>
    <row r="593" spans="1:25" s="1299" customFormat="1">
      <c r="A593" s="1281">
        <v>126</v>
      </c>
      <c r="B593" s="1280" t="s">
        <v>1374</v>
      </c>
      <c r="C593" s="1268">
        <f>D593+N593+P593+R593+T593+V593+X593</f>
        <v>3768692</v>
      </c>
      <c r="D593" s="1268">
        <f t="shared" ref="D593" si="263">SUM(E593:J593)</f>
        <v>0</v>
      </c>
      <c r="E593" s="1268">
        <v>0</v>
      </c>
      <c r="F593" s="1268">
        <v>0</v>
      </c>
      <c r="G593" s="1268">
        <v>0</v>
      </c>
      <c r="H593" s="1268">
        <v>0</v>
      </c>
      <c r="I593" s="1268">
        <v>0</v>
      </c>
      <c r="J593" s="1268">
        <v>0</v>
      </c>
      <c r="K593" s="1278">
        <v>0</v>
      </c>
      <c r="L593" s="1268">
        <v>0</v>
      </c>
      <c r="M593" s="1278">
        <v>0</v>
      </c>
      <c r="N593" s="1268">
        <v>0</v>
      </c>
      <c r="O593" s="1268">
        <v>1387</v>
      </c>
      <c r="P593" s="1289">
        <v>3494954</v>
      </c>
      <c r="Q593" s="1268">
        <v>0</v>
      </c>
      <c r="R593" s="1268">
        <v>0</v>
      </c>
      <c r="S593" s="1268">
        <v>0</v>
      </c>
      <c r="T593" s="1268">
        <v>0</v>
      </c>
      <c r="U593" s="1268">
        <v>0</v>
      </c>
      <c r="V593" s="1268">
        <v>0</v>
      </c>
      <c r="W593" s="1268">
        <v>0</v>
      </c>
      <c r="X593" s="1268">
        <v>273738</v>
      </c>
      <c r="Y593" s="1268">
        <v>0</v>
      </c>
    </row>
    <row r="594" spans="1:25" s="1299" customFormat="1">
      <c r="A594" s="1281">
        <v>127</v>
      </c>
      <c r="B594" s="1267" t="s">
        <v>1375</v>
      </c>
      <c r="C594" s="1268">
        <f>D594+N594+P594+R594+T594+V594+X594</f>
        <v>2418266</v>
      </c>
      <c r="D594" s="1268">
        <f t="shared" ref="D594:D595" si="264">SUM(E594:J594)</f>
        <v>0</v>
      </c>
      <c r="E594" s="1268">
        <v>0</v>
      </c>
      <c r="F594" s="1268">
        <v>0</v>
      </c>
      <c r="G594" s="1268">
        <v>0</v>
      </c>
      <c r="H594" s="1268">
        <v>0</v>
      </c>
      <c r="I594" s="1268">
        <v>0</v>
      </c>
      <c r="J594" s="1268">
        <v>0</v>
      </c>
      <c r="K594" s="1278">
        <v>0</v>
      </c>
      <c r="L594" s="1268">
        <v>0</v>
      </c>
      <c r="M594" s="1278">
        <v>0</v>
      </c>
      <c r="N594" s="1268">
        <v>0</v>
      </c>
      <c r="O594" s="1268">
        <v>890</v>
      </c>
      <c r="P594" s="1302">
        <v>2242616</v>
      </c>
      <c r="Q594" s="1268">
        <v>0</v>
      </c>
      <c r="R594" s="1268">
        <v>0</v>
      </c>
      <c r="S594" s="1268">
        <v>0</v>
      </c>
      <c r="T594" s="1268">
        <v>0</v>
      </c>
      <c r="U594" s="1268">
        <v>0</v>
      </c>
      <c r="V594" s="1268">
        <v>0</v>
      </c>
      <c r="W594" s="1328">
        <v>0</v>
      </c>
      <c r="X594" s="1268">
        <v>175650</v>
      </c>
      <c r="Y594" s="1268">
        <v>0</v>
      </c>
    </row>
    <row r="595" spans="1:25" s="1299" customFormat="1">
      <c r="A595" s="1281">
        <v>128</v>
      </c>
      <c r="B595" s="1267" t="s">
        <v>1376</v>
      </c>
      <c r="C595" s="1268">
        <f>D595+N595+P595+R595+T595+V595+X595</f>
        <v>2907354</v>
      </c>
      <c r="D595" s="1268">
        <f t="shared" si="264"/>
        <v>0</v>
      </c>
      <c r="E595" s="1268">
        <v>0</v>
      </c>
      <c r="F595" s="1268">
        <v>0</v>
      </c>
      <c r="G595" s="1268">
        <v>0</v>
      </c>
      <c r="H595" s="1268">
        <v>0</v>
      </c>
      <c r="I595" s="1268">
        <v>0</v>
      </c>
      <c r="J595" s="1268">
        <v>0</v>
      </c>
      <c r="K595" s="1278">
        <v>0</v>
      </c>
      <c r="L595" s="1268">
        <v>0</v>
      </c>
      <c r="M595" s="1278">
        <v>0</v>
      </c>
      <c r="N595" s="1268">
        <v>0</v>
      </c>
      <c r="O595" s="1268">
        <v>1070</v>
      </c>
      <c r="P595" s="1302">
        <v>2696179</v>
      </c>
      <c r="Q595" s="1268">
        <v>0</v>
      </c>
      <c r="R595" s="1268">
        <v>0</v>
      </c>
      <c r="S595" s="1268">
        <v>0</v>
      </c>
      <c r="T595" s="1268">
        <v>0</v>
      </c>
      <c r="U595" s="1268">
        <v>0</v>
      </c>
      <c r="V595" s="1268">
        <v>0</v>
      </c>
      <c r="W595" s="1328">
        <v>0</v>
      </c>
      <c r="X595" s="1268">
        <v>211175</v>
      </c>
      <c r="Y595" s="1268">
        <v>0</v>
      </c>
    </row>
    <row r="596" spans="1:25" s="1299" customFormat="1">
      <c r="A596" s="1281">
        <v>129</v>
      </c>
      <c r="B596" s="1341" t="s">
        <v>1377</v>
      </c>
      <c r="C596" s="1268">
        <f>D596+N596+P596+R596+T596+V596+X596</f>
        <v>2961697</v>
      </c>
      <c r="D596" s="1268">
        <f t="shared" ref="D596" si="265">SUM(E596:J596)</f>
        <v>0</v>
      </c>
      <c r="E596" s="1268">
        <v>0</v>
      </c>
      <c r="F596" s="1268">
        <v>0</v>
      </c>
      <c r="G596" s="1268">
        <v>0</v>
      </c>
      <c r="H596" s="1268">
        <v>0</v>
      </c>
      <c r="I596" s="1268">
        <v>0</v>
      </c>
      <c r="J596" s="1268">
        <v>0</v>
      </c>
      <c r="K596" s="1278">
        <v>0</v>
      </c>
      <c r="L596" s="1268">
        <v>0</v>
      </c>
      <c r="M596" s="1278">
        <v>0</v>
      </c>
      <c r="N596" s="1268">
        <v>0</v>
      </c>
      <c r="O596" s="1268">
        <v>1090</v>
      </c>
      <c r="P596" s="1342">
        <v>2746575</v>
      </c>
      <c r="Q596" s="1268">
        <v>0</v>
      </c>
      <c r="R596" s="1268">
        <v>0</v>
      </c>
      <c r="S596" s="1268">
        <v>0</v>
      </c>
      <c r="T596" s="1268">
        <v>0</v>
      </c>
      <c r="U596" s="1268">
        <v>0</v>
      </c>
      <c r="V596" s="1268">
        <v>0</v>
      </c>
      <c r="W596" s="1268">
        <v>0</v>
      </c>
      <c r="X596" s="1268">
        <v>215122</v>
      </c>
      <c r="Y596" s="1268">
        <v>0</v>
      </c>
    </row>
    <row r="597" spans="1:25" s="1299" customFormat="1" ht="125.4" customHeight="1">
      <c r="A597" s="1281"/>
      <c r="B597" s="1277" t="s">
        <v>1221</v>
      </c>
      <c r="C597" s="1289">
        <f>SUM(C598:C604)</f>
        <v>18108697</v>
      </c>
      <c r="D597" s="1289">
        <f t="shared" ref="D597:Y597" si="266">SUM(D598:D604)</f>
        <v>0</v>
      </c>
      <c r="E597" s="1289">
        <f t="shared" si="266"/>
        <v>0</v>
      </c>
      <c r="F597" s="1289">
        <f t="shared" si="266"/>
        <v>0</v>
      </c>
      <c r="G597" s="1289">
        <f t="shared" si="266"/>
        <v>0</v>
      </c>
      <c r="H597" s="1289">
        <f t="shared" si="266"/>
        <v>0</v>
      </c>
      <c r="I597" s="1289">
        <f t="shared" si="266"/>
        <v>0</v>
      </c>
      <c r="J597" s="1289">
        <f t="shared" si="266"/>
        <v>0</v>
      </c>
      <c r="K597" s="1278">
        <f t="shared" si="266"/>
        <v>0</v>
      </c>
      <c r="L597" s="1289">
        <f t="shared" si="266"/>
        <v>0</v>
      </c>
      <c r="M597" s="1278">
        <f t="shared" si="266"/>
        <v>0</v>
      </c>
      <c r="N597" s="1289">
        <f t="shared" si="266"/>
        <v>0</v>
      </c>
      <c r="O597" s="1289">
        <f t="shared" si="266"/>
        <v>12698.699999999999</v>
      </c>
      <c r="P597" s="1289">
        <f t="shared" si="266"/>
        <v>16793374</v>
      </c>
      <c r="Q597" s="1289">
        <f t="shared" si="266"/>
        <v>0</v>
      </c>
      <c r="R597" s="1289">
        <f t="shared" si="266"/>
        <v>0</v>
      </c>
      <c r="S597" s="1289">
        <f t="shared" si="266"/>
        <v>0</v>
      </c>
      <c r="T597" s="1289">
        <f t="shared" si="266"/>
        <v>0</v>
      </c>
      <c r="U597" s="1289">
        <f t="shared" si="266"/>
        <v>0</v>
      </c>
      <c r="V597" s="1289">
        <f t="shared" si="266"/>
        <v>0</v>
      </c>
      <c r="W597" s="1328">
        <v>0</v>
      </c>
      <c r="X597" s="1289">
        <f t="shared" si="266"/>
        <v>1315323</v>
      </c>
      <c r="Y597" s="1289">
        <f t="shared" si="266"/>
        <v>0</v>
      </c>
    </row>
    <row r="598" spans="1:25" s="1299" customFormat="1" ht="75.599999999999994">
      <c r="A598" s="1281">
        <v>130</v>
      </c>
      <c r="B598" s="1277" t="s">
        <v>2463</v>
      </c>
      <c r="C598" s="1268">
        <f>D598+N598+P598+R598+T598+V598+X598</f>
        <v>1722085</v>
      </c>
      <c r="D598" s="1268">
        <f>SUM(E598:J598)</f>
        <v>0</v>
      </c>
      <c r="E598" s="1268">
        <v>0</v>
      </c>
      <c r="F598" s="1268">
        <v>0</v>
      </c>
      <c r="G598" s="1268">
        <v>0</v>
      </c>
      <c r="H598" s="1268">
        <v>0</v>
      </c>
      <c r="I598" s="1268">
        <v>0</v>
      </c>
      <c r="J598" s="1268">
        <v>0</v>
      </c>
      <c r="K598" s="1278">
        <v>0</v>
      </c>
      <c r="L598" s="1268">
        <v>0</v>
      </c>
      <c r="M598" s="1278">
        <v>0</v>
      </c>
      <c r="N598" s="1268">
        <v>0</v>
      </c>
      <c r="O598" s="1268">
        <v>508.8</v>
      </c>
      <c r="P598" s="1268">
        <v>1597002</v>
      </c>
      <c r="Q598" s="1268">
        <v>0</v>
      </c>
      <c r="R598" s="1268">
        <v>0</v>
      </c>
      <c r="S598" s="1268">
        <v>0</v>
      </c>
      <c r="T598" s="1268">
        <v>0</v>
      </c>
      <c r="U598" s="1268">
        <v>0</v>
      </c>
      <c r="V598" s="1268">
        <v>0</v>
      </c>
      <c r="W598" s="1328">
        <v>0</v>
      </c>
      <c r="X598" s="1312">
        <v>125083</v>
      </c>
      <c r="Y598" s="1312">
        <v>0</v>
      </c>
    </row>
    <row r="599" spans="1:25" s="1299" customFormat="1">
      <c r="A599" s="1281">
        <v>131</v>
      </c>
      <c r="B599" s="1277" t="s">
        <v>1883</v>
      </c>
      <c r="C599" s="1268">
        <f t="shared" ref="C599:C604" si="267">D599+N599+P599+R599+T599+V599+X599</f>
        <v>1861251</v>
      </c>
      <c r="D599" s="1268">
        <f t="shared" ref="D599:D604" si="268">SUM(E599:J599)</f>
        <v>0</v>
      </c>
      <c r="E599" s="1268">
        <v>0</v>
      </c>
      <c r="F599" s="1268">
        <v>0</v>
      </c>
      <c r="G599" s="1268">
        <v>0</v>
      </c>
      <c r="H599" s="1268">
        <v>0</v>
      </c>
      <c r="I599" s="1268">
        <v>0</v>
      </c>
      <c r="J599" s="1268">
        <v>0</v>
      </c>
      <c r="K599" s="1278">
        <v>0</v>
      </c>
      <c r="L599" s="1268">
        <v>0</v>
      </c>
      <c r="M599" s="1278">
        <v>0</v>
      </c>
      <c r="N599" s="1268">
        <v>0</v>
      </c>
      <c r="O599" s="1268">
        <v>685</v>
      </c>
      <c r="P599" s="1268">
        <v>1726059</v>
      </c>
      <c r="Q599" s="1268">
        <v>0</v>
      </c>
      <c r="R599" s="1268">
        <v>0</v>
      </c>
      <c r="S599" s="1268">
        <v>0</v>
      </c>
      <c r="T599" s="1268">
        <v>0</v>
      </c>
      <c r="U599" s="1268">
        <v>0</v>
      </c>
      <c r="V599" s="1268">
        <v>0</v>
      </c>
      <c r="W599" s="1268">
        <v>0</v>
      </c>
      <c r="X599" s="1312">
        <v>135192</v>
      </c>
      <c r="Y599" s="1312">
        <v>0</v>
      </c>
    </row>
    <row r="600" spans="1:25" s="1280" customFormat="1" ht="75.599999999999994">
      <c r="A600" s="1281">
        <v>132</v>
      </c>
      <c r="B600" s="1277" t="s">
        <v>2464</v>
      </c>
      <c r="C600" s="1268">
        <f t="shared" si="267"/>
        <v>3085872</v>
      </c>
      <c r="D600" s="1268">
        <f t="shared" si="268"/>
        <v>0</v>
      </c>
      <c r="E600" s="1268">
        <v>0</v>
      </c>
      <c r="F600" s="1268">
        <v>0</v>
      </c>
      <c r="G600" s="1268">
        <v>0</v>
      </c>
      <c r="H600" s="1268">
        <v>0</v>
      </c>
      <c r="I600" s="1268">
        <v>0</v>
      </c>
      <c r="J600" s="1268">
        <v>0</v>
      </c>
      <c r="K600" s="1278">
        <v>0</v>
      </c>
      <c r="L600" s="1268">
        <v>0</v>
      </c>
      <c r="M600" s="1278">
        <v>0</v>
      </c>
      <c r="N600" s="1268">
        <v>0</v>
      </c>
      <c r="O600" s="1268">
        <v>1135.7</v>
      </c>
      <c r="P600" s="1268">
        <v>2861730</v>
      </c>
      <c r="Q600" s="1268">
        <v>0</v>
      </c>
      <c r="R600" s="1268">
        <v>0</v>
      </c>
      <c r="S600" s="1268">
        <v>0</v>
      </c>
      <c r="T600" s="1268">
        <v>0</v>
      </c>
      <c r="U600" s="1268">
        <v>0</v>
      </c>
      <c r="V600" s="1268">
        <v>0</v>
      </c>
      <c r="W600" s="1328">
        <v>0</v>
      </c>
      <c r="X600" s="1312">
        <v>224142</v>
      </c>
      <c r="Y600" s="1312">
        <v>0</v>
      </c>
    </row>
    <row r="601" spans="1:25" s="1280" customFormat="1">
      <c r="A601" s="1281">
        <v>133</v>
      </c>
      <c r="B601" s="1277" t="s">
        <v>1987</v>
      </c>
      <c r="C601" s="1268">
        <f t="shared" si="267"/>
        <v>3497520</v>
      </c>
      <c r="D601" s="1268">
        <f t="shared" si="268"/>
        <v>0</v>
      </c>
      <c r="E601" s="1268">
        <v>0</v>
      </c>
      <c r="F601" s="1268">
        <v>0</v>
      </c>
      <c r="G601" s="1268">
        <v>0</v>
      </c>
      <c r="H601" s="1268">
        <v>0</v>
      </c>
      <c r="I601" s="1268">
        <v>0</v>
      </c>
      <c r="J601" s="1268">
        <v>0</v>
      </c>
      <c r="K601" s="1278">
        <v>0</v>
      </c>
      <c r="L601" s="1268">
        <v>0</v>
      </c>
      <c r="M601" s="1278">
        <v>0</v>
      </c>
      <c r="N601" s="1268">
        <v>0</v>
      </c>
      <c r="O601" s="1268">
        <v>1287.2</v>
      </c>
      <c r="P601" s="1268">
        <v>3243478</v>
      </c>
      <c r="Q601" s="1268">
        <v>0</v>
      </c>
      <c r="R601" s="1268">
        <v>0</v>
      </c>
      <c r="S601" s="1268">
        <v>0</v>
      </c>
      <c r="T601" s="1268">
        <v>0</v>
      </c>
      <c r="U601" s="1268">
        <v>0</v>
      </c>
      <c r="V601" s="1268">
        <v>0</v>
      </c>
      <c r="W601" s="1268">
        <v>0</v>
      </c>
      <c r="X601" s="1312">
        <v>254042</v>
      </c>
      <c r="Y601" s="1312">
        <v>0</v>
      </c>
    </row>
    <row r="602" spans="1:25" s="1280" customFormat="1" ht="75.599999999999994">
      <c r="A602" s="1281">
        <v>134</v>
      </c>
      <c r="B602" s="1277" t="s">
        <v>2465</v>
      </c>
      <c r="C602" s="1268">
        <f t="shared" si="267"/>
        <v>3398072</v>
      </c>
      <c r="D602" s="1268">
        <f t="shared" si="268"/>
        <v>0</v>
      </c>
      <c r="E602" s="1268">
        <v>0</v>
      </c>
      <c r="F602" s="1268">
        <v>0</v>
      </c>
      <c r="G602" s="1268">
        <v>0</v>
      </c>
      <c r="H602" s="1268">
        <v>0</v>
      </c>
      <c r="I602" s="1268">
        <v>0</v>
      </c>
      <c r="J602" s="1268">
        <v>0</v>
      </c>
      <c r="K602" s="1278">
        <v>0</v>
      </c>
      <c r="L602" s="1268">
        <v>0</v>
      </c>
      <c r="M602" s="1278">
        <v>0</v>
      </c>
      <c r="N602" s="1268">
        <v>0</v>
      </c>
      <c r="O602" s="1268">
        <v>1250.5999999999999</v>
      </c>
      <c r="P602" s="1268">
        <v>3151254</v>
      </c>
      <c r="Q602" s="1268">
        <v>0</v>
      </c>
      <c r="R602" s="1268">
        <v>0</v>
      </c>
      <c r="S602" s="1268">
        <v>0</v>
      </c>
      <c r="T602" s="1268">
        <v>0</v>
      </c>
      <c r="U602" s="1268">
        <v>0</v>
      </c>
      <c r="V602" s="1268">
        <v>0</v>
      </c>
      <c r="W602" s="1328">
        <v>0</v>
      </c>
      <c r="X602" s="1312">
        <v>246818</v>
      </c>
      <c r="Y602" s="1312">
        <v>0</v>
      </c>
    </row>
    <row r="603" spans="1:25" s="1280" customFormat="1" ht="75.599999999999994">
      <c r="A603" s="1281">
        <v>135</v>
      </c>
      <c r="B603" s="1277" t="s">
        <v>2467</v>
      </c>
      <c r="C603" s="1268">
        <f t="shared" si="267"/>
        <v>2190569</v>
      </c>
      <c r="D603" s="1268">
        <f t="shared" si="268"/>
        <v>0</v>
      </c>
      <c r="E603" s="1268">
        <v>0</v>
      </c>
      <c r="F603" s="1268">
        <v>0</v>
      </c>
      <c r="G603" s="1268">
        <v>0</v>
      </c>
      <c r="H603" s="1268">
        <v>0</v>
      </c>
      <c r="I603" s="1268">
        <v>0</v>
      </c>
      <c r="J603" s="1268">
        <v>0</v>
      </c>
      <c r="K603" s="1278">
        <v>0</v>
      </c>
      <c r="L603" s="1268">
        <v>0</v>
      </c>
      <c r="M603" s="1278">
        <v>0</v>
      </c>
      <c r="N603" s="1268">
        <v>0</v>
      </c>
      <c r="O603" s="1268">
        <v>3730.5</v>
      </c>
      <c r="P603" s="1268">
        <v>2031457</v>
      </c>
      <c r="Q603" s="1268">
        <v>0</v>
      </c>
      <c r="R603" s="1268">
        <v>0</v>
      </c>
      <c r="S603" s="1268">
        <v>0</v>
      </c>
      <c r="T603" s="1268">
        <v>0</v>
      </c>
      <c r="U603" s="1268">
        <v>0</v>
      </c>
      <c r="V603" s="1268">
        <v>0</v>
      </c>
      <c r="W603" s="1328">
        <v>0</v>
      </c>
      <c r="X603" s="1312">
        <v>159112</v>
      </c>
      <c r="Y603" s="1312">
        <v>0</v>
      </c>
    </row>
    <row r="604" spans="1:25" s="1280" customFormat="1" ht="75.599999999999994">
      <c r="A604" s="1281">
        <v>136</v>
      </c>
      <c r="B604" s="1277" t="s">
        <v>2466</v>
      </c>
      <c r="C604" s="1268">
        <f t="shared" si="267"/>
        <v>2353328</v>
      </c>
      <c r="D604" s="1268">
        <f t="shared" si="268"/>
        <v>0</v>
      </c>
      <c r="E604" s="1268">
        <v>0</v>
      </c>
      <c r="F604" s="1268">
        <v>0</v>
      </c>
      <c r="G604" s="1268">
        <v>0</v>
      </c>
      <c r="H604" s="1268">
        <v>0</v>
      </c>
      <c r="I604" s="1268">
        <v>0</v>
      </c>
      <c r="J604" s="1268">
        <v>0</v>
      </c>
      <c r="K604" s="1278">
        <v>0</v>
      </c>
      <c r="L604" s="1268">
        <v>0</v>
      </c>
      <c r="M604" s="1278">
        <v>0</v>
      </c>
      <c r="N604" s="1268">
        <v>0</v>
      </c>
      <c r="O604" s="1268">
        <v>4100.8999999999996</v>
      </c>
      <c r="P604" s="1268">
        <v>2182394</v>
      </c>
      <c r="Q604" s="1268">
        <v>0</v>
      </c>
      <c r="R604" s="1268">
        <v>0</v>
      </c>
      <c r="S604" s="1268">
        <v>0</v>
      </c>
      <c r="T604" s="1268">
        <v>0</v>
      </c>
      <c r="U604" s="1268">
        <v>0</v>
      </c>
      <c r="V604" s="1268">
        <v>0</v>
      </c>
      <c r="W604" s="1268">
        <v>0</v>
      </c>
      <c r="X604" s="1312">
        <v>170934</v>
      </c>
      <c r="Y604" s="1312">
        <v>0</v>
      </c>
    </row>
    <row r="605" spans="1:25" s="1280" customFormat="1">
      <c r="A605" s="1281"/>
      <c r="B605" s="1277" t="s">
        <v>52</v>
      </c>
      <c r="C605" s="1268">
        <f>C606+C608</f>
        <v>4642648</v>
      </c>
      <c r="D605" s="1268">
        <f t="shared" ref="D605:Y605" si="269">D606+D608</f>
        <v>2696822</v>
      </c>
      <c r="E605" s="1268">
        <f t="shared" si="269"/>
        <v>481073</v>
      </c>
      <c r="F605" s="1268">
        <f t="shared" si="269"/>
        <v>911225</v>
      </c>
      <c r="G605" s="1268">
        <f t="shared" si="269"/>
        <v>391290</v>
      </c>
      <c r="H605" s="1268">
        <f t="shared" si="269"/>
        <v>559465</v>
      </c>
      <c r="I605" s="1268">
        <f t="shared" si="269"/>
        <v>0</v>
      </c>
      <c r="J605" s="1268">
        <f t="shared" si="269"/>
        <v>353769</v>
      </c>
      <c r="K605" s="1278">
        <f t="shared" si="269"/>
        <v>1</v>
      </c>
      <c r="L605" s="1268">
        <f t="shared" si="269"/>
        <v>17817</v>
      </c>
      <c r="M605" s="1278">
        <f t="shared" si="269"/>
        <v>0</v>
      </c>
      <c r="N605" s="1268">
        <f t="shared" si="269"/>
        <v>0</v>
      </c>
      <c r="O605" s="1268">
        <f t="shared" si="269"/>
        <v>430</v>
      </c>
      <c r="P605" s="1268">
        <f t="shared" si="269"/>
        <v>1590790</v>
      </c>
      <c r="Q605" s="1268">
        <f t="shared" si="269"/>
        <v>0</v>
      </c>
      <c r="R605" s="1268">
        <f t="shared" si="269"/>
        <v>0</v>
      </c>
      <c r="S605" s="1268">
        <f t="shared" si="269"/>
        <v>0</v>
      </c>
      <c r="T605" s="1268">
        <f t="shared" si="269"/>
        <v>0</v>
      </c>
      <c r="U605" s="1268">
        <f t="shared" si="269"/>
        <v>0</v>
      </c>
      <c r="V605" s="1268">
        <f t="shared" si="269"/>
        <v>0</v>
      </c>
      <c r="W605" s="1328">
        <v>0</v>
      </c>
      <c r="X605" s="1268">
        <f t="shared" si="269"/>
        <v>337219</v>
      </c>
      <c r="Y605" s="1268">
        <f t="shared" si="269"/>
        <v>0</v>
      </c>
    </row>
    <row r="606" spans="1:25" s="1280" customFormat="1" ht="113.4">
      <c r="A606" s="1281"/>
      <c r="B606" s="1277" t="s">
        <v>1082</v>
      </c>
      <c r="C606" s="1268">
        <f>C607</f>
        <v>2927261</v>
      </c>
      <c r="D606" s="1268">
        <f t="shared" ref="D606:Y606" si="270">D607</f>
        <v>2696822</v>
      </c>
      <c r="E606" s="1268">
        <f t="shared" si="270"/>
        <v>481073</v>
      </c>
      <c r="F606" s="1268">
        <f t="shared" si="270"/>
        <v>911225</v>
      </c>
      <c r="G606" s="1268">
        <f t="shared" si="270"/>
        <v>391290</v>
      </c>
      <c r="H606" s="1268">
        <f t="shared" si="270"/>
        <v>559465</v>
      </c>
      <c r="I606" s="1268">
        <f t="shared" si="270"/>
        <v>0</v>
      </c>
      <c r="J606" s="1268">
        <f t="shared" si="270"/>
        <v>353769</v>
      </c>
      <c r="K606" s="1278">
        <f t="shared" si="270"/>
        <v>1</v>
      </c>
      <c r="L606" s="1268">
        <f t="shared" si="270"/>
        <v>17817</v>
      </c>
      <c r="M606" s="1278">
        <f t="shared" si="270"/>
        <v>0</v>
      </c>
      <c r="N606" s="1268">
        <f t="shared" si="270"/>
        <v>0</v>
      </c>
      <c r="O606" s="1268">
        <f t="shared" si="270"/>
        <v>0</v>
      </c>
      <c r="P606" s="1268">
        <f t="shared" si="270"/>
        <v>0</v>
      </c>
      <c r="Q606" s="1268">
        <f t="shared" si="270"/>
        <v>0</v>
      </c>
      <c r="R606" s="1268">
        <f t="shared" si="270"/>
        <v>0</v>
      </c>
      <c r="S606" s="1268">
        <f t="shared" si="270"/>
        <v>0</v>
      </c>
      <c r="T606" s="1268">
        <f t="shared" si="270"/>
        <v>0</v>
      </c>
      <c r="U606" s="1268">
        <f t="shared" si="270"/>
        <v>0</v>
      </c>
      <c r="V606" s="1268">
        <f t="shared" si="270"/>
        <v>0</v>
      </c>
      <c r="W606" s="1328">
        <v>0</v>
      </c>
      <c r="X606" s="1268">
        <f t="shared" si="270"/>
        <v>212622</v>
      </c>
      <c r="Y606" s="1268">
        <f t="shared" si="270"/>
        <v>0</v>
      </c>
    </row>
    <row r="607" spans="1:25" s="1280" customFormat="1" ht="75.599999999999994">
      <c r="A607" s="1281">
        <v>137</v>
      </c>
      <c r="B607" s="1305" t="s">
        <v>2468</v>
      </c>
      <c r="C607" s="1268">
        <f>D607+N607+P607+R607+T607+V607+X607+L607</f>
        <v>2927261</v>
      </c>
      <c r="D607" s="1268">
        <f t="shared" ref="D607" si="271">SUM(E607:J607)</f>
        <v>2696822</v>
      </c>
      <c r="E607" s="1268">
        <v>481073</v>
      </c>
      <c r="F607" s="1268">
        <v>911225</v>
      </c>
      <c r="G607" s="1268">
        <v>391290</v>
      </c>
      <c r="H607" s="1268">
        <v>559465</v>
      </c>
      <c r="I607" s="1268"/>
      <c r="J607" s="1268">
        <v>353769</v>
      </c>
      <c r="K607" s="1278">
        <v>1</v>
      </c>
      <c r="L607" s="1268">
        <v>17817</v>
      </c>
      <c r="M607" s="1278">
        <v>0</v>
      </c>
      <c r="N607" s="1268">
        <v>0</v>
      </c>
      <c r="O607" s="1268">
        <v>0</v>
      </c>
      <c r="P607" s="1268">
        <v>0</v>
      </c>
      <c r="Q607" s="1268">
        <v>0</v>
      </c>
      <c r="R607" s="1268">
        <v>0</v>
      </c>
      <c r="S607" s="1268">
        <v>0</v>
      </c>
      <c r="T607" s="1268">
        <v>0</v>
      </c>
      <c r="U607" s="1268">
        <v>0</v>
      </c>
      <c r="V607" s="1268">
        <v>0</v>
      </c>
      <c r="W607" s="1268">
        <v>0</v>
      </c>
      <c r="X607" s="1268">
        <f>1396+30647+27709+43819+71371+37680</f>
        <v>212622</v>
      </c>
      <c r="Y607" s="1268">
        <v>0</v>
      </c>
    </row>
    <row r="608" spans="1:25" s="1280" customFormat="1" ht="113.4">
      <c r="A608" s="1281"/>
      <c r="B608" s="1277" t="s">
        <v>1104</v>
      </c>
      <c r="C608" s="1268">
        <f>C609</f>
        <v>1715387</v>
      </c>
      <c r="D608" s="1268">
        <f t="shared" ref="D608:Y608" si="272">D609</f>
        <v>0</v>
      </c>
      <c r="E608" s="1268">
        <f t="shared" si="272"/>
        <v>0</v>
      </c>
      <c r="F608" s="1268">
        <f t="shared" si="272"/>
        <v>0</v>
      </c>
      <c r="G608" s="1268">
        <f t="shared" si="272"/>
        <v>0</v>
      </c>
      <c r="H608" s="1268">
        <f t="shared" si="272"/>
        <v>0</v>
      </c>
      <c r="I608" s="1268">
        <f t="shared" si="272"/>
        <v>0</v>
      </c>
      <c r="J608" s="1268">
        <f t="shared" si="272"/>
        <v>0</v>
      </c>
      <c r="K608" s="1278">
        <f t="shared" si="272"/>
        <v>0</v>
      </c>
      <c r="L608" s="1268">
        <f t="shared" si="272"/>
        <v>0</v>
      </c>
      <c r="M608" s="1278">
        <f t="shared" si="272"/>
        <v>0</v>
      </c>
      <c r="N608" s="1268">
        <f t="shared" si="272"/>
        <v>0</v>
      </c>
      <c r="O608" s="1268">
        <f t="shared" si="272"/>
        <v>430</v>
      </c>
      <c r="P608" s="1268">
        <f t="shared" si="272"/>
        <v>1590790</v>
      </c>
      <c r="Q608" s="1268">
        <f t="shared" si="272"/>
        <v>0</v>
      </c>
      <c r="R608" s="1268">
        <f t="shared" si="272"/>
        <v>0</v>
      </c>
      <c r="S608" s="1268">
        <f t="shared" si="272"/>
        <v>0</v>
      </c>
      <c r="T608" s="1268">
        <f t="shared" si="272"/>
        <v>0</v>
      </c>
      <c r="U608" s="1268">
        <f t="shared" si="272"/>
        <v>0</v>
      </c>
      <c r="V608" s="1268">
        <f t="shared" si="272"/>
        <v>0</v>
      </c>
      <c r="W608" s="1328">
        <v>0</v>
      </c>
      <c r="X608" s="1268">
        <f t="shared" si="272"/>
        <v>124597</v>
      </c>
      <c r="Y608" s="1268">
        <f t="shared" si="272"/>
        <v>0</v>
      </c>
    </row>
    <row r="609" spans="1:25" s="1280" customFormat="1" ht="75.599999999999994">
      <c r="A609" s="1281">
        <v>138</v>
      </c>
      <c r="B609" s="1305" t="s">
        <v>2469</v>
      </c>
      <c r="C609" s="1268">
        <f>D609+N609+P609+R609+T609+V609+X609+L609</f>
        <v>1715387</v>
      </c>
      <c r="D609" s="1268">
        <f t="shared" ref="D609" si="273">SUM(E609:J609)</f>
        <v>0</v>
      </c>
      <c r="E609" s="1268">
        <v>0</v>
      </c>
      <c r="F609" s="1268">
        <v>0</v>
      </c>
      <c r="G609" s="1268">
        <v>0</v>
      </c>
      <c r="H609" s="1268">
        <v>0</v>
      </c>
      <c r="I609" s="1268">
        <v>0</v>
      </c>
      <c r="J609" s="1268">
        <v>0</v>
      </c>
      <c r="K609" s="1278">
        <v>0</v>
      </c>
      <c r="L609" s="1268">
        <v>0</v>
      </c>
      <c r="M609" s="1278">
        <v>0</v>
      </c>
      <c r="N609" s="1268">
        <v>0</v>
      </c>
      <c r="O609" s="1268">
        <v>430</v>
      </c>
      <c r="P609" s="1268">
        <v>1590790</v>
      </c>
      <c r="Q609" s="1268">
        <v>0</v>
      </c>
      <c r="R609" s="1268">
        <v>0</v>
      </c>
      <c r="S609" s="1268">
        <v>0</v>
      </c>
      <c r="T609" s="1268">
        <v>0</v>
      </c>
      <c r="U609" s="1268">
        <v>0</v>
      </c>
      <c r="V609" s="1268">
        <v>0</v>
      </c>
      <c r="W609" s="1328">
        <v>0</v>
      </c>
      <c r="X609" s="1268">
        <v>124597</v>
      </c>
      <c r="Y609" s="1268">
        <v>0</v>
      </c>
    </row>
    <row r="610" spans="1:25" s="1326" customFormat="1">
      <c r="A610" s="1281"/>
      <c r="B610" s="1277" t="s">
        <v>53</v>
      </c>
      <c r="C610" s="1268">
        <f>C611+C619+C621+C624+C626</f>
        <v>67955872</v>
      </c>
      <c r="D610" s="1268">
        <f t="shared" ref="D610:Y610" si="274">D611+D619+D621+D624+D626</f>
        <v>567169</v>
      </c>
      <c r="E610" s="1268">
        <f t="shared" si="274"/>
        <v>0</v>
      </c>
      <c r="F610" s="1268">
        <f t="shared" si="274"/>
        <v>0</v>
      </c>
      <c r="G610" s="1268">
        <f t="shared" si="274"/>
        <v>0</v>
      </c>
      <c r="H610" s="1268">
        <f t="shared" si="274"/>
        <v>347459</v>
      </c>
      <c r="I610" s="1268">
        <f t="shared" si="274"/>
        <v>0</v>
      </c>
      <c r="J610" s="1268">
        <f t="shared" si="274"/>
        <v>219710</v>
      </c>
      <c r="K610" s="1278">
        <f t="shared" si="274"/>
        <v>0</v>
      </c>
      <c r="L610" s="1268">
        <f t="shared" si="274"/>
        <v>0</v>
      </c>
      <c r="M610" s="1278">
        <f t="shared" si="274"/>
        <v>6</v>
      </c>
      <c r="N610" s="1268">
        <f t="shared" si="274"/>
        <v>13529466</v>
      </c>
      <c r="O610" s="1268">
        <f t="shared" si="274"/>
        <v>9645.9500000000007</v>
      </c>
      <c r="P610" s="1268">
        <f t="shared" si="274"/>
        <v>29619857</v>
      </c>
      <c r="Q610" s="1268">
        <f t="shared" si="274"/>
        <v>0</v>
      </c>
      <c r="R610" s="1268">
        <f t="shared" si="274"/>
        <v>0</v>
      </c>
      <c r="S610" s="1268">
        <f t="shared" si="274"/>
        <v>4191.1000000000004</v>
      </c>
      <c r="T610" s="1268">
        <f t="shared" si="274"/>
        <v>19303417</v>
      </c>
      <c r="U610" s="1268">
        <f t="shared" si="274"/>
        <v>0</v>
      </c>
      <c r="V610" s="1268">
        <f t="shared" si="274"/>
        <v>0</v>
      </c>
      <c r="W610" s="1268">
        <v>0</v>
      </c>
      <c r="X610" s="1268">
        <f t="shared" si="274"/>
        <v>4935963</v>
      </c>
      <c r="Y610" s="1268">
        <f t="shared" si="274"/>
        <v>0</v>
      </c>
    </row>
    <row r="611" spans="1:25" s="1326" customFormat="1" ht="113.4">
      <c r="A611" s="1281"/>
      <c r="B611" s="1277" t="s">
        <v>1083</v>
      </c>
      <c r="C611" s="1289">
        <f>SUM(C612:C618)</f>
        <v>48041268</v>
      </c>
      <c r="D611" s="1289">
        <f t="shared" ref="D611:Y611" si="275">SUM(D612:D618)</f>
        <v>567169</v>
      </c>
      <c r="E611" s="1289">
        <f t="shared" si="275"/>
        <v>0</v>
      </c>
      <c r="F611" s="1289">
        <f t="shared" si="275"/>
        <v>0</v>
      </c>
      <c r="G611" s="1289">
        <f t="shared" si="275"/>
        <v>0</v>
      </c>
      <c r="H611" s="1289">
        <f t="shared" si="275"/>
        <v>347459</v>
      </c>
      <c r="I611" s="1289">
        <f t="shared" si="275"/>
        <v>0</v>
      </c>
      <c r="J611" s="1289">
        <f t="shared" si="275"/>
        <v>219710</v>
      </c>
      <c r="K611" s="1278">
        <f t="shared" si="275"/>
        <v>0</v>
      </c>
      <c r="L611" s="1289">
        <f t="shared" si="275"/>
        <v>0</v>
      </c>
      <c r="M611" s="1278">
        <f t="shared" si="275"/>
        <v>6</v>
      </c>
      <c r="N611" s="1289">
        <f t="shared" si="275"/>
        <v>13529466</v>
      </c>
      <c r="O611" s="1289">
        <f t="shared" si="275"/>
        <v>3772.2</v>
      </c>
      <c r="P611" s="1289">
        <f t="shared" si="275"/>
        <v>11151747</v>
      </c>
      <c r="Q611" s="1289">
        <f t="shared" si="275"/>
        <v>0</v>
      </c>
      <c r="R611" s="1289">
        <f t="shared" si="275"/>
        <v>0</v>
      </c>
      <c r="S611" s="1289">
        <f t="shared" si="275"/>
        <v>4191.1000000000004</v>
      </c>
      <c r="T611" s="1289">
        <f t="shared" si="275"/>
        <v>19303417</v>
      </c>
      <c r="U611" s="1289">
        <f t="shared" si="275"/>
        <v>0</v>
      </c>
      <c r="V611" s="1289">
        <f t="shared" si="275"/>
        <v>0</v>
      </c>
      <c r="W611" s="1328">
        <v>0</v>
      </c>
      <c r="X611" s="1289">
        <f t="shared" si="275"/>
        <v>3489469</v>
      </c>
      <c r="Y611" s="1289">
        <f t="shared" si="275"/>
        <v>0</v>
      </c>
    </row>
    <row r="612" spans="1:25" s="1326" customFormat="1">
      <c r="A612" s="1306">
        <v>139</v>
      </c>
      <c r="B612" s="1300" t="s">
        <v>1444</v>
      </c>
      <c r="C612" s="1289">
        <f t="shared" ref="C612" si="276">D612+N612+P612+R612+T612+V612+X612</f>
        <v>4863049</v>
      </c>
      <c r="D612" s="1289">
        <f t="shared" ref="D612" si="277">SUM(E612:J612)</f>
        <v>0</v>
      </c>
      <c r="E612" s="1307">
        <v>0</v>
      </c>
      <c r="F612" s="1307">
        <v>0</v>
      </c>
      <c r="G612" s="1307">
        <v>0</v>
      </c>
      <c r="H612" s="1307">
        <v>0</v>
      </c>
      <c r="I612" s="1307">
        <v>0</v>
      </c>
      <c r="J612" s="1307">
        <v>0</v>
      </c>
      <c r="K612" s="1308">
        <v>0</v>
      </c>
      <c r="L612" s="1307">
        <v>0</v>
      </c>
      <c r="M612" s="1308">
        <v>2</v>
      </c>
      <c r="N612" s="1307">
        <v>4509822</v>
      </c>
      <c r="O612" s="1307">
        <v>0</v>
      </c>
      <c r="P612" s="1343">
        <v>0</v>
      </c>
      <c r="Q612" s="1343">
        <v>0</v>
      </c>
      <c r="R612" s="1343">
        <v>0</v>
      </c>
      <c r="S612" s="1343">
        <v>0</v>
      </c>
      <c r="T612" s="1343">
        <v>0</v>
      </c>
      <c r="U612" s="1343">
        <v>0</v>
      </c>
      <c r="V612" s="1343">
        <v>0</v>
      </c>
      <c r="W612" s="1328">
        <v>0</v>
      </c>
      <c r="X612" s="1307">
        <v>353227</v>
      </c>
      <c r="Y612" s="1344">
        <v>0</v>
      </c>
    </row>
    <row r="613" spans="1:25" s="1326" customFormat="1">
      <c r="A613" s="1281">
        <v>140</v>
      </c>
      <c r="B613" s="1277" t="s">
        <v>1174</v>
      </c>
      <c r="C613" s="1289">
        <f t="shared" ref="C613:C618" si="278">D613+N613+P613+R613+T613+V613+X613</f>
        <v>4863049</v>
      </c>
      <c r="D613" s="1289">
        <f t="shared" ref="D613:D618" si="279">SUM(E613:J613)</f>
        <v>0</v>
      </c>
      <c r="E613" s="1289">
        <v>0</v>
      </c>
      <c r="F613" s="1289">
        <v>0</v>
      </c>
      <c r="G613" s="1289">
        <v>0</v>
      </c>
      <c r="H613" s="1289">
        <v>0</v>
      </c>
      <c r="I613" s="1289">
        <v>0</v>
      </c>
      <c r="J613" s="1289">
        <v>0</v>
      </c>
      <c r="K613" s="1278">
        <v>0</v>
      </c>
      <c r="L613" s="1289">
        <v>0</v>
      </c>
      <c r="M613" s="1278">
        <v>2</v>
      </c>
      <c r="N613" s="1289">
        <v>4509822</v>
      </c>
      <c r="O613" s="1289">
        <v>0</v>
      </c>
      <c r="P613" s="1345">
        <v>0</v>
      </c>
      <c r="Q613" s="1345">
        <v>0</v>
      </c>
      <c r="R613" s="1345">
        <v>0</v>
      </c>
      <c r="S613" s="1345">
        <v>0</v>
      </c>
      <c r="T613" s="1345">
        <v>0</v>
      </c>
      <c r="U613" s="1345">
        <v>0</v>
      </c>
      <c r="V613" s="1345">
        <v>0</v>
      </c>
      <c r="W613" s="1268">
        <v>0</v>
      </c>
      <c r="X613" s="1289">
        <v>353227</v>
      </c>
      <c r="Y613" s="1346">
        <v>0</v>
      </c>
    </row>
    <row r="614" spans="1:25" s="1326" customFormat="1">
      <c r="A614" s="1306">
        <v>141</v>
      </c>
      <c r="B614" s="1277" t="s">
        <v>1445</v>
      </c>
      <c r="C614" s="1289">
        <f t="shared" si="278"/>
        <v>4863049</v>
      </c>
      <c r="D614" s="1289">
        <f t="shared" si="279"/>
        <v>0</v>
      </c>
      <c r="E614" s="1289">
        <v>0</v>
      </c>
      <c r="F614" s="1289">
        <v>0</v>
      </c>
      <c r="G614" s="1289">
        <v>0</v>
      </c>
      <c r="H614" s="1289">
        <v>0</v>
      </c>
      <c r="I614" s="1289">
        <v>0</v>
      </c>
      <c r="J614" s="1289">
        <v>0</v>
      </c>
      <c r="K614" s="1278">
        <v>0</v>
      </c>
      <c r="L614" s="1289">
        <v>0</v>
      </c>
      <c r="M614" s="1278">
        <v>2</v>
      </c>
      <c r="N614" s="1289">
        <v>4509822</v>
      </c>
      <c r="O614" s="1289">
        <v>0</v>
      </c>
      <c r="P614" s="1345">
        <v>0</v>
      </c>
      <c r="Q614" s="1345">
        <v>0</v>
      </c>
      <c r="R614" s="1345">
        <v>0</v>
      </c>
      <c r="S614" s="1345">
        <v>0</v>
      </c>
      <c r="T614" s="1345">
        <v>0</v>
      </c>
      <c r="U614" s="1345">
        <v>0</v>
      </c>
      <c r="V614" s="1345">
        <v>0</v>
      </c>
      <c r="W614" s="1328">
        <v>0</v>
      </c>
      <c r="X614" s="1289">
        <v>353227</v>
      </c>
      <c r="Y614" s="1346">
        <v>0</v>
      </c>
    </row>
    <row r="615" spans="1:25" s="1280" customFormat="1">
      <c r="A615" s="1281">
        <v>142</v>
      </c>
      <c r="B615" s="1277" t="s">
        <v>1446</v>
      </c>
      <c r="C615" s="1289">
        <f t="shared" si="278"/>
        <v>3898093</v>
      </c>
      <c r="D615" s="1289">
        <f t="shared" si="279"/>
        <v>567169</v>
      </c>
      <c r="E615" s="1289">
        <v>0</v>
      </c>
      <c r="F615" s="1289">
        <v>0</v>
      </c>
      <c r="G615" s="1289">
        <v>0</v>
      </c>
      <c r="H615" s="1289">
        <v>347459</v>
      </c>
      <c r="I615" s="1289">
        <v>0</v>
      </c>
      <c r="J615" s="1289">
        <v>219710</v>
      </c>
      <c r="K615" s="1278">
        <v>0</v>
      </c>
      <c r="L615" s="1289">
        <v>0</v>
      </c>
      <c r="M615" s="1278">
        <v>0</v>
      </c>
      <c r="N615" s="1289">
        <v>0</v>
      </c>
      <c r="O615" s="1289">
        <v>705.2</v>
      </c>
      <c r="P615" s="1289">
        <v>2213456</v>
      </c>
      <c r="Q615" s="1289">
        <v>0</v>
      </c>
      <c r="R615" s="1289">
        <v>0</v>
      </c>
      <c r="S615" s="1289">
        <v>338.1</v>
      </c>
      <c r="T615" s="1289">
        <v>834331</v>
      </c>
      <c r="U615" s="1289">
        <v>0</v>
      </c>
      <c r="V615" s="1289">
        <v>0</v>
      </c>
      <c r="W615" s="1268">
        <v>0</v>
      </c>
      <c r="X615" s="1289">
        <f>173366+65348+27214+17209</f>
        <v>283137</v>
      </c>
      <c r="Y615" s="1289">
        <v>0</v>
      </c>
    </row>
    <row r="616" spans="1:25" s="1280" customFormat="1">
      <c r="A616" s="1306">
        <v>143</v>
      </c>
      <c r="B616" s="1277" t="s">
        <v>1441</v>
      </c>
      <c r="C616" s="1289">
        <f t="shared" si="278"/>
        <v>14048551</v>
      </c>
      <c r="D616" s="1289">
        <f t="shared" si="279"/>
        <v>0</v>
      </c>
      <c r="E616" s="1289">
        <v>0</v>
      </c>
      <c r="F616" s="1289"/>
      <c r="G616" s="1289">
        <v>0</v>
      </c>
      <c r="H616" s="1289">
        <v>0</v>
      </c>
      <c r="I616" s="1289">
        <v>0</v>
      </c>
      <c r="J616" s="1289">
        <v>0</v>
      </c>
      <c r="K616" s="1278">
        <v>0</v>
      </c>
      <c r="L616" s="1289">
        <v>0</v>
      </c>
      <c r="M616" s="1278">
        <v>0</v>
      </c>
      <c r="N616" s="1289">
        <v>0</v>
      </c>
      <c r="O616" s="1289">
        <v>1075</v>
      </c>
      <c r="P616" s="1289">
        <f>3374169</f>
        <v>3374169</v>
      </c>
      <c r="Q616" s="1289">
        <v>0</v>
      </c>
      <c r="R616" s="1289">
        <v>0</v>
      </c>
      <c r="S616" s="1289">
        <v>2014</v>
      </c>
      <c r="T616" s="1289">
        <f>9653968</f>
        <v>9653968</v>
      </c>
      <c r="U616" s="1289">
        <v>0</v>
      </c>
      <c r="V616" s="1289">
        <v>0</v>
      </c>
      <c r="W616" s="1328">
        <v>0</v>
      </c>
      <c r="X616" s="1289">
        <f>264278+756136</f>
        <v>1020414</v>
      </c>
      <c r="Y616" s="1289">
        <v>0</v>
      </c>
    </row>
    <row r="617" spans="1:25" s="1280" customFormat="1">
      <c r="A617" s="1281">
        <v>144</v>
      </c>
      <c r="B617" s="1277" t="s">
        <v>1442</v>
      </c>
      <c r="C617" s="1289">
        <f t="shared" si="278"/>
        <v>12484002</v>
      </c>
      <c r="D617" s="1289">
        <f t="shared" si="279"/>
        <v>0</v>
      </c>
      <c r="E617" s="1289">
        <v>0</v>
      </c>
      <c r="F617" s="1289">
        <v>0</v>
      </c>
      <c r="G617" s="1289">
        <v>0</v>
      </c>
      <c r="H617" s="1289">
        <v>0</v>
      </c>
      <c r="I617" s="1289">
        <v>0</v>
      </c>
      <c r="J617" s="1289">
        <v>0</v>
      </c>
      <c r="K617" s="1278">
        <v>0</v>
      </c>
      <c r="L617" s="1289">
        <v>0</v>
      </c>
      <c r="M617" s="1278">
        <v>0</v>
      </c>
      <c r="N617" s="1289">
        <v>0</v>
      </c>
      <c r="O617" s="1289">
        <v>880</v>
      </c>
      <c r="P617" s="1289">
        <v>2762111</v>
      </c>
      <c r="Q617" s="1289">
        <v>0</v>
      </c>
      <c r="R617" s="1289">
        <v>0</v>
      </c>
      <c r="S617" s="1289">
        <v>1839</v>
      </c>
      <c r="T617" s="1289">
        <v>8815118</v>
      </c>
      <c r="U617" s="1289">
        <v>0</v>
      </c>
      <c r="V617" s="1289">
        <v>0</v>
      </c>
      <c r="W617" s="1328">
        <v>0</v>
      </c>
      <c r="X617" s="1289">
        <f>690434+216339</f>
        <v>906773</v>
      </c>
      <c r="Y617" s="1289">
        <v>0</v>
      </c>
    </row>
    <row r="618" spans="1:25" s="1280" customFormat="1">
      <c r="A618" s="1306">
        <v>145</v>
      </c>
      <c r="B618" s="1277" t="s">
        <v>1443</v>
      </c>
      <c r="C618" s="1289">
        <f t="shared" si="278"/>
        <v>3021475</v>
      </c>
      <c r="D618" s="1289">
        <f t="shared" si="279"/>
        <v>0</v>
      </c>
      <c r="E618" s="1289">
        <v>0</v>
      </c>
      <c r="F618" s="1289">
        <v>0</v>
      </c>
      <c r="G618" s="1289">
        <v>0</v>
      </c>
      <c r="H618" s="1289">
        <v>0</v>
      </c>
      <c r="I618" s="1289">
        <v>0</v>
      </c>
      <c r="J618" s="1289">
        <v>0</v>
      </c>
      <c r="K618" s="1278">
        <v>0</v>
      </c>
      <c r="L618" s="1289">
        <v>0</v>
      </c>
      <c r="M618" s="1278">
        <v>0</v>
      </c>
      <c r="N618" s="1289">
        <v>0</v>
      </c>
      <c r="O618" s="1289">
        <v>1112</v>
      </c>
      <c r="P618" s="1289">
        <v>2802011</v>
      </c>
      <c r="Q618" s="1289">
        <v>0</v>
      </c>
      <c r="R618" s="1289">
        <v>0</v>
      </c>
      <c r="S618" s="1289">
        <v>0</v>
      </c>
      <c r="T618" s="1289">
        <v>0</v>
      </c>
      <c r="U618" s="1289">
        <v>0</v>
      </c>
      <c r="V618" s="1289">
        <v>0</v>
      </c>
      <c r="W618" s="1268">
        <v>0</v>
      </c>
      <c r="X618" s="1289">
        <f>219464</f>
        <v>219464</v>
      </c>
      <c r="Y618" s="1289">
        <v>0</v>
      </c>
    </row>
    <row r="619" spans="1:25" s="1280" customFormat="1" ht="75.599999999999994">
      <c r="A619" s="1281"/>
      <c r="B619" s="1277" t="s">
        <v>1084</v>
      </c>
      <c r="C619" s="1289">
        <f>C620</f>
        <v>3165291</v>
      </c>
      <c r="D619" s="1289">
        <f t="shared" ref="D619:Y619" si="280">D620</f>
        <v>0</v>
      </c>
      <c r="E619" s="1289">
        <f t="shared" si="280"/>
        <v>0</v>
      </c>
      <c r="F619" s="1289">
        <f t="shared" si="280"/>
        <v>0</v>
      </c>
      <c r="G619" s="1289">
        <f t="shared" si="280"/>
        <v>0</v>
      </c>
      <c r="H619" s="1289">
        <f t="shared" si="280"/>
        <v>0</v>
      </c>
      <c r="I619" s="1289">
        <f t="shared" si="280"/>
        <v>0</v>
      </c>
      <c r="J619" s="1289">
        <f t="shared" si="280"/>
        <v>0</v>
      </c>
      <c r="K619" s="1278">
        <f t="shared" si="280"/>
        <v>0</v>
      </c>
      <c r="L619" s="1289">
        <f t="shared" si="280"/>
        <v>0</v>
      </c>
      <c r="M619" s="1278">
        <f t="shared" si="280"/>
        <v>0</v>
      </c>
      <c r="N619" s="1289">
        <f t="shared" si="280"/>
        <v>0</v>
      </c>
      <c r="O619" s="1289">
        <f t="shared" si="280"/>
        <v>648</v>
      </c>
      <c r="P619" s="1289">
        <f t="shared" si="280"/>
        <v>2935381</v>
      </c>
      <c r="Q619" s="1289">
        <f t="shared" si="280"/>
        <v>0</v>
      </c>
      <c r="R619" s="1289">
        <f t="shared" si="280"/>
        <v>0</v>
      </c>
      <c r="S619" s="1289">
        <f t="shared" si="280"/>
        <v>0</v>
      </c>
      <c r="T619" s="1289">
        <f t="shared" si="280"/>
        <v>0</v>
      </c>
      <c r="U619" s="1289">
        <f t="shared" si="280"/>
        <v>0</v>
      </c>
      <c r="V619" s="1289">
        <f t="shared" si="280"/>
        <v>0</v>
      </c>
      <c r="W619" s="1328">
        <v>0</v>
      </c>
      <c r="X619" s="1289">
        <f t="shared" si="280"/>
        <v>229910</v>
      </c>
      <c r="Y619" s="1289">
        <f t="shared" si="280"/>
        <v>0</v>
      </c>
    </row>
    <row r="620" spans="1:25" s="1280" customFormat="1" ht="75.599999999999994">
      <c r="A620" s="1281">
        <v>146</v>
      </c>
      <c r="B620" s="1277" t="s">
        <v>2470</v>
      </c>
      <c r="C620" s="1289">
        <f t="shared" ref="C620" si="281">D620+N620+P620+R620+T620+V620+X620</f>
        <v>3165291</v>
      </c>
      <c r="D620" s="1289">
        <f t="shared" ref="D620" si="282">SUM(E620:J620)</f>
        <v>0</v>
      </c>
      <c r="E620" s="1289">
        <v>0</v>
      </c>
      <c r="F620" s="1289">
        <v>0</v>
      </c>
      <c r="G620" s="1289">
        <v>0</v>
      </c>
      <c r="H620" s="1289">
        <v>0</v>
      </c>
      <c r="I620" s="1289">
        <v>0</v>
      </c>
      <c r="J620" s="1289">
        <v>0</v>
      </c>
      <c r="K620" s="1278">
        <v>0</v>
      </c>
      <c r="L620" s="1289">
        <v>0</v>
      </c>
      <c r="M620" s="1278">
        <v>0</v>
      </c>
      <c r="N620" s="1289">
        <v>0</v>
      </c>
      <c r="O620" s="1289">
        <v>648</v>
      </c>
      <c r="P620" s="1289">
        <v>2935381</v>
      </c>
      <c r="Q620" s="1289">
        <v>0</v>
      </c>
      <c r="R620" s="1289">
        <v>0</v>
      </c>
      <c r="S620" s="1289">
        <v>0</v>
      </c>
      <c r="T620" s="1289">
        <v>0</v>
      </c>
      <c r="U620" s="1289">
        <v>0</v>
      </c>
      <c r="V620" s="1289">
        <v>0</v>
      </c>
      <c r="W620" s="1328">
        <v>0</v>
      </c>
      <c r="X620" s="1289">
        <v>229910</v>
      </c>
      <c r="Y620" s="1289">
        <v>0</v>
      </c>
    </row>
    <row r="621" spans="1:25" s="1280" customFormat="1" ht="75.599999999999994">
      <c r="A621" s="1281"/>
      <c r="B621" s="1277" t="s">
        <v>1086</v>
      </c>
      <c r="C621" s="1289">
        <f>C622+C623</f>
        <v>3195064</v>
      </c>
      <c r="D621" s="1289">
        <f t="shared" ref="D621:Y621" si="283">D622+D623</f>
        <v>0</v>
      </c>
      <c r="E621" s="1289">
        <f t="shared" si="283"/>
        <v>0</v>
      </c>
      <c r="F621" s="1289">
        <f t="shared" si="283"/>
        <v>0</v>
      </c>
      <c r="G621" s="1289">
        <f t="shared" si="283"/>
        <v>0</v>
      </c>
      <c r="H621" s="1289">
        <f t="shared" si="283"/>
        <v>0</v>
      </c>
      <c r="I621" s="1289">
        <f t="shared" si="283"/>
        <v>0</v>
      </c>
      <c r="J621" s="1289">
        <f t="shared" si="283"/>
        <v>0</v>
      </c>
      <c r="K621" s="1278">
        <f t="shared" si="283"/>
        <v>0</v>
      </c>
      <c r="L621" s="1289">
        <f t="shared" si="283"/>
        <v>0</v>
      </c>
      <c r="M621" s="1278">
        <f t="shared" si="283"/>
        <v>0</v>
      </c>
      <c r="N621" s="1289">
        <f t="shared" si="283"/>
        <v>0</v>
      </c>
      <c r="O621" s="1289">
        <f t="shared" si="283"/>
        <v>944</v>
      </c>
      <c r="P621" s="1289">
        <f t="shared" si="283"/>
        <v>2962991</v>
      </c>
      <c r="Q621" s="1289">
        <f t="shared" si="283"/>
        <v>0</v>
      </c>
      <c r="R621" s="1289">
        <f t="shared" si="283"/>
        <v>0</v>
      </c>
      <c r="S621" s="1289">
        <f t="shared" si="283"/>
        <v>0</v>
      </c>
      <c r="T621" s="1289">
        <f t="shared" si="283"/>
        <v>0</v>
      </c>
      <c r="U621" s="1289">
        <f t="shared" si="283"/>
        <v>0</v>
      </c>
      <c r="V621" s="1289">
        <f t="shared" si="283"/>
        <v>0</v>
      </c>
      <c r="W621" s="1268">
        <v>0</v>
      </c>
      <c r="X621" s="1289">
        <f t="shared" si="283"/>
        <v>232073</v>
      </c>
      <c r="Y621" s="1289">
        <f t="shared" si="283"/>
        <v>0</v>
      </c>
    </row>
    <row r="622" spans="1:25" s="1280" customFormat="1">
      <c r="A622" s="1281">
        <v>147</v>
      </c>
      <c r="B622" s="1277" t="s">
        <v>1542</v>
      </c>
      <c r="C622" s="1289">
        <f t="shared" ref="C622:C623" si="284">D622+N622+P622+R622+T622+V622+X622</f>
        <v>1705839</v>
      </c>
      <c r="D622" s="1289">
        <f t="shared" ref="D622:D623" si="285">SUM(E622:J622)</f>
        <v>0</v>
      </c>
      <c r="E622" s="1289">
        <v>0</v>
      </c>
      <c r="F622" s="1289">
        <v>0</v>
      </c>
      <c r="G622" s="1289">
        <v>0</v>
      </c>
      <c r="H622" s="1289">
        <v>0</v>
      </c>
      <c r="I622" s="1289">
        <v>0</v>
      </c>
      <c r="J622" s="1289">
        <v>0</v>
      </c>
      <c r="K622" s="1278">
        <v>0</v>
      </c>
      <c r="L622" s="1289">
        <v>0</v>
      </c>
      <c r="M622" s="1278">
        <v>0</v>
      </c>
      <c r="N622" s="1289">
        <v>0</v>
      </c>
      <c r="O622" s="1289">
        <v>504</v>
      </c>
      <c r="P622" s="1289">
        <v>1581936</v>
      </c>
      <c r="Q622" s="1289">
        <v>0</v>
      </c>
      <c r="R622" s="1289">
        <v>0</v>
      </c>
      <c r="S622" s="1289">
        <v>0</v>
      </c>
      <c r="T622" s="1289">
        <v>0</v>
      </c>
      <c r="U622" s="1289">
        <v>0</v>
      </c>
      <c r="V622" s="1289">
        <v>0</v>
      </c>
      <c r="W622" s="1328">
        <v>0</v>
      </c>
      <c r="X622" s="1289">
        <v>123903</v>
      </c>
      <c r="Y622" s="1289">
        <v>0</v>
      </c>
    </row>
    <row r="623" spans="1:25" s="1280" customFormat="1">
      <c r="A623" s="1281">
        <v>148</v>
      </c>
      <c r="B623" s="1277" t="s">
        <v>1543</v>
      </c>
      <c r="C623" s="1289">
        <f t="shared" si="284"/>
        <v>1489225</v>
      </c>
      <c r="D623" s="1289">
        <f t="shared" si="285"/>
        <v>0</v>
      </c>
      <c r="E623" s="1289">
        <v>0</v>
      </c>
      <c r="F623" s="1289">
        <v>0</v>
      </c>
      <c r="G623" s="1289">
        <v>0</v>
      </c>
      <c r="H623" s="1289">
        <v>0</v>
      </c>
      <c r="I623" s="1289">
        <v>0</v>
      </c>
      <c r="J623" s="1289">
        <v>0</v>
      </c>
      <c r="K623" s="1278">
        <v>0</v>
      </c>
      <c r="L623" s="1289">
        <v>0</v>
      </c>
      <c r="M623" s="1278">
        <v>0</v>
      </c>
      <c r="N623" s="1289">
        <v>0</v>
      </c>
      <c r="O623" s="1289">
        <v>440</v>
      </c>
      <c r="P623" s="1289">
        <v>1381055</v>
      </c>
      <c r="Q623" s="1289">
        <v>0</v>
      </c>
      <c r="R623" s="1289">
        <v>0</v>
      </c>
      <c r="S623" s="1289">
        <v>0</v>
      </c>
      <c r="T623" s="1289">
        <v>0</v>
      </c>
      <c r="U623" s="1289">
        <v>0</v>
      </c>
      <c r="V623" s="1289">
        <v>0</v>
      </c>
      <c r="W623" s="1328">
        <v>0</v>
      </c>
      <c r="X623" s="1289">
        <v>108170</v>
      </c>
      <c r="Y623" s="1289">
        <v>0</v>
      </c>
    </row>
    <row r="624" spans="1:25" s="1280" customFormat="1" ht="75.599999999999994">
      <c r="A624" s="1281"/>
      <c r="B624" s="1277" t="s">
        <v>1088</v>
      </c>
      <c r="C624" s="1289">
        <f>C625</f>
        <v>2540404</v>
      </c>
      <c r="D624" s="1289">
        <f t="shared" ref="D624:Y624" si="286">D625</f>
        <v>0</v>
      </c>
      <c r="E624" s="1289">
        <f t="shared" si="286"/>
        <v>0</v>
      </c>
      <c r="F624" s="1289">
        <f t="shared" si="286"/>
        <v>0</v>
      </c>
      <c r="G624" s="1289">
        <f t="shared" si="286"/>
        <v>0</v>
      </c>
      <c r="H624" s="1289">
        <f t="shared" si="286"/>
        <v>0</v>
      </c>
      <c r="I624" s="1289">
        <f t="shared" si="286"/>
        <v>0</v>
      </c>
      <c r="J624" s="1289">
        <f t="shared" si="286"/>
        <v>0</v>
      </c>
      <c r="K624" s="1278">
        <f t="shared" si="286"/>
        <v>0</v>
      </c>
      <c r="L624" s="1289">
        <f t="shared" si="286"/>
        <v>0</v>
      </c>
      <c r="M624" s="1278">
        <f t="shared" si="286"/>
        <v>0</v>
      </c>
      <c r="N624" s="1289">
        <f t="shared" si="286"/>
        <v>0</v>
      </c>
      <c r="O624" s="1289">
        <f t="shared" si="286"/>
        <v>893.55</v>
      </c>
      <c r="P624" s="1289">
        <f t="shared" si="286"/>
        <v>2355882</v>
      </c>
      <c r="Q624" s="1289">
        <f t="shared" si="286"/>
        <v>0</v>
      </c>
      <c r="R624" s="1289">
        <f t="shared" si="286"/>
        <v>0</v>
      </c>
      <c r="S624" s="1289">
        <f t="shared" si="286"/>
        <v>0</v>
      </c>
      <c r="T624" s="1289">
        <f t="shared" si="286"/>
        <v>0</v>
      </c>
      <c r="U624" s="1289">
        <f t="shared" si="286"/>
        <v>0</v>
      </c>
      <c r="V624" s="1289">
        <f t="shared" si="286"/>
        <v>0</v>
      </c>
      <c r="W624" s="1268">
        <v>0</v>
      </c>
      <c r="X624" s="1289">
        <f t="shared" si="286"/>
        <v>184522</v>
      </c>
      <c r="Y624" s="1289">
        <f t="shared" si="286"/>
        <v>0</v>
      </c>
    </row>
    <row r="625" spans="1:25" s="1280" customFormat="1">
      <c r="A625" s="1281">
        <v>149</v>
      </c>
      <c r="B625" s="1277" t="s">
        <v>1561</v>
      </c>
      <c r="C625" s="1289">
        <f t="shared" ref="C625" si="287">D625+N625+P625+R625+T625+V625+X625</f>
        <v>2540404</v>
      </c>
      <c r="D625" s="1289">
        <f t="shared" ref="D625" si="288">SUM(E625:J625)</f>
        <v>0</v>
      </c>
      <c r="E625" s="1289">
        <v>0</v>
      </c>
      <c r="F625" s="1289">
        <v>0</v>
      </c>
      <c r="G625" s="1289">
        <v>0</v>
      </c>
      <c r="H625" s="1289">
        <v>0</v>
      </c>
      <c r="I625" s="1289">
        <v>0</v>
      </c>
      <c r="J625" s="1289">
        <v>0</v>
      </c>
      <c r="K625" s="1278">
        <v>0</v>
      </c>
      <c r="L625" s="1289">
        <v>0</v>
      </c>
      <c r="M625" s="1278">
        <v>0</v>
      </c>
      <c r="N625" s="1289">
        <v>0</v>
      </c>
      <c r="O625" s="1289">
        <v>893.55</v>
      </c>
      <c r="P625" s="1289">
        <v>2355882</v>
      </c>
      <c r="Q625" s="1289">
        <v>0</v>
      </c>
      <c r="R625" s="1289">
        <v>0</v>
      </c>
      <c r="S625" s="1289">
        <v>0</v>
      </c>
      <c r="T625" s="1289">
        <v>0</v>
      </c>
      <c r="U625" s="1289">
        <v>0</v>
      </c>
      <c r="V625" s="1289">
        <v>0</v>
      </c>
      <c r="W625" s="1328">
        <v>0</v>
      </c>
      <c r="X625" s="1289">
        <v>184522</v>
      </c>
      <c r="Y625" s="1289">
        <v>0</v>
      </c>
    </row>
    <row r="626" spans="1:25" s="1280" customFormat="1" ht="75.599999999999994">
      <c r="A626" s="1281"/>
      <c r="B626" s="1277" t="s">
        <v>1087</v>
      </c>
      <c r="C626" s="1289">
        <f>C627+C628+C629+C630</f>
        <v>11013845</v>
      </c>
      <c r="D626" s="1289">
        <f t="shared" ref="D626:Y626" si="289">D627+D628+D629+D630</f>
        <v>0</v>
      </c>
      <c r="E626" s="1289">
        <f t="shared" si="289"/>
        <v>0</v>
      </c>
      <c r="F626" s="1289">
        <f t="shared" si="289"/>
        <v>0</v>
      </c>
      <c r="G626" s="1289">
        <f t="shared" si="289"/>
        <v>0</v>
      </c>
      <c r="H626" s="1289">
        <f t="shared" si="289"/>
        <v>0</v>
      </c>
      <c r="I626" s="1289">
        <f t="shared" si="289"/>
        <v>0</v>
      </c>
      <c r="J626" s="1289">
        <f t="shared" si="289"/>
        <v>0</v>
      </c>
      <c r="K626" s="1278">
        <f t="shared" si="289"/>
        <v>0</v>
      </c>
      <c r="L626" s="1289">
        <f t="shared" si="289"/>
        <v>0</v>
      </c>
      <c r="M626" s="1278">
        <f t="shared" si="289"/>
        <v>0</v>
      </c>
      <c r="N626" s="1289">
        <f t="shared" si="289"/>
        <v>0</v>
      </c>
      <c r="O626" s="1289">
        <f t="shared" si="289"/>
        <v>3388.2</v>
      </c>
      <c r="P626" s="1289">
        <f t="shared" si="289"/>
        <v>10213856</v>
      </c>
      <c r="Q626" s="1289">
        <f t="shared" si="289"/>
        <v>0</v>
      </c>
      <c r="R626" s="1289">
        <f t="shared" si="289"/>
        <v>0</v>
      </c>
      <c r="S626" s="1289">
        <f t="shared" si="289"/>
        <v>0</v>
      </c>
      <c r="T626" s="1289">
        <f t="shared" si="289"/>
        <v>0</v>
      </c>
      <c r="U626" s="1289">
        <f t="shared" si="289"/>
        <v>0</v>
      </c>
      <c r="V626" s="1289">
        <f t="shared" si="289"/>
        <v>0</v>
      </c>
      <c r="W626" s="1328">
        <v>0</v>
      </c>
      <c r="X626" s="1289">
        <f t="shared" si="289"/>
        <v>799989</v>
      </c>
      <c r="Y626" s="1289">
        <f t="shared" si="289"/>
        <v>0</v>
      </c>
    </row>
    <row r="627" spans="1:25" s="1280" customFormat="1">
      <c r="A627" s="1281">
        <v>150</v>
      </c>
      <c r="B627" s="1277" t="s">
        <v>1582</v>
      </c>
      <c r="C627" s="1289">
        <f t="shared" ref="C627" si="290">D627+N627+P627+R627+T627+V627+X627</f>
        <v>2329284</v>
      </c>
      <c r="D627" s="1289">
        <f t="shared" ref="D627" si="291">SUM(E627:J627)</f>
        <v>0</v>
      </c>
      <c r="E627" s="1289">
        <v>0</v>
      </c>
      <c r="F627" s="1289">
        <v>0</v>
      </c>
      <c r="G627" s="1289">
        <v>0</v>
      </c>
      <c r="H627" s="1289">
        <v>0</v>
      </c>
      <c r="I627" s="1289">
        <v>0</v>
      </c>
      <c r="J627" s="1289">
        <v>0</v>
      </c>
      <c r="K627" s="1278">
        <v>0</v>
      </c>
      <c r="L627" s="1289">
        <v>0</v>
      </c>
      <c r="M627" s="1278">
        <v>0</v>
      </c>
      <c r="N627" s="1289">
        <v>0</v>
      </c>
      <c r="O627" s="1289">
        <v>688.2</v>
      </c>
      <c r="P627" s="1289">
        <v>2160097</v>
      </c>
      <c r="Q627" s="1289">
        <v>0</v>
      </c>
      <c r="R627" s="1289">
        <v>0</v>
      </c>
      <c r="S627" s="1289">
        <v>0</v>
      </c>
      <c r="T627" s="1289">
        <v>0</v>
      </c>
      <c r="U627" s="1289">
        <v>0</v>
      </c>
      <c r="V627" s="1289">
        <v>0</v>
      </c>
      <c r="W627" s="1268">
        <v>0</v>
      </c>
      <c r="X627" s="1289">
        <v>169187</v>
      </c>
      <c r="Y627" s="1289">
        <v>0</v>
      </c>
    </row>
    <row r="628" spans="1:25" s="1280" customFormat="1">
      <c r="A628" s="1281">
        <v>151</v>
      </c>
      <c r="B628" s="1277" t="s">
        <v>1583</v>
      </c>
      <c r="C628" s="1289">
        <f t="shared" ref="C628:C630" si="292">D628+N628+P628+R628+T628+V628+X628</f>
        <v>1847665</v>
      </c>
      <c r="D628" s="1289">
        <f t="shared" ref="D628:D630" si="293">SUM(E628:J628)</f>
        <v>0</v>
      </c>
      <c r="E628" s="1289">
        <v>0</v>
      </c>
      <c r="F628" s="1289">
        <v>0</v>
      </c>
      <c r="G628" s="1289">
        <v>0</v>
      </c>
      <c r="H628" s="1289">
        <v>0</v>
      </c>
      <c r="I628" s="1289">
        <v>0</v>
      </c>
      <c r="J628" s="1289">
        <v>0</v>
      </c>
      <c r="K628" s="1278">
        <v>0</v>
      </c>
      <c r="L628" s="1289">
        <v>0</v>
      </c>
      <c r="M628" s="1278">
        <v>0</v>
      </c>
      <c r="N628" s="1289">
        <v>0</v>
      </c>
      <c r="O628" s="1289">
        <v>680</v>
      </c>
      <c r="P628" s="1289">
        <v>1713460</v>
      </c>
      <c r="Q628" s="1289">
        <v>0</v>
      </c>
      <c r="R628" s="1289">
        <v>0</v>
      </c>
      <c r="S628" s="1289">
        <v>0</v>
      </c>
      <c r="T628" s="1289">
        <v>0</v>
      </c>
      <c r="U628" s="1289">
        <v>0</v>
      </c>
      <c r="V628" s="1289">
        <v>0</v>
      </c>
      <c r="W628" s="1328">
        <v>0</v>
      </c>
      <c r="X628" s="1289">
        <v>134205</v>
      </c>
      <c r="Y628" s="1289">
        <v>0</v>
      </c>
    </row>
    <row r="629" spans="1:25" s="1280" customFormat="1">
      <c r="A629" s="1281">
        <v>152</v>
      </c>
      <c r="B629" s="1277" t="s">
        <v>1584</v>
      </c>
      <c r="C629" s="1289">
        <f t="shared" si="292"/>
        <v>3255987</v>
      </c>
      <c r="D629" s="1289">
        <f t="shared" si="293"/>
        <v>0</v>
      </c>
      <c r="E629" s="1289">
        <v>0</v>
      </c>
      <c r="F629" s="1289">
        <v>0</v>
      </c>
      <c r="G629" s="1289">
        <v>0</v>
      </c>
      <c r="H629" s="1289">
        <v>0</v>
      </c>
      <c r="I629" s="1289">
        <v>0</v>
      </c>
      <c r="J629" s="1289">
        <v>0</v>
      </c>
      <c r="K629" s="1278">
        <v>0</v>
      </c>
      <c r="L629" s="1289">
        <v>0</v>
      </c>
      <c r="M629" s="1278">
        <v>0</v>
      </c>
      <c r="N629" s="1289">
        <v>0</v>
      </c>
      <c r="O629" s="1289">
        <v>962</v>
      </c>
      <c r="P629" s="1289">
        <v>3019489</v>
      </c>
      <c r="Q629" s="1289">
        <v>0</v>
      </c>
      <c r="R629" s="1289">
        <v>0</v>
      </c>
      <c r="S629" s="1289">
        <v>0</v>
      </c>
      <c r="T629" s="1289">
        <v>0</v>
      </c>
      <c r="U629" s="1289">
        <v>0</v>
      </c>
      <c r="V629" s="1289">
        <v>0</v>
      </c>
      <c r="W629" s="1328">
        <v>0</v>
      </c>
      <c r="X629" s="1289">
        <v>236498</v>
      </c>
      <c r="Y629" s="1289">
        <v>0</v>
      </c>
    </row>
    <row r="630" spans="1:25" s="1280" customFormat="1">
      <c r="A630" s="1281">
        <v>153</v>
      </c>
      <c r="B630" s="1277" t="s">
        <v>1585</v>
      </c>
      <c r="C630" s="1289">
        <f t="shared" si="292"/>
        <v>3580909</v>
      </c>
      <c r="D630" s="1289">
        <f t="shared" si="293"/>
        <v>0</v>
      </c>
      <c r="E630" s="1289">
        <v>0</v>
      </c>
      <c r="F630" s="1289">
        <v>0</v>
      </c>
      <c r="G630" s="1289">
        <v>0</v>
      </c>
      <c r="H630" s="1289">
        <v>0</v>
      </c>
      <c r="I630" s="1289">
        <v>0</v>
      </c>
      <c r="J630" s="1289">
        <v>0</v>
      </c>
      <c r="K630" s="1278">
        <v>0</v>
      </c>
      <c r="L630" s="1289">
        <v>0</v>
      </c>
      <c r="M630" s="1278">
        <v>0</v>
      </c>
      <c r="N630" s="1289">
        <v>0</v>
      </c>
      <c r="O630" s="1289">
        <v>1058</v>
      </c>
      <c r="P630" s="1289">
        <v>3320810</v>
      </c>
      <c r="Q630" s="1289">
        <v>0</v>
      </c>
      <c r="R630" s="1289">
        <v>0</v>
      </c>
      <c r="S630" s="1289">
        <v>0</v>
      </c>
      <c r="T630" s="1289">
        <v>0</v>
      </c>
      <c r="U630" s="1289">
        <v>0</v>
      </c>
      <c r="V630" s="1289">
        <v>0</v>
      </c>
      <c r="W630" s="1268">
        <v>0</v>
      </c>
      <c r="X630" s="1289">
        <v>260099</v>
      </c>
      <c r="Y630" s="1289">
        <v>0</v>
      </c>
    </row>
    <row r="631" spans="1:25" s="1280" customFormat="1" ht="75.599999999999994">
      <c r="A631" s="1281"/>
      <c r="B631" s="1277" t="s">
        <v>2015</v>
      </c>
      <c r="C631" s="1268">
        <f>C632+C633</f>
        <v>3158318</v>
      </c>
      <c r="D631" s="1268">
        <f t="shared" ref="D631:Y631" si="294">D632+D633</f>
        <v>0</v>
      </c>
      <c r="E631" s="1268">
        <f t="shared" si="294"/>
        <v>0</v>
      </c>
      <c r="F631" s="1268">
        <f t="shared" si="294"/>
        <v>0</v>
      </c>
      <c r="G631" s="1268">
        <f t="shared" si="294"/>
        <v>0</v>
      </c>
      <c r="H631" s="1268">
        <f t="shared" si="294"/>
        <v>0</v>
      </c>
      <c r="I631" s="1268">
        <f t="shared" si="294"/>
        <v>0</v>
      </c>
      <c r="J631" s="1268">
        <f t="shared" si="294"/>
        <v>0</v>
      </c>
      <c r="K631" s="1278">
        <f t="shared" si="294"/>
        <v>0</v>
      </c>
      <c r="L631" s="1268">
        <f t="shared" si="294"/>
        <v>0</v>
      </c>
      <c r="M631" s="1278">
        <f t="shared" si="294"/>
        <v>0</v>
      </c>
      <c r="N631" s="1268">
        <f t="shared" si="294"/>
        <v>0</v>
      </c>
      <c r="O631" s="1268">
        <f t="shared" si="294"/>
        <v>720</v>
      </c>
      <c r="P631" s="1268">
        <f t="shared" si="294"/>
        <v>2928914</v>
      </c>
      <c r="Q631" s="1268">
        <f t="shared" si="294"/>
        <v>0</v>
      </c>
      <c r="R631" s="1268">
        <f t="shared" si="294"/>
        <v>0</v>
      </c>
      <c r="S631" s="1268">
        <f t="shared" si="294"/>
        <v>0</v>
      </c>
      <c r="T631" s="1268">
        <f t="shared" si="294"/>
        <v>0</v>
      </c>
      <c r="U631" s="1268">
        <f t="shared" si="294"/>
        <v>0</v>
      </c>
      <c r="V631" s="1268">
        <f t="shared" si="294"/>
        <v>0</v>
      </c>
      <c r="W631" s="1328">
        <v>0</v>
      </c>
      <c r="X631" s="1268">
        <f t="shared" si="294"/>
        <v>229404</v>
      </c>
      <c r="Y631" s="1268">
        <f t="shared" si="294"/>
        <v>0</v>
      </c>
    </row>
    <row r="632" spans="1:25" s="1280" customFormat="1">
      <c r="A632" s="1281">
        <v>154</v>
      </c>
      <c r="B632" s="1267" t="s">
        <v>1315</v>
      </c>
      <c r="C632" s="1268">
        <f>D632+N632+P632+R632+T632+V632+X632+L632</f>
        <v>2344660</v>
      </c>
      <c r="D632" s="1268">
        <f t="shared" ref="D632:D633" si="295">SUM(E632:J632)</f>
        <v>0</v>
      </c>
      <c r="E632" s="1268">
        <v>0</v>
      </c>
      <c r="F632" s="1268">
        <v>0</v>
      </c>
      <c r="G632" s="1268">
        <v>0</v>
      </c>
      <c r="H632" s="1268">
        <v>0</v>
      </c>
      <c r="I632" s="1268">
        <v>0</v>
      </c>
      <c r="J632" s="1268">
        <v>0</v>
      </c>
      <c r="K632" s="1278">
        <v>0</v>
      </c>
      <c r="L632" s="1268">
        <v>0</v>
      </c>
      <c r="M632" s="1278">
        <v>0</v>
      </c>
      <c r="N632" s="1268">
        <v>0</v>
      </c>
      <c r="O632" s="1268">
        <v>480</v>
      </c>
      <c r="P632" s="1268">
        <v>2174356</v>
      </c>
      <c r="Q632" s="1268">
        <v>0</v>
      </c>
      <c r="R632" s="1268">
        <v>0</v>
      </c>
      <c r="S632" s="1268">
        <v>0</v>
      </c>
      <c r="T632" s="1268">
        <v>0</v>
      </c>
      <c r="U632" s="1268">
        <v>0</v>
      </c>
      <c r="V632" s="1268">
        <v>0</v>
      </c>
      <c r="W632" s="1328">
        <v>0</v>
      </c>
      <c r="X632" s="1268">
        <v>170304</v>
      </c>
      <c r="Y632" s="1268">
        <v>0</v>
      </c>
    </row>
    <row r="633" spans="1:25" s="1280" customFormat="1">
      <c r="A633" s="1281">
        <v>155</v>
      </c>
      <c r="B633" s="1267" t="s">
        <v>1209</v>
      </c>
      <c r="C633" s="1268">
        <f>D633+N633+P633+R633+T633+V633+X633+L633</f>
        <v>813658</v>
      </c>
      <c r="D633" s="1268">
        <f t="shared" si="295"/>
        <v>0</v>
      </c>
      <c r="E633" s="1268">
        <v>0</v>
      </c>
      <c r="F633" s="1268">
        <v>0</v>
      </c>
      <c r="G633" s="1268">
        <v>0</v>
      </c>
      <c r="H633" s="1268">
        <v>0</v>
      </c>
      <c r="I633" s="1268">
        <v>0</v>
      </c>
      <c r="J633" s="1268">
        <v>0</v>
      </c>
      <c r="K633" s="1278">
        <v>0</v>
      </c>
      <c r="L633" s="1268">
        <v>0</v>
      </c>
      <c r="M633" s="1278">
        <v>0</v>
      </c>
      <c r="N633" s="1268">
        <v>0</v>
      </c>
      <c r="O633" s="1268">
        <v>240</v>
      </c>
      <c r="P633" s="1268">
        <v>754558</v>
      </c>
      <c r="Q633" s="1268">
        <v>0</v>
      </c>
      <c r="R633" s="1268">
        <v>0</v>
      </c>
      <c r="S633" s="1268">
        <v>0</v>
      </c>
      <c r="T633" s="1268">
        <v>0</v>
      </c>
      <c r="U633" s="1268">
        <v>0</v>
      </c>
      <c r="V633" s="1268">
        <v>0</v>
      </c>
      <c r="W633" s="1268">
        <v>0</v>
      </c>
      <c r="X633" s="1268">
        <v>59100</v>
      </c>
      <c r="Y633" s="1268">
        <v>0</v>
      </c>
    </row>
    <row r="634" spans="1:25" s="1280" customFormat="1">
      <c r="A634" s="1281"/>
      <c r="B634" s="1277" t="s">
        <v>55</v>
      </c>
      <c r="C634" s="1268">
        <f>C635</f>
        <v>4304423</v>
      </c>
      <c r="D634" s="1268">
        <f t="shared" ref="D634:Y634" si="296">D635</f>
        <v>0</v>
      </c>
      <c r="E634" s="1268">
        <f t="shared" si="296"/>
        <v>0</v>
      </c>
      <c r="F634" s="1268">
        <f t="shared" si="296"/>
        <v>0</v>
      </c>
      <c r="G634" s="1268">
        <f t="shared" si="296"/>
        <v>0</v>
      </c>
      <c r="H634" s="1268">
        <f t="shared" si="296"/>
        <v>0</v>
      </c>
      <c r="I634" s="1268">
        <f t="shared" si="296"/>
        <v>0</v>
      </c>
      <c r="J634" s="1268">
        <f t="shared" si="296"/>
        <v>0</v>
      </c>
      <c r="K634" s="1278">
        <f t="shared" si="296"/>
        <v>0</v>
      </c>
      <c r="L634" s="1268">
        <f t="shared" si="296"/>
        <v>0</v>
      </c>
      <c r="M634" s="1278">
        <f t="shared" si="296"/>
        <v>0</v>
      </c>
      <c r="N634" s="1268">
        <f t="shared" si="296"/>
        <v>0</v>
      </c>
      <c r="O634" s="1268">
        <f t="shared" si="296"/>
        <v>1079</v>
      </c>
      <c r="P634" s="1268">
        <f t="shared" si="296"/>
        <v>3991772</v>
      </c>
      <c r="Q634" s="1268">
        <f t="shared" si="296"/>
        <v>0</v>
      </c>
      <c r="R634" s="1268">
        <f t="shared" si="296"/>
        <v>0</v>
      </c>
      <c r="S634" s="1268">
        <f t="shared" si="296"/>
        <v>0</v>
      </c>
      <c r="T634" s="1268">
        <f t="shared" si="296"/>
        <v>0</v>
      </c>
      <c r="U634" s="1268">
        <f t="shared" si="296"/>
        <v>0</v>
      </c>
      <c r="V634" s="1268">
        <f t="shared" si="296"/>
        <v>0</v>
      </c>
      <c r="W634" s="1328">
        <v>0</v>
      </c>
      <c r="X634" s="1268">
        <f t="shared" si="296"/>
        <v>312651</v>
      </c>
      <c r="Y634" s="1268">
        <f t="shared" si="296"/>
        <v>0</v>
      </c>
    </row>
    <row r="635" spans="1:25" s="1280" customFormat="1" ht="113.4">
      <c r="A635" s="1281"/>
      <c r="B635" s="1277" t="s">
        <v>1090</v>
      </c>
      <c r="C635" s="1268">
        <f>C636</f>
        <v>4304423</v>
      </c>
      <c r="D635" s="1268">
        <f t="shared" ref="D635:Y635" si="297">D636</f>
        <v>0</v>
      </c>
      <c r="E635" s="1268">
        <f t="shared" si="297"/>
        <v>0</v>
      </c>
      <c r="F635" s="1268">
        <f t="shared" si="297"/>
        <v>0</v>
      </c>
      <c r="G635" s="1268">
        <f t="shared" si="297"/>
        <v>0</v>
      </c>
      <c r="H635" s="1268">
        <f t="shared" si="297"/>
        <v>0</v>
      </c>
      <c r="I635" s="1268">
        <f t="shared" si="297"/>
        <v>0</v>
      </c>
      <c r="J635" s="1268">
        <f t="shared" si="297"/>
        <v>0</v>
      </c>
      <c r="K635" s="1278">
        <f t="shared" si="297"/>
        <v>0</v>
      </c>
      <c r="L635" s="1268">
        <f t="shared" si="297"/>
        <v>0</v>
      </c>
      <c r="M635" s="1278">
        <f t="shared" si="297"/>
        <v>0</v>
      </c>
      <c r="N635" s="1268">
        <f t="shared" si="297"/>
        <v>0</v>
      </c>
      <c r="O635" s="1268">
        <f t="shared" si="297"/>
        <v>1079</v>
      </c>
      <c r="P635" s="1268">
        <f t="shared" si="297"/>
        <v>3991772</v>
      </c>
      <c r="Q635" s="1268">
        <f t="shared" si="297"/>
        <v>0</v>
      </c>
      <c r="R635" s="1268">
        <f t="shared" si="297"/>
        <v>0</v>
      </c>
      <c r="S635" s="1268">
        <f t="shared" si="297"/>
        <v>0</v>
      </c>
      <c r="T635" s="1268">
        <f t="shared" si="297"/>
        <v>0</v>
      </c>
      <c r="U635" s="1268">
        <f t="shared" si="297"/>
        <v>0</v>
      </c>
      <c r="V635" s="1268">
        <f t="shared" si="297"/>
        <v>0</v>
      </c>
      <c r="W635" s="1268">
        <v>0</v>
      </c>
      <c r="X635" s="1268">
        <f t="shared" si="297"/>
        <v>312651</v>
      </c>
      <c r="Y635" s="1268">
        <f t="shared" si="297"/>
        <v>0</v>
      </c>
    </row>
    <row r="636" spans="1:25" s="1280" customFormat="1" ht="75.599999999999994">
      <c r="A636" s="1281">
        <v>156</v>
      </c>
      <c r="B636" s="1267" t="s">
        <v>2471</v>
      </c>
      <c r="C636" s="1268">
        <f>D636+N636+P636+R636+T636+V636+X636</f>
        <v>4304423</v>
      </c>
      <c r="D636" s="1268">
        <f>SUM(E636:J636)</f>
        <v>0</v>
      </c>
      <c r="E636" s="1268">
        <v>0</v>
      </c>
      <c r="F636" s="1268">
        <v>0</v>
      </c>
      <c r="G636" s="1268">
        <v>0</v>
      </c>
      <c r="H636" s="1268">
        <v>0</v>
      </c>
      <c r="I636" s="1268">
        <v>0</v>
      </c>
      <c r="J636" s="1268">
        <v>0</v>
      </c>
      <c r="K636" s="1278">
        <v>0</v>
      </c>
      <c r="L636" s="1268">
        <v>0</v>
      </c>
      <c r="M636" s="1278">
        <v>0</v>
      </c>
      <c r="N636" s="1268">
        <v>0</v>
      </c>
      <c r="O636" s="1268">
        <v>1079</v>
      </c>
      <c r="P636" s="1268">
        <v>3991772</v>
      </c>
      <c r="Q636" s="1268">
        <v>0</v>
      </c>
      <c r="R636" s="1268">
        <v>0</v>
      </c>
      <c r="S636" s="1268">
        <v>0</v>
      </c>
      <c r="T636" s="1268">
        <v>0</v>
      </c>
      <c r="U636" s="1268">
        <v>0</v>
      </c>
      <c r="V636" s="1268">
        <v>0</v>
      </c>
      <c r="W636" s="1328">
        <v>0</v>
      </c>
      <c r="X636" s="1268">
        <v>312651</v>
      </c>
      <c r="Y636" s="1268">
        <v>0</v>
      </c>
    </row>
    <row r="637" spans="1:25" s="1280" customFormat="1">
      <c r="A637" s="1281"/>
      <c r="B637" s="1267" t="s">
        <v>56</v>
      </c>
      <c r="C637" s="1268">
        <f>C641+C643+C638</f>
        <v>10130044</v>
      </c>
      <c r="D637" s="1268">
        <f t="shared" ref="D637:Y637" si="298">D641+D643+D638</f>
        <v>5453923</v>
      </c>
      <c r="E637" s="1268">
        <f t="shared" si="298"/>
        <v>938560</v>
      </c>
      <c r="F637" s="1268">
        <f t="shared" si="298"/>
        <v>1482591</v>
      </c>
      <c r="G637" s="1268">
        <f t="shared" si="298"/>
        <v>636642</v>
      </c>
      <c r="H637" s="1268">
        <f t="shared" si="298"/>
        <v>910268</v>
      </c>
      <c r="I637" s="1268">
        <f t="shared" si="298"/>
        <v>910268</v>
      </c>
      <c r="J637" s="1268">
        <f t="shared" si="298"/>
        <v>575594</v>
      </c>
      <c r="K637" s="1278">
        <f t="shared" si="298"/>
        <v>0</v>
      </c>
      <c r="L637" s="1268">
        <f t="shared" si="298"/>
        <v>0</v>
      </c>
      <c r="M637" s="1278">
        <f t="shared" si="298"/>
        <v>0</v>
      </c>
      <c r="N637" s="1268">
        <f t="shared" si="298"/>
        <v>0</v>
      </c>
      <c r="O637" s="1268">
        <f t="shared" si="298"/>
        <v>1366.4</v>
      </c>
      <c r="P637" s="1268">
        <f t="shared" si="298"/>
        <v>3940326</v>
      </c>
      <c r="Q637" s="1268">
        <f t="shared" si="298"/>
        <v>0</v>
      </c>
      <c r="R637" s="1268">
        <f t="shared" si="298"/>
        <v>0</v>
      </c>
      <c r="S637" s="1268">
        <f t="shared" si="298"/>
        <v>0</v>
      </c>
      <c r="T637" s="1268">
        <f t="shared" si="298"/>
        <v>0</v>
      </c>
      <c r="U637" s="1268">
        <f t="shared" si="298"/>
        <v>0</v>
      </c>
      <c r="V637" s="1268">
        <f t="shared" si="298"/>
        <v>0</v>
      </c>
      <c r="W637" s="1328">
        <v>0</v>
      </c>
      <c r="X637" s="1268">
        <f t="shared" si="298"/>
        <v>735795</v>
      </c>
      <c r="Y637" s="1268">
        <f t="shared" si="298"/>
        <v>0</v>
      </c>
    </row>
    <row r="638" spans="1:25" s="1280" customFormat="1" ht="113.4">
      <c r="A638" s="1281"/>
      <c r="B638" s="1277" t="s">
        <v>1091</v>
      </c>
      <c r="C638" s="1268">
        <f>C639+C640</f>
        <v>7139153</v>
      </c>
      <c r="D638" s="1268">
        <f t="shared" ref="D638:Y638" si="299">D639+D640</f>
        <v>5453923</v>
      </c>
      <c r="E638" s="1268">
        <f t="shared" si="299"/>
        <v>938560</v>
      </c>
      <c r="F638" s="1268">
        <f t="shared" si="299"/>
        <v>1482591</v>
      </c>
      <c r="G638" s="1268">
        <f t="shared" si="299"/>
        <v>636642</v>
      </c>
      <c r="H638" s="1268">
        <f t="shared" si="299"/>
        <v>910268</v>
      </c>
      <c r="I638" s="1268">
        <f t="shared" si="299"/>
        <v>910268</v>
      </c>
      <c r="J638" s="1268">
        <f t="shared" si="299"/>
        <v>575594</v>
      </c>
      <c r="K638" s="1278">
        <f t="shared" si="299"/>
        <v>0</v>
      </c>
      <c r="L638" s="1268">
        <f t="shared" si="299"/>
        <v>0</v>
      </c>
      <c r="M638" s="1278">
        <f t="shared" si="299"/>
        <v>0</v>
      </c>
      <c r="N638" s="1268">
        <f t="shared" si="299"/>
        <v>0</v>
      </c>
      <c r="O638" s="1268">
        <f t="shared" si="299"/>
        <v>371.7</v>
      </c>
      <c r="P638" s="1268">
        <f t="shared" si="299"/>
        <v>1166678</v>
      </c>
      <c r="Q638" s="1268">
        <f t="shared" si="299"/>
        <v>0</v>
      </c>
      <c r="R638" s="1268">
        <f t="shared" si="299"/>
        <v>0</v>
      </c>
      <c r="S638" s="1268">
        <f t="shared" si="299"/>
        <v>0</v>
      </c>
      <c r="T638" s="1268">
        <f t="shared" si="299"/>
        <v>0</v>
      </c>
      <c r="U638" s="1268">
        <f t="shared" si="299"/>
        <v>0</v>
      </c>
      <c r="V638" s="1268">
        <f t="shared" si="299"/>
        <v>0</v>
      </c>
      <c r="W638" s="1268">
        <v>0</v>
      </c>
      <c r="X638" s="1268">
        <f t="shared" si="299"/>
        <v>518552</v>
      </c>
      <c r="Y638" s="1268">
        <f t="shared" si="299"/>
        <v>0</v>
      </c>
    </row>
    <row r="639" spans="1:25" s="1280" customFormat="1">
      <c r="A639" s="1281">
        <v>157</v>
      </c>
      <c r="B639" s="1277" t="s">
        <v>1306</v>
      </c>
      <c r="C639" s="1310">
        <f t="shared" ref="C639:C640" si="300">D639+P639+T639+X639</f>
        <v>5713050</v>
      </c>
      <c r="D639" s="1310">
        <f t="shared" ref="D639:D640" si="301">E639+F639+G639+H639+I639+J639</f>
        <v>5298083</v>
      </c>
      <c r="E639" s="1310">
        <v>782720</v>
      </c>
      <c r="F639" s="1310">
        <v>1482591</v>
      </c>
      <c r="G639" s="1310">
        <v>636642</v>
      </c>
      <c r="H639" s="1310">
        <v>910268</v>
      </c>
      <c r="I639" s="1310">
        <v>910268</v>
      </c>
      <c r="J639" s="1310">
        <v>575594</v>
      </c>
      <c r="K639" s="1308">
        <v>0</v>
      </c>
      <c r="L639" s="1310">
        <v>0</v>
      </c>
      <c r="M639" s="1308">
        <v>0</v>
      </c>
      <c r="N639" s="1310">
        <v>0</v>
      </c>
      <c r="O639" s="1310">
        <v>0</v>
      </c>
      <c r="P639" s="1310">
        <v>0</v>
      </c>
      <c r="Q639" s="1310">
        <v>0</v>
      </c>
      <c r="R639" s="1310">
        <v>0</v>
      </c>
      <c r="S639" s="1310">
        <v>0</v>
      </c>
      <c r="T639" s="1310">
        <v>0</v>
      </c>
      <c r="U639" s="1310">
        <v>0</v>
      </c>
      <c r="V639" s="1310">
        <v>0</v>
      </c>
      <c r="W639" s="1328">
        <v>0</v>
      </c>
      <c r="X639" s="1310">
        <v>414967</v>
      </c>
      <c r="Y639" s="1313">
        <v>0</v>
      </c>
    </row>
    <row r="640" spans="1:25" s="1280" customFormat="1" ht="75.599999999999994">
      <c r="A640" s="1281">
        <v>158</v>
      </c>
      <c r="B640" s="1277" t="s">
        <v>1307</v>
      </c>
      <c r="C640" s="1268">
        <f t="shared" si="300"/>
        <v>1426103</v>
      </c>
      <c r="D640" s="1310">
        <f t="shared" si="301"/>
        <v>155840</v>
      </c>
      <c r="E640" s="1268">
        <v>155840</v>
      </c>
      <c r="F640" s="1268">
        <v>0</v>
      </c>
      <c r="G640" s="1268">
        <v>0</v>
      </c>
      <c r="H640" s="1268">
        <v>0</v>
      </c>
      <c r="I640" s="1268">
        <v>0</v>
      </c>
      <c r="J640" s="1268">
        <v>0</v>
      </c>
      <c r="K640" s="1278">
        <v>0</v>
      </c>
      <c r="L640" s="1268">
        <v>0</v>
      </c>
      <c r="M640" s="1278">
        <v>0</v>
      </c>
      <c r="N640" s="1268">
        <v>0</v>
      </c>
      <c r="O640" s="1268">
        <v>371.7</v>
      </c>
      <c r="P640" s="1268">
        <v>1166678</v>
      </c>
      <c r="Q640" s="1268">
        <v>0</v>
      </c>
      <c r="R640" s="1268">
        <v>0</v>
      </c>
      <c r="S640" s="1268">
        <v>0</v>
      </c>
      <c r="T640" s="1268">
        <v>0</v>
      </c>
      <c r="U640" s="1268">
        <v>0</v>
      </c>
      <c r="V640" s="1268">
        <v>0</v>
      </c>
      <c r="W640" s="1328">
        <v>0</v>
      </c>
      <c r="X640" s="1268">
        <v>103585</v>
      </c>
      <c r="Y640" s="1268">
        <v>0</v>
      </c>
    </row>
    <row r="641" spans="1:25" s="1280" customFormat="1" ht="113.4">
      <c r="A641" s="1281"/>
      <c r="B641" s="1277" t="s">
        <v>1092</v>
      </c>
      <c r="C641" s="1268">
        <f>C642</f>
        <v>1461133</v>
      </c>
      <c r="D641" s="1268">
        <f t="shared" ref="D641:Y641" si="302">D642</f>
        <v>0</v>
      </c>
      <c r="E641" s="1268">
        <f t="shared" si="302"/>
        <v>0</v>
      </c>
      <c r="F641" s="1268">
        <f t="shared" si="302"/>
        <v>0</v>
      </c>
      <c r="G641" s="1268">
        <f t="shared" si="302"/>
        <v>0</v>
      </c>
      <c r="H641" s="1268">
        <f t="shared" si="302"/>
        <v>0</v>
      </c>
      <c r="I641" s="1268">
        <f t="shared" si="302"/>
        <v>0</v>
      </c>
      <c r="J641" s="1268">
        <f t="shared" si="302"/>
        <v>0</v>
      </c>
      <c r="K641" s="1278">
        <v>0</v>
      </c>
      <c r="L641" s="1268">
        <v>0</v>
      </c>
      <c r="M641" s="1278">
        <f t="shared" si="302"/>
        <v>0</v>
      </c>
      <c r="N641" s="1268">
        <f t="shared" si="302"/>
        <v>0</v>
      </c>
      <c r="O641" s="1268">
        <f t="shared" si="302"/>
        <v>431.7</v>
      </c>
      <c r="P641" s="1268">
        <f t="shared" si="302"/>
        <v>1355004</v>
      </c>
      <c r="Q641" s="1268">
        <f t="shared" si="302"/>
        <v>0</v>
      </c>
      <c r="R641" s="1268">
        <f t="shared" si="302"/>
        <v>0</v>
      </c>
      <c r="S641" s="1268">
        <f t="shared" si="302"/>
        <v>0</v>
      </c>
      <c r="T641" s="1268">
        <f t="shared" si="302"/>
        <v>0</v>
      </c>
      <c r="U641" s="1268">
        <f t="shared" si="302"/>
        <v>0</v>
      </c>
      <c r="V641" s="1268">
        <f t="shared" si="302"/>
        <v>0</v>
      </c>
      <c r="W641" s="1268">
        <v>0</v>
      </c>
      <c r="X641" s="1268">
        <f t="shared" si="302"/>
        <v>106129</v>
      </c>
      <c r="Y641" s="1268">
        <f t="shared" si="302"/>
        <v>0</v>
      </c>
    </row>
    <row r="642" spans="1:25" s="1280" customFormat="1">
      <c r="A642" s="1281">
        <v>159</v>
      </c>
      <c r="B642" s="1277" t="s">
        <v>1144</v>
      </c>
      <c r="C642" s="1268">
        <f>D642+N642+P642+R642+T642+V642+X642</f>
        <v>1461133</v>
      </c>
      <c r="D642" s="1268">
        <f>SUM(E642:J642)</f>
        <v>0</v>
      </c>
      <c r="E642" s="1268">
        <v>0</v>
      </c>
      <c r="F642" s="1268">
        <v>0</v>
      </c>
      <c r="G642" s="1268">
        <v>0</v>
      </c>
      <c r="H642" s="1268">
        <v>0</v>
      </c>
      <c r="I642" s="1268">
        <v>0</v>
      </c>
      <c r="J642" s="1268">
        <v>0</v>
      </c>
      <c r="K642" s="1278">
        <v>0</v>
      </c>
      <c r="L642" s="1268">
        <v>0</v>
      </c>
      <c r="M642" s="1278">
        <v>0</v>
      </c>
      <c r="N642" s="1268">
        <v>0</v>
      </c>
      <c r="O642" s="1268">
        <v>431.7</v>
      </c>
      <c r="P642" s="1268">
        <v>1355004</v>
      </c>
      <c r="Q642" s="1268">
        <v>0</v>
      </c>
      <c r="R642" s="1268">
        <v>0</v>
      </c>
      <c r="S642" s="1268">
        <v>0</v>
      </c>
      <c r="T642" s="1268">
        <v>0</v>
      </c>
      <c r="U642" s="1268">
        <v>0</v>
      </c>
      <c r="V642" s="1268">
        <v>0</v>
      </c>
      <c r="W642" s="1328">
        <v>0</v>
      </c>
      <c r="X642" s="1268">
        <v>106129</v>
      </c>
      <c r="Y642" s="1268">
        <v>0</v>
      </c>
    </row>
    <row r="643" spans="1:25" s="1280" customFormat="1" ht="113.4">
      <c r="A643" s="1281"/>
      <c r="B643" s="1277" t="s">
        <v>1093</v>
      </c>
      <c r="C643" s="1268">
        <f>C644</f>
        <v>1529758</v>
      </c>
      <c r="D643" s="1268">
        <f t="shared" ref="D643:Y643" si="303">D644</f>
        <v>0</v>
      </c>
      <c r="E643" s="1268">
        <f t="shared" si="303"/>
        <v>0</v>
      </c>
      <c r="F643" s="1268">
        <f t="shared" si="303"/>
        <v>0</v>
      </c>
      <c r="G643" s="1268">
        <f t="shared" si="303"/>
        <v>0</v>
      </c>
      <c r="H643" s="1268">
        <f t="shared" si="303"/>
        <v>0</v>
      </c>
      <c r="I643" s="1268">
        <f t="shared" si="303"/>
        <v>0</v>
      </c>
      <c r="J643" s="1268">
        <f t="shared" si="303"/>
        <v>0</v>
      </c>
      <c r="K643" s="1278">
        <f t="shared" si="303"/>
        <v>0</v>
      </c>
      <c r="L643" s="1268">
        <f t="shared" si="303"/>
        <v>0</v>
      </c>
      <c r="M643" s="1278">
        <f t="shared" si="303"/>
        <v>0</v>
      </c>
      <c r="N643" s="1268">
        <f t="shared" si="303"/>
        <v>0</v>
      </c>
      <c r="O643" s="1268">
        <f t="shared" si="303"/>
        <v>563</v>
      </c>
      <c r="P643" s="1268">
        <f t="shared" si="303"/>
        <v>1418644</v>
      </c>
      <c r="Q643" s="1268">
        <f t="shared" si="303"/>
        <v>0</v>
      </c>
      <c r="R643" s="1268">
        <f t="shared" si="303"/>
        <v>0</v>
      </c>
      <c r="S643" s="1268">
        <f t="shared" si="303"/>
        <v>0</v>
      </c>
      <c r="T643" s="1268">
        <f t="shared" si="303"/>
        <v>0</v>
      </c>
      <c r="U643" s="1268">
        <f t="shared" si="303"/>
        <v>0</v>
      </c>
      <c r="V643" s="1268">
        <f t="shared" si="303"/>
        <v>0</v>
      </c>
      <c r="W643" s="1328">
        <v>0</v>
      </c>
      <c r="X643" s="1268">
        <f t="shared" si="303"/>
        <v>111114</v>
      </c>
      <c r="Y643" s="1268">
        <f t="shared" si="303"/>
        <v>0</v>
      </c>
    </row>
    <row r="644" spans="1:25" s="1280" customFormat="1" ht="75.599999999999994">
      <c r="A644" s="1281">
        <v>160</v>
      </c>
      <c r="B644" s="1277" t="s">
        <v>2472</v>
      </c>
      <c r="C644" s="1268">
        <f>D644+N644+P644+R644+T644+V644+X644</f>
        <v>1529758</v>
      </c>
      <c r="D644" s="1268">
        <f>SUM(E644:J644)</f>
        <v>0</v>
      </c>
      <c r="E644" s="1268">
        <v>0</v>
      </c>
      <c r="F644" s="1268">
        <v>0</v>
      </c>
      <c r="G644" s="1268">
        <v>0</v>
      </c>
      <c r="H644" s="1268">
        <v>0</v>
      </c>
      <c r="I644" s="1268">
        <v>0</v>
      </c>
      <c r="J644" s="1268">
        <v>0</v>
      </c>
      <c r="K644" s="1278">
        <v>0</v>
      </c>
      <c r="L644" s="1268">
        <v>0</v>
      </c>
      <c r="M644" s="1278">
        <v>0</v>
      </c>
      <c r="N644" s="1268">
        <v>0</v>
      </c>
      <c r="O644" s="1268">
        <v>563</v>
      </c>
      <c r="P644" s="1268">
        <v>1418644</v>
      </c>
      <c r="Q644" s="1268">
        <v>0</v>
      </c>
      <c r="R644" s="1268">
        <v>0</v>
      </c>
      <c r="S644" s="1268">
        <v>0</v>
      </c>
      <c r="T644" s="1268">
        <v>0</v>
      </c>
      <c r="U644" s="1268">
        <v>0</v>
      </c>
      <c r="V644" s="1268">
        <v>0</v>
      </c>
      <c r="W644" s="1268">
        <v>0</v>
      </c>
      <c r="X644" s="1268">
        <v>111114</v>
      </c>
      <c r="Y644" s="1268">
        <v>0</v>
      </c>
    </row>
    <row r="645" spans="1:25" s="1280" customFormat="1">
      <c r="A645" s="1281"/>
      <c r="B645" s="1277" t="s">
        <v>57</v>
      </c>
      <c r="C645" s="1268">
        <f>C646</f>
        <v>8642732</v>
      </c>
      <c r="D645" s="1268">
        <f t="shared" ref="D645:Y645" si="304">D646</f>
        <v>0</v>
      </c>
      <c r="E645" s="1268">
        <f t="shared" si="304"/>
        <v>0</v>
      </c>
      <c r="F645" s="1268">
        <f t="shared" si="304"/>
        <v>0</v>
      </c>
      <c r="G645" s="1268">
        <f t="shared" si="304"/>
        <v>0</v>
      </c>
      <c r="H645" s="1268">
        <f t="shared" si="304"/>
        <v>0</v>
      </c>
      <c r="I645" s="1268">
        <f t="shared" si="304"/>
        <v>0</v>
      </c>
      <c r="J645" s="1268">
        <f t="shared" si="304"/>
        <v>0</v>
      </c>
      <c r="K645" s="1278">
        <f t="shared" si="304"/>
        <v>0</v>
      </c>
      <c r="L645" s="1268">
        <f t="shared" si="304"/>
        <v>0</v>
      </c>
      <c r="M645" s="1278">
        <f t="shared" si="304"/>
        <v>0</v>
      </c>
      <c r="N645" s="1268">
        <f t="shared" si="304"/>
        <v>0</v>
      </c>
      <c r="O645" s="1268">
        <f t="shared" si="304"/>
        <v>1969</v>
      </c>
      <c r="P645" s="1268">
        <f t="shared" si="304"/>
        <v>5473236</v>
      </c>
      <c r="Q645" s="1268">
        <f t="shared" si="304"/>
        <v>0</v>
      </c>
      <c r="R645" s="1268">
        <f t="shared" si="304"/>
        <v>0</v>
      </c>
      <c r="S645" s="1268">
        <f t="shared" si="304"/>
        <v>1030</v>
      </c>
      <c r="T645" s="1268">
        <f t="shared" si="304"/>
        <v>2541733</v>
      </c>
      <c r="U645" s="1268">
        <f t="shared" si="304"/>
        <v>0</v>
      </c>
      <c r="V645" s="1268">
        <f t="shared" si="304"/>
        <v>0</v>
      </c>
      <c r="W645" s="1328">
        <v>0</v>
      </c>
      <c r="X645" s="1268">
        <f t="shared" si="304"/>
        <v>627763</v>
      </c>
      <c r="Y645" s="1268">
        <f t="shared" si="304"/>
        <v>0</v>
      </c>
    </row>
    <row r="646" spans="1:25" s="1280" customFormat="1" ht="113.4">
      <c r="A646" s="1281"/>
      <c r="B646" s="1277" t="s">
        <v>1112</v>
      </c>
      <c r="C646" s="1268">
        <f>C647+C649+C648+C650</f>
        <v>8642732</v>
      </c>
      <c r="D646" s="1268">
        <f t="shared" ref="D646:Y646" si="305">D647+D649+D648+D650</f>
        <v>0</v>
      </c>
      <c r="E646" s="1268">
        <f t="shared" si="305"/>
        <v>0</v>
      </c>
      <c r="F646" s="1268">
        <f t="shared" si="305"/>
        <v>0</v>
      </c>
      <c r="G646" s="1268">
        <f t="shared" si="305"/>
        <v>0</v>
      </c>
      <c r="H646" s="1268">
        <f t="shared" si="305"/>
        <v>0</v>
      </c>
      <c r="I646" s="1268">
        <f t="shared" si="305"/>
        <v>0</v>
      </c>
      <c r="J646" s="1268">
        <f t="shared" si="305"/>
        <v>0</v>
      </c>
      <c r="K646" s="1278">
        <f t="shared" si="305"/>
        <v>0</v>
      </c>
      <c r="L646" s="1268">
        <f t="shared" si="305"/>
        <v>0</v>
      </c>
      <c r="M646" s="1278">
        <f t="shared" si="305"/>
        <v>0</v>
      </c>
      <c r="N646" s="1268">
        <f t="shared" si="305"/>
        <v>0</v>
      </c>
      <c r="O646" s="1268">
        <f t="shared" si="305"/>
        <v>1969</v>
      </c>
      <c r="P646" s="1268">
        <f t="shared" si="305"/>
        <v>5473236</v>
      </c>
      <c r="Q646" s="1268">
        <f t="shared" si="305"/>
        <v>0</v>
      </c>
      <c r="R646" s="1268">
        <f t="shared" si="305"/>
        <v>0</v>
      </c>
      <c r="S646" s="1268">
        <f t="shared" si="305"/>
        <v>1030</v>
      </c>
      <c r="T646" s="1268">
        <f t="shared" si="305"/>
        <v>2541733</v>
      </c>
      <c r="U646" s="1268">
        <f t="shared" si="305"/>
        <v>0</v>
      </c>
      <c r="V646" s="1268">
        <f t="shared" si="305"/>
        <v>0</v>
      </c>
      <c r="W646" s="1328">
        <v>0</v>
      </c>
      <c r="X646" s="1268">
        <f t="shared" si="305"/>
        <v>627763</v>
      </c>
      <c r="Y646" s="1268">
        <f t="shared" si="305"/>
        <v>0</v>
      </c>
    </row>
    <row r="647" spans="1:25" s="1292" customFormat="1" ht="47.4" customHeight="1">
      <c r="A647" s="1281">
        <v>161</v>
      </c>
      <c r="B647" s="1277" t="s">
        <v>1359</v>
      </c>
      <c r="C647" s="1268">
        <f>D647+N647+P647+R647+T647+V647+X647</f>
        <v>944102</v>
      </c>
      <c r="D647" s="1268">
        <f>SUM(E647:J647)</f>
        <v>0</v>
      </c>
      <c r="E647" s="1268">
        <v>0</v>
      </c>
      <c r="F647" s="1268">
        <v>0</v>
      </c>
      <c r="G647" s="1268">
        <v>0</v>
      </c>
      <c r="H647" s="1268">
        <v>0</v>
      </c>
      <c r="I647" s="1268">
        <v>0</v>
      </c>
      <c r="J647" s="1268">
        <v>0</v>
      </c>
      <c r="K647" s="1278">
        <v>0</v>
      </c>
      <c r="L647" s="1268">
        <v>0</v>
      </c>
      <c r="M647" s="1278">
        <v>0</v>
      </c>
      <c r="N647" s="1268">
        <v>0</v>
      </c>
      <c r="O647" s="1268">
        <v>715</v>
      </c>
      <c r="P647" s="1268">
        <v>875527</v>
      </c>
      <c r="Q647" s="1268">
        <v>0</v>
      </c>
      <c r="R647" s="1268">
        <v>0</v>
      </c>
      <c r="S647" s="1268">
        <v>0</v>
      </c>
      <c r="T647" s="1268">
        <v>0</v>
      </c>
      <c r="U647" s="1268">
        <v>0</v>
      </c>
      <c r="V647" s="1268">
        <v>0</v>
      </c>
      <c r="W647" s="1268">
        <v>0</v>
      </c>
      <c r="X647" s="1268">
        <v>68575</v>
      </c>
      <c r="Y647" s="1268">
        <v>0</v>
      </c>
    </row>
    <row r="648" spans="1:25" s="1292" customFormat="1">
      <c r="A648" s="1281">
        <v>162</v>
      </c>
      <c r="B648" s="1277" t="s">
        <v>1680</v>
      </c>
      <c r="C648" s="1268">
        <f t="shared" ref="C648:C650" si="306">D648+N648+P648+R648+T648+V648+X648</f>
        <v>1465252</v>
      </c>
      <c r="D648" s="1268">
        <f t="shared" ref="D648:D650" si="307">SUM(E648:J648)</f>
        <v>0</v>
      </c>
      <c r="E648" s="1268">
        <v>0</v>
      </c>
      <c r="F648" s="1268">
        <v>0</v>
      </c>
      <c r="G648" s="1268">
        <v>0</v>
      </c>
      <c r="H648" s="1268">
        <v>0</v>
      </c>
      <c r="I648" s="1268">
        <v>0</v>
      </c>
      <c r="J648" s="1268">
        <v>0</v>
      </c>
      <c r="K648" s="1278">
        <v>0</v>
      </c>
      <c r="L648" s="1268">
        <v>0</v>
      </c>
      <c r="M648" s="1278">
        <v>0</v>
      </c>
      <c r="N648" s="1268">
        <v>0</v>
      </c>
      <c r="O648" s="1268">
        <v>539</v>
      </c>
      <c r="P648" s="1268">
        <v>1358824</v>
      </c>
      <c r="Q648" s="1268">
        <v>0</v>
      </c>
      <c r="R648" s="1268">
        <v>0</v>
      </c>
      <c r="S648" s="1268">
        <v>0</v>
      </c>
      <c r="T648" s="1268">
        <v>0</v>
      </c>
      <c r="U648" s="1268">
        <v>0</v>
      </c>
      <c r="V648" s="1268">
        <v>0</v>
      </c>
      <c r="W648" s="1328">
        <v>0</v>
      </c>
      <c r="X648" s="1268">
        <v>106428</v>
      </c>
      <c r="Y648" s="1268">
        <v>0</v>
      </c>
    </row>
    <row r="649" spans="1:25" s="1292" customFormat="1">
      <c r="A649" s="1281">
        <v>163</v>
      </c>
      <c r="B649" s="1277" t="s">
        <v>1892</v>
      </c>
      <c r="C649" s="1268">
        <f t="shared" si="306"/>
        <v>3492567</v>
      </c>
      <c r="D649" s="1268">
        <f t="shared" si="307"/>
        <v>0</v>
      </c>
      <c r="E649" s="1268">
        <v>0</v>
      </c>
      <c r="F649" s="1268">
        <v>0</v>
      </c>
      <c r="G649" s="1268">
        <v>0</v>
      </c>
      <c r="H649" s="1268">
        <v>0</v>
      </c>
      <c r="I649" s="1268">
        <v>0</v>
      </c>
      <c r="J649" s="1268">
        <v>0</v>
      </c>
      <c r="K649" s="1278">
        <v>0</v>
      </c>
      <c r="L649" s="1268">
        <v>0</v>
      </c>
      <c r="M649" s="1278">
        <v>0</v>
      </c>
      <c r="N649" s="1268">
        <v>0</v>
      </c>
      <c r="O649" s="1268">
        <v>715</v>
      </c>
      <c r="P649" s="1268">
        <v>3238885</v>
      </c>
      <c r="Q649" s="1268">
        <v>0</v>
      </c>
      <c r="R649" s="1268">
        <v>0</v>
      </c>
      <c r="S649" s="1268">
        <v>0</v>
      </c>
      <c r="T649" s="1268">
        <v>0</v>
      </c>
      <c r="U649" s="1268">
        <v>0</v>
      </c>
      <c r="V649" s="1268">
        <v>0</v>
      </c>
      <c r="W649" s="1328">
        <v>0</v>
      </c>
      <c r="X649" s="1268">
        <v>253682</v>
      </c>
      <c r="Y649" s="1268">
        <v>0</v>
      </c>
    </row>
    <row r="650" spans="1:25" s="1292" customFormat="1">
      <c r="A650" s="1281">
        <v>164</v>
      </c>
      <c r="B650" s="1277" t="s">
        <v>1679</v>
      </c>
      <c r="C650" s="1268">
        <f t="shared" si="306"/>
        <v>2740811</v>
      </c>
      <c r="D650" s="1268">
        <f t="shared" si="307"/>
        <v>0</v>
      </c>
      <c r="E650" s="1268">
        <v>0</v>
      </c>
      <c r="F650" s="1268">
        <v>0</v>
      </c>
      <c r="G650" s="1268">
        <v>0</v>
      </c>
      <c r="H650" s="1268">
        <v>0</v>
      </c>
      <c r="I650" s="1268">
        <v>0</v>
      </c>
      <c r="J650" s="1268">
        <v>0</v>
      </c>
      <c r="K650" s="1278">
        <v>0</v>
      </c>
      <c r="L650" s="1268">
        <v>0</v>
      </c>
      <c r="M650" s="1278">
        <v>0</v>
      </c>
      <c r="N650" s="1268">
        <v>0</v>
      </c>
      <c r="O650" s="1268">
        <v>0</v>
      </c>
      <c r="P650" s="1268">
        <v>0</v>
      </c>
      <c r="Q650" s="1268">
        <v>0</v>
      </c>
      <c r="R650" s="1268">
        <v>0</v>
      </c>
      <c r="S650" s="1268">
        <v>1030</v>
      </c>
      <c r="T650" s="1268">
        <v>2541733</v>
      </c>
      <c r="U650" s="1268">
        <v>0</v>
      </c>
      <c r="V650" s="1268">
        <v>0</v>
      </c>
      <c r="W650" s="1268">
        <v>0</v>
      </c>
      <c r="X650" s="1268">
        <v>199078</v>
      </c>
      <c r="Y650" s="1268">
        <v>0</v>
      </c>
    </row>
    <row r="651" spans="1:25" s="1292" customFormat="1" ht="113.4">
      <c r="A651" s="1281"/>
      <c r="B651" s="1277" t="s">
        <v>1220</v>
      </c>
      <c r="C651" s="1268">
        <f>C652+C653+C654</f>
        <v>6743673</v>
      </c>
      <c r="D651" s="1268">
        <f t="shared" ref="D651:Y651" si="308">D652+D653+D654</f>
        <v>516191</v>
      </c>
      <c r="E651" s="1268">
        <f t="shared" si="308"/>
        <v>0</v>
      </c>
      <c r="F651" s="1268">
        <f t="shared" si="308"/>
        <v>516191</v>
      </c>
      <c r="G651" s="1268">
        <f t="shared" si="308"/>
        <v>0</v>
      </c>
      <c r="H651" s="1268">
        <f t="shared" si="308"/>
        <v>0</v>
      </c>
      <c r="I651" s="1268">
        <f t="shared" si="308"/>
        <v>0</v>
      </c>
      <c r="J651" s="1268">
        <f t="shared" si="308"/>
        <v>0</v>
      </c>
      <c r="K651" s="1278">
        <f t="shared" si="308"/>
        <v>0</v>
      </c>
      <c r="L651" s="1268">
        <f t="shared" si="308"/>
        <v>0</v>
      </c>
      <c r="M651" s="1278">
        <f t="shared" si="308"/>
        <v>0</v>
      </c>
      <c r="N651" s="1268">
        <f t="shared" si="308"/>
        <v>0</v>
      </c>
      <c r="O651" s="1268">
        <f t="shared" si="308"/>
        <v>1828</v>
      </c>
      <c r="P651" s="1268">
        <f t="shared" si="308"/>
        <v>5737656</v>
      </c>
      <c r="Q651" s="1268">
        <f t="shared" si="308"/>
        <v>0</v>
      </c>
      <c r="R651" s="1268">
        <f t="shared" si="308"/>
        <v>0</v>
      </c>
      <c r="S651" s="1268">
        <f t="shared" si="308"/>
        <v>0</v>
      </c>
      <c r="T651" s="1268">
        <f t="shared" si="308"/>
        <v>0</v>
      </c>
      <c r="U651" s="1268">
        <f t="shared" si="308"/>
        <v>0</v>
      </c>
      <c r="V651" s="1268">
        <f t="shared" si="308"/>
        <v>0</v>
      </c>
      <c r="W651" s="1328">
        <v>0</v>
      </c>
      <c r="X651" s="1268">
        <f t="shared" si="308"/>
        <v>489826</v>
      </c>
      <c r="Y651" s="1268">
        <f t="shared" si="308"/>
        <v>0</v>
      </c>
    </row>
    <row r="652" spans="1:25" s="1280" customFormat="1">
      <c r="A652" s="1281">
        <v>165</v>
      </c>
      <c r="B652" s="1277" t="s">
        <v>1350</v>
      </c>
      <c r="C652" s="1268">
        <f t="shared" ref="C652" si="309">D652+N652+P652+R652+T652+V652+X652</f>
        <v>1658455</v>
      </c>
      <c r="D652" s="1268">
        <f t="shared" ref="D652" si="310">SUM(E652:J652)</f>
        <v>0</v>
      </c>
      <c r="E652" s="1268">
        <v>0</v>
      </c>
      <c r="F652" s="1268">
        <v>0</v>
      </c>
      <c r="G652" s="1268">
        <v>0</v>
      </c>
      <c r="H652" s="1268">
        <v>0</v>
      </c>
      <c r="I652" s="1268">
        <v>0</v>
      </c>
      <c r="J652" s="1268">
        <v>0</v>
      </c>
      <c r="K652" s="1278">
        <v>0</v>
      </c>
      <c r="L652" s="1268">
        <v>0</v>
      </c>
      <c r="M652" s="1278">
        <v>0</v>
      </c>
      <c r="N652" s="1268">
        <v>0</v>
      </c>
      <c r="O652" s="1268">
        <v>490</v>
      </c>
      <c r="P652" s="1268">
        <v>1537993</v>
      </c>
      <c r="Q652" s="1268">
        <v>0</v>
      </c>
      <c r="R652" s="1268">
        <v>0</v>
      </c>
      <c r="S652" s="1268">
        <v>0</v>
      </c>
      <c r="T652" s="1268">
        <v>0</v>
      </c>
      <c r="U652" s="1268">
        <v>0</v>
      </c>
      <c r="V652" s="1268">
        <v>0</v>
      </c>
      <c r="W652" s="1328">
        <v>0</v>
      </c>
      <c r="X652" s="1268">
        <v>120462</v>
      </c>
      <c r="Y652" s="1268">
        <v>0</v>
      </c>
    </row>
    <row r="653" spans="1:25" s="1280" customFormat="1">
      <c r="A653" s="1281">
        <v>166</v>
      </c>
      <c r="B653" s="1277" t="s">
        <v>1576</v>
      </c>
      <c r="C653" s="1268">
        <f t="shared" ref="C653:C654" si="311">D653+N653+P653+R653+T653+V653+X653</f>
        <v>3310141</v>
      </c>
      <c r="D653" s="1268">
        <f t="shared" ref="D653:D654" si="312">SUM(E653:J653)</f>
        <v>0</v>
      </c>
      <c r="E653" s="1268">
        <v>0</v>
      </c>
      <c r="F653" s="1268">
        <v>0</v>
      </c>
      <c r="G653" s="1268">
        <v>0</v>
      </c>
      <c r="H653" s="1268">
        <v>0</v>
      </c>
      <c r="I653" s="1268">
        <v>0</v>
      </c>
      <c r="J653" s="1268">
        <v>0</v>
      </c>
      <c r="K653" s="1278">
        <v>0</v>
      </c>
      <c r="L653" s="1268">
        <v>0</v>
      </c>
      <c r="M653" s="1278">
        <v>0</v>
      </c>
      <c r="N653" s="1268">
        <v>0</v>
      </c>
      <c r="O653" s="1268">
        <v>978</v>
      </c>
      <c r="P653" s="1268">
        <v>3069709</v>
      </c>
      <c r="Q653" s="1268">
        <v>0</v>
      </c>
      <c r="R653" s="1268">
        <v>0</v>
      </c>
      <c r="S653" s="1268">
        <v>0</v>
      </c>
      <c r="T653" s="1268">
        <v>0</v>
      </c>
      <c r="U653" s="1268">
        <v>0</v>
      </c>
      <c r="V653" s="1268">
        <v>0</v>
      </c>
      <c r="W653" s="1268">
        <v>0</v>
      </c>
      <c r="X653" s="1268">
        <v>240432</v>
      </c>
      <c r="Y653" s="1268">
        <v>0</v>
      </c>
    </row>
    <row r="654" spans="1:25" s="1280" customFormat="1">
      <c r="A654" s="1281">
        <v>167</v>
      </c>
      <c r="B654" s="1277" t="s">
        <v>1135</v>
      </c>
      <c r="C654" s="1268">
        <f t="shared" si="311"/>
        <v>1775077</v>
      </c>
      <c r="D654" s="1268">
        <f t="shared" si="312"/>
        <v>516191</v>
      </c>
      <c r="E654" s="1268">
        <v>0</v>
      </c>
      <c r="F654" s="1268">
        <v>516191</v>
      </c>
      <c r="G654" s="1268">
        <v>0</v>
      </c>
      <c r="H654" s="1268">
        <v>0</v>
      </c>
      <c r="I654" s="1268">
        <v>0</v>
      </c>
      <c r="J654" s="1268">
        <v>0</v>
      </c>
      <c r="K654" s="1278">
        <v>0</v>
      </c>
      <c r="L654" s="1268">
        <v>0</v>
      </c>
      <c r="M654" s="1278">
        <v>0</v>
      </c>
      <c r="N654" s="1268">
        <v>0</v>
      </c>
      <c r="O654" s="1268">
        <v>360</v>
      </c>
      <c r="P654" s="1268">
        <v>1129954</v>
      </c>
      <c r="Q654" s="1268">
        <v>0</v>
      </c>
      <c r="R654" s="1268">
        <v>0</v>
      </c>
      <c r="S654" s="1268">
        <v>0</v>
      </c>
      <c r="T654" s="1268">
        <v>0</v>
      </c>
      <c r="U654" s="1268">
        <v>0</v>
      </c>
      <c r="V654" s="1268">
        <v>0</v>
      </c>
      <c r="W654" s="1328">
        <v>0</v>
      </c>
      <c r="X654" s="1268">
        <v>128932</v>
      </c>
      <c r="Y654" s="1268">
        <v>0</v>
      </c>
    </row>
    <row r="655" spans="1:25" s="1280" customFormat="1" ht="113.4">
      <c r="A655" s="1281"/>
      <c r="B655" s="1277" t="s">
        <v>1158</v>
      </c>
      <c r="C655" s="1289">
        <f>SUM(C656:C663)</f>
        <v>30896667</v>
      </c>
      <c r="D655" s="1289">
        <f t="shared" ref="D655:Y655" si="313">SUM(D656:D663)</f>
        <v>20977022</v>
      </c>
      <c r="E655" s="1289">
        <f t="shared" si="313"/>
        <v>767467</v>
      </c>
      <c r="F655" s="1289">
        <f t="shared" si="313"/>
        <v>2406345</v>
      </c>
      <c r="G655" s="1289">
        <f t="shared" si="313"/>
        <v>0</v>
      </c>
      <c r="H655" s="1289">
        <f t="shared" si="313"/>
        <v>9173205</v>
      </c>
      <c r="I655" s="1289">
        <f t="shared" si="313"/>
        <v>7695778</v>
      </c>
      <c r="J655" s="1289">
        <f t="shared" si="313"/>
        <v>934227</v>
      </c>
      <c r="K655" s="1278">
        <f t="shared" si="313"/>
        <v>5</v>
      </c>
      <c r="L655" s="1289">
        <f t="shared" si="313"/>
        <v>1254077</v>
      </c>
      <c r="M655" s="1278">
        <f t="shared" si="313"/>
        <v>0</v>
      </c>
      <c r="N655" s="1289">
        <f t="shared" si="313"/>
        <v>0</v>
      </c>
      <c r="O655" s="1289">
        <f t="shared" si="313"/>
        <v>2429</v>
      </c>
      <c r="P655" s="1289">
        <f t="shared" si="313"/>
        <v>6421398</v>
      </c>
      <c r="Q655" s="1289">
        <f t="shared" si="313"/>
        <v>0</v>
      </c>
      <c r="R655" s="1289">
        <f t="shared" si="313"/>
        <v>0</v>
      </c>
      <c r="S655" s="1289">
        <f t="shared" si="313"/>
        <v>0</v>
      </c>
      <c r="T655" s="1289">
        <f t="shared" si="313"/>
        <v>0</v>
      </c>
      <c r="U655" s="1289">
        <f t="shared" si="313"/>
        <v>0</v>
      </c>
      <c r="V655" s="1289">
        <f t="shared" si="313"/>
        <v>0</v>
      </c>
      <c r="W655" s="1328">
        <v>0</v>
      </c>
      <c r="X655" s="1289">
        <f t="shared" si="313"/>
        <v>2244170</v>
      </c>
      <c r="Y655" s="1289">
        <f t="shared" si="313"/>
        <v>0</v>
      </c>
    </row>
    <row r="656" spans="1:25" s="1299" customFormat="1">
      <c r="A656" s="1281">
        <v>168</v>
      </c>
      <c r="B656" s="1267" t="s">
        <v>1893</v>
      </c>
      <c r="C656" s="1289">
        <f t="shared" ref="C656" si="314">D656+N656+P656+R656+T656+V656+X656+L656</f>
        <v>1497815</v>
      </c>
      <c r="D656" s="1289">
        <f t="shared" ref="D656" si="315">SUM(E656:J656)</f>
        <v>1112383</v>
      </c>
      <c r="E656" s="1289">
        <v>232110</v>
      </c>
      <c r="F656" s="1289">
        <v>439651</v>
      </c>
      <c r="G656" s="1289">
        <v>0</v>
      </c>
      <c r="H656" s="1289">
        <v>269934</v>
      </c>
      <c r="I656" s="1289">
        <v>0</v>
      </c>
      <c r="J656" s="1289">
        <v>170688</v>
      </c>
      <c r="K656" s="1278">
        <v>1</v>
      </c>
      <c r="L656" s="1289">
        <v>276639</v>
      </c>
      <c r="M656" s="1278">
        <v>0</v>
      </c>
      <c r="N656" s="1289">
        <v>0</v>
      </c>
      <c r="O656" s="1289">
        <v>0</v>
      </c>
      <c r="P656" s="1289">
        <v>0</v>
      </c>
      <c r="Q656" s="1289">
        <v>0</v>
      </c>
      <c r="R656" s="1289">
        <v>0</v>
      </c>
      <c r="S656" s="1289">
        <v>0</v>
      </c>
      <c r="T656" s="1289">
        <v>0</v>
      </c>
      <c r="U656" s="1289">
        <v>0</v>
      </c>
      <c r="V656" s="1289">
        <v>0</v>
      </c>
      <c r="W656" s="1268">
        <v>0</v>
      </c>
      <c r="X656" s="1289">
        <v>108793</v>
      </c>
      <c r="Y656" s="1289">
        <v>0</v>
      </c>
    </row>
    <row r="657" spans="1:25" s="1299" customFormat="1">
      <c r="A657" s="1281">
        <v>169</v>
      </c>
      <c r="B657" s="1267" t="s">
        <v>1398</v>
      </c>
      <c r="C657" s="1289">
        <f t="shared" ref="C657:C663" si="316">D657+N657+P657+R657+T657+V657+X657+L657</f>
        <v>3586643</v>
      </c>
      <c r="D657" s="1289">
        <f t="shared" ref="D657:D663" si="317">SUM(E657:J657)</f>
        <v>0</v>
      </c>
      <c r="E657" s="1289">
        <v>0</v>
      </c>
      <c r="F657" s="1289">
        <v>0</v>
      </c>
      <c r="G657" s="1289">
        <v>0</v>
      </c>
      <c r="H657" s="1289">
        <v>0</v>
      </c>
      <c r="I657" s="1289">
        <v>0</v>
      </c>
      <c r="J657" s="1289">
        <v>0</v>
      </c>
      <c r="K657" s="1278">
        <v>0</v>
      </c>
      <c r="L657" s="1289">
        <v>0</v>
      </c>
      <c r="M657" s="1278">
        <v>0</v>
      </c>
      <c r="N657" s="1289">
        <v>0</v>
      </c>
      <c r="O657" s="1289">
        <v>1320</v>
      </c>
      <c r="P657" s="1289">
        <v>3326128</v>
      </c>
      <c r="Q657" s="1289">
        <v>0</v>
      </c>
      <c r="R657" s="1289">
        <v>0</v>
      </c>
      <c r="S657" s="1289">
        <v>0</v>
      </c>
      <c r="T657" s="1289">
        <v>0</v>
      </c>
      <c r="U657" s="1289">
        <v>0</v>
      </c>
      <c r="V657" s="1289">
        <v>0</v>
      </c>
      <c r="W657" s="1328">
        <v>0</v>
      </c>
      <c r="X657" s="1289">
        <v>260515</v>
      </c>
      <c r="Y657" s="1289">
        <v>0</v>
      </c>
    </row>
    <row r="658" spans="1:25" s="1299" customFormat="1">
      <c r="A658" s="1281">
        <v>170</v>
      </c>
      <c r="B658" s="1267" t="s">
        <v>1400</v>
      </c>
      <c r="C658" s="1289">
        <f t="shared" si="316"/>
        <v>1692787</v>
      </c>
      <c r="D658" s="1289">
        <f t="shared" si="317"/>
        <v>0</v>
      </c>
      <c r="E658" s="1289">
        <v>0</v>
      </c>
      <c r="F658" s="1289">
        <v>0</v>
      </c>
      <c r="G658" s="1289">
        <v>0</v>
      </c>
      <c r="H658" s="1289">
        <v>0</v>
      </c>
      <c r="I658" s="1289">
        <v>0</v>
      </c>
      <c r="J658" s="1289">
        <v>0</v>
      </c>
      <c r="K658" s="1278">
        <v>0</v>
      </c>
      <c r="L658" s="1289">
        <v>0</v>
      </c>
      <c r="M658" s="1278">
        <v>0</v>
      </c>
      <c r="N658" s="1289">
        <v>0</v>
      </c>
      <c r="O658" s="1289">
        <v>623</v>
      </c>
      <c r="P658" s="1347">
        <v>1569832</v>
      </c>
      <c r="Q658" s="1289">
        <v>0</v>
      </c>
      <c r="R658" s="1289">
        <v>0</v>
      </c>
      <c r="S658" s="1289">
        <v>0</v>
      </c>
      <c r="T658" s="1289">
        <v>0</v>
      </c>
      <c r="U658" s="1289">
        <v>0</v>
      </c>
      <c r="V658" s="1289">
        <v>0</v>
      </c>
      <c r="W658" s="1328">
        <v>0</v>
      </c>
      <c r="X658" s="1289">
        <v>122955</v>
      </c>
      <c r="Y658" s="1289">
        <v>0</v>
      </c>
    </row>
    <row r="659" spans="1:25" s="1299" customFormat="1">
      <c r="A659" s="1281">
        <v>171</v>
      </c>
      <c r="B659" s="1267" t="s">
        <v>1894</v>
      </c>
      <c r="C659" s="1289">
        <f t="shared" si="316"/>
        <v>1902957</v>
      </c>
      <c r="D659" s="1289">
        <f t="shared" si="317"/>
        <v>1488098</v>
      </c>
      <c r="E659" s="1289">
        <v>310507</v>
      </c>
      <c r="F659" s="1279">
        <v>588147</v>
      </c>
      <c r="G659" s="1289">
        <v>0</v>
      </c>
      <c r="H659" s="1289">
        <v>361105</v>
      </c>
      <c r="I659" s="1289">
        <v>0</v>
      </c>
      <c r="J659" s="1289">
        <v>228339</v>
      </c>
      <c r="K659" s="1278">
        <v>1</v>
      </c>
      <c r="L659" s="1289">
        <v>276639</v>
      </c>
      <c r="M659" s="1278">
        <v>0</v>
      </c>
      <c r="N659" s="1289">
        <v>0</v>
      </c>
      <c r="O659" s="1289">
        <v>0</v>
      </c>
      <c r="P659" s="1289">
        <v>0</v>
      </c>
      <c r="Q659" s="1289">
        <v>0</v>
      </c>
      <c r="R659" s="1289">
        <v>0</v>
      </c>
      <c r="S659" s="1289">
        <v>0</v>
      </c>
      <c r="T659" s="1289">
        <v>0</v>
      </c>
      <c r="U659" s="1289">
        <v>0</v>
      </c>
      <c r="V659" s="1289">
        <v>0</v>
      </c>
      <c r="W659" s="1268">
        <v>0</v>
      </c>
      <c r="X659" s="1289">
        <v>138220</v>
      </c>
      <c r="Y659" s="1289">
        <v>0</v>
      </c>
    </row>
    <row r="660" spans="1:25" s="1299" customFormat="1" ht="75.599999999999994">
      <c r="A660" s="1281">
        <v>172</v>
      </c>
      <c r="B660" s="1267" t="s">
        <v>1393</v>
      </c>
      <c r="C660" s="1289">
        <f t="shared" si="316"/>
        <v>16756157</v>
      </c>
      <c r="D660" s="1289">
        <f t="shared" si="317"/>
        <v>15391556</v>
      </c>
      <c r="E660" s="1289">
        <v>0</v>
      </c>
      <c r="F660" s="1289">
        <v>0</v>
      </c>
      <c r="G660" s="1289">
        <v>0</v>
      </c>
      <c r="H660" s="1289">
        <v>7695778</v>
      </c>
      <c r="I660" s="1289">
        <v>7695778</v>
      </c>
      <c r="J660" s="1289">
        <v>0</v>
      </c>
      <c r="K660" s="1278">
        <v>1</v>
      </c>
      <c r="L660" s="1289">
        <v>147521</v>
      </c>
      <c r="M660" s="1278">
        <v>0</v>
      </c>
      <c r="N660" s="1289">
        <v>0</v>
      </c>
      <c r="O660" s="1289">
        <v>0</v>
      </c>
      <c r="P660" s="1289">
        <v>0</v>
      </c>
      <c r="Q660" s="1289">
        <v>0</v>
      </c>
      <c r="R660" s="1289">
        <v>0</v>
      </c>
      <c r="S660" s="1289">
        <v>0</v>
      </c>
      <c r="T660" s="1289">
        <v>0</v>
      </c>
      <c r="U660" s="1289">
        <v>0</v>
      </c>
      <c r="V660" s="1289">
        <v>0</v>
      </c>
      <c r="W660" s="1328">
        <v>0</v>
      </c>
      <c r="X660" s="1289">
        <v>1217080</v>
      </c>
      <c r="Y660" s="1289">
        <v>0</v>
      </c>
    </row>
    <row r="661" spans="1:25" s="1280" customFormat="1">
      <c r="A661" s="1281">
        <v>173</v>
      </c>
      <c r="B661" s="1267" t="s">
        <v>1401</v>
      </c>
      <c r="C661" s="1289">
        <f t="shared" si="316"/>
        <v>1460295</v>
      </c>
      <c r="D661" s="1289">
        <f t="shared" si="317"/>
        <v>1077588</v>
      </c>
      <c r="E661" s="1289">
        <v>224850</v>
      </c>
      <c r="F661" s="1289">
        <v>425899</v>
      </c>
      <c r="G661" s="1289">
        <v>0</v>
      </c>
      <c r="H661" s="1289">
        <v>261490</v>
      </c>
      <c r="I661" s="1289">
        <v>0</v>
      </c>
      <c r="J661" s="1289">
        <v>165349</v>
      </c>
      <c r="K661" s="1278">
        <v>1</v>
      </c>
      <c r="L661" s="1289">
        <v>276639</v>
      </c>
      <c r="M661" s="1278">
        <v>0</v>
      </c>
      <c r="N661" s="1289">
        <v>0</v>
      </c>
      <c r="O661" s="1289">
        <v>0</v>
      </c>
      <c r="P661" s="1289">
        <v>0</v>
      </c>
      <c r="Q661" s="1289">
        <v>0</v>
      </c>
      <c r="R661" s="1289">
        <v>0</v>
      </c>
      <c r="S661" s="1289">
        <v>0</v>
      </c>
      <c r="T661" s="1289">
        <v>0</v>
      </c>
      <c r="U661" s="1289">
        <v>0</v>
      </c>
      <c r="V661" s="1289">
        <v>0</v>
      </c>
      <c r="W661" s="1328">
        <v>0</v>
      </c>
      <c r="X661" s="1289">
        <v>106068</v>
      </c>
      <c r="Y661" s="1289">
        <v>0</v>
      </c>
    </row>
    <row r="662" spans="1:25" s="1280" customFormat="1">
      <c r="A662" s="1281">
        <v>174</v>
      </c>
      <c r="B662" s="1267" t="s">
        <v>1402</v>
      </c>
      <c r="C662" s="1289">
        <f t="shared" si="316"/>
        <v>2355097</v>
      </c>
      <c r="D662" s="1289">
        <f t="shared" si="317"/>
        <v>1907397</v>
      </c>
      <c r="E662" s="1289">
        <v>0</v>
      </c>
      <c r="F662" s="1289">
        <v>952648</v>
      </c>
      <c r="G662" s="1289">
        <v>0</v>
      </c>
      <c r="H662" s="1289">
        <v>584898</v>
      </c>
      <c r="I662" s="1289">
        <v>0</v>
      </c>
      <c r="J662" s="1289">
        <v>369851</v>
      </c>
      <c r="K662" s="1278">
        <v>1</v>
      </c>
      <c r="L662" s="1289">
        <v>276639</v>
      </c>
      <c r="M662" s="1278">
        <v>0</v>
      </c>
      <c r="N662" s="1289">
        <v>0</v>
      </c>
      <c r="O662" s="1289">
        <v>0</v>
      </c>
      <c r="P662" s="1289">
        <v>0</v>
      </c>
      <c r="Q662" s="1289">
        <v>0</v>
      </c>
      <c r="R662" s="1289">
        <v>0</v>
      </c>
      <c r="S662" s="1289">
        <v>0</v>
      </c>
      <c r="T662" s="1289">
        <v>0</v>
      </c>
      <c r="U662" s="1289">
        <v>0</v>
      </c>
      <c r="V662" s="1289">
        <v>0</v>
      </c>
      <c r="W662" s="1268">
        <v>0</v>
      </c>
      <c r="X662" s="1289">
        <v>171061</v>
      </c>
      <c r="Y662" s="1289">
        <v>0</v>
      </c>
    </row>
    <row r="663" spans="1:25" s="1280" customFormat="1">
      <c r="A663" s="1281">
        <v>175</v>
      </c>
      <c r="B663" s="1267" t="s">
        <v>2314</v>
      </c>
      <c r="C663" s="1289">
        <f t="shared" si="316"/>
        <v>1644916</v>
      </c>
      <c r="D663" s="1289">
        <f t="shared" si="317"/>
        <v>0</v>
      </c>
      <c r="E663" s="1289">
        <v>0</v>
      </c>
      <c r="F663" s="1289">
        <v>0</v>
      </c>
      <c r="G663" s="1289">
        <v>0</v>
      </c>
      <c r="H663" s="1289">
        <v>0</v>
      </c>
      <c r="I663" s="1289">
        <v>0</v>
      </c>
      <c r="J663" s="1289">
        <v>0</v>
      </c>
      <c r="K663" s="1278">
        <v>0</v>
      </c>
      <c r="L663" s="1289">
        <v>0</v>
      </c>
      <c r="M663" s="1278">
        <v>0</v>
      </c>
      <c r="N663" s="1289">
        <v>0</v>
      </c>
      <c r="O663" s="1289">
        <v>486</v>
      </c>
      <c r="P663" s="1289">
        <v>1525438</v>
      </c>
      <c r="Q663" s="1289">
        <v>0</v>
      </c>
      <c r="R663" s="1289">
        <v>0</v>
      </c>
      <c r="S663" s="1289">
        <v>0</v>
      </c>
      <c r="T663" s="1289">
        <v>0</v>
      </c>
      <c r="U663" s="1289">
        <v>0</v>
      </c>
      <c r="V663" s="1289">
        <v>0</v>
      </c>
      <c r="W663" s="1328">
        <v>0</v>
      </c>
      <c r="X663" s="1289">
        <v>119478</v>
      </c>
      <c r="Y663" s="1289">
        <v>0</v>
      </c>
    </row>
    <row r="664" spans="1:25" s="1280" customFormat="1" ht="75.599999999999994">
      <c r="A664" s="1281"/>
      <c r="B664" s="1267" t="s">
        <v>2013</v>
      </c>
      <c r="C664" s="1289">
        <f>C665</f>
        <v>6692193</v>
      </c>
      <c r="D664" s="1289">
        <f t="shared" ref="D664:Y664" si="318">D665</f>
        <v>0</v>
      </c>
      <c r="E664" s="1289">
        <f t="shared" si="318"/>
        <v>0</v>
      </c>
      <c r="F664" s="1289">
        <f t="shared" si="318"/>
        <v>0</v>
      </c>
      <c r="G664" s="1289">
        <f t="shared" si="318"/>
        <v>0</v>
      </c>
      <c r="H664" s="1289">
        <f t="shared" si="318"/>
        <v>0</v>
      </c>
      <c r="I664" s="1289">
        <f t="shared" si="318"/>
        <v>0</v>
      </c>
      <c r="J664" s="1289">
        <f t="shared" si="318"/>
        <v>0</v>
      </c>
      <c r="K664" s="1278">
        <f t="shared" si="318"/>
        <v>0</v>
      </c>
      <c r="L664" s="1289">
        <f t="shared" si="318"/>
        <v>0</v>
      </c>
      <c r="M664" s="1278">
        <f t="shared" si="318"/>
        <v>0</v>
      </c>
      <c r="N664" s="1289">
        <f t="shared" si="318"/>
        <v>0</v>
      </c>
      <c r="O664" s="1289">
        <f t="shared" si="318"/>
        <v>682.8</v>
      </c>
      <c r="P664" s="1289">
        <f t="shared" si="318"/>
        <v>2143146</v>
      </c>
      <c r="Q664" s="1289">
        <f t="shared" si="318"/>
        <v>0</v>
      </c>
      <c r="R664" s="1289">
        <f t="shared" si="318"/>
        <v>0</v>
      </c>
      <c r="S664" s="1289">
        <f t="shared" si="318"/>
        <v>847.61</v>
      </c>
      <c r="T664" s="1289">
        <f t="shared" si="318"/>
        <v>4062960</v>
      </c>
      <c r="U664" s="1289">
        <f t="shared" si="318"/>
        <v>0</v>
      </c>
      <c r="V664" s="1289">
        <f t="shared" si="318"/>
        <v>0</v>
      </c>
      <c r="W664" s="1328">
        <v>0</v>
      </c>
      <c r="X664" s="1289">
        <f t="shared" si="318"/>
        <v>486087</v>
      </c>
      <c r="Y664" s="1289">
        <f t="shared" si="318"/>
        <v>0</v>
      </c>
    </row>
    <row r="665" spans="1:25" s="1280" customFormat="1">
      <c r="A665" s="1281">
        <v>176</v>
      </c>
      <c r="B665" s="1267" t="s">
        <v>1414</v>
      </c>
      <c r="C665" s="1289">
        <f t="shared" ref="C665" si="319">D665+N665+P665+R665+T665+V665+X665+L665</f>
        <v>6692193</v>
      </c>
      <c r="D665" s="1289">
        <f t="shared" ref="D665" si="320">SUM(E665:J665)</f>
        <v>0</v>
      </c>
      <c r="E665" s="1289">
        <v>0</v>
      </c>
      <c r="F665" s="1289">
        <v>0</v>
      </c>
      <c r="G665" s="1289">
        <v>0</v>
      </c>
      <c r="H665" s="1289">
        <v>0</v>
      </c>
      <c r="I665" s="1289">
        <v>0</v>
      </c>
      <c r="J665" s="1289">
        <v>0</v>
      </c>
      <c r="K665" s="1278">
        <v>0</v>
      </c>
      <c r="L665" s="1289">
        <v>0</v>
      </c>
      <c r="M665" s="1278">
        <v>0</v>
      </c>
      <c r="N665" s="1289">
        <v>0</v>
      </c>
      <c r="O665" s="1289">
        <v>682.8</v>
      </c>
      <c r="P665" s="1289">
        <v>2143146</v>
      </c>
      <c r="Q665" s="1289">
        <v>0</v>
      </c>
      <c r="R665" s="1289">
        <v>0</v>
      </c>
      <c r="S665" s="1289">
        <v>847.61</v>
      </c>
      <c r="T665" s="1289">
        <v>4062960</v>
      </c>
      <c r="U665" s="1289">
        <v>0</v>
      </c>
      <c r="V665" s="1289">
        <v>0</v>
      </c>
      <c r="W665" s="1268">
        <v>0</v>
      </c>
      <c r="X665" s="1289">
        <v>486087</v>
      </c>
      <c r="Y665" s="1289">
        <v>0</v>
      </c>
    </row>
    <row r="666" spans="1:25" s="1280" customFormat="1">
      <c r="A666" s="1281"/>
      <c r="B666" s="1277" t="s">
        <v>61</v>
      </c>
      <c r="C666" s="1268">
        <f>C667</f>
        <v>1213752</v>
      </c>
      <c r="D666" s="1268">
        <f t="shared" ref="D666:Y666" si="321">D667</f>
        <v>1125591</v>
      </c>
      <c r="E666" s="1268">
        <f t="shared" si="321"/>
        <v>0</v>
      </c>
      <c r="F666" s="1268">
        <f t="shared" si="321"/>
        <v>1125591</v>
      </c>
      <c r="G666" s="1268">
        <f t="shared" si="321"/>
        <v>0</v>
      </c>
      <c r="H666" s="1268">
        <f t="shared" si="321"/>
        <v>0</v>
      </c>
      <c r="I666" s="1268">
        <f t="shared" si="321"/>
        <v>0</v>
      </c>
      <c r="J666" s="1268">
        <f t="shared" si="321"/>
        <v>0</v>
      </c>
      <c r="K666" s="1278">
        <f t="shared" si="321"/>
        <v>0</v>
      </c>
      <c r="L666" s="1268">
        <f t="shared" si="321"/>
        <v>0</v>
      </c>
      <c r="M666" s="1278">
        <f t="shared" si="321"/>
        <v>0</v>
      </c>
      <c r="N666" s="1268">
        <f t="shared" si="321"/>
        <v>0</v>
      </c>
      <c r="O666" s="1268">
        <f t="shared" si="321"/>
        <v>0</v>
      </c>
      <c r="P666" s="1268">
        <f t="shared" si="321"/>
        <v>0</v>
      </c>
      <c r="Q666" s="1268">
        <f t="shared" si="321"/>
        <v>0</v>
      </c>
      <c r="R666" s="1268">
        <f t="shared" si="321"/>
        <v>0</v>
      </c>
      <c r="S666" s="1268">
        <f t="shared" si="321"/>
        <v>0</v>
      </c>
      <c r="T666" s="1268">
        <f t="shared" si="321"/>
        <v>0</v>
      </c>
      <c r="U666" s="1268">
        <f t="shared" si="321"/>
        <v>0</v>
      </c>
      <c r="V666" s="1268">
        <f t="shared" si="321"/>
        <v>0</v>
      </c>
      <c r="W666" s="1328">
        <v>0</v>
      </c>
      <c r="X666" s="1268">
        <f t="shared" si="321"/>
        <v>88161</v>
      </c>
      <c r="Y666" s="1268">
        <f t="shared" si="321"/>
        <v>0</v>
      </c>
    </row>
    <row r="667" spans="1:25" s="1280" customFormat="1" ht="75.599999999999994">
      <c r="A667" s="1281"/>
      <c r="B667" s="1277" t="s">
        <v>1095</v>
      </c>
      <c r="C667" s="1268">
        <f>C668</f>
        <v>1213752</v>
      </c>
      <c r="D667" s="1268">
        <f t="shared" ref="D667:Y667" si="322">D668</f>
        <v>1125591</v>
      </c>
      <c r="E667" s="1268">
        <f t="shared" si="322"/>
        <v>0</v>
      </c>
      <c r="F667" s="1268">
        <f t="shared" si="322"/>
        <v>1125591</v>
      </c>
      <c r="G667" s="1268">
        <f t="shared" si="322"/>
        <v>0</v>
      </c>
      <c r="H667" s="1268">
        <f t="shared" si="322"/>
        <v>0</v>
      </c>
      <c r="I667" s="1268">
        <f t="shared" si="322"/>
        <v>0</v>
      </c>
      <c r="J667" s="1268">
        <f t="shared" si="322"/>
        <v>0</v>
      </c>
      <c r="K667" s="1278">
        <f t="shared" si="322"/>
        <v>0</v>
      </c>
      <c r="L667" s="1268">
        <f t="shared" si="322"/>
        <v>0</v>
      </c>
      <c r="M667" s="1278">
        <f t="shared" si="322"/>
        <v>0</v>
      </c>
      <c r="N667" s="1268">
        <f t="shared" si="322"/>
        <v>0</v>
      </c>
      <c r="O667" s="1268">
        <f t="shared" si="322"/>
        <v>0</v>
      </c>
      <c r="P667" s="1268">
        <f t="shared" si="322"/>
        <v>0</v>
      </c>
      <c r="Q667" s="1268">
        <f t="shared" si="322"/>
        <v>0</v>
      </c>
      <c r="R667" s="1268">
        <f t="shared" si="322"/>
        <v>0</v>
      </c>
      <c r="S667" s="1268">
        <f t="shared" si="322"/>
        <v>0</v>
      </c>
      <c r="T667" s="1268">
        <f t="shared" si="322"/>
        <v>0</v>
      </c>
      <c r="U667" s="1268">
        <f t="shared" si="322"/>
        <v>0</v>
      </c>
      <c r="V667" s="1268">
        <f t="shared" si="322"/>
        <v>0</v>
      </c>
      <c r="W667" s="1328">
        <v>0</v>
      </c>
      <c r="X667" s="1268">
        <f t="shared" si="322"/>
        <v>88161</v>
      </c>
      <c r="Y667" s="1268">
        <f t="shared" si="322"/>
        <v>0</v>
      </c>
    </row>
    <row r="668" spans="1:25" s="1280" customFormat="1">
      <c r="A668" s="1281">
        <v>177</v>
      </c>
      <c r="B668" s="1277" t="s">
        <v>1257</v>
      </c>
      <c r="C668" s="1268">
        <f>D668+N668+P668+R668+T668+V668+X668</f>
        <v>1213752</v>
      </c>
      <c r="D668" s="1268">
        <f>SUM(E668:J668)</f>
        <v>1125591</v>
      </c>
      <c r="E668" s="1268">
        <v>0</v>
      </c>
      <c r="F668" s="1268">
        <v>1125591</v>
      </c>
      <c r="G668" s="1268">
        <v>0</v>
      </c>
      <c r="H668" s="1268">
        <v>0</v>
      </c>
      <c r="I668" s="1268">
        <v>0</v>
      </c>
      <c r="J668" s="1268">
        <v>0</v>
      </c>
      <c r="K668" s="1278">
        <v>0</v>
      </c>
      <c r="L668" s="1268">
        <v>0</v>
      </c>
      <c r="M668" s="1278">
        <v>0</v>
      </c>
      <c r="N668" s="1268">
        <v>0</v>
      </c>
      <c r="O668" s="1268">
        <v>0</v>
      </c>
      <c r="P668" s="1268">
        <v>0</v>
      </c>
      <c r="Q668" s="1268">
        <v>0</v>
      </c>
      <c r="R668" s="1268">
        <v>0</v>
      </c>
      <c r="S668" s="1268">
        <v>0</v>
      </c>
      <c r="T668" s="1268">
        <v>0</v>
      </c>
      <c r="U668" s="1268">
        <v>0</v>
      </c>
      <c r="V668" s="1268">
        <v>0</v>
      </c>
      <c r="W668" s="1268">
        <v>0</v>
      </c>
      <c r="X668" s="1268">
        <v>88161</v>
      </c>
      <c r="Y668" s="1268">
        <v>0</v>
      </c>
    </row>
    <row r="669" spans="1:25" s="1280" customFormat="1" ht="79.2" customHeight="1">
      <c r="A669" s="1281"/>
      <c r="B669" s="1277" t="s">
        <v>2014</v>
      </c>
      <c r="C669" s="1268">
        <f>C670+C671</f>
        <v>1640171</v>
      </c>
      <c r="D669" s="1268">
        <f t="shared" ref="D669:Y669" si="323">D670+D671</f>
        <v>0</v>
      </c>
      <c r="E669" s="1268">
        <f t="shared" si="323"/>
        <v>0</v>
      </c>
      <c r="F669" s="1268">
        <f t="shared" si="323"/>
        <v>0</v>
      </c>
      <c r="G669" s="1268">
        <f t="shared" si="323"/>
        <v>0</v>
      </c>
      <c r="H669" s="1268">
        <f t="shared" si="323"/>
        <v>0</v>
      </c>
      <c r="I669" s="1268">
        <f t="shared" si="323"/>
        <v>0</v>
      </c>
      <c r="J669" s="1268">
        <f t="shared" si="323"/>
        <v>0</v>
      </c>
      <c r="K669" s="1278">
        <f t="shared" si="323"/>
        <v>0</v>
      </c>
      <c r="L669" s="1268">
        <f t="shared" si="323"/>
        <v>0</v>
      </c>
      <c r="M669" s="1278">
        <f t="shared" si="323"/>
        <v>0</v>
      </c>
      <c r="N669" s="1268">
        <f t="shared" si="323"/>
        <v>0</v>
      </c>
      <c r="O669" s="1268">
        <f t="shared" si="323"/>
        <v>474</v>
      </c>
      <c r="P669" s="1268">
        <f t="shared" si="323"/>
        <v>1487773</v>
      </c>
      <c r="Q669" s="1268">
        <f t="shared" si="323"/>
        <v>0</v>
      </c>
      <c r="R669" s="1268">
        <f t="shared" si="323"/>
        <v>0</v>
      </c>
      <c r="S669" s="1268">
        <f t="shared" si="323"/>
        <v>0</v>
      </c>
      <c r="T669" s="1268">
        <f t="shared" si="323"/>
        <v>0</v>
      </c>
      <c r="U669" s="1268">
        <f t="shared" si="323"/>
        <v>0</v>
      </c>
      <c r="V669" s="1268">
        <f t="shared" si="323"/>
        <v>0</v>
      </c>
      <c r="W669" s="1328">
        <v>0</v>
      </c>
      <c r="X669" s="1268">
        <f t="shared" si="323"/>
        <v>152398</v>
      </c>
      <c r="Y669" s="1268">
        <f t="shared" si="323"/>
        <v>0</v>
      </c>
    </row>
    <row r="670" spans="1:25" s="1287" customFormat="1">
      <c r="A670" s="1281">
        <v>178</v>
      </c>
      <c r="B670" s="1277" t="s">
        <v>1895</v>
      </c>
      <c r="C670" s="1268">
        <f>D670+N670+P670+R670+T670+V670+X670</f>
        <v>35870</v>
      </c>
      <c r="D670" s="1268">
        <f>SUM(E670:J670)</f>
        <v>0</v>
      </c>
      <c r="E670" s="1268">
        <v>0</v>
      </c>
      <c r="F670" s="1268">
        <v>0</v>
      </c>
      <c r="G670" s="1268">
        <v>0</v>
      </c>
      <c r="H670" s="1268">
        <v>0</v>
      </c>
      <c r="I670" s="1268">
        <v>0</v>
      </c>
      <c r="J670" s="1268">
        <v>0</v>
      </c>
      <c r="K670" s="1278">
        <v>0</v>
      </c>
      <c r="L670" s="1268">
        <v>0</v>
      </c>
      <c r="M670" s="1278">
        <v>0</v>
      </c>
      <c r="N670" s="1268">
        <v>0</v>
      </c>
      <c r="O670" s="1268">
        <v>0</v>
      </c>
      <c r="P670" s="1268">
        <v>0</v>
      </c>
      <c r="Q670" s="1268">
        <v>0</v>
      </c>
      <c r="R670" s="1268">
        <v>0</v>
      </c>
      <c r="S670" s="1268">
        <v>0</v>
      </c>
      <c r="T670" s="1268">
        <v>0</v>
      </c>
      <c r="U670" s="1268">
        <v>0</v>
      </c>
      <c r="V670" s="1268">
        <v>0</v>
      </c>
      <c r="W670" s="1328">
        <v>0</v>
      </c>
      <c r="X670" s="1268">
        <v>35870</v>
      </c>
      <c r="Y670" s="1268">
        <v>0</v>
      </c>
    </row>
    <row r="671" spans="1:25" s="1287" customFormat="1">
      <c r="A671" s="1281">
        <v>179</v>
      </c>
      <c r="B671" s="1277" t="s">
        <v>1896</v>
      </c>
      <c r="C671" s="1268">
        <f>D671+N671+P671+R671+T671+V671+X671</f>
        <v>1604301</v>
      </c>
      <c r="D671" s="1268">
        <f>SUM(E671:J671)</f>
        <v>0</v>
      </c>
      <c r="E671" s="1268">
        <v>0</v>
      </c>
      <c r="F671" s="1268">
        <v>0</v>
      </c>
      <c r="G671" s="1268">
        <v>0</v>
      </c>
      <c r="H671" s="1268">
        <v>0</v>
      </c>
      <c r="I671" s="1268">
        <v>0</v>
      </c>
      <c r="J671" s="1268">
        <v>0</v>
      </c>
      <c r="K671" s="1278">
        <v>0</v>
      </c>
      <c r="L671" s="1268">
        <v>0</v>
      </c>
      <c r="M671" s="1278">
        <v>0</v>
      </c>
      <c r="N671" s="1268">
        <v>0</v>
      </c>
      <c r="O671" s="1268">
        <v>474</v>
      </c>
      <c r="P671" s="1268">
        <v>1487773</v>
      </c>
      <c r="Q671" s="1268">
        <v>0</v>
      </c>
      <c r="R671" s="1268">
        <v>0</v>
      </c>
      <c r="S671" s="1268">
        <v>0</v>
      </c>
      <c r="T671" s="1268">
        <v>0</v>
      </c>
      <c r="U671" s="1268">
        <v>0</v>
      </c>
      <c r="V671" s="1268">
        <v>0</v>
      </c>
      <c r="W671" s="1268">
        <v>0</v>
      </c>
      <c r="X671" s="1268">
        <v>116528</v>
      </c>
      <c r="Y671" s="1268">
        <v>0</v>
      </c>
    </row>
    <row r="672" spans="1:25" s="1287" customFormat="1" ht="75.599999999999994">
      <c r="A672" s="1281"/>
      <c r="B672" s="1277" t="s">
        <v>2016</v>
      </c>
      <c r="C672" s="1268">
        <f>C673+C674+C675</f>
        <v>4281862</v>
      </c>
      <c r="D672" s="1268">
        <f t="shared" ref="D672:Y672" si="324">D673+D674+D675</f>
        <v>0</v>
      </c>
      <c r="E672" s="1268">
        <f t="shared" si="324"/>
        <v>0</v>
      </c>
      <c r="F672" s="1268">
        <f t="shared" si="324"/>
        <v>0</v>
      </c>
      <c r="G672" s="1268">
        <f t="shared" si="324"/>
        <v>0</v>
      </c>
      <c r="H672" s="1268">
        <f t="shared" si="324"/>
        <v>0</v>
      </c>
      <c r="I672" s="1268">
        <f t="shared" si="324"/>
        <v>0</v>
      </c>
      <c r="J672" s="1268">
        <f t="shared" si="324"/>
        <v>0</v>
      </c>
      <c r="K672" s="1278">
        <f t="shared" si="324"/>
        <v>0</v>
      </c>
      <c r="L672" s="1268">
        <f t="shared" si="324"/>
        <v>0</v>
      </c>
      <c r="M672" s="1278">
        <f t="shared" si="324"/>
        <v>0</v>
      </c>
      <c r="N672" s="1268">
        <f t="shared" si="324"/>
        <v>0</v>
      </c>
      <c r="O672" s="1268">
        <f t="shared" si="324"/>
        <v>1265.0999999999999</v>
      </c>
      <c r="P672" s="1268">
        <f t="shared" si="324"/>
        <v>3970849</v>
      </c>
      <c r="Q672" s="1268">
        <f t="shared" si="324"/>
        <v>0</v>
      </c>
      <c r="R672" s="1268">
        <f t="shared" si="324"/>
        <v>0</v>
      </c>
      <c r="S672" s="1268">
        <f t="shared" si="324"/>
        <v>0</v>
      </c>
      <c r="T672" s="1268">
        <f t="shared" si="324"/>
        <v>0</v>
      </c>
      <c r="U672" s="1268">
        <f t="shared" si="324"/>
        <v>0</v>
      </c>
      <c r="V672" s="1268">
        <f t="shared" si="324"/>
        <v>0</v>
      </c>
      <c r="W672" s="1328">
        <v>0</v>
      </c>
      <c r="X672" s="1268">
        <f t="shared" si="324"/>
        <v>311013</v>
      </c>
      <c r="Y672" s="1268">
        <f t="shared" si="324"/>
        <v>0</v>
      </c>
    </row>
    <row r="673" spans="1:25" s="1280" customFormat="1">
      <c r="A673" s="1281">
        <v>180</v>
      </c>
      <c r="B673" s="1277" t="s">
        <v>1250</v>
      </c>
      <c r="C673" s="1268">
        <f>P673+X673</f>
        <v>1614456</v>
      </c>
      <c r="D673" s="1268">
        <v>0</v>
      </c>
      <c r="E673" s="1268">
        <v>0</v>
      </c>
      <c r="F673" s="1268">
        <v>0</v>
      </c>
      <c r="G673" s="1268">
        <v>0</v>
      </c>
      <c r="H673" s="1268">
        <v>0</v>
      </c>
      <c r="I673" s="1268">
        <v>0</v>
      </c>
      <c r="J673" s="1268">
        <v>0</v>
      </c>
      <c r="K673" s="1278">
        <v>0</v>
      </c>
      <c r="L673" s="1268">
        <v>0</v>
      </c>
      <c r="M673" s="1278">
        <v>0</v>
      </c>
      <c r="N673" s="1268">
        <v>0</v>
      </c>
      <c r="O673" s="1268">
        <v>477</v>
      </c>
      <c r="P673" s="1268">
        <v>1497190</v>
      </c>
      <c r="Q673" s="1268">
        <v>0</v>
      </c>
      <c r="R673" s="1268">
        <v>0</v>
      </c>
      <c r="S673" s="1268">
        <v>0</v>
      </c>
      <c r="T673" s="1268">
        <v>0</v>
      </c>
      <c r="U673" s="1268">
        <v>0</v>
      </c>
      <c r="V673" s="1268">
        <v>0</v>
      </c>
      <c r="W673" s="1328">
        <v>0</v>
      </c>
      <c r="X673" s="1268">
        <v>117266</v>
      </c>
      <c r="Y673" s="1268">
        <v>0</v>
      </c>
    </row>
    <row r="674" spans="1:25" s="1280" customFormat="1">
      <c r="A674" s="1281">
        <v>181</v>
      </c>
      <c r="B674" s="1277" t="s">
        <v>1246</v>
      </c>
      <c r="C674" s="1268">
        <f t="shared" ref="C674:C675" si="325">P674+X674</f>
        <v>1228611</v>
      </c>
      <c r="D674" s="1268">
        <v>0</v>
      </c>
      <c r="E674" s="1268">
        <v>0</v>
      </c>
      <c r="F674" s="1268">
        <v>0</v>
      </c>
      <c r="G674" s="1268">
        <v>0</v>
      </c>
      <c r="H674" s="1268">
        <v>0</v>
      </c>
      <c r="I674" s="1268">
        <v>0</v>
      </c>
      <c r="J674" s="1268">
        <v>0</v>
      </c>
      <c r="K674" s="1278">
        <v>0</v>
      </c>
      <c r="L674" s="1268">
        <v>0</v>
      </c>
      <c r="M674" s="1278">
        <v>0</v>
      </c>
      <c r="N674" s="1268">
        <v>0</v>
      </c>
      <c r="O674" s="1268">
        <v>363</v>
      </c>
      <c r="P674" s="1268">
        <v>1139371</v>
      </c>
      <c r="Q674" s="1268">
        <v>0</v>
      </c>
      <c r="R674" s="1268">
        <v>0</v>
      </c>
      <c r="S674" s="1268">
        <v>0</v>
      </c>
      <c r="T674" s="1268">
        <v>0</v>
      </c>
      <c r="U674" s="1268">
        <v>0</v>
      </c>
      <c r="V674" s="1268">
        <v>0</v>
      </c>
      <c r="W674" s="1268">
        <v>0</v>
      </c>
      <c r="X674" s="1268">
        <v>89240</v>
      </c>
      <c r="Y674" s="1268">
        <v>0</v>
      </c>
    </row>
    <row r="675" spans="1:25" s="1280" customFormat="1">
      <c r="A675" s="1281">
        <v>182</v>
      </c>
      <c r="B675" s="1324" t="s">
        <v>1247</v>
      </c>
      <c r="C675" s="1268">
        <f t="shared" si="325"/>
        <v>1438795</v>
      </c>
      <c r="D675" s="1268">
        <v>0</v>
      </c>
      <c r="E675" s="1268">
        <v>0</v>
      </c>
      <c r="F675" s="1268">
        <v>0</v>
      </c>
      <c r="G675" s="1268">
        <v>0</v>
      </c>
      <c r="H675" s="1268">
        <v>0</v>
      </c>
      <c r="I675" s="1268">
        <v>0</v>
      </c>
      <c r="J675" s="1268">
        <v>0</v>
      </c>
      <c r="K675" s="1278">
        <v>0</v>
      </c>
      <c r="L675" s="1268">
        <v>0</v>
      </c>
      <c r="M675" s="1278">
        <v>0</v>
      </c>
      <c r="N675" s="1268">
        <v>0</v>
      </c>
      <c r="O675" s="1268">
        <v>425.1</v>
      </c>
      <c r="P675" s="1268">
        <v>1334288</v>
      </c>
      <c r="Q675" s="1268">
        <v>0</v>
      </c>
      <c r="R675" s="1268">
        <v>0</v>
      </c>
      <c r="S675" s="1268">
        <v>0</v>
      </c>
      <c r="T675" s="1268">
        <v>0</v>
      </c>
      <c r="U675" s="1268">
        <v>0</v>
      </c>
      <c r="V675" s="1268">
        <v>0</v>
      </c>
      <c r="W675" s="1328">
        <v>0</v>
      </c>
      <c r="X675" s="1268">
        <v>104507</v>
      </c>
      <c r="Y675" s="1268">
        <v>0</v>
      </c>
    </row>
    <row r="676" spans="1:25" s="1280" customFormat="1">
      <c r="A676" s="1281"/>
      <c r="B676" s="1277" t="s">
        <v>1036</v>
      </c>
      <c r="C676" s="1268">
        <f>C677</f>
        <v>1523071</v>
      </c>
      <c r="D676" s="1268">
        <f t="shared" ref="D676:Y676" si="326">D677</f>
        <v>0</v>
      </c>
      <c r="E676" s="1268">
        <f t="shared" si="326"/>
        <v>0</v>
      </c>
      <c r="F676" s="1268">
        <f t="shared" si="326"/>
        <v>0</v>
      </c>
      <c r="G676" s="1268">
        <f t="shared" si="326"/>
        <v>0</v>
      </c>
      <c r="H676" s="1268">
        <f t="shared" si="326"/>
        <v>0</v>
      </c>
      <c r="I676" s="1268">
        <f t="shared" si="326"/>
        <v>0</v>
      </c>
      <c r="J676" s="1268">
        <f t="shared" si="326"/>
        <v>0</v>
      </c>
      <c r="K676" s="1278">
        <f t="shared" si="326"/>
        <v>0</v>
      </c>
      <c r="L676" s="1268">
        <f t="shared" si="326"/>
        <v>0</v>
      </c>
      <c r="M676" s="1278">
        <f t="shared" si="326"/>
        <v>0</v>
      </c>
      <c r="N676" s="1268">
        <f t="shared" si="326"/>
        <v>0</v>
      </c>
      <c r="O676" s="1268">
        <f t="shared" si="326"/>
        <v>450</v>
      </c>
      <c r="P676" s="1268">
        <f t="shared" si="326"/>
        <v>1412443</v>
      </c>
      <c r="Q676" s="1268">
        <f t="shared" si="326"/>
        <v>0</v>
      </c>
      <c r="R676" s="1268">
        <f t="shared" si="326"/>
        <v>0</v>
      </c>
      <c r="S676" s="1268">
        <f t="shared" si="326"/>
        <v>0</v>
      </c>
      <c r="T676" s="1268">
        <f t="shared" si="326"/>
        <v>0</v>
      </c>
      <c r="U676" s="1268">
        <f t="shared" si="326"/>
        <v>0</v>
      </c>
      <c r="V676" s="1268">
        <f t="shared" si="326"/>
        <v>0</v>
      </c>
      <c r="W676" s="1328">
        <v>0</v>
      </c>
      <c r="X676" s="1268">
        <f t="shared" si="326"/>
        <v>110628</v>
      </c>
      <c r="Y676" s="1268">
        <f t="shared" si="326"/>
        <v>0</v>
      </c>
    </row>
    <row r="677" spans="1:25" s="1280" customFormat="1" ht="75.599999999999994">
      <c r="A677" s="1281"/>
      <c r="B677" s="1277" t="s">
        <v>1096</v>
      </c>
      <c r="C677" s="1268">
        <f>C678</f>
        <v>1523071</v>
      </c>
      <c r="D677" s="1268">
        <f t="shared" ref="D677:Y677" si="327">D678</f>
        <v>0</v>
      </c>
      <c r="E677" s="1268">
        <f t="shared" si="327"/>
        <v>0</v>
      </c>
      <c r="F677" s="1268">
        <f t="shared" si="327"/>
        <v>0</v>
      </c>
      <c r="G677" s="1268">
        <f t="shared" si="327"/>
        <v>0</v>
      </c>
      <c r="H677" s="1268">
        <f t="shared" si="327"/>
        <v>0</v>
      </c>
      <c r="I677" s="1268">
        <f t="shared" si="327"/>
        <v>0</v>
      </c>
      <c r="J677" s="1268">
        <f t="shared" si="327"/>
        <v>0</v>
      </c>
      <c r="K677" s="1278">
        <f t="shared" si="327"/>
        <v>0</v>
      </c>
      <c r="L677" s="1268">
        <f t="shared" si="327"/>
        <v>0</v>
      </c>
      <c r="M677" s="1278">
        <f t="shared" si="327"/>
        <v>0</v>
      </c>
      <c r="N677" s="1268">
        <f t="shared" si="327"/>
        <v>0</v>
      </c>
      <c r="O677" s="1268">
        <f t="shared" si="327"/>
        <v>450</v>
      </c>
      <c r="P677" s="1268">
        <f t="shared" si="327"/>
        <v>1412443</v>
      </c>
      <c r="Q677" s="1268">
        <f t="shared" si="327"/>
        <v>0</v>
      </c>
      <c r="R677" s="1268">
        <f t="shared" si="327"/>
        <v>0</v>
      </c>
      <c r="S677" s="1268">
        <f t="shared" si="327"/>
        <v>0</v>
      </c>
      <c r="T677" s="1268">
        <f t="shared" si="327"/>
        <v>0</v>
      </c>
      <c r="U677" s="1268">
        <f t="shared" si="327"/>
        <v>0</v>
      </c>
      <c r="V677" s="1268">
        <f t="shared" si="327"/>
        <v>0</v>
      </c>
      <c r="W677" s="1268">
        <v>0</v>
      </c>
      <c r="X677" s="1268">
        <f t="shared" si="327"/>
        <v>110628</v>
      </c>
      <c r="Y677" s="1268">
        <f t="shared" si="327"/>
        <v>0</v>
      </c>
    </row>
    <row r="678" spans="1:25" s="1280" customFormat="1">
      <c r="A678" s="1281">
        <v>183</v>
      </c>
      <c r="B678" s="1324" t="s">
        <v>1288</v>
      </c>
      <c r="C678" s="1268">
        <f>D678+N678+P678+R678+T678+V678+X678</f>
        <v>1523071</v>
      </c>
      <c r="D678" s="1268">
        <f>SUM(E678:J678)</f>
        <v>0</v>
      </c>
      <c r="E678" s="1268">
        <v>0</v>
      </c>
      <c r="F678" s="1268">
        <v>0</v>
      </c>
      <c r="G678" s="1268">
        <v>0</v>
      </c>
      <c r="H678" s="1268">
        <v>0</v>
      </c>
      <c r="I678" s="1268">
        <v>0</v>
      </c>
      <c r="J678" s="1268">
        <v>0</v>
      </c>
      <c r="K678" s="1278">
        <v>0</v>
      </c>
      <c r="L678" s="1268">
        <v>0</v>
      </c>
      <c r="M678" s="1278">
        <v>0</v>
      </c>
      <c r="N678" s="1268">
        <v>0</v>
      </c>
      <c r="O678" s="1268">
        <v>450</v>
      </c>
      <c r="P678" s="1268">
        <v>1412443</v>
      </c>
      <c r="Q678" s="1268">
        <v>0</v>
      </c>
      <c r="R678" s="1268">
        <v>0</v>
      </c>
      <c r="S678" s="1268">
        <v>0</v>
      </c>
      <c r="T678" s="1268">
        <v>0</v>
      </c>
      <c r="U678" s="1268">
        <v>0</v>
      </c>
      <c r="V678" s="1268">
        <v>0</v>
      </c>
      <c r="W678" s="1328">
        <v>0</v>
      </c>
      <c r="X678" s="1268">
        <v>110628</v>
      </c>
      <c r="Y678" s="1268">
        <v>0</v>
      </c>
    </row>
    <row r="679" spans="1:25" s="1280" customFormat="1">
      <c r="A679" s="1281"/>
      <c r="B679" s="1324" t="s">
        <v>64</v>
      </c>
      <c r="C679" s="1268">
        <f>C680+C686</f>
        <v>10080672</v>
      </c>
      <c r="D679" s="1268">
        <f t="shared" ref="D679:Y679" si="328">D680+D686</f>
        <v>0</v>
      </c>
      <c r="E679" s="1268">
        <f t="shared" si="328"/>
        <v>0</v>
      </c>
      <c r="F679" s="1268">
        <f t="shared" si="328"/>
        <v>0</v>
      </c>
      <c r="G679" s="1268">
        <f t="shared" si="328"/>
        <v>0</v>
      </c>
      <c r="H679" s="1268">
        <f t="shared" si="328"/>
        <v>0</v>
      </c>
      <c r="I679" s="1268">
        <f t="shared" si="328"/>
        <v>0</v>
      </c>
      <c r="J679" s="1268">
        <f t="shared" si="328"/>
        <v>0</v>
      </c>
      <c r="K679" s="1278">
        <f t="shared" si="328"/>
        <v>0</v>
      </c>
      <c r="L679" s="1268">
        <f t="shared" si="328"/>
        <v>0</v>
      </c>
      <c r="M679" s="1278">
        <f t="shared" si="328"/>
        <v>0</v>
      </c>
      <c r="N679" s="1268">
        <f t="shared" si="328"/>
        <v>0</v>
      </c>
      <c r="O679" s="1268">
        <f t="shared" si="328"/>
        <v>3062.4</v>
      </c>
      <c r="P679" s="1268">
        <f t="shared" si="328"/>
        <v>9348465</v>
      </c>
      <c r="Q679" s="1268">
        <f t="shared" si="328"/>
        <v>0</v>
      </c>
      <c r="R679" s="1268">
        <f t="shared" si="328"/>
        <v>0</v>
      </c>
      <c r="S679" s="1268">
        <f t="shared" si="328"/>
        <v>0</v>
      </c>
      <c r="T679" s="1268">
        <f t="shared" si="328"/>
        <v>0</v>
      </c>
      <c r="U679" s="1268">
        <f t="shared" si="328"/>
        <v>0</v>
      </c>
      <c r="V679" s="1268">
        <f t="shared" si="328"/>
        <v>0</v>
      </c>
      <c r="W679" s="1328">
        <v>0</v>
      </c>
      <c r="X679" s="1268">
        <f t="shared" si="328"/>
        <v>732207</v>
      </c>
      <c r="Y679" s="1268">
        <f t="shared" si="328"/>
        <v>0</v>
      </c>
    </row>
    <row r="680" spans="1:25" s="1280" customFormat="1" ht="113.4">
      <c r="A680" s="1281"/>
      <c r="B680" s="1324" t="s">
        <v>1097</v>
      </c>
      <c r="C680" s="1268">
        <f>C681+C682+C683+C684+C685</f>
        <v>8557601</v>
      </c>
      <c r="D680" s="1268">
        <f t="shared" ref="D680:Y680" si="329">D681+D682+D683+D684+D685</f>
        <v>0</v>
      </c>
      <c r="E680" s="1268">
        <f t="shared" si="329"/>
        <v>0</v>
      </c>
      <c r="F680" s="1268">
        <f t="shared" si="329"/>
        <v>0</v>
      </c>
      <c r="G680" s="1268">
        <f t="shared" si="329"/>
        <v>0</v>
      </c>
      <c r="H680" s="1268">
        <f t="shared" si="329"/>
        <v>0</v>
      </c>
      <c r="I680" s="1268">
        <f t="shared" si="329"/>
        <v>0</v>
      </c>
      <c r="J680" s="1268">
        <f t="shared" si="329"/>
        <v>0</v>
      </c>
      <c r="K680" s="1278">
        <f t="shared" si="329"/>
        <v>0</v>
      </c>
      <c r="L680" s="1268">
        <f t="shared" si="329"/>
        <v>0</v>
      </c>
      <c r="M680" s="1278">
        <f t="shared" si="329"/>
        <v>0</v>
      </c>
      <c r="N680" s="1268">
        <f t="shared" si="329"/>
        <v>0</v>
      </c>
      <c r="O680" s="1268">
        <f t="shared" si="329"/>
        <v>2612.4</v>
      </c>
      <c r="P680" s="1268">
        <f t="shared" si="329"/>
        <v>7936022</v>
      </c>
      <c r="Q680" s="1268">
        <f t="shared" si="329"/>
        <v>0</v>
      </c>
      <c r="R680" s="1268">
        <f t="shared" si="329"/>
        <v>0</v>
      </c>
      <c r="S680" s="1268">
        <f t="shared" si="329"/>
        <v>0</v>
      </c>
      <c r="T680" s="1268">
        <f t="shared" si="329"/>
        <v>0</v>
      </c>
      <c r="U680" s="1268">
        <f t="shared" si="329"/>
        <v>0</v>
      </c>
      <c r="V680" s="1268">
        <f t="shared" si="329"/>
        <v>0</v>
      </c>
      <c r="W680" s="1268">
        <v>0</v>
      </c>
      <c r="X680" s="1268">
        <f t="shared" si="329"/>
        <v>621579</v>
      </c>
      <c r="Y680" s="1268">
        <f t="shared" si="329"/>
        <v>0</v>
      </c>
    </row>
    <row r="681" spans="1:25" s="1280" customFormat="1" ht="75.599999999999994">
      <c r="A681" s="1281">
        <v>184</v>
      </c>
      <c r="B681" s="1267" t="s">
        <v>1332</v>
      </c>
      <c r="C681" s="1268">
        <f>D681+N681+P681+R681+T681+V681+X681</f>
        <v>1883192</v>
      </c>
      <c r="D681" s="1268">
        <f>SUM(E681:J681)</f>
        <v>0</v>
      </c>
      <c r="E681" s="1268">
        <v>0</v>
      </c>
      <c r="F681" s="1268">
        <v>0</v>
      </c>
      <c r="G681" s="1268">
        <v>0</v>
      </c>
      <c r="H681" s="1268">
        <v>0</v>
      </c>
      <c r="I681" s="1268">
        <v>0</v>
      </c>
      <c r="J681" s="1268">
        <v>0</v>
      </c>
      <c r="K681" s="1278">
        <v>0</v>
      </c>
      <c r="L681" s="1268">
        <v>0</v>
      </c>
      <c r="M681" s="1278">
        <v>0</v>
      </c>
      <c r="N681" s="1268">
        <v>0</v>
      </c>
      <c r="O681" s="1268">
        <v>556.4</v>
      </c>
      <c r="P681" s="1268">
        <v>1746407</v>
      </c>
      <c r="Q681" s="1268">
        <v>0</v>
      </c>
      <c r="R681" s="1268">
        <v>0</v>
      </c>
      <c r="S681" s="1268">
        <v>0</v>
      </c>
      <c r="T681" s="1268">
        <v>0</v>
      </c>
      <c r="U681" s="1268">
        <v>0</v>
      </c>
      <c r="V681" s="1268">
        <v>0</v>
      </c>
      <c r="W681" s="1328">
        <v>0</v>
      </c>
      <c r="X681" s="1268">
        <v>136785</v>
      </c>
      <c r="Y681" s="1268">
        <v>0</v>
      </c>
    </row>
    <row r="682" spans="1:25" s="1280" customFormat="1" ht="75.599999999999994">
      <c r="A682" s="1281">
        <v>185</v>
      </c>
      <c r="B682" s="1267" t="s">
        <v>1333</v>
      </c>
      <c r="C682" s="1268">
        <f>D682+N682+P682+R682+T682+V682+X682</f>
        <v>2054454</v>
      </c>
      <c r="D682" s="1268">
        <f>SUM(E682:J682)</f>
        <v>0</v>
      </c>
      <c r="E682" s="1268">
        <v>0</v>
      </c>
      <c r="F682" s="1268">
        <v>0</v>
      </c>
      <c r="G682" s="1268">
        <v>0</v>
      </c>
      <c r="H682" s="1268">
        <v>0</v>
      </c>
      <c r="I682" s="1268">
        <v>0</v>
      </c>
      <c r="J682" s="1268">
        <v>0</v>
      </c>
      <c r="K682" s="1278">
        <v>0</v>
      </c>
      <c r="L682" s="1268">
        <v>0</v>
      </c>
      <c r="M682" s="1278">
        <v>0</v>
      </c>
      <c r="N682" s="1268">
        <v>0</v>
      </c>
      <c r="O682" s="1268">
        <v>607</v>
      </c>
      <c r="P682" s="1268">
        <v>1905229</v>
      </c>
      <c r="Q682" s="1268">
        <v>0</v>
      </c>
      <c r="R682" s="1268">
        <v>0</v>
      </c>
      <c r="S682" s="1268">
        <v>0</v>
      </c>
      <c r="T682" s="1268">
        <v>0</v>
      </c>
      <c r="U682" s="1268">
        <v>0</v>
      </c>
      <c r="V682" s="1268">
        <v>0</v>
      </c>
      <c r="W682" s="1328">
        <v>0</v>
      </c>
      <c r="X682" s="1268">
        <v>149225</v>
      </c>
      <c r="Y682" s="1268">
        <v>0</v>
      </c>
    </row>
    <row r="683" spans="1:25" s="1280" customFormat="1">
      <c r="A683" s="1281">
        <v>186</v>
      </c>
      <c r="B683" s="1267" t="s">
        <v>1334</v>
      </c>
      <c r="C683" s="1268">
        <f t="shared" ref="C683:C685" si="330">D683+N683+P683+R683+T683+V683+X683</f>
        <v>1499379</v>
      </c>
      <c r="D683" s="1268">
        <f t="shared" ref="D683:D685" si="331">SUM(E683:J683)</f>
        <v>0</v>
      </c>
      <c r="E683" s="1268">
        <v>0</v>
      </c>
      <c r="F683" s="1268">
        <v>0</v>
      </c>
      <c r="G683" s="1268">
        <v>0</v>
      </c>
      <c r="H683" s="1268">
        <v>0</v>
      </c>
      <c r="I683" s="1268">
        <v>0</v>
      </c>
      <c r="J683" s="1268">
        <v>0</v>
      </c>
      <c r="K683" s="1278">
        <v>0</v>
      </c>
      <c r="L683" s="1268">
        <v>0</v>
      </c>
      <c r="M683" s="1278">
        <v>0</v>
      </c>
      <c r="N683" s="1268">
        <v>0</v>
      </c>
      <c r="O683" s="1268">
        <v>443</v>
      </c>
      <c r="P683" s="1268">
        <v>1390472</v>
      </c>
      <c r="Q683" s="1268">
        <v>0</v>
      </c>
      <c r="R683" s="1268">
        <v>0</v>
      </c>
      <c r="S683" s="1268">
        <v>0</v>
      </c>
      <c r="T683" s="1268">
        <v>0</v>
      </c>
      <c r="U683" s="1268">
        <v>0</v>
      </c>
      <c r="V683" s="1268">
        <v>0</v>
      </c>
      <c r="W683" s="1268">
        <v>0</v>
      </c>
      <c r="X683" s="1268">
        <v>108907</v>
      </c>
      <c r="Y683" s="1268">
        <v>0</v>
      </c>
    </row>
    <row r="684" spans="1:25" s="1280" customFormat="1" ht="45.6" customHeight="1">
      <c r="A684" s="1281">
        <v>187</v>
      </c>
      <c r="B684" s="1267" t="s">
        <v>1335</v>
      </c>
      <c r="C684" s="1268">
        <f t="shared" si="330"/>
        <v>1157507</v>
      </c>
      <c r="D684" s="1268">
        <f t="shared" si="331"/>
        <v>0</v>
      </c>
      <c r="E684" s="1268">
        <v>0</v>
      </c>
      <c r="F684" s="1268">
        <v>0</v>
      </c>
      <c r="G684" s="1268">
        <v>0</v>
      </c>
      <c r="H684" s="1268">
        <v>0</v>
      </c>
      <c r="I684" s="1268">
        <v>0</v>
      </c>
      <c r="J684" s="1268">
        <v>0</v>
      </c>
      <c r="K684" s="1278">
        <v>0</v>
      </c>
      <c r="L684" s="1268">
        <v>0</v>
      </c>
      <c r="M684" s="1278">
        <v>0</v>
      </c>
      <c r="N684" s="1268">
        <v>0</v>
      </c>
      <c r="O684" s="1268">
        <v>426</v>
      </c>
      <c r="P684" s="1268">
        <v>1073432</v>
      </c>
      <c r="Q684" s="1268">
        <v>0</v>
      </c>
      <c r="R684" s="1268">
        <v>0</v>
      </c>
      <c r="S684" s="1268">
        <v>0</v>
      </c>
      <c r="T684" s="1268">
        <v>0</v>
      </c>
      <c r="U684" s="1268">
        <v>0</v>
      </c>
      <c r="V684" s="1268">
        <v>0</v>
      </c>
      <c r="W684" s="1328">
        <v>0</v>
      </c>
      <c r="X684" s="1268">
        <v>84075</v>
      </c>
      <c r="Y684" s="1268">
        <v>0</v>
      </c>
    </row>
    <row r="685" spans="1:25" s="1280" customFormat="1">
      <c r="A685" s="1281">
        <v>188</v>
      </c>
      <c r="B685" s="1267" t="s">
        <v>1336</v>
      </c>
      <c r="C685" s="1268">
        <f t="shared" si="330"/>
        <v>1963069</v>
      </c>
      <c r="D685" s="1268">
        <f t="shared" si="331"/>
        <v>0</v>
      </c>
      <c r="E685" s="1268">
        <v>0</v>
      </c>
      <c r="F685" s="1268">
        <v>0</v>
      </c>
      <c r="G685" s="1268">
        <v>0</v>
      </c>
      <c r="H685" s="1268">
        <v>0</v>
      </c>
      <c r="I685" s="1268">
        <v>0</v>
      </c>
      <c r="J685" s="1268">
        <v>0</v>
      </c>
      <c r="K685" s="1278">
        <v>0</v>
      </c>
      <c r="L685" s="1268">
        <v>0</v>
      </c>
      <c r="M685" s="1278">
        <v>0</v>
      </c>
      <c r="N685" s="1268">
        <v>0</v>
      </c>
      <c r="O685" s="1268">
        <v>580</v>
      </c>
      <c r="P685" s="1268">
        <v>1820482</v>
      </c>
      <c r="Q685" s="1268">
        <v>0</v>
      </c>
      <c r="R685" s="1268">
        <v>0</v>
      </c>
      <c r="S685" s="1268">
        <v>0</v>
      </c>
      <c r="T685" s="1268">
        <v>0</v>
      </c>
      <c r="U685" s="1268">
        <v>0</v>
      </c>
      <c r="V685" s="1268">
        <v>0</v>
      </c>
      <c r="W685" s="1328">
        <v>0</v>
      </c>
      <c r="X685" s="1268">
        <v>142587</v>
      </c>
      <c r="Y685" s="1268">
        <v>0</v>
      </c>
    </row>
    <row r="686" spans="1:25" s="1292" customFormat="1" ht="113.4">
      <c r="A686" s="1281"/>
      <c r="B686" s="1277" t="s">
        <v>1390</v>
      </c>
      <c r="C686" s="1268">
        <f>C687</f>
        <v>1523071</v>
      </c>
      <c r="D686" s="1268">
        <f t="shared" ref="D686:Y686" si="332">D687</f>
        <v>0</v>
      </c>
      <c r="E686" s="1268">
        <f t="shared" si="332"/>
        <v>0</v>
      </c>
      <c r="F686" s="1268">
        <f t="shared" si="332"/>
        <v>0</v>
      </c>
      <c r="G686" s="1268">
        <f t="shared" si="332"/>
        <v>0</v>
      </c>
      <c r="H686" s="1268">
        <f t="shared" si="332"/>
        <v>0</v>
      </c>
      <c r="I686" s="1268">
        <f t="shared" si="332"/>
        <v>0</v>
      </c>
      <c r="J686" s="1268">
        <f t="shared" si="332"/>
        <v>0</v>
      </c>
      <c r="K686" s="1278">
        <f t="shared" si="332"/>
        <v>0</v>
      </c>
      <c r="L686" s="1268">
        <f t="shared" si="332"/>
        <v>0</v>
      </c>
      <c r="M686" s="1278">
        <f t="shared" si="332"/>
        <v>0</v>
      </c>
      <c r="N686" s="1268">
        <f t="shared" si="332"/>
        <v>0</v>
      </c>
      <c r="O686" s="1268">
        <f t="shared" si="332"/>
        <v>450</v>
      </c>
      <c r="P686" s="1268">
        <f t="shared" si="332"/>
        <v>1412443</v>
      </c>
      <c r="Q686" s="1268">
        <f t="shared" si="332"/>
        <v>0</v>
      </c>
      <c r="R686" s="1268">
        <f t="shared" si="332"/>
        <v>0</v>
      </c>
      <c r="S686" s="1268">
        <f t="shared" si="332"/>
        <v>0</v>
      </c>
      <c r="T686" s="1268">
        <f t="shared" si="332"/>
        <v>0</v>
      </c>
      <c r="U686" s="1268">
        <f t="shared" si="332"/>
        <v>0</v>
      </c>
      <c r="V686" s="1268">
        <f t="shared" si="332"/>
        <v>0</v>
      </c>
      <c r="W686" s="1328">
        <v>0</v>
      </c>
      <c r="X686" s="1268">
        <f t="shared" si="332"/>
        <v>110628</v>
      </c>
      <c r="Y686" s="1268">
        <f t="shared" si="332"/>
        <v>0</v>
      </c>
    </row>
    <row r="687" spans="1:25" s="1292" customFormat="1">
      <c r="A687" s="1281">
        <v>189</v>
      </c>
      <c r="B687" s="1277" t="s">
        <v>890</v>
      </c>
      <c r="C687" s="1268">
        <f>D687+N687+P687+R687+T687+V687+X687</f>
        <v>1523071</v>
      </c>
      <c r="D687" s="1268">
        <f t="shared" ref="D687" si="333">SUM(E687:J687)</f>
        <v>0</v>
      </c>
      <c r="E687" s="1268">
        <v>0</v>
      </c>
      <c r="F687" s="1268">
        <v>0</v>
      </c>
      <c r="G687" s="1268">
        <v>0</v>
      </c>
      <c r="H687" s="1268">
        <v>0</v>
      </c>
      <c r="I687" s="1268">
        <v>0</v>
      </c>
      <c r="J687" s="1268">
        <v>0</v>
      </c>
      <c r="K687" s="1278">
        <v>0</v>
      </c>
      <c r="L687" s="1268">
        <v>0</v>
      </c>
      <c r="M687" s="1278">
        <v>0</v>
      </c>
      <c r="N687" s="1268">
        <v>0</v>
      </c>
      <c r="O687" s="1268">
        <v>450</v>
      </c>
      <c r="P687" s="1268">
        <v>1412443</v>
      </c>
      <c r="Q687" s="1268">
        <v>0</v>
      </c>
      <c r="R687" s="1268">
        <v>0</v>
      </c>
      <c r="S687" s="1268">
        <v>0</v>
      </c>
      <c r="T687" s="1268">
        <v>0</v>
      </c>
      <c r="U687" s="1268">
        <v>0</v>
      </c>
      <c r="V687" s="1268">
        <v>0</v>
      </c>
      <c r="W687" s="1268">
        <v>0</v>
      </c>
      <c r="X687" s="1268">
        <v>110628</v>
      </c>
      <c r="Y687" s="1268">
        <v>0</v>
      </c>
    </row>
    <row r="688" spans="1:25" s="1280" customFormat="1">
      <c r="A688" s="1281"/>
      <c r="B688" s="1277" t="s">
        <v>66</v>
      </c>
      <c r="C688" s="1268">
        <f>C689</f>
        <v>1523071</v>
      </c>
      <c r="D688" s="1268">
        <f t="shared" ref="D688:V689" si="334">D689</f>
        <v>0</v>
      </c>
      <c r="E688" s="1268">
        <f t="shared" si="334"/>
        <v>0</v>
      </c>
      <c r="F688" s="1268">
        <f t="shared" si="334"/>
        <v>0</v>
      </c>
      <c r="G688" s="1268">
        <f t="shared" si="334"/>
        <v>0</v>
      </c>
      <c r="H688" s="1268">
        <f t="shared" si="334"/>
        <v>0</v>
      </c>
      <c r="I688" s="1268">
        <f t="shared" si="334"/>
        <v>0</v>
      </c>
      <c r="J688" s="1268">
        <f t="shared" si="334"/>
        <v>0</v>
      </c>
      <c r="K688" s="1278">
        <v>0</v>
      </c>
      <c r="L688" s="1268">
        <v>0</v>
      </c>
      <c r="M688" s="1278">
        <f t="shared" si="334"/>
        <v>0</v>
      </c>
      <c r="N688" s="1268">
        <f t="shared" si="334"/>
        <v>0</v>
      </c>
      <c r="O688" s="1268">
        <f t="shared" si="334"/>
        <v>450</v>
      </c>
      <c r="P688" s="1268">
        <f t="shared" si="334"/>
        <v>1412443</v>
      </c>
      <c r="Q688" s="1268">
        <f t="shared" si="334"/>
        <v>0</v>
      </c>
      <c r="R688" s="1268">
        <f t="shared" si="334"/>
        <v>0</v>
      </c>
      <c r="S688" s="1268">
        <f t="shared" si="334"/>
        <v>0</v>
      </c>
      <c r="T688" s="1268">
        <f t="shared" si="334"/>
        <v>0</v>
      </c>
      <c r="U688" s="1268">
        <f t="shared" si="334"/>
        <v>0</v>
      </c>
      <c r="V688" s="1268">
        <f t="shared" si="334"/>
        <v>0</v>
      </c>
      <c r="W688" s="1328">
        <v>0</v>
      </c>
      <c r="X688" s="1268">
        <v>202865.8071545306</v>
      </c>
      <c r="Y688" s="1268">
        <v>0</v>
      </c>
    </row>
    <row r="689" spans="1:16331" s="1280" customFormat="1" ht="113.4">
      <c r="A689" s="1281"/>
      <c r="B689" s="1277" t="s">
        <v>1101</v>
      </c>
      <c r="C689" s="1268">
        <f>C690</f>
        <v>1523071</v>
      </c>
      <c r="D689" s="1268">
        <f t="shared" si="334"/>
        <v>0</v>
      </c>
      <c r="E689" s="1268">
        <f t="shared" si="334"/>
        <v>0</v>
      </c>
      <c r="F689" s="1268">
        <f t="shared" si="334"/>
        <v>0</v>
      </c>
      <c r="G689" s="1268">
        <f t="shared" si="334"/>
        <v>0</v>
      </c>
      <c r="H689" s="1268">
        <f t="shared" si="334"/>
        <v>0</v>
      </c>
      <c r="I689" s="1268">
        <f t="shared" si="334"/>
        <v>0</v>
      </c>
      <c r="J689" s="1268">
        <f t="shared" si="334"/>
        <v>0</v>
      </c>
      <c r="K689" s="1278">
        <f t="shared" si="334"/>
        <v>0</v>
      </c>
      <c r="L689" s="1268">
        <f t="shared" si="334"/>
        <v>0</v>
      </c>
      <c r="M689" s="1278">
        <f t="shared" si="334"/>
        <v>0</v>
      </c>
      <c r="N689" s="1268">
        <f t="shared" si="334"/>
        <v>0</v>
      </c>
      <c r="O689" s="1268">
        <f t="shared" si="334"/>
        <v>450</v>
      </c>
      <c r="P689" s="1268">
        <f t="shared" si="334"/>
        <v>1412443</v>
      </c>
      <c r="Q689" s="1268">
        <f t="shared" si="334"/>
        <v>0</v>
      </c>
      <c r="R689" s="1268">
        <f t="shared" si="334"/>
        <v>0</v>
      </c>
      <c r="S689" s="1268">
        <f t="shared" si="334"/>
        <v>0</v>
      </c>
      <c r="T689" s="1268">
        <f t="shared" si="334"/>
        <v>0</v>
      </c>
      <c r="U689" s="1268">
        <f t="shared" si="334"/>
        <v>0</v>
      </c>
      <c r="V689" s="1268">
        <f t="shared" si="334"/>
        <v>0</v>
      </c>
      <c r="W689" s="1328">
        <v>0</v>
      </c>
      <c r="X689" s="1268">
        <f t="shared" ref="X689:Y689" si="335">X690</f>
        <v>110628</v>
      </c>
      <c r="Y689" s="1268">
        <f t="shared" si="335"/>
        <v>0</v>
      </c>
    </row>
    <row r="690" spans="1:16331" s="1280" customFormat="1">
      <c r="A690" s="1281">
        <v>190</v>
      </c>
      <c r="B690" s="1267" t="s">
        <v>1277</v>
      </c>
      <c r="C690" s="1268">
        <f>D690+N690+P690+R690+T690+V690+X690</f>
        <v>1523071</v>
      </c>
      <c r="D690" s="1268">
        <v>0</v>
      </c>
      <c r="E690" s="1268">
        <v>0</v>
      </c>
      <c r="F690" s="1268">
        <v>0</v>
      </c>
      <c r="G690" s="1268">
        <v>0</v>
      </c>
      <c r="H690" s="1268">
        <v>0</v>
      </c>
      <c r="I690" s="1268">
        <v>0</v>
      </c>
      <c r="J690" s="1268">
        <v>0</v>
      </c>
      <c r="K690" s="1278">
        <v>0</v>
      </c>
      <c r="L690" s="1268">
        <v>0</v>
      </c>
      <c r="M690" s="1278">
        <v>0</v>
      </c>
      <c r="N690" s="1268">
        <v>0</v>
      </c>
      <c r="O690" s="1268">
        <v>450</v>
      </c>
      <c r="P690" s="1268">
        <v>1412443</v>
      </c>
      <c r="Q690" s="1268">
        <v>0</v>
      </c>
      <c r="R690" s="1268">
        <v>0</v>
      </c>
      <c r="S690" s="1268">
        <v>0</v>
      </c>
      <c r="T690" s="1268">
        <v>0</v>
      </c>
      <c r="U690" s="1268">
        <v>0</v>
      </c>
      <c r="V690" s="1268">
        <v>0</v>
      </c>
      <c r="W690" s="1268">
        <v>0</v>
      </c>
      <c r="X690" s="1268">
        <v>110628</v>
      </c>
      <c r="Y690" s="1268">
        <v>0</v>
      </c>
    </row>
    <row r="691" spans="1:16331" s="1280" customFormat="1" ht="113.4">
      <c r="A691" s="1281"/>
      <c r="B691" s="1277" t="s">
        <v>1161</v>
      </c>
      <c r="C691" s="1268">
        <f>C692+C693+C694+C695</f>
        <v>33565442</v>
      </c>
      <c r="D691" s="1268">
        <f t="shared" ref="D691:Y691" si="336">D692+D693+D694+D695</f>
        <v>0</v>
      </c>
      <c r="E691" s="1268">
        <f t="shared" si="336"/>
        <v>0</v>
      </c>
      <c r="F691" s="1268">
        <f t="shared" si="336"/>
        <v>0</v>
      </c>
      <c r="G691" s="1268">
        <f t="shared" si="336"/>
        <v>0</v>
      </c>
      <c r="H691" s="1268">
        <f t="shared" si="336"/>
        <v>0</v>
      </c>
      <c r="I691" s="1268">
        <f t="shared" si="336"/>
        <v>0</v>
      </c>
      <c r="J691" s="1268">
        <f t="shared" si="336"/>
        <v>0</v>
      </c>
      <c r="K691" s="1278">
        <f t="shared" si="336"/>
        <v>0</v>
      </c>
      <c r="L691" s="1268">
        <f t="shared" si="336"/>
        <v>0</v>
      </c>
      <c r="M691" s="1278">
        <f t="shared" si="336"/>
        <v>5</v>
      </c>
      <c r="N691" s="1268">
        <f t="shared" si="336"/>
        <v>11274555</v>
      </c>
      <c r="O691" s="1268">
        <f t="shared" si="336"/>
        <v>2447.9</v>
      </c>
      <c r="P691" s="1268">
        <f t="shared" si="336"/>
        <v>8318827</v>
      </c>
      <c r="Q691" s="1268">
        <f t="shared" si="336"/>
        <v>0</v>
      </c>
      <c r="R691" s="1268">
        <f t="shared" si="336"/>
        <v>0</v>
      </c>
      <c r="S691" s="1268">
        <f t="shared" si="336"/>
        <v>4674</v>
      </c>
      <c r="T691" s="1268">
        <f t="shared" si="336"/>
        <v>11534041</v>
      </c>
      <c r="U691" s="1268">
        <f t="shared" si="336"/>
        <v>0</v>
      </c>
      <c r="V691" s="1268">
        <f t="shared" si="336"/>
        <v>0</v>
      </c>
      <c r="W691" s="1328">
        <v>0</v>
      </c>
      <c r="X691" s="1268">
        <f t="shared" si="336"/>
        <v>2438019</v>
      </c>
      <c r="Y691" s="1268">
        <f t="shared" si="336"/>
        <v>0</v>
      </c>
    </row>
    <row r="692" spans="1:16331" s="1280" customFormat="1">
      <c r="A692" s="1281">
        <v>191</v>
      </c>
      <c r="B692" s="1277" t="s">
        <v>1552</v>
      </c>
      <c r="C692" s="1268">
        <f>D692+N692+P692+R692+T692+V692+X692</f>
        <v>14135381</v>
      </c>
      <c r="D692" s="1268">
        <f>SUM(E692:J692)</f>
        <v>0</v>
      </c>
      <c r="E692" s="1289">
        <v>0</v>
      </c>
      <c r="F692" s="1289">
        <v>0</v>
      </c>
      <c r="G692" s="1289">
        <v>0</v>
      </c>
      <c r="H692" s="1289">
        <v>0</v>
      </c>
      <c r="I692" s="1289">
        <v>0</v>
      </c>
      <c r="J692" s="1289">
        <v>0</v>
      </c>
      <c r="K692" s="1278">
        <v>0</v>
      </c>
      <c r="L692" s="1289">
        <v>0</v>
      </c>
      <c r="M692" s="1278">
        <v>0</v>
      </c>
      <c r="N692" s="1289">
        <v>0</v>
      </c>
      <c r="O692" s="1289">
        <v>624.9</v>
      </c>
      <c r="P692" s="1289">
        <v>1574619</v>
      </c>
      <c r="Q692" s="1289">
        <v>0</v>
      </c>
      <c r="R692" s="1289">
        <v>0</v>
      </c>
      <c r="S692" s="1289">
        <v>4674</v>
      </c>
      <c r="T692" s="1289">
        <v>11534041</v>
      </c>
      <c r="U692" s="1289">
        <v>0</v>
      </c>
      <c r="V692" s="1289">
        <v>0</v>
      </c>
      <c r="W692" s="1328">
        <v>0</v>
      </c>
      <c r="X692" s="1289">
        <v>1026721</v>
      </c>
      <c r="Y692" s="1289">
        <v>0</v>
      </c>
    </row>
    <row r="693" spans="1:16331" s="1348" customFormat="1">
      <c r="A693" s="1281">
        <v>192</v>
      </c>
      <c r="B693" s="1277" t="s">
        <v>1553</v>
      </c>
      <c r="C693" s="1268">
        <f t="shared" ref="C693:C695" si="337">D693+N693+P693+R693+T693+V693+X693</f>
        <v>9726097</v>
      </c>
      <c r="D693" s="1268">
        <f t="shared" ref="D693:D695" si="338">SUM(E693:J693)</f>
        <v>0</v>
      </c>
      <c r="E693" s="1289">
        <v>0</v>
      </c>
      <c r="F693" s="1289">
        <v>0</v>
      </c>
      <c r="G693" s="1289">
        <v>0</v>
      </c>
      <c r="H693" s="1289">
        <v>0</v>
      </c>
      <c r="I693" s="1289">
        <v>0</v>
      </c>
      <c r="J693" s="1289">
        <v>0</v>
      </c>
      <c r="K693" s="1278">
        <v>0</v>
      </c>
      <c r="L693" s="1289">
        <v>0</v>
      </c>
      <c r="M693" s="1278">
        <v>4</v>
      </c>
      <c r="N693" s="1289">
        <v>9019644</v>
      </c>
      <c r="O693" s="1289">
        <v>0</v>
      </c>
      <c r="P693" s="1289">
        <v>0</v>
      </c>
      <c r="Q693" s="1289">
        <v>0</v>
      </c>
      <c r="R693" s="1289">
        <v>0</v>
      </c>
      <c r="S693" s="1289">
        <v>0</v>
      </c>
      <c r="T693" s="1289">
        <v>0</v>
      </c>
      <c r="U693" s="1289">
        <v>0</v>
      </c>
      <c r="V693" s="1289">
        <v>0</v>
      </c>
      <c r="W693" s="1268">
        <v>0</v>
      </c>
      <c r="X693" s="1289">
        <v>706453</v>
      </c>
      <c r="Y693" s="1289">
        <v>0</v>
      </c>
    </row>
    <row r="694" spans="1:16331" s="1348" customFormat="1">
      <c r="A694" s="1281">
        <v>193</v>
      </c>
      <c r="B694" s="1277" t="s">
        <v>1897</v>
      </c>
      <c r="C694" s="1268">
        <f t="shared" si="337"/>
        <v>7272440</v>
      </c>
      <c r="D694" s="1268">
        <f t="shared" si="338"/>
        <v>0</v>
      </c>
      <c r="E694" s="1289">
        <v>0</v>
      </c>
      <c r="F694" s="1289">
        <v>0</v>
      </c>
      <c r="G694" s="1289">
        <v>0</v>
      </c>
      <c r="H694" s="1289">
        <v>0</v>
      </c>
      <c r="I694" s="1289">
        <v>0</v>
      </c>
      <c r="J694" s="1289">
        <v>0</v>
      </c>
      <c r="K694" s="1278">
        <v>0</v>
      </c>
      <c r="L694" s="1289">
        <v>0</v>
      </c>
      <c r="M694" s="1278">
        <v>0</v>
      </c>
      <c r="N694" s="1289">
        <v>0</v>
      </c>
      <c r="O694" s="1289">
        <v>1823</v>
      </c>
      <c r="P694" s="1289">
        <v>6744208</v>
      </c>
      <c r="Q694" s="1289">
        <v>0</v>
      </c>
      <c r="R694" s="1289">
        <v>0</v>
      </c>
      <c r="S694" s="1289">
        <v>0</v>
      </c>
      <c r="T694" s="1289">
        <v>0</v>
      </c>
      <c r="U694" s="1289">
        <v>0</v>
      </c>
      <c r="V694" s="1289">
        <v>0</v>
      </c>
      <c r="W694" s="1328">
        <v>0</v>
      </c>
      <c r="X694" s="1289">
        <v>528232</v>
      </c>
      <c r="Y694" s="1289">
        <v>0</v>
      </c>
    </row>
    <row r="695" spans="1:16331" s="1337" customFormat="1">
      <c r="A695" s="1281">
        <v>194</v>
      </c>
      <c r="B695" s="1277" t="s">
        <v>1898</v>
      </c>
      <c r="C695" s="1268">
        <f t="shared" si="337"/>
        <v>2431524</v>
      </c>
      <c r="D695" s="1268">
        <f t="shared" si="338"/>
        <v>0</v>
      </c>
      <c r="E695" s="1289">
        <v>0</v>
      </c>
      <c r="F695" s="1289">
        <v>0</v>
      </c>
      <c r="G695" s="1289">
        <v>0</v>
      </c>
      <c r="H695" s="1289">
        <v>0</v>
      </c>
      <c r="I695" s="1289">
        <v>0</v>
      </c>
      <c r="J695" s="1289">
        <v>0</v>
      </c>
      <c r="K695" s="1278">
        <v>0</v>
      </c>
      <c r="L695" s="1289">
        <v>0</v>
      </c>
      <c r="M695" s="1278">
        <v>1</v>
      </c>
      <c r="N695" s="1289">
        <v>2254911</v>
      </c>
      <c r="O695" s="1289">
        <v>0</v>
      </c>
      <c r="P695" s="1289">
        <v>0</v>
      </c>
      <c r="Q695" s="1289">
        <v>0</v>
      </c>
      <c r="R695" s="1289">
        <v>0</v>
      </c>
      <c r="S695" s="1289">
        <v>0</v>
      </c>
      <c r="T695" s="1289">
        <v>0</v>
      </c>
      <c r="U695" s="1289">
        <v>0</v>
      </c>
      <c r="V695" s="1289">
        <v>0</v>
      </c>
      <c r="W695" s="1328">
        <v>0</v>
      </c>
      <c r="X695" s="1289">
        <v>176613</v>
      </c>
      <c r="Y695" s="1289">
        <v>0</v>
      </c>
    </row>
    <row r="696" spans="1:16331" s="1337" customFormat="1">
      <c r="A696" s="1281"/>
      <c r="B696" s="1277" t="s">
        <v>67</v>
      </c>
      <c r="C696" s="1268">
        <f>C697</f>
        <v>3066010</v>
      </c>
      <c r="D696" s="1268">
        <f t="shared" ref="D696:Y696" si="339">D697</f>
        <v>0</v>
      </c>
      <c r="E696" s="1268">
        <f t="shared" si="339"/>
        <v>0</v>
      </c>
      <c r="F696" s="1268">
        <f t="shared" si="339"/>
        <v>0</v>
      </c>
      <c r="G696" s="1268">
        <f t="shared" si="339"/>
        <v>0</v>
      </c>
      <c r="H696" s="1268">
        <f t="shared" si="339"/>
        <v>0</v>
      </c>
      <c r="I696" s="1268">
        <f t="shared" si="339"/>
        <v>0</v>
      </c>
      <c r="J696" s="1268">
        <f t="shared" si="339"/>
        <v>0</v>
      </c>
      <c r="K696" s="1278">
        <v>0</v>
      </c>
      <c r="L696" s="1268">
        <v>0</v>
      </c>
      <c r="M696" s="1278">
        <v>0</v>
      </c>
      <c r="N696" s="1268">
        <f t="shared" si="339"/>
        <v>0</v>
      </c>
      <c r="O696" s="1268">
        <f t="shared" si="339"/>
        <v>1086.1399999999999</v>
      </c>
      <c r="P696" s="1268">
        <f t="shared" si="339"/>
        <v>2843311</v>
      </c>
      <c r="Q696" s="1268">
        <f t="shared" si="339"/>
        <v>0</v>
      </c>
      <c r="R696" s="1268">
        <f t="shared" si="339"/>
        <v>0</v>
      </c>
      <c r="S696" s="1268">
        <f t="shared" si="339"/>
        <v>0</v>
      </c>
      <c r="T696" s="1268">
        <f t="shared" si="339"/>
        <v>0</v>
      </c>
      <c r="U696" s="1268">
        <f t="shared" si="339"/>
        <v>0</v>
      </c>
      <c r="V696" s="1268">
        <f t="shared" si="339"/>
        <v>0</v>
      </c>
      <c r="W696" s="1268">
        <v>0</v>
      </c>
      <c r="X696" s="1268">
        <f t="shared" si="339"/>
        <v>222699</v>
      </c>
      <c r="Y696" s="1268">
        <f t="shared" si="339"/>
        <v>0</v>
      </c>
    </row>
    <row r="697" spans="1:16331" s="1337" customFormat="1" ht="113.4">
      <c r="A697" s="1281"/>
      <c r="B697" s="1277" t="s">
        <v>1345</v>
      </c>
      <c r="C697" s="1268">
        <f>C698+C699</f>
        <v>3066010</v>
      </c>
      <c r="D697" s="1268">
        <f t="shared" ref="D697:Y697" si="340">D698+D699</f>
        <v>0</v>
      </c>
      <c r="E697" s="1268">
        <f t="shared" si="340"/>
        <v>0</v>
      </c>
      <c r="F697" s="1268">
        <f t="shared" si="340"/>
        <v>0</v>
      </c>
      <c r="G697" s="1268">
        <f t="shared" si="340"/>
        <v>0</v>
      </c>
      <c r="H697" s="1268">
        <f t="shared" si="340"/>
        <v>0</v>
      </c>
      <c r="I697" s="1268">
        <f t="shared" si="340"/>
        <v>0</v>
      </c>
      <c r="J697" s="1268">
        <f t="shared" si="340"/>
        <v>0</v>
      </c>
      <c r="K697" s="1278">
        <f t="shared" si="340"/>
        <v>0</v>
      </c>
      <c r="L697" s="1268">
        <f t="shared" si="340"/>
        <v>0</v>
      </c>
      <c r="M697" s="1278">
        <f t="shared" si="340"/>
        <v>0</v>
      </c>
      <c r="N697" s="1268">
        <f t="shared" si="340"/>
        <v>0</v>
      </c>
      <c r="O697" s="1268">
        <f t="shared" si="340"/>
        <v>1086.1399999999999</v>
      </c>
      <c r="P697" s="1268">
        <f t="shared" si="340"/>
        <v>2843311</v>
      </c>
      <c r="Q697" s="1268">
        <f t="shared" si="340"/>
        <v>0</v>
      </c>
      <c r="R697" s="1268">
        <f t="shared" si="340"/>
        <v>0</v>
      </c>
      <c r="S697" s="1268">
        <f t="shared" si="340"/>
        <v>0</v>
      </c>
      <c r="T697" s="1268">
        <f t="shared" si="340"/>
        <v>0</v>
      </c>
      <c r="U697" s="1268">
        <f t="shared" si="340"/>
        <v>0</v>
      </c>
      <c r="V697" s="1268">
        <f t="shared" si="340"/>
        <v>0</v>
      </c>
      <c r="W697" s="1328">
        <v>0</v>
      </c>
      <c r="X697" s="1268">
        <f t="shared" si="340"/>
        <v>222699</v>
      </c>
      <c r="Y697" s="1268">
        <f t="shared" si="340"/>
        <v>0</v>
      </c>
    </row>
    <row r="698" spans="1:16331" s="1337" customFormat="1" ht="123" customHeight="1">
      <c r="A698" s="1281">
        <v>195</v>
      </c>
      <c r="B698" s="1277" t="s">
        <v>1899</v>
      </c>
      <c r="C698" s="1268">
        <f>D698+N698+P698+R698+T698+V698+X698</f>
        <v>2483859</v>
      </c>
      <c r="D698" s="1268">
        <f>SUM(E698:J698)</f>
        <v>0</v>
      </c>
      <c r="E698" s="1268">
        <v>0</v>
      </c>
      <c r="F698" s="1268">
        <v>0</v>
      </c>
      <c r="G698" s="1268">
        <v>0</v>
      </c>
      <c r="H698" s="1268">
        <v>0</v>
      </c>
      <c r="I698" s="1268">
        <v>0</v>
      </c>
      <c r="J698" s="1268">
        <v>0</v>
      </c>
      <c r="K698" s="1278">
        <v>0</v>
      </c>
      <c r="L698" s="1268">
        <v>0</v>
      </c>
      <c r="M698" s="1278">
        <v>0</v>
      </c>
      <c r="N698" s="1268">
        <v>0</v>
      </c>
      <c r="O698" s="1268">
        <v>914.14</v>
      </c>
      <c r="P698" s="1268">
        <v>2303444</v>
      </c>
      <c r="Q698" s="1268">
        <v>0</v>
      </c>
      <c r="R698" s="1268">
        <v>0</v>
      </c>
      <c r="S698" s="1268">
        <v>0</v>
      </c>
      <c r="T698" s="1268">
        <v>0</v>
      </c>
      <c r="U698" s="1268">
        <v>0</v>
      </c>
      <c r="V698" s="1268">
        <v>0</v>
      </c>
      <c r="W698" s="1328">
        <v>0</v>
      </c>
      <c r="X698" s="1268">
        <v>180415</v>
      </c>
      <c r="Y698" s="1268">
        <v>0</v>
      </c>
    </row>
    <row r="699" spans="1:16331" s="1337" customFormat="1" ht="121.2" customHeight="1">
      <c r="A699" s="1281">
        <v>196</v>
      </c>
      <c r="B699" s="1277" t="s">
        <v>1900</v>
      </c>
      <c r="C699" s="1268">
        <f>D699+N699+P699+R699+T699+V699+X699</f>
        <v>582151</v>
      </c>
      <c r="D699" s="1268">
        <f>SUM(E699:J699)</f>
        <v>0</v>
      </c>
      <c r="E699" s="1268">
        <v>0</v>
      </c>
      <c r="F699" s="1268">
        <v>0</v>
      </c>
      <c r="G699" s="1268">
        <v>0</v>
      </c>
      <c r="H699" s="1268">
        <v>0</v>
      </c>
      <c r="I699" s="1268">
        <v>0</v>
      </c>
      <c r="J699" s="1268">
        <v>0</v>
      </c>
      <c r="K699" s="1278">
        <v>0</v>
      </c>
      <c r="L699" s="1268">
        <v>0</v>
      </c>
      <c r="M699" s="1278">
        <v>0</v>
      </c>
      <c r="N699" s="1268">
        <v>0</v>
      </c>
      <c r="O699" s="1268">
        <v>172</v>
      </c>
      <c r="P699" s="1268">
        <v>539867</v>
      </c>
      <c r="Q699" s="1268">
        <v>0</v>
      </c>
      <c r="R699" s="1268">
        <v>0</v>
      </c>
      <c r="S699" s="1268">
        <v>0</v>
      </c>
      <c r="T699" s="1268">
        <v>0</v>
      </c>
      <c r="U699" s="1268">
        <v>0</v>
      </c>
      <c r="V699" s="1268">
        <v>0</v>
      </c>
      <c r="W699" s="1268">
        <v>0</v>
      </c>
      <c r="X699" s="1268">
        <v>42284</v>
      </c>
      <c r="Y699" s="1268">
        <v>0</v>
      </c>
    </row>
    <row r="700" spans="1:16331" s="1337" customFormat="1">
      <c r="A700" s="1562" t="s">
        <v>2386</v>
      </c>
      <c r="B700" s="1563"/>
      <c r="C700" s="1563"/>
      <c r="D700" s="1563"/>
      <c r="E700" s="1563"/>
      <c r="F700" s="1563"/>
      <c r="G700" s="1563"/>
      <c r="H700" s="1563"/>
      <c r="I700" s="1563"/>
      <c r="J700" s="1563"/>
      <c r="K700" s="1563"/>
      <c r="L700" s="1563"/>
      <c r="M700" s="1563"/>
      <c r="N700" s="1563"/>
      <c r="O700" s="1563"/>
      <c r="P700" s="1563"/>
      <c r="Q700" s="1563"/>
      <c r="R700" s="1563"/>
      <c r="S700" s="1563"/>
      <c r="T700" s="1563"/>
      <c r="U700" s="1563"/>
      <c r="V700" s="1563"/>
      <c r="W700" s="1563"/>
      <c r="X700" s="1563"/>
      <c r="Y700" s="1564"/>
      <c r="Z700" s="1349"/>
      <c r="AA700" s="1349"/>
      <c r="AB700" s="1349"/>
      <c r="AC700" s="1349"/>
      <c r="AD700" s="1349"/>
      <c r="AE700" s="1349"/>
      <c r="AF700" s="1349"/>
      <c r="AG700" s="1349"/>
      <c r="AH700" s="1349"/>
      <c r="AI700" s="1349"/>
      <c r="AJ700" s="1349"/>
      <c r="AK700" s="1349"/>
      <c r="AL700" s="1349"/>
      <c r="AM700" s="1349"/>
      <c r="AN700" s="1349"/>
      <c r="AO700" s="1349"/>
      <c r="AP700" s="1349"/>
      <c r="AQ700" s="1349"/>
      <c r="AR700" s="1349"/>
      <c r="AS700" s="1349"/>
      <c r="AT700" s="1349"/>
      <c r="AU700" s="1349"/>
      <c r="AV700" s="1349"/>
      <c r="AW700" s="1349"/>
      <c r="AX700" s="1349"/>
      <c r="AY700" s="1349"/>
      <c r="AZ700" s="1349"/>
      <c r="BA700" s="1349"/>
      <c r="BB700" s="1349"/>
      <c r="BC700" s="1349"/>
      <c r="BD700" s="1349"/>
      <c r="BE700" s="1349"/>
      <c r="BF700" s="1349"/>
      <c r="BG700" s="1349"/>
      <c r="BH700" s="1349"/>
      <c r="BI700" s="1349"/>
      <c r="BJ700" s="1349"/>
      <c r="BK700" s="1349"/>
      <c r="BL700" s="1349"/>
      <c r="BM700" s="1349"/>
      <c r="BN700" s="1349"/>
      <c r="BO700" s="1349"/>
      <c r="BP700" s="1349"/>
      <c r="BQ700" s="1349"/>
      <c r="BR700" s="1349"/>
      <c r="BS700" s="1349"/>
      <c r="BT700" s="1349"/>
      <c r="BU700" s="1349"/>
      <c r="BV700" s="1349"/>
      <c r="BW700" s="1349"/>
      <c r="BX700" s="1349"/>
      <c r="BY700" s="1349"/>
      <c r="BZ700" s="1349"/>
      <c r="CA700" s="1349"/>
      <c r="CB700" s="1349"/>
      <c r="CC700" s="1349"/>
      <c r="CD700" s="1349"/>
      <c r="CE700" s="1349"/>
      <c r="CF700" s="1349"/>
      <c r="CG700" s="1349"/>
      <c r="CH700" s="1349"/>
      <c r="CI700" s="1349"/>
      <c r="CJ700" s="1349"/>
      <c r="CK700" s="1349"/>
      <c r="CL700" s="1349"/>
      <c r="CM700" s="1349"/>
      <c r="CN700" s="1349"/>
      <c r="CO700" s="1349"/>
      <c r="CP700" s="1349"/>
      <c r="CQ700" s="1349"/>
      <c r="CR700" s="1349"/>
      <c r="CS700" s="1349"/>
      <c r="CT700" s="1349"/>
      <c r="CU700" s="1349"/>
      <c r="CV700" s="1349"/>
      <c r="CW700" s="1349"/>
      <c r="CX700" s="1349"/>
      <c r="CY700" s="1349"/>
      <c r="CZ700" s="1349"/>
      <c r="DA700" s="1349"/>
      <c r="DB700" s="1349"/>
      <c r="DC700" s="1349"/>
      <c r="DD700" s="1349"/>
      <c r="DE700" s="1349"/>
      <c r="DF700" s="1349"/>
      <c r="DG700" s="1349"/>
      <c r="DH700" s="1349"/>
      <c r="DI700" s="1349"/>
      <c r="DJ700" s="1349"/>
      <c r="DK700" s="1349"/>
      <c r="DL700" s="1349"/>
      <c r="DM700" s="1349"/>
      <c r="DN700" s="1349"/>
      <c r="DO700" s="1349"/>
      <c r="DP700" s="1349"/>
      <c r="DQ700" s="1349"/>
      <c r="DR700" s="1349"/>
      <c r="DS700" s="1349"/>
      <c r="DT700" s="1349"/>
      <c r="DU700" s="1349"/>
      <c r="DV700" s="1349"/>
      <c r="DW700" s="1349"/>
      <c r="DX700" s="1349"/>
      <c r="DY700" s="1349"/>
      <c r="DZ700" s="1349"/>
      <c r="EA700" s="1349"/>
      <c r="EB700" s="1349"/>
      <c r="EC700" s="1349"/>
      <c r="ED700" s="1349"/>
      <c r="EE700" s="1349"/>
      <c r="EF700" s="1349"/>
      <c r="EG700" s="1349"/>
      <c r="EH700" s="1349"/>
      <c r="EI700" s="1349"/>
      <c r="EJ700" s="1349"/>
      <c r="EK700" s="1349"/>
      <c r="EL700" s="1349"/>
      <c r="EM700" s="1349"/>
      <c r="EN700" s="1349"/>
      <c r="EO700" s="1349"/>
      <c r="EP700" s="1349"/>
      <c r="EQ700" s="1349"/>
      <c r="ER700" s="1349"/>
      <c r="ES700" s="1349"/>
      <c r="ET700" s="1349"/>
      <c r="EU700" s="1349"/>
      <c r="EV700" s="1349"/>
      <c r="EW700" s="1349"/>
      <c r="EX700" s="1349"/>
      <c r="EY700" s="1349"/>
      <c r="EZ700" s="1349"/>
      <c r="FA700" s="1349"/>
      <c r="FB700" s="1349"/>
      <c r="FC700" s="1349"/>
      <c r="FD700" s="1349"/>
      <c r="FE700" s="1349"/>
      <c r="FF700" s="1349"/>
      <c r="FG700" s="1349"/>
      <c r="FH700" s="1349"/>
      <c r="FI700" s="1349"/>
      <c r="FJ700" s="1349"/>
      <c r="FK700" s="1349"/>
      <c r="FL700" s="1349"/>
      <c r="FM700" s="1349"/>
      <c r="FN700" s="1349"/>
      <c r="FO700" s="1349"/>
      <c r="FP700" s="1349"/>
      <c r="FQ700" s="1349"/>
      <c r="FR700" s="1349"/>
      <c r="FS700" s="1349"/>
      <c r="FT700" s="1349"/>
      <c r="FU700" s="1349"/>
      <c r="FV700" s="1349"/>
      <c r="FW700" s="1349"/>
      <c r="FX700" s="1349"/>
      <c r="FY700" s="1349"/>
      <c r="FZ700" s="1349"/>
      <c r="GA700" s="1349"/>
      <c r="GB700" s="1349"/>
      <c r="GC700" s="1349"/>
      <c r="GD700" s="1349"/>
      <c r="GE700" s="1349"/>
      <c r="GF700" s="1349"/>
      <c r="GG700" s="1349"/>
      <c r="GH700" s="1349"/>
      <c r="GI700" s="1349"/>
      <c r="GJ700" s="1349"/>
      <c r="GK700" s="1349"/>
      <c r="GL700" s="1349"/>
      <c r="GM700" s="1349"/>
      <c r="GN700" s="1349"/>
      <c r="GO700" s="1349"/>
      <c r="GP700" s="1349"/>
      <c r="GQ700" s="1349"/>
      <c r="GR700" s="1349"/>
      <c r="GS700" s="1349"/>
      <c r="GT700" s="1349"/>
      <c r="GU700" s="1349"/>
      <c r="GV700" s="1349"/>
      <c r="GW700" s="1349"/>
      <c r="GX700" s="1349"/>
      <c r="GY700" s="1349"/>
      <c r="GZ700" s="1349"/>
      <c r="HA700" s="1349"/>
      <c r="HB700" s="1349"/>
      <c r="HC700" s="1349"/>
      <c r="HD700" s="1349"/>
      <c r="HE700" s="1349"/>
      <c r="HF700" s="1349"/>
      <c r="HG700" s="1349"/>
      <c r="HH700" s="1349"/>
      <c r="HI700" s="1349"/>
      <c r="HJ700" s="1349"/>
      <c r="HK700" s="1349"/>
      <c r="HL700" s="1349"/>
      <c r="HM700" s="1349"/>
      <c r="HN700" s="1349"/>
      <c r="HO700" s="1349"/>
      <c r="HP700" s="1349"/>
      <c r="HQ700" s="1349"/>
      <c r="HR700" s="1349"/>
      <c r="HS700" s="1349"/>
      <c r="HT700" s="1349"/>
      <c r="HU700" s="1349"/>
      <c r="HV700" s="1349"/>
      <c r="HW700" s="1349"/>
      <c r="HX700" s="1349"/>
      <c r="HY700" s="1349"/>
      <c r="HZ700" s="1349"/>
      <c r="IA700" s="1349"/>
      <c r="IB700" s="1349"/>
      <c r="IC700" s="1349"/>
      <c r="ID700" s="1349"/>
      <c r="IE700" s="1349"/>
      <c r="IF700" s="1349"/>
      <c r="IG700" s="1349"/>
      <c r="IH700" s="1349"/>
      <c r="II700" s="1349"/>
      <c r="IJ700" s="1349"/>
      <c r="IK700" s="1349"/>
      <c r="IL700" s="1349"/>
      <c r="IM700" s="1349"/>
      <c r="IN700" s="1349"/>
      <c r="IO700" s="1349"/>
      <c r="IP700" s="1349"/>
      <c r="IQ700" s="1349"/>
      <c r="IR700" s="1349"/>
      <c r="IS700" s="1349"/>
      <c r="IT700" s="1349"/>
      <c r="IU700" s="1349"/>
      <c r="IV700" s="1349"/>
      <c r="IW700" s="1349"/>
      <c r="IX700" s="1349"/>
      <c r="IY700" s="1349"/>
      <c r="IZ700" s="1349"/>
      <c r="JA700" s="1349"/>
      <c r="JB700" s="1349"/>
      <c r="JC700" s="1349"/>
      <c r="JD700" s="1349"/>
      <c r="JE700" s="1349"/>
      <c r="JF700" s="1349"/>
      <c r="JG700" s="1349"/>
      <c r="JH700" s="1349"/>
      <c r="JI700" s="1349"/>
      <c r="JJ700" s="1349"/>
      <c r="JK700" s="1349"/>
      <c r="JL700" s="1349"/>
      <c r="JM700" s="1349"/>
      <c r="JN700" s="1349"/>
      <c r="JO700" s="1349"/>
      <c r="JP700" s="1349"/>
      <c r="JQ700" s="1349"/>
      <c r="JR700" s="1349"/>
      <c r="JS700" s="1349"/>
      <c r="JT700" s="1349"/>
      <c r="JU700" s="1349"/>
      <c r="JV700" s="1349"/>
      <c r="JW700" s="1349"/>
      <c r="JX700" s="1349"/>
      <c r="JY700" s="1349"/>
      <c r="JZ700" s="1349"/>
      <c r="KA700" s="1349"/>
      <c r="KB700" s="1349"/>
      <c r="KC700" s="1349"/>
      <c r="KD700" s="1349"/>
      <c r="KE700" s="1349"/>
      <c r="KF700" s="1349"/>
      <c r="KG700" s="1349"/>
      <c r="KH700" s="1349"/>
      <c r="KI700" s="1349"/>
      <c r="KJ700" s="1349"/>
      <c r="KK700" s="1349"/>
      <c r="KL700" s="1349"/>
      <c r="KM700" s="1349"/>
      <c r="KN700" s="1349"/>
      <c r="KO700" s="1349"/>
      <c r="KP700" s="1349"/>
      <c r="KQ700" s="1349"/>
      <c r="KR700" s="1349"/>
      <c r="KS700" s="1349"/>
      <c r="KT700" s="1349"/>
      <c r="KU700" s="1349"/>
      <c r="KV700" s="1349"/>
      <c r="KW700" s="1349"/>
      <c r="KX700" s="1349"/>
      <c r="KY700" s="1349"/>
      <c r="KZ700" s="1349"/>
      <c r="LA700" s="1349"/>
      <c r="LB700" s="1349"/>
      <c r="LC700" s="1349"/>
      <c r="LD700" s="1349"/>
      <c r="LE700" s="1349"/>
      <c r="LF700" s="1349"/>
      <c r="LG700" s="1349"/>
      <c r="LH700" s="1349"/>
      <c r="LI700" s="1349"/>
      <c r="LJ700" s="1349"/>
      <c r="LK700" s="1349"/>
      <c r="LL700" s="1349"/>
      <c r="LM700" s="1349"/>
      <c r="LN700" s="1349"/>
      <c r="LO700" s="1349"/>
      <c r="LP700" s="1349"/>
      <c r="LQ700" s="1349"/>
      <c r="LR700" s="1349"/>
      <c r="LS700" s="1349"/>
      <c r="LT700" s="1349"/>
      <c r="LU700" s="1349"/>
      <c r="LV700" s="1349"/>
      <c r="LW700" s="1349"/>
      <c r="LX700" s="1349"/>
      <c r="LY700" s="1349"/>
      <c r="LZ700" s="1349"/>
      <c r="MA700" s="1349"/>
      <c r="MB700" s="1349"/>
      <c r="MC700" s="1349"/>
      <c r="MD700" s="1349"/>
      <c r="ME700" s="1349"/>
      <c r="MF700" s="1349"/>
      <c r="MG700" s="1349"/>
      <c r="MH700" s="1349"/>
      <c r="MI700" s="1349"/>
      <c r="MJ700" s="1349"/>
      <c r="MK700" s="1349"/>
      <c r="ML700" s="1349"/>
      <c r="MM700" s="1349"/>
      <c r="MN700" s="1349"/>
      <c r="MO700" s="1349"/>
      <c r="MP700" s="1349"/>
      <c r="MQ700" s="1349"/>
      <c r="MR700" s="1349"/>
      <c r="MS700" s="1349"/>
      <c r="MT700" s="1349"/>
      <c r="MU700" s="1349"/>
      <c r="MV700" s="1349"/>
      <c r="MW700" s="1349"/>
      <c r="MX700" s="1349"/>
      <c r="MY700" s="1349"/>
      <c r="MZ700" s="1349"/>
      <c r="NA700" s="1349"/>
      <c r="NB700" s="1349"/>
      <c r="NC700" s="1349"/>
      <c r="ND700" s="1349"/>
      <c r="NE700" s="1349"/>
      <c r="NF700" s="1349"/>
      <c r="NG700" s="1349"/>
      <c r="NH700" s="1349"/>
      <c r="NI700" s="1349"/>
      <c r="NJ700" s="1349"/>
      <c r="NK700" s="1349"/>
      <c r="NL700" s="1349"/>
      <c r="NM700" s="1349"/>
      <c r="NN700" s="1349"/>
      <c r="NO700" s="1349"/>
      <c r="NP700" s="1349"/>
      <c r="NQ700" s="1349"/>
      <c r="NR700" s="1349"/>
      <c r="NS700" s="1349"/>
      <c r="NT700" s="1349"/>
      <c r="NU700" s="1349"/>
      <c r="NV700" s="1349"/>
      <c r="NW700" s="1349"/>
      <c r="NX700" s="1349"/>
      <c r="NY700" s="1349"/>
      <c r="NZ700" s="1349"/>
      <c r="OA700" s="1349"/>
      <c r="OB700" s="1349"/>
      <c r="OC700" s="1349"/>
      <c r="OD700" s="1349"/>
      <c r="OE700" s="1349"/>
      <c r="OF700" s="1349"/>
      <c r="OG700" s="1349"/>
      <c r="OH700" s="1349"/>
      <c r="OI700" s="1349"/>
      <c r="OJ700" s="1349"/>
      <c r="OK700" s="1349"/>
      <c r="OL700" s="1349"/>
      <c r="OM700" s="1349"/>
      <c r="ON700" s="1349"/>
      <c r="OO700" s="1349"/>
      <c r="OP700" s="1349"/>
      <c r="OQ700" s="1349"/>
      <c r="OR700" s="1349"/>
      <c r="OS700" s="1349"/>
      <c r="OT700" s="1349"/>
      <c r="OU700" s="1349"/>
      <c r="OV700" s="1349"/>
      <c r="OW700" s="1349"/>
      <c r="OX700" s="1349"/>
      <c r="OY700" s="1349"/>
      <c r="OZ700" s="1349"/>
      <c r="PA700" s="1349"/>
      <c r="PB700" s="1349"/>
      <c r="PC700" s="1349"/>
      <c r="PD700" s="1349"/>
      <c r="PE700" s="1349"/>
      <c r="PF700" s="1349"/>
      <c r="PG700" s="1349"/>
      <c r="PH700" s="1349"/>
      <c r="PI700" s="1349"/>
      <c r="PJ700" s="1349"/>
      <c r="PK700" s="1349"/>
      <c r="PL700" s="1349"/>
      <c r="PM700" s="1349"/>
      <c r="PN700" s="1349"/>
      <c r="PO700" s="1349"/>
      <c r="PP700" s="1349"/>
      <c r="PQ700" s="1349"/>
      <c r="PR700" s="1349"/>
      <c r="PS700" s="1349"/>
      <c r="PT700" s="1349"/>
      <c r="PU700" s="1349"/>
      <c r="PV700" s="1349"/>
      <c r="PW700" s="1349"/>
      <c r="PX700" s="1349"/>
      <c r="PY700" s="1349"/>
      <c r="PZ700" s="1349"/>
      <c r="QA700" s="1349"/>
      <c r="QB700" s="1349"/>
      <c r="QC700" s="1349"/>
      <c r="QD700" s="1349"/>
      <c r="QE700" s="1349"/>
      <c r="QF700" s="1349"/>
      <c r="QG700" s="1349"/>
      <c r="QH700" s="1349"/>
      <c r="QI700" s="1349"/>
      <c r="QJ700" s="1349"/>
      <c r="QK700" s="1349"/>
      <c r="QL700" s="1349"/>
      <c r="QM700" s="1349"/>
      <c r="QN700" s="1349"/>
      <c r="QO700" s="1349"/>
      <c r="QP700" s="1349"/>
      <c r="QQ700" s="1349"/>
      <c r="QR700" s="1349"/>
      <c r="QS700" s="1349"/>
      <c r="QT700" s="1349"/>
      <c r="QU700" s="1349"/>
      <c r="QV700" s="1349"/>
      <c r="QW700" s="1349"/>
      <c r="QX700" s="1349"/>
      <c r="QY700" s="1349"/>
      <c r="QZ700" s="1349"/>
      <c r="RA700" s="1349"/>
      <c r="RB700" s="1349"/>
      <c r="RC700" s="1349"/>
      <c r="RD700" s="1349"/>
      <c r="RE700" s="1349"/>
      <c r="RF700" s="1349"/>
      <c r="RG700" s="1349"/>
      <c r="RH700" s="1349"/>
      <c r="RI700" s="1349"/>
      <c r="RJ700" s="1349"/>
      <c r="RK700" s="1349"/>
      <c r="RL700" s="1349"/>
      <c r="RM700" s="1349"/>
      <c r="RN700" s="1349"/>
      <c r="RO700" s="1349"/>
      <c r="RP700" s="1349"/>
      <c r="RQ700" s="1349"/>
      <c r="RR700" s="1349"/>
      <c r="RS700" s="1349"/>
      <c r="RT700" s="1349"/>
      <c r="RU700" s="1349"/>
      <c r="RV700" s="1349"/>
      <c r="RW700" s="1349"/>
      <c r="RX700" s="1349"/>
      <c r="RY700" s="1349"/>
      <c r="RZ700" s="1349"/>
      <c r="SA700" s="1349"/>
      <c r="SB700" s="1349"/>
      <c r="SC700" s="1349"/>
      <c r="SD700" s="1349"/>
      <c r="SE700" s="1349"/>
      <c r="SF700" s="1349"/>
      <c r="SG700" s="1349"/>
      <c r="SH700" s="1349"/>
      <c r="SI700" s="1349"/>
      <c r="SJ700" s="1349"/>
      <c r="SK700" s="1349"/>
      <c r="SL700" s="1349"/>
      <c r="SM700" s="1349"/>
      <c r="SN700" s="1349"/>
      <c r="SO700" s="1349"/>
      <c r="SP700" s="1349"/>
      <c r="SQ700" s="1349"/>
      <c r="SR700" s="1349"/>
      <c r="SS700" s="1349"/>
      <c r="ST700" s="1349"/>
      <c r="SU700" s="1349"/>
      <c r="SV700" s="1349"/>
      <c r="SW700" s="1349"/>
      <c r="SX700" s="1349"/>
      <c r="SY700" s="1349"/>
      <c r="SZ700" s="1349"/>
      <c r="TA700" s="1349"/>
      <c r="TB700" s="1349"/>
      <c r="TC700" s="1349"/>
      <c r="TD700" s="1349"/>
      <c r="TE700" s="1349"/>
      <c r="TF700" s="1349"/>
      <c r="TG700" s="1349"/>
      <c r="TH700" s="1349"/>
      <c r="TI700" s="1349"/>
      <c r="TJ700" s="1349"/>
      <c r="TK700" s="1349"/>
      <c r="TL700" s="1349"/>
      <c r="TM700" s="1349"/>
      <c r="TN700" s="1349"/>
      <c r="TO700" s="1349"/>
      <c r="TP700" s="1349"/>
      <c r="TQ700" s="1349"/>
      <c r="TR700" s="1349"/>
      <c r="TS700" s="1349"/>
      <c r="TT700" s="1349"/>
      <c r="TU700" s="1349"/>
      <c r="TV700" s="1349"/>
      <c r="TW700" s="1349"/>
      <c r="TX700" s="1349"/>
      <c r="TY700" s="1349"/>
      <c r="TZ700" s="1349"/>
      <c r="UA700" s="1349"/>
      <c r="UB700" s="1349"/>
      <c r="UC700" s="1349"/>
      <c r="UD700" s="1349"/>
      <c r="UE700" s="1349"/>
      <c r="UF700" s="1349"/>
      <c r="UG700" s="1349"/>
      <c r="UH700" s="1349"/>
      <c r="UI700" s="1349"/>
      <c r="UJ700" s="1349"/>
      <c r="UK700" s="1349"/>
      <c r="UL700" s="1349"/>
      <c r="UM700" s="1349"/>
      <c r="UN700" s="1349"/>
      <c r="UO700" s="1349"/>
      <c r="UP700" s="1349"/>
      <c r="UQ700" s="1349"/>
      <c r="UR700" s="1349"/>
      <c r="US700" s="1349"/>
      <c r="UT700" s="1349"/>
      <c r="UU700" s="1349"/>
      <c r="UV700" s="1349"/>
      <c r="UW700" s="1349"/>
      <c r="UX700" s="1349"/>
      <c r="UY700" s="1349"/>
      <c r="UZ700" s="1349"/>
      <c r="VA700" s="1349"/>
      <c r="VB700" s="1349"/>
      <c r="VC700" s="1349"/>
      <c r="VD700" s="1349"/>
      <c r="VE700" s="1349"/>
      <c r="VF700" s="1349"/>
      <c r="VG700" s="1349"/>
      <c r="VH700" s="1349"/>
      <c r="VI700" s="1349"/>
      <c r="VJ700" s="1349"/>
      <c r="VK700" s="1349"/>
      <c r="VL700" s="1349"/>
      <c r="VM700" s="1349"/>
      <c r="VN700" s="1349"/>
      <c r="VO700" s="1349"/>
      <c r="VP700" s="1349"/>
      <c r="VQ700" s="1349"/>
      <c r="VR700" s="1349"/>
      <c r="VS700" s="1349"/>
      <c r="VT700" s="1349"/>
      <c r="VU700" s="1349"/>
      <c r="VV700" s="1349"/>
      <c r="VW700" s="1349"/>
      <c r="VX700" s="1349"/>
      <c r="VY700" s="1349"/>
      <c r="VZ700" s="1349"/>
      <c r="WA700" s="1349"/>
      <c r="WB700" s="1349"/>
      <c r="WC700" s="1349"/>
      <c r="WD700" s="1349"/>
      <c r="WE700" s="1349"/>
      <c r="WF700" s="1349"/>
      <c r="WG700" s="1349"/>
      <c r="WH700" s="1349"/>
      <c r="WI700" s="1349"/>
      <c r="WJ700" s="1349"/>
      <c r="WK700" s="1349"/>
      <c r="WL700" s="1349"/>
      <c r="WM700" s="1349"/>
      <c r="WN700" s="1349"/>
      <c r="WO700" s="1349"/>
      <c r="WP700" s="1349"/>
      <c r="WQ700" s="1349"/>
      <c r="WR700" s="1349"/>
      <c r="WS700" s="1349"/>
      <c r="WT700" s="1349"/>
      <c r="WU700" s="1349"/>
      <c r="WV700" s="1349"/>
      <c r="WW700" s="1349"/>
      <c r="WX700" s="1349"/>
      <c r="WY700" s="1349"/>
      <c r="WZ700" s="1349"/>
      <c r="XA700" s="1349"/>
      <c r="XB700" s="1349"/>
      <c r="XC700" s="1349"/>
      <c r="XD700" s="1349"/>
      <c r="XE700" s="1349"/>
      <c r="XF700" s="1349"/>
      <c r="XG700" s="1349"/>
      <c r="XH700" s="1349"/>
      <c r="XI700" s="1349"/>
      <c r="XJ700" s="1349"/>
      <c r="XK700" s="1349"/>
      <c r="XL700" s="1349"/>
      <c r="XM700" s="1349"/>
      <c r="XN700" s="1349"/>
      <c r="XO700" s="1349"/>
      <c r="XP700" s="1349"/>
      <c r="XQ700" s="1349"/>
      <c r="XR700" s="1349"/>
      <c r="XS700" s="1349"/>
      <c r="XT700" s="1349"/>
      <c r="XU700" s="1349"/>
      <c r="XV700" s="1349"/>
      <c r="XW700" s="1349"/>
      <c r="XX700" s="1349"/>
      <c r="XY700" s="1349"/>
      <c r="XZ700" s="1349"/>
      <c r="YA700" s="1349"/>
      <c r="YB700" s="1349"/>
      <c r="YC700" s="1349"/>
      <c r="YD700" s="1349"/>
      <c r="YE700" s="1349"/>
      <c r="YF700" s="1349"/>
      <c r="YG700" s="1349"/>
      <c r="YH700" s="1349"/>
      <c r="YI700" s="1349"/>
      <c r="YJ700" s="1349"/>
      <c r="YK700" s="1349"/>
      <c r="YL700" s="1349"/>
      <c r="YM700" s="1349"/>
      <c r="YN700" s="1349"/>
      <c r="YO700" s="1349"/>
      <c r="YP700" s="1349"/>
      <c r="YQ700" s="1349"/>
      <c r="YR700" s="1349"/>
      <c r="YS700" s="1349"/>
      <c r="YT700" s="1349"/>
      <c r="YU700" s="1349"/>
      <c r="YV700" s="1349"/>
      <c r="YW700" s="1349"/>
      <c r="YX700" s="1349"/>
      <c r="YY700" s="1349"/>
      <c r="YZ700" s="1349"/>
      <c r="ZA700" s="1349"/>
      <c r="ZB700" s="1349"/>
      <c r="ZC700" s="1349"/>
      <c r="ZD700" s="1349"/>
      <c r="ZE700" s="1349"/>
      <c r="ZF700" s="1349"/>
      <c r="ZG700" s="1349"/>
      <c r="ZH700" s="1349"/>
      <c r="ZI700" s="1349"/>
      <c r="ZJ700" s="1349"/>
      <c r="ZK700" s="1349"/>
      <c r="ZL700" s="1349"/>
      <c r="ZM700" s="1349"/>
      <c r="ZN700" s="1349"/>
      <c r="ZO700" s="1349"/>
      <c r="ZP700" s="1349"/>
      <c r="ZQ700" s="1349"/>
      <c r="ZR700" s="1349"/>
      <c r="ZS700" s="1349"/>
      <c r="ZT700" s="1349"/>
      <c r="ZU700" s="1349"/>
      <c r="ZV700" s="1349"/>
      <c r="ZW700" s="1349"/>
      <c r="ZX700" s="1349"/>
      <c r="ZY700" s="1349"/>
      <c r="ZZ700" s="1349"/>
      <c r="AAA700" s="1349"/>
      <c r="AAB700" s="1349"/>
      <c r="AAC700" s="1349"/>
      <c r="AAD700" s="1349"/>
      <c r="AAE700" s="1349"/>
      <c r="AAF700" s="1349"/>
      <c r="AAG700" s="1349"/>
      <c r="AAH700" s="1349"/>
      <c r="AAI700" s="1349"/>
      <c r="AAJ700" s="1349"/>
      <c r="AAK700" s="1349"/>
      <c r="AAL700" s="1349"/>
      <c r="AAM700" s="1349"/>
      <c r="AAN700" s="1349"/>
      <c r="AAO700" s="1349"/>
      <c r="AAP700" s="1349"/>
      <c r="AAQ700" s="1349"/>
      <c r="AAR700" s="1349"/>
      <c r="AAS700" s="1349"/>
      <c r="AAT700" s="1349"/>
      <c r="AAU700" s="1349"/>
      <c r="AAV700" s="1349"/>
      <c r="AAW700" s="1349"/>
      <c r="AAX700" s="1349"/>
      <c r="AAY700" s="1349"/>
      <c r="AAZ700" s="1349"/>
      <c r="ABA700" s="1349"/>
      <c r="ABB700" s="1349"/>
      <c r="ABC700" s="1349"/>
      <c r="ABD700" s="1349"/>
      <c r="ABE700" s="1349"/>
      <c r="ABF700" s="1349"/>
      <c r="ABG700" s="1349"/>
      <c r="ABH700" s="1349"/>
      <c r="ABI700" s="1349"/>
      <c r="ABJ700" s="1349"/>
      <c r="ABK700" s="1349"/>
      <c r="ABL700" s="1349"/>
      <c r="ABM700" s="1349"/>
      <c r="ABN700" s="1349"/>
      <c r="ABO700" s="1349"/>
      <c r="ABP700" s="1349"/>
      <c r="ABQ700" s="1349"/>
      <c r="ABR700" s="1349"/>
      <c r="ABS700" s="1349"/>
      <c r="ABT700" s="1349"/>
      <c r="ABU700" s="1349"/>
      <c r="ABV700" s="1349"/>
      <c r="ABW700" s="1349"/>
      <c r="ABX700" s="1349"/>
      <c r="ABY700" s="1349"/>
      <c r="ABZ700" s="1349"/>
      <c r="ACA700" s="1349"/>
      <c r="ACB700" s="1349"/>
      <c r="ACC700" s="1349"/>
      <c r="ACD700" s="1349"/>
      <c r="ACE700" s="1349"/>
      <c r="ACF700" s="1349"/>
      <c r="ACG700" s="1349"/>
      <c r="ACH700" s="1349"/>
      <c r="ACI700" s="1349"/>
      <c r="ACJ700" s="1349"/>
      <c r="ACK700" s="1349"/>
      <c r="ACL700" s="1349"/>
      <c r="ACM700" s="1349"/>
      <c r="ACN700" s="1349"/>
      <c r="ACO700" s="1349"/>
      <c r="ACP700" s="1349"/>
      <c r="ACQ700" s="1349"/>
      <c r="ACR700" s="1349"/>
      <c r="ACS700" s="1349"/>
      <c r="ACT700" s="1349"/>
      <c r="ACU700" s="1349"/>
      <c r="ACV700" s="1349"/>
      <c r="ACW700" s="1349"/>
      <c r="ACX700" s="1349"/>
      <c r="ACY700" s="1349"/>
      <c r="ACZ700" s="1349"/>
      <c r="ADA700" s="1349"/>
      <c r="ADB700" s="1349"/>
      <c r="ADC700" s="1349"/>
      <c r="ADD700" s="1349"/>
      <c r="ADE700" s="1349"/>
      <c r="ADF700" s="1349"/>
      <c r="ADG700" s="1349"/>
      <c r="ADH700" s="1349"/>
      <c r="ADI700" s="1349"/>
      <c r="ADJ700" s="1349"/>
      <c r="ADK700" s="1349"/>
      <c r="ADL700" s="1349"/>
      <c r="ADM700" s="1349"/>
      <c r="ADN700" s="1349"/>
      <c r="ADO700" s="1349"/>
      <c r="ADP700" s="1349"/>
      <c r="ADQ700" s="1349"/>
      <c r="ADR700" s="1349"/>
      <c r="ADS700" s="1349"/>
      <c r="ADT700" s="1349"/>
      <c r="ADU700" s="1349"/>
      <c r="ADV700" s="1349"/>
      <c r="ADW700" s="1349"/>
      <c r="ADX700" s="1349"/>
      <c r="ADY700" s="1349"/>
      <c r="ADZ700" s="1349"/>
      <c r="AEA700" s="1349"/>
      <c r="AEB700" s="1349"/>
      <c r="AEC700" s="1349"/>
      <c r="AED700" s="1349"/>
      <c r="AEE700" s="1349"/>
      <c r="AEF700" s="1349"/>
      <c r="AEG700" s="1349"/>
      <c r="AEH700" s="1349"/>
      <c r="AEI700" s="1349"/>
      <c r="AEJ700" s="1349"/>
      <c r="AEK700" s="1349"/>
      <c r="AEL700" s="1349"/>
      <c r="AEM700" s="1349"/>
      <c r="AEN700" s="1349"/>
      <c r="AEO700" s="1349"/>
      <c r="AEP700" s="1349"/>
      <c r="AEQ700" s="1349"/>
      <c r="AER700" s="1349"/>
      <c r="AES700" s="1349"/>
      <c r="AET700" s="1349"/>
      <c r="AEU700" s="1349"/>
      <c r="AEV700" s="1349"/>
      <c r="AEW700" s="1349"/>
      <c r="AEX700" s="1349"/>
      <c r="AEY700" s="1349"/>
      <c r="AEZ700" s="1349"/>
      <c r="AFA700" s="1349"/>
      <c r="AFB700" s="1349"/>
      <c r="AFC700" s="1349"/>
      <c r="AFD700" s="1349"/>
      <c r="AFE700" s="1349"/>
      <c r="AFF700" s="1349"/>
      <c r="AFG700" s="1349"/>
      <c r="AFH700" s="1349"/>
      <c r="AFI700" s="1349"/>
      <c r="AFJ700" s="1349"/>
      <c r="AFK700" s="1349"/>
      <c r="AFL700" s="1349"/>
      <c r="AFM700" s="1349"/>
      <c r="AFN700" s="1349"/>
      <c r="AFO700" s="1349"/>
      <c r="AFP700" s="1349"/>
      <c r="AFQ700" s="1349"/>
      <c r="AFR700" s="1349"/>
      <c r="AFS700" s="1349"/>
      <c r="AFT700" s="1349"/>
      <c r="AFU700" s="1349"/>
      <c r="AFV700" s="1349"/>
      <c r="AFW700" s="1349"/>
      <c r="AFX700" s="1349"/>
      <c r="AFY700" s="1349"/>
      <c r="AFZ700" s="1349"/>
      <c r="AGA700" s="1349"/>
      <c r="AGB700" s="1349"/>
      <c r="AGC700" s="1349"/>
      <c r="AGD700" s="1349"/>
      <c r="AGE700" s="1349"/>
      <c r="AGF700" s="1349"/>
      <c r="AGG700" s="1349"/>
      <c r="AGH700" s="1349"/>
      <c r="AGI700" s="1349"/>
      <c r="AGJ700" s="1349"/>
      <c r="AGK700" s="1349"/>
      <c r="AGL700" s="1349"/>
      <c r="AGM700" s="1349"/>
      <c r="AGN700" s="1349"/>
      <c r="AGO700" s="1349"/>
      <c r="AGP700" s="1349"/>
      <c r="AGQ700" s="1349"/>
      <c r="AGR700" s="1349"/>
      <c r="AGS700" s="1349"/>
      <c r="AGT700" s="1349"/>
      <c r="AGU700" s="1349"/>
      <c r="AGV700" s="1349"/>
      <c r="AGW700" s="1349"/>
      <c r="AGX700" s="1349"/>
      <c r="AGY700" s="1349"/>
      <c r="AGZ700" s="1349"/>
      <c r="AHA700" s="1349"/>
      <c r="AHB700" s="1349"/>
      <c r="AHC700" s="1349"/>
      <c r="AHD700" s="1349"/>
      <c r="AHE700" s="1349"/>
      <c r="AHF700" s="1349"/>
      <c r="AHG700" s="1349"/>
      <c r="AHH700" s="1349"/>
      <c r="AHI700" s="1349"/>
      <c r="AHJ700" s="1349"/>
      <c r="AHK700" s="1349"/>
      <c r="AHL700" s="1349"/>
      <c r="AHM700" s="1349"/>
      <c r="AHN700" s="1349"/>
      <c r="AHO700" s="1349"/>
      <c r="AHP700" s="1349"/>
      <c r="AHQ700" s="1349"/>
      <c r="AHR700" s="1349"/>
      <c r="AHS700" s="1349"/>
      <c r="AHT700" s="1349"/>
      <c r="AHU700" s="1349"/>
      <c r="AHV700" s="1349"/>
      <c r="AHW700" s="1349"/>
      <c r="AHX700" s="1349"/>
      <c r="AHY700" s="1349"/>
      <c r="AHZ700" s="1349"/>
      <c r="AIA700" s="1349"/>
      <c r="AIB700" s="1349"/>
      <c r="AIC700" s="1349"/>
      <c r="AID700" s="1349"/>
      <c r="AIE700" s="1349"/>
      <c r="AIF700" s="1349"/>
      <c r="AIG700" s="1349"/>
      <c r="AIH700" s="1349"/>
      <c r="AII700" s="1349"/>
      <c r="AIJ700" s="1349"/>
      <c r="AIK700" s="1349"/>
      <c r="AIL700" s="1349"/>
      <c r="AIM700" s="1349"/>
      <c r="AIN700" s="1349"/>
      <c r="AIO700" s="1349"/>
      <c r="AIP700" s="1349"/>
      <c r="AIQ700" s="1349"/>
      <c r="AIR700" s="1349"/>
      <c r="AIS700" s="1349"/>
      <c r="AIT700" s="1349"/>
      <c r="AIU700" s="1349"/>
      <c r="AIV700" s="1349"/>
      <c r="AIW700" s="1349"/>
      <c r="AIX700" s="1349"/>
      <c r="AIY700" s="1349"/>
      <c r="AIZ700" s="1349"/>
      <c r="AJA700" s="1349"/>
      <c r="AJB700" s="1349"/>
      <c r="AJC700" s="1349"/>
      <c r="AJD700" s="1349"/>
      <c r="AJE700" s="1349"/>
      <c r="AJF700" s="1349"/>
      <c r="AJG700" s="1349"/>
      <c r="AJH700" s="1349"/>
      <c r="AJI700" s="1349"/>
      <c r="AJJ700" s="1349"/>
      <c r="AJK700" s="1349"/>
      <c r="AJL700" s="1349"/>
      <c r="AJM700" s="1349"/>
      <c r="AJN700" s="1349"/>
      <c r="AJO700" s="1349"/>
      <c r="AJP700" s="1349"/>
      <c r="AJQ700" s="1349"/>
      <c r="AJR700" s="1349"/>
      <c r="AJS700" s="1349"/>
      <c r="AJT700" s="1349"/>
      <c r="AJU700" s="1349"/>
      <c r="AJV700" s="1349"/>
      <c r="AJW700" s="1349"/>
      <c r="AJX700" s="1349"/>
      <c r="AJY700" s="1349"/>
      <c r="AJZ700" s="1349"/>
      <c r="AKA700" s="1349"/>
      <c r="AKB700" s="1349"/>
      <c r="AKC700" s="1349"/>
      <c r="AKD700" s="1349"/>
      <c r="AKE700" s="1349"/>
      <c r="AKF700" s="1349"/>
      <c r="AKG700" s="1349"/>
      <c r="AKH700" s="1349"/>
      <c r="AKI700" s="1349"/>
      <c r="AKJ700" s="1349"/>
      <c r="AKK700" s="1349"/>
      <c r="AKL700" s="1349"/>
      <c r="AKM700" s="1349"/>
      <c r="AKN700" s="1349"/>
      <c r="AKO700" s="1349"/>
      <c r="AKP700" s="1349"/>
      <c r="AKQ700" s="1349"/>
      <c r="AKR700" s="1349"/>
      <c r="AKS700" s="1349"/>
      <c r="AKT700" s="1349"/>
      <c r="AKU700" s="1349"/>
      <c r="AKV700" s="1349"/>
      <c r="AKW700" s="1349"/>
      <c r="AKX700" s="1349"/>
      <c r="AKY700" s="1349"/>
      <c r="AKZ700" s="1349"/>
      <c r="ALA700" s="1349"/>
      <c r="ALB700" s="1349"/>
      <c r="ALC700" s="1349"/>
      <c r="ALD700" s="1349"/>
      <c r="ALE700" s="1349"/>
      <c r="ALF700" s="1349"/>
      <c r="ALG700" s="1349"/>
      <c r="ALH700" s="1349"/>
      <c r="ALI700" s="1349"/>
      <c r="ALJ700" s="1349"/>
      <c r="ALK700" s="1349"/>
      <c r="ALL700" s="1349"/>
      <c r="ALM700" s="1349"/>
      <c r="ALN700" s="1349"/>
      <c r="ALO700" s="1349"/>
      <c r="ALP700" s="1349"/>
      <c r="ALQ700" s="1349"/>
      <c r="ALR700" s="1349"/>
      <c r="ALS700" s="1349"/>
      <c r="ALT700" s="1349"/>
      <c r="ALU700" s="1349"/>
      <c r="ALV700" s="1349"/>
      <c r="ALW700" s="1349"/>
      <c r="ALX700" s="1349"/>
      <c r="ALY700" s="1349"/>
      <c r="ALZ700" s="1349"/>
      <c r="AMA700" s="1349"/>
      <c r="AMB700" s="1349"/>
      <c r="AMC700" s="1349"/>
      <c r="AMD700" s="1349"/>
      <c r="AME700" s="1349"/>
      <c r="AMF700" s="1349"/>
      <c r="AMG700" s="1349"/>
      <c r="AMH700" s="1349"/>
      <c r="AMI700" s="1349"/>
      <c r="AMJ700" s="1349"/>
      <c r="AMK700" s="1349"/>
      <c r="AML700" s="1349"/>
      <c r="AMM700" s="1349"/>
      <c r="AMN700" s="1349"/>
      <c r="AMO700" s="1349"/>
      <c r="AMP700" s="1349"/>
      <c r="AMQ700" s="1349"/>
      <c r="AMR700" s="1349"/>
      <c r="AMS700" s="1349"/>
      <c r="AMT700" s="1349"/>
      <c r="AMU700" s="1349"/>
      <c r="AMV700" s="1349"/>
      <c r="AMW700" s="1349"/>
      <c r="AMX700" s="1349"/>
      <c r="AMY700" s="1349"/>
      <c r="AMZ700" s="1349"/>
      <c r="ANA700" s="1349"/>
      <c r="ANB700" s="1349"/>
      <c r="ANC700" s="1349"/>
      <c r="AND700" s="1349"/>
      <c r="ANE700" s="1349"/>
      <c r="ANF700" s="1349"/>
      <c r="ANG700" s="1349"/>
      <c r="ANH700" s="1349"/>
      <c r="ANI700" s="1349"/>
      <c r="ANJ700" s="1349"/>
      <c r="ANK700" s="1349"/>
      <c r="ANL700" s="1349"/>
      <c r="ANM700" s="1349"/>
      <c r="ANN700" s="1349"/>
      <c r="ANO700" s="1349"/>
      <c r="ANP700" s="1349"/>
      <c r="ANQ700" s="1349"/>
      <c r="ANR700" s="1349"/>
      <c r="ANS700" s="1349"/>
      <c r="ANT700" s="1349"/>
      <c r="ANU700" s="1349"/>
      <c r="ANV700" s="1349"/>
      <c r="ANW700" s="1349"/>
      <c r="ANX700" s="1349"/>
      <c r="ANY700" s="1349"/>
      <c r="ANZ700" s="1349"/>
      <c r="AOA700" s="1349"/>
      <c r="AOB700" s="1349"/>
      <c r="AOC700" s="1349"/>
      <c r="AOD700" s="1349"/>
      <c r="AOE700" s="1349"/>
      <c r="AOF700" s="1349"/>
      <c r="AOG700" s="1349"/>
      <c r="AOH700" s="1349"/>
      <c r="AOI700" s="1349"/>
      <c r="AOJ700" s="1349"/>
      <c r="AOK700" s="1349"/>
      <c r="AOL700" s="1349"/>
      <c r="AOM700" s="1349"/>
      <c r="AON700" s="1349"/>
      <c r="AOO700" s="1349"/>
      <c r="AOP700" s="1349"/>
      <c r="AOQ700" s="1349"/>
      <c r="AOR700" s="1349"/>
      <c r="AOS700" s="1349"/>
      <c r="AOT700" s="1349"/>
      <c r="AOU700" s="1349"/>
      <c r="AOV700" s="1349"/>
      <c r="AOW700" s="1349"/>
      <c r="AOX700" s="1349"/>
      <c r="AOY700" s="1349"/>
      <c r="AOZ700" s="1349"/>
      <c r="APA700" s="1349"/>
      <c r="APB700" s="1349"/>
      <c r="APC700" s="1349"/>
      <c r="APD700" s="1349"/>
      <c r="APE700" s="1349"/>
      <c r="APF700" s="1349"/>
      <c r="APG700" s="1349"/>
      <c r="APH700" s="1349"/>
      <c r="API700" s="1349"/>
      <c r="APJ700" s="1349"/>
      <c r="APK700" s="1349"/>
      <c r="APL700" s="1349"/>
      <c r="APM700" s="1349"/>
      <c r="APN700" s="1349"/>
      <c r="APO700" s="1349"/>
      <c r="APP700" s="1349"/>
      <c r="APQ700" s="1349"/>
      <c r="APR700" s="1349"/>
      <c r="APS700" s="1349"/>
      <c r="APT700" s="1349"/>
      <c r="APU700" s="1349"/>
      <c r="APV700" s="1349"/>
      <c r="APW700" s="1349"/>
      <c r="APX700" s="1349"/>
      <c r="APY700" s="1349"/>
      <c r="APZ700" s="1349"/>
      <c r="AQA700" s="1349"/>
      <c r="AQB700" s="1349"/>
      <c r="AQC700" s="1349"/>
      <c r="AQD700" s="1349"/>
      <c r="AQE700" s="1349"/>
      <c r="AQF700" s="1349"/>
      <c r="AQG700" s="1349"/>
      <c r="AQH700" s="1349"/>
      <c r="AQI700" s="1349"/>
      <c r="AQJ700" s="1349"/>
      <c r="AQK700" s="1349"/>
      <c r="AQL700" s="1349"/>
      <c r="AQM700" s="1349"/>
      <c r="AQN700" s="1349"/>
      <c r="AQO700" s="1349"/>
      <c r="AQP700" s="1349"/>
      <c r="AQQ700" s="1349"/>
      <c r="AQR700" s="1349"/>
      <c r="AQS700" s="1349"/>
      <c r="AQT700" s="1349"/>
      <c r="AQU700" s="1349"/>
      <c r="AQV700" s="1349"/>
      <c r="AQW700" s="1349"/>
      <c r="AQX700" s="1349"/>
      <c r="AQY700" s="1349"/>
      <c r="AQZ700" s="1349"/>
      <c r="ARA700" s="1349"/>
      <c r="ARB700" s="1349"/>
      <c r="ARC700" s="1349"/>
      <c r="ARD700" s="1349"/>
      <c r="ARE700" s="1349"/>
      <c r="ARF700" s="1349"/>
      <c r="ARG700" s="1349"/>
      <c r="ARH700" s="1349"/>
      <c r="ARI700" s="1349"/>
      <c r="ARJ700" s="1349"/>
      <c r="ARK700" s="1349"/>
      <c r="ARL700" s="1349"/>
      <c r="ARM700" s="1349"/>
      <c r="ARN700" s="1349"/>
      <c r="ARO700" s="1349"/>
      <c r="ARP700" s="1349"/>
      <c r="ARQ700" s="1349"/>
      <c r="ARR700" s="1349"/>
      <c r="ARS700" s="1349"/>
      <c r="ART700" s="1349"/>
      <c r="ARU700" s="1349"/>
      <c r="ARV700" s="1349"/>
      <c r="ARW700" s="1349"/>
      <c r="ARX700" s="1349"/>
      <c r="ARY700" s="1349"/>
      <c r="ARZ700" s="1349"/>
      <c r="ASA700" s="1349"/>
      <c r="ASB700" s="1349"/>
      <c r="ASC700" s="1349"/>
      <c r="ASD700" s="1349"/>
      <c r="ASE700" s="1349"/>
      <c r="ASF700" s="1349"/>
      <c r="ASG700" s="1349"/>
      <c r="ASH700" s="1349"/>
      <c r="ASI700" s="1349"/>
      <c r="ASJ700" s="1349"/>
      <c r="ASK700" s="1349"/>
      <c r="ASL700" s="1349"/>
      <c r="ASM700" s="1349"/>
      <c r="ASN700" s="1349"/>
      <c r="ASO700" s="1349"/>
      <c r="ASP700" s="1349"/>
      <c r="ASQ700" s="1349"/>
      <c r="ASR700" s="1349"/>
      <c r="ASS700" s="1349"/>
      <c r="AST700" s="1349"/>
      <c r="ASU700" s="1349"/>
      <c r="ASV700" s="1349"/>
      <c r="ASW700" s="1349"/>
      <c r="ASX700" s="1349"/>
      <c r="ASY700" s="1349"/>
      <c r="ASZ700" s="1349"/>
      <c r="ATA700" s="1349"/>
      <c r="ATB700" s="1349"/>
      <c r="ATC700" s="1349"/>
      <c r="ATD700" s="1349"/>
      <c r="ATE700" s="1349"/>
      <c r="ATF700" s="1349"/>
      <c r="ATG700" s="1349"/>
      <c r="ATH700" s="1349"/>
      <c r="ATI700" s="1349"/>
      <c r="ATJ700" s="1349"/>
      <c r="ATK700" s="1349"/>
      <c r="ATL700" s="1349"/>
      <c r="ATM700" s="1349"/>
      <c r="ATN700" s="1349"/>
      <c r="ATO700" s="1349"/>
      <c r="ATP700" s="1349"/>
      <c r="ATQ700" s="1349"/>
      <c r="ATR700" s="1349"/>
      <c r="ATS700" s="1349"/>
      <c r="ATT700" s="1349"/>
      <c r="ATU700" s="1349"/>
      <c r="ATV700" s="1349"/>
      <c r="ATW700" s="1349"/>
      <c r="ATX700" s="1349"/>
      <c r="ATY700" s="1349"/>
      <c r="ATZ700" s="1349"/>
      <c r="AUA700" s="1349"/>
      <c r="AUB700" s="1349"/>
      <c r="AUC700" s="1349"/>
      <c r="AUD700" s="1349"/>
      <c r="AUE700" s="1349"/>
      <c r="AUF700" s="1349"/>
      <c r="AUG700" s="1349"/>
      <c r="AUH700" s="1349"/>
      <c r="AUI700" s="1349"/>
      <c r="AUJ700" s="1349"/>
      <c r="AUK700" s="1349"/>
      <c r="AUL700" s="1349"/>
      <c r="AUM700" s="1349"/>
      <c r="AUN700" s="1349"/>
      <c r="AUO700" s="1349"/>
      <c r="AUP700" s="1349"/>
      <c r="AUQ700" s="1349"/>
      <c r="AUR700" s="1349"/>
      <c r="AUS700" s="1349"/>
      <c r="AUT700" s="1349"/>
      <c r="AUU700" s="1349"/>
      <c r="AUV700" s="1349"/>
      <c r="AUW700" s="1349"/>
      <c r="AUX700" s="1349"/>
      <c r="AUY700" s="1349"/>
      <c r="AUZ700" s="1349"/>
      <c r="AVA700" s="1349"/>
      <c r="AVB700" s="1349"/>
      <c r="AVC700" s="1349"/>
      <c r="AVD700" s="1349"/>
      <c r="AVE700" s="1349"/>
      <c r="AVF700" s="1349"/>
      <c r="AVG700" s="1349"/>
      <c r="AVH700" s="1349"/>
      <c r="AVI700" s="1349"/>
      <c r="AVJ700" s="1349"/>
      <c r="AVK700" s="1349"/>
      <c r="AVL700" s="1349"/>
      <c r="AVM700" s="1349"/>
      <c r="AVN700" s="1349"/>
      <c r="AVO700" s="1349"/>
      <c r="AVP700" s="1349"/>
      <c r="AVQ700" s="1349"/>
      <c r="AVR700" s="1349"/>
      <c r="AVS700" s="1349"/>
      <c r="AVT700" s="1349"/>
      <c r="AVU700" s="1349"/>
      <c r="AVV700" s="1349"/>
      <c r="AVW700" s="1349"/>
      <c r="AVX700" s="1349"/>
      <c r="AVY700" s="1349"/>
      <c r="AVZ700" s="1349"/>
      <c r="AWA700" s="1349"/>
      <c r="AWB700" s="1349"/>
      <c r="AWC700" s="1349"/>
      <c r="AWD700" s="1349"/>
      <c r="AWE700" s="1349"/>
      <c r="AWF700" s="1349"/>
      <c r="AWG700" s="1349"/>
      <c r="AWH700" s="1349"/>
      <c r="AWI700" s="1349"/>
      <c r="AWJ700" s="1349"/>
      <c r="AWK700" s="1349"/>
      <c r="AWL700" s="1349"/>
      <c r="AWM700" s="1349"/>
      <c r="AWN700" s="1349"/>
      <c r="AWO700" s="1349"/>
      <c r="AWP700" s="1349"/>
      <c r="AWQ700" s="1349"/>
      <c r="AWR700" s="1349"/>
      <c r="AWS700" s="1349"/>
      <c r="AWT700" s="1349"/>
      <c r="AWU700" s="1349"/>
      <c r="AWV700" s="1349"/>
      <c r="AWW700" s="1349"/>
      <c r="AWX700" s="1349"/>
      <c r="AWY700" s="1349"/>
      <c r="AWZ700" s="1349"/>
      <c r="AXA700" s="1349"/>
      <c r="AXB700" s="1349"/>
      <c r="AXC700" s="1349"/>
      <c r="AXD700" s="1349"/>
      <c r="AXE700" s="1349"/>
      <c r="AXF700" s="1349"/>
      <c r="AXG700" s="1349"/>
      <c r="AXH700" s="1349"/>
      <c r="AXI700" s="1349"/>
      <c r="AXJ700" s="1349"/>
      <c r="AXK700" s="1349"/>
      <c r="AXL700" s="1349"/>
      <c r="AXM700" s="1349"/>
      <c r="AXN700" s="1349"/>
      <c r="AXO700" s="1349"/>
      <c r="AXP700" s="1349"/>
      <c r="AXQ700" s="1349"/>
      <c r="AXR700" s="1349"/>
      <c r="AXS700" s="1349"/>
      <c r="AXT700" s="1349"/>
      <c r="AXU700" s="1349"/>
      <c r="AXV700" s="1349"/>
      <c r="AXW700" s="1349"/>
      <c r="AXX700" s="1349"/>
      <c r="AXY700" s="1349"/>
      <c r="AXZ700" s="1349"/>
      <c r="AYA700" s="1349"/>
      <c r="AYB700" s="1349"/>
      <c r="AYC700" s="1349"/>
      <c r="AYD700" s="1349"/>
      <c r="AYE700" s="1349"/>
      <c r="AYF700" s="1349"/>
      <c r="AYG700" s="1349"/>
      <c r="AYH700" s="1349"/>
      <c r="AYI700" s="1349"/>
      <c r="AYJ700" s="1349"/>
      <c r="AYK700" s="1349"/>
      <c r="AYL700" s="1349"/>
      <c r="AYM700" s="1349"/>
      <c r="AYN700" s="1349"/>
      <c r="AYO700" s="1349"/>
      <c r="AYP700" s="1349"/>
      <c r="AYQ700" s="1349"/>
      <c r="AYR700" s="1349"/>
      <c r="AYS700" s="1349"/>
      <c r="AYT700" s="1349"/>
      <c r="AYU700" s="1349"/>
      <c r="AYV700" s="1349"/>
      <c r="AYW700" s="1349"/>
      <c r="AYX700" s="1349"/>
      <c r="AYY700" s="1349"/>
      <c r="AYZ700" s="1349"/>
      <c r="AZA700" s="1349"/>
      <c r="AZB700" s="1349"/>
      <c r="AZC700" s="1349"/>
      <c r="AZD700" s="1349"/>
      <c r="AZE700" s="1349"/>
      <c r="AZF700" s="1349"/>
      <c r="AZG700" s="1349"/>
      <c r="AZH700" s="1349"/>
      <c r="AZI700" s="1349"/>
      <c r="AZJ700" s="1349"/>
      <c r="AZK700" s="1349"/>
      <c r="AZL700" s="1349"/>
      <c r="AZM700" s="1349"/>
      <c r="AZN700" s="1349"/>
      <c r="AZO700" s="1349"/>
      <c r="AZP700" s="1349"/>
      <c r="AZQ700" s="1349"/>
      <c r="AZR700" s="1349"/>
      <c r="AZS700" s="1349"/>
      <c r="AZT700" s="1349"/>
      <c r="AZU700" s="1349"/>
      <c r="AZV700" s="1349"/>
      <c r="AZW700" s="1349"/>
      <c r="AZX700" s="1349"/>
      <c r="AZY700" s="1349"/>
      <c r="AZZ700" s="1349"/>
      <c r="BAA700" s="1349"/>
      <c r="BAB700" s="1349"/>
      <c r="BAC700" s="1349"/>
      <c r="BAD700" s="1349"/>
      <c r="BAE700" s="1349"/>
      <c r="BAF700" s="1349"/>
      <c r="BAG700" s="1349"/>
      <c r="BAH700" s="1349"/>
      <c r="BAI700" s="1349"/>
      <c r="BAJ700" s="1349"/>
      <c r="BAK700" s="1349"/>
      <c r="BAL700" s="1349"/>
      <c r="BAM700" s="1349"/>
      <c r="BAN700" s="1349"/>
      <c r="BAO700" s="1349"/>
      <c r="BAP700" s="1349"/>
      <c r="BAQ700" s="1349"/>
      <c r="BAR700" s="1349"/>
      <c r="BAS700" s="1349"/>
      <c r="BAT700" s="1349"/>
      <c r="BAU700" s="1349"/>
      <c r="BAV700" s="1349"/>
      <c r="BAW700" s="1349"/>
      <c r="BAX700" s="1349"/>
      <c r="BAY700" s="1349"/>
      <c r="BAZ700" s="1349"/>
      <c r="BBA700" s="1349"/>
      <c r="BBB700" s="1349"/>
      <c r="BBC700" s="1349"/>
      <c r="BBD700" s="1349"/>
      <c r="BBE700" s="1349"/>
      <c r="BBF700" s="1349"/>
      <c r="BBG700" s="1349"/>
      <c r="BBH700" s="1349"/>
      <c r="BBI700" s="1349"/>
      <c r="BBJ700" s="1349"/>
      <c r="BBK700" s="1349"/>
      <c r="BBL700" s="1349"/>
      <c r="BBM700" s="1349"/>
      <c r="BBN700" s="1349"/>
      <c r="BBO700" s="1349"/>
      <c r="BBP700" s="1349"/>
      <c r="BBQ700" s="1349"/>
      <c r="BBR700" s="1349"/>
      <c r="BBS700" s="1349"/>
      <c r="BBT700" s="1349"/>
      <c r="BBU700" s="1349"/>
      <c r="BBV700" s="1349"/>
      <c r="BBW700" s="1349"/>
      <c r="BBX700" s="1349"/>
      <c r="BBY700" s="1349"/>
      <c r="BBZ700" s="1349"/>
      <c r="BCA700" s="1349"/>
      <c r="BCB700" s="1349"/>
      <c r="BCC700" s="1349"/>
      <c r="BCD700" s="1349"/>
      <c r="BCE700" s="1349"/>
      <c r="BCF700" s="1349"/>
      <c r="BCG700" s="1349"/>
      <c r="BCH700" s="1349"/>
      <c r="BCI700" s="1349"/>
      <c r="BCJ700" s="1349"/>
      <c r="BCK700" s="1349"/>
      <c r="BCL700" s="1349"/>
      <c r="BCM700" s="1349"/>
      <c r="BCN700" s="1349"/>
      <c r="BCO700" s="1349"/>
      <c r="BCP700" s="1349"/>
      <c r="BCQ700" s="1349"/>
      <c r="BCR700" s="1349"/>
      <c r="BCS700" s="1349"/>
      <c r="BCT700" s="1349"/>
      <c r="BCU700" s="1349"/>
      <c r="BCV700" s="1349"/>
      <c r="BCW700" s="1349"/>
      <c r="BCX700" s="1349"/>
      <c r="BCY700" s="1349"/>
      <c r="BCZ700" s="1349"/>
      <c r="BDA700" s="1349"/>
      <c r="BDB700" s="1349"/>
      <c r="BDC700" s="1349"/>
      <c r="BDD700" s="1349"/>
      <c r="BDE700" s="1349"/>
      <c r="BDF700" s="1349"/>
      <c r="BDG700" s="1349"/>
      <c r="BDH700" s="1349"/>
      <c r="BDI700" s="1349"/>
      <c r="BDJ700" s="1349"/>
      <c r="BDK700" s="1349"/>
      <c r="BDL700" s="1349"/>
      <c r="BDM700" s="1349"/>
      <c r="BDN700" s="1349"/>
      <c r="BDO700" s="1349"/>
      <c r="BDP700" s="1349"/>
      <c r="BDQ700" s="1349"/>
      <c r="BDR700" s="1349"/>
      <c r="BDS700" s="1349"/>
      <c r="BDT700" s="1349"/>
      <c r="BDU700" s="1349"/>
      <c r="BDV700" s="1349"/>
      <c r="BDW700" s="1349"/>
      <c r="BDX700" s="1349"/>
      <c r="BDY700" s="1349"/>
      <c r="BDZ700" s="1349"/>
      <c r="BEA700" s="1349"/>
      <c r="BEB700" s="1349"/>
      <c r="BEC700" s="1349"/>
      <c r="BED700" s="1349"/>
      <c r="BEE700" s="1349"/>
      <c r="BEF700" s="1349"/>
      <c r="BEG700" s="1349"/>
      <c r="BEH700" s="1349"/>
      <c r="BEI700" s="1349"/>
      <c r="BEJ700" s="1349"/>
      <c r="BEK700" s="1349"/>
      <c r="BEL700" s="1349"/>
      <c r="BEM700" s="1349"/>
      <c r="BEN700" s="1349"/>
      <c r="BEO700" s="1349"/>
      <c r="BEP700" s="1349"/>
      <c r="BEQ700" s="1349"/>
      <c r="BER700" s="1349"/>
      <c r="BES700" s="1349"/>
      <c r="BET700" s="1349"/>
      <c r="BEU700" s="1349"/>
      <c r="BEV700" s="1349"/>
      <c r="BEW700" s="1349"/>
      <c r="BEX700" s="1349"/>
      <c r="BEY700" s="1349"/>
      <c r="BEZ700" s="1349"/>
      <c r="BFA700" s="1349"/>
      <c r="BFB700" s="1349"/>
      <c r="BFC700" s="1349"/>
      <c r="BFD700" s="1349"/>
      <c r="BFE700" s="1349"/>
      <c r="BFF700" s="1349"/>
      <c r="BFG700" s="1349"/>
      <c r="BFH700" s="1349"/>
      <c r="BFI700" s="1349"/>
      <c r="BFJ700" s="1349"/>
      <c r="BFK700" s="1349"/>
      <c r="BFL700" s="1349"/>
      <c r="BFM700" s="1349"/>
      <c r="BFN700" s="1349"/>
      <c r="BFO700" s="1349"/>
      <c r="BFP700" s="1349"/>
      <c r="BFQ700" s="1349"/>
      <c r="BFR700" s="1349"/>
      <c r="BFS700" s="1349"/>
      <c r="BFT700" s="1349"/>
      <c r="BFU700" s="1349"/>
      <c r="BFV700" s="1349"/>
      <c r="BFW700" s="1349"/>
      <c r="BFX700" s="1349"/>
      <c r="BFY700" s="1349"/>
      <c r="BFZ700" s="1349"/>
      <c r="BGA700" s="1349"/>
      <c r="BGB700" s="1349"/>
      <c r="BGC700" s="1349"/>
      <c r="BGD700" s="1349"/>
      <c r="BGE700" s="1349"/>
      <c r="BGF700" s="1349"/>
      <c r="BGG700" s="1349"/>
      <c r="BGH700" s="1349"/>
      <c r="BGI700" s="1349"/>
      <c r="BGJ700" s="1349"/>
      <c r="BGK700" s="1349"/>
      <c r="BGL700" s="1349"/>
      <c r="BGM700" s="1349"/>
      <c r="BGN700" s="1349"/>
      <c r="BGO700" s="1349"/>
      <c r="BGP700" s="1349"/>
      <c r="BGQ700" s="1349"/>
      <c r="BGR700" s="1349"/>
      <c r="BGS700" s="1349"/>
      <c r="BGT700" s="1349"/>
      <c r="BGU700" s="1349"/>
      <c r="BGV700" s="1349"/>
      <c r="BGW700" s="1349"/>
      <c r="BGX700" s="1349"/>
      <c r="BGY700" s="1349"/>
      <c r="BGZ700" s="1349"/>
      <c r="BHA700" s="1349"/>
      <c r="BHB700" s="1349"/>
      <c r="BHC700" s="1349"/>
      <c r="BHD700" s="1349"/>
      <c r="BHE700" s="1349"/>
      <c r="BHF700" s="1349"/>
      <c r="BHG700" s="1349"/>
      <c r="BHH700" s="1349"/>
      <c r="BHI700" s="1349"/>
      <c r="BHJ700" s="1349"/>
      <c r="BHK700" s="1349"/>
      <c r="BHL700" s="1349"/>
      <c r="BHM700" s="1349"/>
      <c r="BHN700" s="1349"/>
      <c r="BHO700" s="1349"/>
      <c r="BHP700" s="1349"/>
      <c r="BHQ700" s="1349"/>
      <c r="BHR700" s="1349"/>
      <c r="BHS700" s="1349"/>
      <c r="BHT700" s="1349"/>
      <c r="BHU700" s="1349"/>
      <c r="BHV700" s="1349"/>
      <c r="BHW700" s="1349"/>
      <c r="BHX700" s="1349"/>
      <c r="BHY700" s="1349"/>
      <c r="BHZ700" s="1349"/>
      <c r="BIA700" s="1349"/>
      <c r="BIB700" s="1349"/>
      <c r="BIC700" s="1349"/>
      <c r="BID700" s="1349"/>
      <c r="BIE700" s="1349"/>
      <c r="BIF700" s="1349"/>
      <c r="BIG700" s="1349"/>
      <c r="BIH700" s="1349"/>
      <c r="BII700" s="1349"/>
      <c r="BIJ700" s="1349"/>
      <c r="BIK700" s="1349"/>
      <c r="BIL700" s="1349"/>
      <c r="BIM700" s="1349"/>
      <c r="BIN700" s="1349"/>
      <c r="BIO700" s="1349"/>
      <c r="BIP700" s="1349"/>
      <c r="BIQ700" s="1349"/>
      <c r="BIR700" s="1349"/>
      <c r="BIS700" s="1349"/>
      <c r="BIT700" s="1349"/>
      <c r="BIU700" s="1349"/>
      <c r="BIV700" s="1349"/>
      <c r="BIW700" s="1349"/>
      <c r="BIX700" s="1349"/>
      <c r="BIY700" s="1349"/>
      <c r="BIZ700" s="1349"/>
      <c r="BJA700" s="1349"/>
      <c r="BJB700" s="1349"/>
      <c r="BJC700" s="1349"/>
      <c r="BJD700" s="1349"/>
      <c r="BJE700" s="1349"/>
      <c r="BJF700" s="1349"/>
      <c r="BJG700" s="1349"/>
      <c r="BJH700" s="1349"/>
      <c r="BJI700" s="1349"/>
      <c r="BJJ700" s="1349"/>
      <c r="BJK700" s="1349"/>
      <c r="BJL700" s="1349"/>
      <c r="BJM700" s="1349"/>
      <c r="BJN700" s="1349"/>
      <c r="BJO700" s="1349"/>
      <c r="BJP700" s="1349"/>
      <c r="BJQ700" s="1349"/>
      <c r="BJR700" s="1349"/>
      <c r="BJS700" s="1349"/>
      <c r="BJT700" s="1349"/>
      <c r="BJU700" s="1349"/>
      <c r="BJV700" s="1349"/>
      <c r="BJW700" s="1349"/>
      <c r="BJX700" s="1349"/>
      <c r="BJY700" s="1349"/>
      <c r="BJZ700" s="1349"/>
      <c r="BKA700" s="1349"/>
      <c r="BKB700" s="1349"/>
      <c r="BKC700" s="1349"/>
      <c r="BKD700" s="1349"/>
      <c r="BKE700" s="1349"/>
      <c r="BKF700" s="1349"/>
      <c r="BKG700" s="1349"/>
      <c r="BKH700" s="1349"/>
      <c r="BKI700" s="1349"/>
      <c r="BKJ700" s="1349"/>
      <c r="BKK700" s="1349"/>
      <c r="BKL700" s="1349"/>
      <c r="BKM700" s="1349"/>
      <c r="BKN700" s="1349"/>
      <c r="BKO700" s="1349"/>
      <c r="BKP700" s="1349"/>
      <c r="BKQ700" s="1349"/>
      <c r="BKR700" s="1349"/>
      <c r="BKS700" s="1349"/>
      <c r="BKT700" s="1349"/>
      <c r="BKU700" s="1349"/>
      <c r="BKV700" s="1349"/>
      <c r="BKW700" s="1349"/>
      <c r="BKX700" s="1349"/>
      <c r="BKY700" s="1349"/>
      <c r="BKZ700" s="1349"/>
      <c r="BLA700" s="1349"/>
      <c r="BLB700" s="1349"/>
      <c r="BLC700" s="1349"/>
      <c r="BLD700" s="1349"/>
      <c r="BLE700" s="1349"/>
      <c r="BLF700" s="1349"/>
      <c r="BLG700" s="1349"/>
      <c r="BLH700" s="1349"/>
      <c r="BLI700" s="1349"/>
      <c r="BLJ700" s="1349"/>
      <c r="BLK700" s="1349"/>
      <c r="BLL700" s="1349"/>
      <c r="BLM700" s="1349"/>
      <c r="BLN700" s="1349"/>
      <c r="BLO700" s="1349"/>
      <c r="BLP700" s="1349"/>
      <c r="BLQ700" s="1349"/>
      <c r="BLR700" s="1349"/>
      <c r="BLS700" s="1349"/>
      <c r="BLT700" s="1349"/>
      <c r="BLU700" s="1349"/>
      <c r="BLV700" s="1349"/>
      <c r="BLW700" s="1349"/>
      <c r="BLX700" s="1349"/>
      <c r="BLY700" s="1349"/>
      <c r="BLZ700" s="1349"/>
      <c r="BMA700" s="1349"/>
      <c r="BMB700" s="1349"/>
      <c r="BMC700" s="1349"/>
      <c r="BMD700" s="1349"/>
      <c r="BME700" s="1349"/>
      <c r="BMF700" s="1349"/>
      <c r="BMG700" s="1349"/>
      <c r="BMH700" s="1349"/>
      <c r="BMI700" s="1349"/>
      <c r="BMJ700" s="1349"/>
      <c r="BMK700" s="1349"/>
      <c r="BML700" s="1349"/>
      <c r="BMM700" s="1349"/>
      <c r="BMN700" s="1349"/>
      <c r="BMO700" s="1349"/>
      <c r="BMP700" s="1349"/>
      <c r="BMQ700" s="1349"/>
      <c r="BMR700" s="1349"/>
      <c r="BMS700" s="1349"/>
      <c r="BMT700" s="1349"/>
      <c r="BMU700" s="1349"/>
      <c r="BMV700" s="1349"/>
      <c r="BMW700" s="1349"/>
      <c r="BMX700" s="1349"/>
      <c r="BMY700" s="1349"/>
      <c r="BMZ700" s="1349"/>
      <c r="BNA700" s="1349"/>
      <c r="BNB700" s="1349"/>
      <c r="BNC700" s="1349"/>
      <c r="BND700" s="1349"/>
      <c r="BNE700" s="1349"/>
      <c r="BNF700" s="1349"/>
      <c r="BNG700" s="1349"/>
      <c r="BNH700" s="1349"/>
      <c r="BNI700" s="1349"/>
      <c r="BNJ700" s="1349"/>
      <c r="BNK700" s="1349"/>
      <c r="BNL700" s="1349"/>
      <c r="BNM700" s="1349"/>
      <c r="BNN700" s="1349"/>
      <c r="BNO700" s="1349"/>
      <c r="BNP700" s="1349"/>
      <c r="BNQ700" s="1349"/>
      <c r="BNR700" s="1349"/>
      <c r="BNS700" s="1349"/>
      <c r="BNT700" s="1349"/>
      <c r="BNU700" s="1349"/>
      <c r="BNV700" s="1349"/>
      <c r="BNW700" s="1349"/>
      <c r="BNX700" s="1349"/>
      <c r="BNY700" s="1349"/>
      <c r="BNZ700" s="1349"/>
      <c r="BOA700" s="1349"/>
      <c r="BOB700" s="1349"/>
      <c r="BOC700" s="1349"/>
      <c r="BOD700" s="1349"/>
      <c r="BOE700" s="1349"/>
      <c r="BOF700" s="1349"/>
      <c r="BOG700" s="1349"/>
      <c r="BOH700" s="1349"/>
      <c r="BOI700" s="1349"/>
      <c r="BOJ700" s="1349"/>
      <c r="BOK700" s="1349"/>
      <c r="BOL700" s="1349"/>
      <c r="BOM700" s="1349"/>
      <c r="BON700" s="1349"/>
      <c r="BOO700" s="1349"/>
      <c r="BOP700" s="1349"/>
      <c r="BOQ700" s="1349"/>
      <c r="BOR700" s="1349"/>
      <c r="BOS700" s="1349"/>
      <c r="BOT700" s="1349"/>
      <c r="BOU700" s="1349"/>
      <c r="BOV700" s="1349"/>
      <c r="BOW700" s="1349"/>
      <c r="BOX700" s="1349"/>
      <c r="BOY700" s="1349"/>
      <c r="BOZ700" s="1349"/>
      <c r="BPA700" s="1349"/>
      <c r="BPB700" s="1349"/>
      <c r="BPC700" s="1349"/>
      <c r="BPD700" s="1349"/>
      <c r="BPE700" s="1349"/>
      <c r="BPF700" s="1349"/>
      <c r="BPG700" s="1349"/>
      <c r="BPH700" s="1349"/>
      <c r="BPI700" s="1349"/>
      <c r="BPJ700" s="1349"/>
      <c r="BPK700" s="1349"/>
      <c r="BPL700" s="1349"/>
      <c r="BPM700" s="1349"/>
      <c r="BPN700" s="1349"/>
      <c r="BPO700" s="1349"/>
      <c r="BPP700" s="1349"/>
      <c r="BPQ700" s="1349"/>
      <c r="BPR700" s="1349"/>
      <c r="BPS700" s="1349"/>
      <c r="BPT700" s="1349"/>
      <c r="BPU700" s="1349"/>
      <c r="BPV700" s="1349"/>
      <c r="BPW700" s="1349"/>
      <c r="BPX700" s="1349"/>
      <c r="BPY700" s="1349"/>
      <c r="BPZ700" s="1349"/>
      <c r="BQA700" s="1349"/>
      <c r="BQB700" s="1349"/>
      <c r="BQC700" s="1349"/>
      <c r="BQD700" s="1349"/>
      <c r="BQE700" s="1349"/>
      <c r="BQF700" s="1349"/>
      <c r="BQG700" s="1349"/>
      <c r="BQH700" s="1349"/>
      <c r="BQI700" s="1349"/>
      <c r="BQJ700" s="1349"/>
      <c r="BQK700" s="1349"/>
      <c r="BQL700" s="1349"/>
      <c r="BQM700" s="1349"/>
      <c r="BQN700" s="1349"/>
      <c r="BQO700" s="1349"/>
      <c r="BQP700" s="1349"/>
      <c r="BQQ700" s="1349"/>
      <c r="BQR700" s="1349"/>
      <c r="BQS700" s="1349"/>
      <c r="BQT700" s="1349"/>
      <c r="BQU700" s="1349"/>
      <c r="BQV700" s="1349"/>
      <c r="BQW700" s="1349"/>
      <c r="BQX700" s="1349"/>
      <c r="BQY700" s="1349"/>
      <c r="BQZ700" s="1349"/>
      <c r="BRA700" s="1349"/>
      <c r="BRB700" s="1349"/>
      <c r="BRC700" s="1349"/>
      <c r="BRD700" s="1349"/>
      <c r="BRE700" s="1349"/>
      <c r="BRF700" s="1349"/>
      <c r="BRG700" s="1349"/>
      <c r="BRH700" s="1349"/>
      <c r="BRI700" s="1349"/>
      <c r="BRJ700" s="1349"/>
      <c r="BRK700" s="1349"/>
      <c r="BRL700" s="1349"/>
      <c r="BRM700" s="1349"/>
      <c r="BRN700" s="1349"/>
      <c r="BRO700" s="1349"/>
      <c r="BRP700" s="1349"/>
      <c r="BRQ700" s="1349"/>
      <c r="BRR700" s="1349"/>
      <c r="BRS700" s="1349"/>
      <c r="BRT700" s="1349"/>
      <c r="BRU700" s="1349"/>
      <c r="BRV700" s="1349"/>
      <c r="BRW700" s="1349"/>
      <c r="BRX700" s="1349"/>
      <c r="BRY700" s="1349"/>
      <c r="BRZ700" s="1349"/>
      <c r="BSA700" s="1349"/>
      <c r="BSB700" s="1349"/>
      <c r="BSC700" s="1349"/>
      <c r="BSD700" s="1349"/>
      <c r="BSE700" s="1349"/>
      <c r="BSF700" s="1349"/>
      <c r="BSG700" s="1349"/>
      <c r="BSH700" s="1349"/>
      <c r="BSI700" s="1349"/>
      <c r="BSJ700" s="1349"/>
      <c r="BSK700" s="1349"/>
      <c r="BSL700" s="1349"/>
      <c r="BSM700" s="1349"/>
      <c r="BSN700" s="1349"/>
      <c r="BSO700" s="1349"/>
      <c r="BSP700" s="1349"/>
      <c r="BSQ700" s="1349"/>
      <c r="BSR700" s="1349"/>
      <c r="BSS700" s="1349"/>
      <c r="BST700" s="1349"/>
      <c r="BSU700" s="1349"/>
      <c r="BSV700" s="1349"/>
      <c r="BSW700" s="1349"/>
      <c r="BSX700" s="1349"/>
      <c r="BSY700" s="1349"/>
      <c r="BSZ700" s="1349"/>
      <c r="BTA700" s="1349"/>
      <c r="BTB700" s="1349"/>
      <c r="BTC700" s="1349"/>
      <c r="BTD700" s="1349"/>
      <c r="BTE700" s="1349"/>
      <c r="BTF700" s="1349"/>
      <c r="BTG700" s="1349"/>
      <c r="BTH700" s="1349"/>
      <c r="BTI700" s="1349"/>
      <c r="BTJ700" s="1349"/>
      <c r="BTK700" s="1349"/>
      <c r="BTL700" s="1349"/>
      <c r="BTM700" s="1349"/>
      <c r="BTN700" s="1349"/>
      <c r="BTO700" s="1349"/>
      <c r="BTP700" s="1349"/>
      <c r="BTQ700" s="1349"/>
      <c r="BTR700" s="1349"/>
      <c r="BTS700" s="1349"/>
      <c r="BTT700" s="1349"/>
      <c r="BTU700" s="1349"/>
      <c r="BTV700" s="1349"/>
      <c r="BTW700" s="1349"/>
      <c r="BTX700" s="1349"/>
      <c r="BTY700" s="1349"/>
      <c r="BTZ700" s="1349"/>
      <c r="BUA700" s="1349"/>
      <c r="BUB700" s="1349"/>
      <c r="BUC700" s="1349"/>
      <c r="BUD700" s="1349"/>
      <c r="BUE700" s="1349"/>
      <c r="BUF700" s="1349"/>
      <c r="BUG700" s="1349"/>
      <c r="BUH700" s="1349"/>
      <c r="BUI700" s="1349"/>
      <c r="BUJ700" s="1349"/>
      <c r="BUK700" s="1349"/>
      <c r="BUL700" s="1349"/>
      <c r="BUM700" s="1349"/>
      <c r="BUN700" s="1349"/>
      <c r="BUO700" s="1349"/>
      <c r="BUP700" s="1349"/>
      <c r="BUQ700" s="1349"/>
      <c r="BUR700" s="1349"/>
      <c r="BUS700" s="1349"/>
      <c r="BUT700" s="1349"/>
      <c r="BUU700" s="1349"/>
      <c r="BUV700" s="1349"/>
      <c r="BUW700" s="1349"/>
      <c r="BUX700" s="1349"/>
      <c r="BUY700" s="1349"/>
      <c r="BUZ700" s="1349"/>
      <c r="BVA700" s="1349"/>
      <c r="BVB700" s="1349"/>
      <c r="BVC700" s="1349"/>
      <c r="BVD700" s="1349"/>
      <c r="BVE700" s="1349"/>
      <c r="BVF700" s="1349"/>
      <c r="BVG700" s="1349"/>
      <c r="BVH700" s="1349"/>
      <c r="BVI700" s="1349"/>
      <c r="BVJ700" s="1349"/>
      <c r="BVK700" s="1349"/>
      <c r="BVL700" s="1349"/>
      <c r="BVM700" s="1349"/>
      <c r="BVN700" s="1349"/>
      <c r="BVO700" s="1349"/>
      <c r="BVP700" s="1349"/>
      <c r="BVQ700" s="1349"/>
      <c r="BVR700" s="1349"/>
      <c r="BVS700" s="1349"/>
      <c r="BVT700" s="1349"/>
      <c r="BVU700" s="1349"/>
      <c r="BVV700" s="1349"/>
      <c r="BVW700" s="1349"/>
      <c r="BVX700" s="1349"/>
      <c r="BVY700" s="1349"/>
      <c r="BVZ700" s="1349"/>
      <c r="BWA700" s="1349"/>
      <c r="BWB700" s="1349"/>
      <c r="BWC700" s="1349"/>
      <c r="BWD700" s="1349"/>
      <c r="BWE700" s="1349"/>
      <c r="BWF700" s="1349"/>
      <c r="BWG700" s="1349"/>
      <c r="BWH700" s="1349"/>
      <c r="BWI700" s="1349"/>
      <c r="BWJ700" s="1349"/>
      <c r="BWK700" s="1349"/>
      <c r="BWL700" s="1349"/>
      <c r="BWM700" s="1349"/>
      <c r="BWN700" s="1349"/>
      <c r="BWO700" s="1349"/>
      <c r="BWP700" s="1349"/>
      <c r="BWQ700" s="1349"/>
      <c r="BWR700" s="1349"/>
      <c r="BWS700" s="1349"/>
      <c r="BWT700" s="1349"/>
      <c r="BWU700" s="1349"/>
      <c r="BWV700" s="1349"/>
      <c r="BWW700" s="1349"/>
      <c r="BWX700" s="1349"/>
      <c r="BWY700" s="1349"/>
      <c r="BWZ700" s="1349"/>
      <c r="BXA700" s="1349"/>
      <c r="BXB700" s="1349"/>
      <c r="BXC700" s="1349"/>
      <c r="BXD700" s="1349"/>
      <c r="BXE700" s="1349"/>
      <c r="BXF700" s="1349"/>
      <c r="BXG700" s="1349"/>
      <c r="BXH700" s="1349"/>
      <c r="BXI700" s="1349"/>
      <c r="BXJ700" s="1349"/>
      <c r="BXK700" s="1349"/>
      <c r="BXL700" s="1349"/>
      <c r="BXM700" s="1349"/>
      <c r="BXN700" s="1349"/>
      <c r="BXO700" s="1349"/>
      <c r="BXP700" s="1349"/>
      <c r="BXQ700" s="1349"/>
      <c r="BXR700" s="1349"/>
      <c r="BXS700" s="1349"/>
      <c r="BXT700" s="1349"/>
      <c r="BXU700" s="1349"/>
      <c r="BXV700" s="1349"/>
      <c r="BXW700" s="1349"/>
      <c r="BXX700" s="1349"/>
      <c r="BXY700" s="1349"/>
      <c r="BXZ700" s="1349"/>
      <c r="BYA700" s="1349"/>
      <c r="BYB700" s="1349"/>
      <c r="BYC700" s="1349"/>
      <c r="BYD700" s="1349"/>
      <c r="BYE700" s="1349"/>
      <c r="BYF700" s="1349"/>
      <c r="BYG700" s="1349"/>
      <c r="BYH700" s="1349"/>
      <c r="BYI700" s="1349"/>
      <c r="BYJ700" s="1349"/>
      <c r="BYK700" s="1349"/>
      <c r="BYL700" s="1349"/>
      <c r="BYM700" s="1349"/>
      <c r="BYN700" s="1349"/>
      <c r="BYO700" s="1349"/>
      <c r="BYP700" s="1349"/>
      <c r="BYQ700" s="1349"/>
      <c r="BYR700" s="1349"/>
      <c r="BYS700" s="1349"/>
      <c r="BYT700" s="1349"/>
      <c r="BYU700" s="1349"/>
      <c r="BYV700" s="1349"/>
      <c r="BYW700" s="1349"/>
      <c r="BYX700" s="1349"/>
      <c r="BYY700" s="1349"/>
      <c r="BYZ700" s="1349"/>
      <c r="BZA700" s="1349"/>
      <c r="BZB700" s="1349"/>
      <c r="BZC700" s="1349"/>
      <c r="BZD700" s="1349"/>
      <c r="BZE700" s="1349"/>
      <c r="BZF700" s="1349"/>
      <c r="BZG700" s="1349"/>
      <c r="BZH700" s="1349"/>
      <c r="BZI700" s="1349"/>
      <c r="BZJ700" s="1349"/>
      <c r="BZK700" s="1349"/>
      <c r="BZL700" s="1349"/>
      <c r="BZM700" s="1349"/>
      <c r="BZN700" s="1349"/>
      <c r="BZO700" s="1349"/>
      <c r="BZP700" s="1349"/>
      <c r="BZQ700" s="1349"/>
      <c r="BZR700" s="1349"/>
      <c r="BZS700" s="1349"/>
      <c r="BZT700" s="1349"/>
      <c r="BZU700" s="1349"/>
      <c r="BZV700" s="1349"/>
      <c r="BZW700" s="1349"/>
      <c r="BZX700" s="1349"/>
      <c r="BZY700" s="1349"/>
      <c r="BZZ700" s="1349"/>
      <c r="CAA700" s="1349"/>
      <c r="CAB700" s="1349"/>
      <c r="CAC700" s="1349"/>
      <c r="CAD700" s="1349"/>
      <c r="CAE700" s="1349"/>
      <c r="CAF700" s="1349"/>
      <c r="CAG700" s="1349"/>
      <c r="CAH700" s="1349"/>
      <c r="CAI700" s="1349"/>
      <c r="CAJ700" s="1349"/>
      <c r="CAK700" s="1349"/>
      <c r="CAL700" s="1349"/>
      <c r="CAM700" s="1349"/>
      <c r="CAN700" s="1349"/>
      <c r="CAO700" s="1349"/>
      <c r="CAP700" s="1349"/>
      <c r="CAQ700" s="1349"/>
      <c r="CAR700" s="1349"/>
      <c r="CAS700" s="1349"/>
      <c r="CAT700" s="1349"/>
      <c r="CAU700" s="1349"/>
      <c r="CAV700" s="1349"/>
      <c r="CAW700" s="1349"/>
      <c r="CAX700" s="1349"/>
      <c r="CAY700" s="1349"/>
      <c r="CAZ700" s="1349"/>
      <c r="CBA700" s="1349"/>
      <c r="CBB700" s="1349"/>
      <c r="CBC700" s="1349"/>
      <c r="CBD700" s="1349"/>
      <c r="CBE700" s="1349"/>
      <c r="CBF700" s="1349"/>
      <c r="CBG700" s="1349"/>
      <c r="CBH700" s="1349"/>
      <c r="CBI700" s="1349"/>
      <c r="CBJ700" s="1349"/>
      <c r="CBK700" s="1349"/>
      <c r="CBL700" s="1349"/>
      <c r="CBM700" s="1349"/>
      <c r="CBN700" s="1349"/>
      <c r="CBO700" s="1349"/>
      <c r="CBP700" s="1349"/>
      <c r="CBQ700" s="1349"/>
      <c r="CBR700" s="1349"/>
      <c r="CBS700" s="1349"/>
      <c r="CBT700" s="1349"/>
      <c r="CBU700" s="1349"/>
      <c r="CBV700" s="1349"/>
      <c r="CBW700" s="1349"/>
      <c r="CBX700" s="1349"/>
      <c r="CBY700" s="1349"/>
      <c r="CBZ700" s="1349"/>
      <c r="CCA700" s="1349"/>
      <c r="CCB700" s="1349"/>
      <c r="CCC700" s="1349"/>
      <c r="CCD700" s="1349"/>
      <c r="CCE700" s="1349"/>
      <c r="CCF700" s="1349"/>
      <c r="CCG700" s="1349"/>
      <c r="CCH700" s="1349"/>
      <c r="CCI700" s="1349"/>
      <c r="CCJ700" s="1349"/>
      <c r="CCK700" s="1349"/>
      <c r="CCL700" s="1349"/>
      <c r="CCM700" s="1349"/>
      <c r="CCN700" s="1349"/>
      <c r="CCO700" s="1349"/>
      <c r="CCP700" s="1349"/>
      <c r="CCQ700" s="1349"/>
      <c r="CCR700" s="1349"/>
      <c r="CCS700" s="1349"/>
      <c r="CCT700" s="1349"/>
      <c r="CCU700" s="1349"/>
      <c r="CCV700" s="1349"/>
      <c r="CCW700" s="1349"/>
      <c r="CCX700" s="1349"/>
      <c r="CCY700" s="1349"/>
      <c r="CCZ700" s="1349"/>
      <c r="CDA700" s="1349"/>
      <c r="CDB700" s="1349"/>
      <c r="CDC700" s="1349"/>
      <c r="CDD700" s="1349"/>
      <c r="CDE700" s="1349"/>
      <c r="CDF700" s="1349"/>
      <c r="CDG700" s="1349"/>
      <c r="CDH700" s="1349"/>
      <c r="CDI700" s="1349"/>
      <c r="CDJ700" s="1349"/>
      <c r="CDK700" s="1349"/>
      <c r="CDL700" s="1349"/>
      <c r="CDM700" s="1349"/>
      <c r="CDN700" s="1349"/>
      <c r="CDO700" s="1349"/>
      <c r="CDP700" s="1349"/>
      <c r="CDQ700" s="1349"/>
      <c r="CDR700" s="1349"/>
      <c r="CDS700" s="1349"/>
      <c r="CDT700" s="1349"/>
      <c r="CDU700" s="1349"/>
      <c r="CDV700" s="1349"/>
      <c r="CDW700" s="1349"/>
      <c r="CDX700" s="1349"/>
      <c r="CDY700" s="1349"/>
      <c r="CDZ700" s="1349"/>
      <c r="CEA700" s="1349"/>
      <c r="CEB700" s="1349"/>
      <c r="CEC700" s="1349"/>
      <c r="CED700" s="1349"/>
      <c r="CEE700" s="1349"/>
      <c r="CEF700" s="1349"/>
      <c r="CEG700" s="1349"/>
      <c r="CEH700" s="1349"/>
      <c r="CEI700" s="1349"/>
      <c r="CEJ700" s="1349"/>
      <c r="CEK700" s="1349"/>
      <c r="CEL700" s="1349"/>
      <c r="CEM700" s="1349"/>
      <c r="CEN700" s="1349"/>
      <c r="CEO700" s="1349"/>
      <c r="CEP700" s="1349"/>
      <c r="CEQ700" s="1349"/>
      <c r="CER700" s="1349"/>
      <c r="CES700" s="1349"/>
      <c r="CET700" s="1349"/>
      <c r="CEU700" s="1349"/>
      <c r="CEV700" s="1349"/>
      <c r="CEW700" s="1349"/>
      <c r="CEX700" s="1349"/>
      <c r="CEY700" s="1349"/>
      <c r="CEZ700" s="1349"/>
      <c r="CFA700" s="1349"/>
      <c r="CFB700" s="1349"/>
      <c r="CFC700" s="1349"/>
      <c r="CFD700" s="1349"/>
      <c r="CFE700" s="1349"/>
      <c r="CFF700" s="1349"/>
      <c r="CFG700" s="1349"/>
      <c r="CFH700" s="1349"/>
      <c r="CFI700" s="1349"/>
      <c r="CFJ700" s="1349"/>
      <c r="CFK700" s="1349"/>
      <c r="CFL700" s="1349"/>
      <c r="CFM700" s="1349"/>
      <c r="CFN700" s="1349"/>
      <c r="CFO700" s="1349"/>
      <c r="CFP700" s="1349"/>
      <c r="CFQ700" s="1349"/>
      <c r="CFR700" s="1349"/>
      <c r="CFS700" s="1349"/>
      <c r="CFT700" s="1349"/>
      <c r="CFU700" s="1349"/>
      <c r="CFV700" s="1349"/>
      <c r="CFW700" s="1349"/>
      <c r="CFX700" s="1349"/>
      <c r="CFY700" s="1349"/>
      <c r="CFZ700" s="1349"/>
      <c r="CGA700" s="1349"/>
      <c r="CGB700" s="1349"/>
      <c r="CGC700" s="1349"/>
      <c r="CGD700" s="1349"/>
      <c r="CGE700" s="1349"/>
      <c r="CGF700" s="1349"/>
      <c r="CGG700" s="1349"/>
      <c r="CGH700" s="1349"/>
      <c r="CGI700" s="1349"/>
      <c r="CGJ700" s="1349"/>
      <c r="CGK700" s="1349"/>
      <c r="CGL700" s="1349"/>
      <c r="CGM700" s="1349"/>
      <c r="CGN700" s="1349"/>
      <c r="CGO700" s="1349"/>
      <c r="CGP700" s="1349"/>
      <c r="CGQ700" s="1349"/>
      <c r="CGR700" s="1349"/>
      <c r="CGS700" s="1349"/>
      <c r="CGT700" s="1349"/>
      <c r="CGU700" s="1349"/>
      <c r="CGV700" s="1349"/>
      <c r="CGW700" s="1349"/>
      <c r="CGX700" s="1349"/>
      <c r="CGY700" s="1349"/>
      <c r="CGZ700" s="1349"/>
      <c r="CHA700" s="1349"/>
      <c r="CHB700" s="1349"/>
      <c r="CHC700" s="1349"/>
      <c r="CHD700" s="1349"/>
      <c r="CHE700" s="1349"/>
      <c r="CHF700" s="1349"/>
      <c r="CHG700" s="1349"/>
      <c r="CHH700" s="1349"/>
      <c r="CHI700" s="1349"/>
      <c r="CHJ700" s="1349"/>
      <c r="CHK700" s="1349"/>
      <c r="CHL700" s="1349"/>
      <c r="CHM700" s="1349"/>
      <c r="CHN700" s="1349"/>
      <c r="CHO700" s="1349"/>
      <c r="CHP700" s="1349"/>
      <c r="CHQ700" s="1349"/>
      <c r="CHR700" s="1349"/>
      <c r="CHS700" s="1349"/>
      <c r="CHT700" s="1349"/>
      <c r="CHU700" s="1349"/>
      <c r="CHV700" s="1349"/>
      <c r="CHW700" s="1349"/>
      <c r="CHX700" s="1349"/>
      <c r="CHY700" s="1349"/>
      <c r="CHZ700" s="1349"/>
      <c r="CIA700" s="1349"/>
      <c r="CIB700" s="1349"/>
      <c r="CIC700" s="1349"/>
      <c r="CID700" s="1349"/>
      <c r="CIE700" s="1349"/>
      <c r="CIF700" s="1349"/>
      <c r="CIG700" s="1349"/>
      <c r="CIH700" s="1349"/>
      <c r="CII700" s="1349"/>
      <c r="CIJ700" s="1349"/>
      <c r="CIK700" s="1349"/>
      <c r="CIL700" s="1349"/>
      <c r="CIM700" s="1349"/>
      <c r="CIN700" s="1349"/>
      <c r="CIO700" s="1349"/>
      <c r="CIP700" s="1349"/>
      <c r="CIQ700" s="1349"/>
      <c r="CIR700" s="1349"/>
      <c r="CIS700" s="1349"/>
      <c r="CIT700" s="1349"/>
      <c r="CIU700" s="1349"/>
      <c r="CIV700" s="1349"/>
      <c r="CIW700" s="1349"/>
      <c r="CIX700" s="1349"/>
      <c r="CIY700" s="1349"/>
      <c r="CIZ700" s="1349"/>
      <c r="CJA700" s="1349"/>
      <c r="CJB700" s="1349"/>
      <c r="CJC700" s="1349"/>
      <c r="CJD700" s="1349"/>
      <c r="CJE700" s="1349"/>
      <c r="CJF700" s="1349"/>
      <c r="CJG700" s="1349"/>
      <c r="CJH700" s="1349"/>
      <c r="CJI700" s="1349"/>
      <c r="CJJ700" s="1349"/>
      <c r="CJK700" s="1349"/>
      <c r="CJL700" s="1349"/>
      <c r="CJM700" s="1349"/>
      <c r="CJN700" s="1349"/>
      <c r="CJO700" s="1349"/>
      <c r="CJP700" s="1349"/>
      <c r="CJQ700" s="1349"/>
      <c r="CJR700" s="1349"/>
      <c r="CJS700" s="1349"/>
      <c r="CJT700" s="1349"/>
      <c r="CJU700" s="1349"/>
      <c r="CJV700" s="1349"/>
      <c r="CJW700" s="1349"/>
      <c r="CJX700" s="1349"/>
      <c r="CJY700" s="1349"/>
      <c r="CJZ700" s="1349"/>
      <c r="CKA700" s="1349"/>
      <c r="CKB700" s="1349"/>
      <c r="CKC700" s="1349"/>
      <c r="CKD700" s="1349"/>
      <c r="CKE700" s="1349"/>
      <c r="CKF700" s="1349"/>
      <c r="CKG700" s="1349"/>
      <c r="CKH700" s="1349"/>
      <c r="CKI700" s="1349"/>
      <c r="CKJ700" s="1349"/>
      <c r="CKK700" s="1349"/>
      <c r="CKL700" s="1349"/>
      <c r="CKM700" s="1349"/>
      <c r="CKN700" s="1349"/>
      <c r="CKO700" s="1349"/>
      <c r="CKP700" s="1349"/>
      <c r="CKQ700" s="1349"/>
      <c r="CKR700" s="1349"/>
      <c r="CKS700" s="1349"/>
      <c r="CKT700" s="1349"/>
      <c r="CKU700" s="1349"/>
      <c r="CKV700" s="1349"/>
      <c r="CKW700" s="1349"/>
      <c r="CKX700" s="1349"/>
      <c r="CKY700" s="1349"/>
      <c r="CKZ700" s="1349"/>
      <c r="CLA700" s="1349"/>
      <c r="CLB700" s="1349"/>
      <c r="CLC700" s="1349"/>
      <c r="CLD700" s="1349"/>
      <c r="CLE700" s="1349"/>
      <c r="CLF700" s="1349"/>
      <c r="CLG700" s="1349"/>
      <c r="CLH700" s="1349"/>
      <c r="CLI700" s="1349"/>
      <c r="CLJ700" s="1349"/>
      <c r="CLK700" s="1349"/>
      <c r="CLL700" s="1349"/>
      <c r="CLM700" s="1349"/>
      <c r="CLN700" s="1349"/>
      <c r="CLO700" s="1349"/>
      <c r="CLP700" s="1349"/>
      <c r="CLQ700" s="1349"/>
      <c r="CLR700" s="1349"/>
      <c r="CLS700" s="1349"/>
      <c r="CLT700" s="1349"/>
      <c r="CLU700" s="1349"/>
      <c r="CLV700" s="1349"/>
      <c r="CLW700" s="1349"/>
      <c r="CLX700" s="1349"/>
      <c r="CLY700" s="1349"/>
      <c r="CLZ700" s="1349"/>
      <c r="CMA700" s="1349"/>
      <c r="CMB700" s="1349"/>
      <c r="CMC700" s="1349"/>
      <c r="CMD700" s="1349"/>
      <c r="CME700" s="1349"/>
      <c r="CMF700" s="1349"/>
      <c r="CMG700" s="1349"/>
      <c r="CMH700" s="1349"/>
      <c r="CMI700" s="1349"/>
      <c r="CMJ700" s="1349"/>
      <c r="CMK700" s="1349"/>
      <c r="CML700" s="1349"/>
      <c r="CMM700" s="1349"/>
      <c r="CMN700" s="1349"/>
      <c r="CMO700" s="1349"/>
      <c r="CMP700" s="1349"/>
      <c r="CMQ700" s="1349"/>
      <c r="CMR700" s="1349"/>
      <c r="CMS700" s="1349"/>
      <c r="CMT700" s="1349"/>
      <c r="CMU700" s="1349"/>
      <c r="CMV700" s="1349"/>
      <c r="CMW700" s="1349"/>
      <c r="CMX700" s="1349"/>
      <c r="CMY700" s="1349"/>
      <c r="CMZ700" s="1349"/>
      <c r="CNA700" s="1349"/>
      <c r="CNB700" s="1349"/>
      <c r="CNC700" s="1349"/>
      <c r="CND700" s="1349"/>
      <c r="CNE700" s="1349"/>
      <c r="CNF700" s="1349"/>
      <c r="CNG700" s="1349"/>
      <c r="CNH700" s="1349"/>
      <c r="CNI700" s="1349"/>
      <c r="CNJ700" s="1349"/>
      <c r="CNK700" s="1349"/>
      <c r="CNL700" s="1349"/>
      <c r="CNM700" s="1349"/>
      <c r="CNN700" s="1349"/>
      <c r="CNO700" s="1349"/>
      <c r="CNP700" s="1349"/>
      <c r="CNQ700" s="1349"/>
      <c r="CNR700" s="1349"/>
      <c r="CNS700" s="1349"/>
      <c r="CNT700" s="1349"/>
      <c r="CNU700" s="1349"/>
      <c r="CNV700" s="1349"/>
      <c r="CNW700" s="1349"/>
      <c r="CNX700" s="1349"/>
      <c r="CNY700" s="1349"/>
      <c r="CNZ700" s="1349"/>
      <c r="COA700" s="1349"/>
      <c r="COB700" s="1349"/>
      <c r="COC700" s="1349"/>
      <c r="COD700" s="1349"/>
      <c r="COE700" s="1349"/>
      <c r="COF700" s="1349"/>
      <c r="COG700" s="1349"/>
      <c r="COH700" s="1349"/>
      <c r="COI700" s="1349"/>
      <c r="COJ700" s="1349"/>
      <c r="COK700" s="1349"/>
      <c r="COL700" s="1349"/>
      <c r="COM700" s="1349"/>
      <c r="CON700" s="1349"/>
      <c r="COO700" s="1349"/>
      <c r="COP700" s="1349"/>
      <c r="COQ700" s="1349"/>
      <c r="COR700" s="1349"/>
      <c r="COS700" s="1349"/>
      <c r="COT700" s="1349"/>
      <c r="COU700" s="1349"/>
      <c r="COV700" s="1349"/>
      <c r="COW700" s="1349"/>
      <c r="COX700" s="1349"/>
      <c r="COY700" s="1349"/>
      <c r="COZ700" s="1349"/>
      <c r="CPA700" s="1349"/>
      <c r="CPB700" s="1349"/>
      <c r="CPC700" s="1349"/>
      <c r="CPD700" s="1349"/>
      <c r="CPE700" s="1349"/>
      <c r="CPF700" s="1349"/>
      <c r="CPG700" s="1349"/>
      <c r="CPH700" s="1349"/>
      <c r="CPI700" s="1349"/>
      <c r="CPJ700" s="1349"/>
      <c r="CPK700" s="1349"/>
      <c r="CPL700" s="1349"/>
      <c r="CPM700" s="1349"/>
      <c r="CPN700" s="1349"/>
      <c r="CPO700" s="1349"/>
      <c r="CPP700" s="1349"/>
      <c r="CPQ700" s="1349"/>
      <c r="CPR700" s="1349"/>
      <c r="CPS700" s="1349"/>
      <c r="CPT700" s="1349"/>
      <c r="CPU700" s="1349"/>
      <c r="CPV700" s="1349"/>
      <c r="CPW700" s="1349"/>
      <c r="CPX700" s="1349"/>
      <c r="CPY700" s="1349"/>
      <c r="CPZ700" s="1349"/>
      <c r="CQA700" s="1349"/>
      <c r="CQB700" s="1349"/>
      <c r="CQC700" s="1349"/>
      <c r="CQD700" s="1349"/>
      <c r="CQE700" s="1349"/>
      <c r="CQF700" s="1349"/>
      <c r="CQG700" s="1349"/>
      <c r="CQH700" s="1349"/>
      <c r="CQI700" s="1349"/>
      <c r="CQJ700" s="1349"/>
      <c r="CQK700" s="1349"/>
      <c r="CQL700" s="1349"/>
      <c r="CQM700" s="1349"/>
      <c r="CQN700" s="1349"/>
      <c r="CQO700" s="1349"/>
      <c r="CQP700" s="1349"/>
      <c r="CQQ700" s="1349"/>
      <c r="CQR700" s="1349"/>
      <c r="CQS700" s="1349"/>
      <c r="CQT700" s="1349"/>
      <c r="CQU700" s="1349"/>
      <c r="CQV700" s="1349"/>
      <c r="CQW700" s="1349"/>
      <c r="CQX700" s="1349"/>
      <c r="CQY700" s="1349"/>
      <c r="CQZ700" s="1349"/>
      <c r="CRA700" s="1349"/>
      <c r="CRB700" s="1349"/>
      <c r="CRC700" s="1349"/>
      <c r="CRD700" s="1349"/>
      <c r="CRE700" s="1349"/>
      <c r="CRF700" s="1349"/>
      <c r="CRG700" s="1349"/>
      <c r="CRH700" s="1349"/>
      <c r="CRI700" s="1349"/>
      <c r="CRJ700" s="1349"/>
      <c r="CRK700" s="1349"/>
      <c r="CRL700" s="1349"/>
      <c r="CRM700" s="1349"/>
      <c r="CRN700" s="1349"/>
      <c r="CRO700" s="1349"/>
      <c r="CRP700" s="1349"/>
      <c r="CRQ700" s="1349"/>
      <c r="CRR700" s="1349"/>
      <c r="CRS700" s="1349"/>
      <c r="CRT700" s="1349"/>
      <c r="CRU700" s="1349"/>
      <c r="CRV700" s="1349"/>
      <c r="CRW700" s="1349"/>
      <c r="CRX700" s="1349"/>
      <c r="CRY700" s="1349"/>
      <c r="CRZ700" s="1349"/>
      <c r="CSA700" s="1349"/>
      <c r="CSB700" s="1349"/>
      <c r="CSC700" s="1349"/>
      <c r="CSD700" s="1349"/>
      <c r="CSE700" s="1349"/>
      <c r="CSF700" s="1349"/>
      <c r="CSG700" s="1349"/>
      <c r="CSH700" s="1349"/>
      <c r="CSI700" s="1349"/>
      <c r="CSJ700" s="1349"/>
      <c r="CSK700" s="1349"/>
      <c r="CSL700" s="1349"/>
      <c r="CSM700" s="1349"/>
      <c r="CSN700" s="1349"/>
      <c r="CSO700" s="1349"/>
      <c r="CSP700" s="1349"/>
      <c r="CSQ700" s="1349"/>
      <c r="CSR700" s="1349"/>
      <c r="CSS700" s="1349"/>
      <c r="CST700" s="1349"/>
      <c r="CSU700" s="1349"/>
      <c r="CSV700" s="1349"/>
      <c r="CSW700" s="1349"/>
      <c r="CSX700" s="1349"/>
      <c r="CSY700" s="1349"/>
      <c r="CSZ700" s="1349"/>
      <c r="CTA700" s="1349"/>
      <c r="CTB700" s="1349"/>
      <c r="CTC700" s="1349"/>
      <c r="CTD700" s="1349"/>
      <c r="CTE700" s="1349"/>
      <c r="CTF700" s="1349"/>
      <c r="CTG700" s="1349"/>
      <c r="CTH700" s="1349"/>
      <c r="CTI700" s="1349"/>
      <c r="CTJ700" s="1349"/>
      <c r="CTK700" s="1349"/>
      <c r="CTL700" s="1349"/>
      <c r="CTM700" s="1349"/>
      <c r="CTN700" s="1349"/>
      <c r="CTO700" s="1349"/>
      <c r="CTP700" s="1349"/>
      <c r="CTQ700" s="1349"/>
      <c r="CTR700" s="1349"/>
      <c r="CTS700" s="1349"/>
      <c r="CTT700" s="1349"/>
      <c r="CTU700" s="1349"/>
      <c r="CTV700" s="1349"/>
      <c r="CTW700" s="1349"/>
      <c r="CTX700" s="1349"/>
      <c r="CTY700" s="1349"/>
      <c r="CTZ700" s="1349"/>
      <c r="CUA700" s="1349"/>
      <c r="CUB700" s="1349"/>
      <c r="CUC700" s="1349"/>
      <c r="CUD700" s="1349"/>
      <c r="CUE700" s="1349"/>
      <c r="CUF700" s="1349"/>
      <c r="CUG700" s="1349"/>
      <c r="CUH700" s="1349"/>
      <c r="CUI700" s="1349"/>
      <c r="CUJ700" s="1349"/>
      <c r="CUK700" s="1349"/>
      <c r="CUL700" s="1349"/>
      <c r="CUM700" s="1349"/>
      <c r="CUN700" s="1349"/>
      <c r="CUO700" s="1349"/>
      <c r="CUP700" s="1349"/>
      <c r="CUQ700" s="1349"/>
      <c r="CUR700" s="1349"/>
      <c r="CUS700" s="1349"/>
      <c r="CUT700" s="1349"/>
      <c r="CUU700" s="1349"/>
      <c r="CUV700" s="1349"/>
      <c r="CUW700" s="1349"/>
      <c r="CUX700" s="1349"/>
      <c r="CUY700" s="1349"/>
      <c r="CUZ700" s="1349"/>
      <c r="CVA700" s="1349"/>
      <c r="CVB700" s="1349"/>
      <c r="CVC700" s="1349"/>
      <c r="CVD700" s="1349"/>
      <c r="CVE700" s="1349"/>
      <c r="CVF700" s="1349"/>
      <c r="CVG700" s="1349"/>
      <c r="CVH700" s="1349"/>
      <c r="CVI700" s="1349"/>
      <c r="CVJ700" s="1349"/>
      <c r="CVK700" s="1349"/>
      <c r="CVL700" s="1349"/>
      <c r="CVM700" s="1349"/>
      <c r="CVN700" s="1349"/>
      <c r="CVO700" s="1349"/>
      <c r="CVP700" s="1349"/>
      <c r="CVQ700" s="1349"/>
      <c r="CVR700" s="1349"/>
      <c r="CVS700" s="1349"/>
      <c r="CVT700" s="1349"/>
      <c r="CVU700" s="1349"/>
      <c r="CVV700" s="1349"/>
      <c r="CVW700" s="1349"/>
      <c r="CVX700" s="1349"/>
      <c r="CVY700" s="1349"/>
      <c r="CVZ700" s="1349"/>
      <c r="CWA700" s="1349"/>
      <c r="CWB700" s="1349"/>
      <c r="CWC700" s="1349"/>
      <c r="CWD700" s="1349"/>
      <c r="CWE700" s="1349"/>
      <c r="CWF700" s="1349"/>
      <c r="CWG700" s="1349"/>
      <c r="CWH700" s="1349"/>
      <c r="CWI700" s="1349"/>
      <c r="CWJ700" s="1349"/>
      <c r="CWK700" s="1349"/>
      <c r="CWL700" s="1349"/>
      <c r="CWM700" s="1349"/>
      <c r="CWN700" s="1349"/>
      <c r="CWO700" s="1349"/>
      <c r="CWP700" s="1349"/>
      <c r="CWQ700" s="1349"/>
      <c r="CWR700" s="1349"/>
      <c r="CWS700" s="1349"/>
      <c r="CWT700" s="1349"/>
      <c r="CWU700" s="1349"/>
      <c r="CWV700" s="1349"/>
      <c r="CWW700" s="1349"/>
      <c r="CWX700" s="1349"/>
      <c r="CWY700" s="1349"/>
      <c r="CWZ700" s="1349"/>
      <c r="CXA700" s="1349"/>
      <c r="CXB700" s="1349"/>
      <c r="CXC700" s="1349"/>
      <c r="CXD700" s="1349"/>
      <c r="CXE700" s="1349"/>
      <c r="CXF700" s="1349"/>
      <c r="CXG700" s="1349"/>
      <c r="CXH700" s="1349"/>
      <c r="CXI700" s="1349"/>
      <c r="CXJ700" s="1349"/>
      <c r="CXK700" s="1349"/>
      <c r="CXL700" s="1349"/>
      <c r="CXM700" s="1349"/>
      <c r="CXN700" s="1349"/>
      <c r="CXO700" s="1349"/>
      <c r="CXP700" s="1349"/>
      <c r="CXQ700" s="1349"/>
      <c r="CXR700" s="1349"/>
      <c r="CXS700" s="1349"/>
      <c r="CXT700" s="1349"/>
      <c r="CXU700" s="1349"/>
      <c r="CXV700" s="1349"/>
      <c r="CXW700" s="1349"/>
      <c r="CXX700" s="1349"/>
      <c r="CXY700" s="1349"/>
      <c r="CXZ700" s="1349"/>
      <c r="CYA700" s="1349"/>
      <c r="CYB700" s="1349"/>
      <c r="CYC700" s="1349"/>
      <c r="CYD700" s="1349"/>
      <c r="CYE700" s="1349"/>
      <c r="CYF700" s="1349"/>
      <c r="CYG700" s="1349"/>
      <c r="CYH700" s="1349"/>
      <c r="CYI700" s="1349"/>
      <c r="CYJ700" s="1349"/>
      <c r="CYK700" s="1349"/>
      <c r="CYL700" s="1349"/>
      <c r="CYM700" s="1349"/>
      <c r="CYN700" s="1349"/>
      <c r="CYO700" s="1349"/>
      <c r="CYP700" s="1349"/>
      <c r="CYQ700" s="1349"/>
      <c r="CYR700" s="1349"/>
      <c r="CYS700" s="1349"/>
      <c r="CYT700" s="1349"/>
      <c r="CYU700" s="1349"/>
      <c r="CYV700" s="1349"/>
      <c r="CYW700" s="1349"/>
      <c r="CYX700" s="1349"/>
      <c r="CYY700" s="1349"/>
      <c r="CYZ700" s="1349"/>
      <c r="CZA700" s="1349"/>
      <c r="CZB700" s="1349"/>
      <c r="CZC700" s="1349"/>
      <c r="CZD700" s="1349"/>
      <c r="CZE700" s="1349"/>
      <c r="CZF700" s="1349"/>
      <c r="CZG700" s="1349"/>
      <c r="CZH700" s="1349"/>
      <c r="CZI700" s="1349"/>
      <c r="CZJ700" s="1349"/>
      <c r="CZK700" s="1349"/>
      <c r="CZL700" s="1349"/>
      <c r="CZM700" s="1349"/>
      <c r="CZN700" s="1349"/>
      <c r="CZO700" s="1349"/>
      <c r="CZP700" s="1349"/>
      <c r="CZQ700" s="1349"/>
      <c r="CZR700" s="1349"/>
      <c r="CZS700" s="1349"/>
      <c r="CZT700" s="1349"/>
      <c r="CZU700" s="1349"/>
      <c r="CZV700" s="1349"/>
      <c r="CZW700" s="1349"/>
      <c r="CZX700" s="1349"/>
      <c r="CZY700" s="1349"/>
      <c r="CZZ700" s="1349"/>
      <c r="DAA700" s="1349"/>
      <c r="DAB700" s="1349"/>
      <c r="DAC700" s="1349"/>
      <c r="DAD700" s="1349"/>
      <c r="DAE700" s="1349"/>
      <c r="DAF700" s="1349"/>
      <c r="DAG700" s="1349"/>
      <c r="DAH700" s="1349"/>
      <c r="DAI700" s="1349"/>
      <c r="DAJ700" s="1349"/>
      <c r="DAK700" s="1349"/>
      <c r="DAL700" s="1349"/>
      <c r="DAM700" s="1349"/>
      <c r="DAN700" s="1349"/>
      <c r="DAO700" s="1349"/>
      <c r="DAP700" s="1349"/>
      <c r="DAQ700" s="1349"/>
      <c r="DAR700" s="1349"/>
      <c r="DAS700" s="1349"/>
      <c r="DAT700" s="1349"/>
      <c r="DAU700" s="1349"/>
      <c r="DAV700" s="1349"/>
      <c r="DAW700" s="1349"/>
      <c r="DAX700" s="1349"/>
      <c r="DAY700" s="1349"/>
      <c r="DAZ700" s="1349"/>
      <c r="DBA700" s="1349"/>
      <c r="DBB700" s="1349"/>
      <c r="DBC700" s="1349"/>
      <c r="DBD700" s="1349"/>
      <c r="DBE700" s="1349"/>
      <c r="DBF700" s="1349"/>
      <c r="DBG700" s="1349"/>
      <c r="DBH700" s="1349"/>
      <c r="DBI700" s="1349"/>
      <c r="DBJ700" s="1349"/>
      <c r="DBK700" s="1349"/>
      <c r="DBL700" s="1349"/>
      <c r="DBM700" s="1349"/>
      <c r="DBN700" s="1349"/>
      <c r="DBO700" s="1349"/>
      <c r="DBP700" s="1349"/>
      <c r="DBQ700" s="1349"/>
      <c r="DBR700" s="1349"/>
      <c r="DBS700" s="1349"/>
      <c r="DBT700" s="1349"/>
      <c r="DBU700" s="1349"/>
      <c r="DBV700" s="1349"/>
      <c r="DBW700" s="1349"/>
      <c r="DBX700" s="1349"/>
      <c r="DBY700" s="1349"/>
      <c r="DBZ700" s="1349"/>
      <c r="DCA700" s="1349"/>
      <c r="DCB700" s="1349"/>
      <c r="DCC700" s="1349"/>
      <c r="DCD700" s="1349"/>
      <c r="DCE700" s="1349"/>
      <c r="DCF700" s="1349"/>
      <c r="DCG700" s="1349"/>
      <c r="DCH700" s="1349"/>
      <c r="DCI700" s="1349"/>
      <c r="DCJ700" s="1349"/>
      <c r="DCK700" s="1349"/>
      <c r="DCL700" s="1349"/>
      <c r="DCM700" s="1349"/>
      <c r="DCN700" s="1349"/>
      <c r="DCO700" s="1349"/>
      <c r="DCP700" s="1349"/>
      <c r="DCQ700" s="1349"/>
      <c r="DCR700" s="1349"/>
      <c r="DCS700" s="1349"/>
      <c r="DCT700" s="1349"/>
      <c r="DCU700" s="1349"/>
      <c r="DCV700" s="1349"/>
      <c r="DCW700" s="1349"/>
      <c r="DCX700" s="1349"/>
      <c r="DCY700" s="1349"/>
      <c r="DCZ700" s="1349"/>
      <c r="DDA700" s="1349"/>
      <c r="DDB700" s="1349"/>
      <c r="DDC700" s="1349"/>
      <c r="DDD700" s="1349"/>
      <c r="DDE700" s="1349"/>
      <c r="DDF700" s="1349"/>
      <c r="DDG700" s="1349"/>
      <c r="DDH700" s="1349"/>
      <c r="DDI700" s="1349"/>
      <c r="DDJ700" s="1349"/>
      <c r="DDK700" s="1349"/>
      <c r="DDL700" s="1349"/>
      <c r="DDM700" s="1349"/>
      <c r="DDN700" s="1349"/>
      <c r="DDO700" s="1349"/>
      <c r="DDP700" s="1349"/>
      <c r="DDQ700" s="1349"/>
      <c r="DDR700" s="1349"/>
      <c r="DDS700" s="1349"/>
      <c r="DDT700" s="1349"/>
      <c r="DDU700" s="1349"/>
      <c r="DDV700" s="1349"/>
      <c r="DDW700" s="1349"/>
      <c r="DDX700" s="1349"/>
      <c r="DDY700" s="1349"/>
      <c r="DDZ700" s="1349"/>
      <c r="DEA700" s="1349"/>
      <c r="DEB700" s="1349"/>
      <c r="DEC700" s="1349"/>
      <c r="DED700" s="1349"/>
      <c r="DEE700" s="1349"/>
      <c r="DEF700" s="1349"/>
      <c r="DEG700" s="1349"/>
      <c r="DEH700" s="1349"/>
      <c r="DEI700" s="1349"/>
      <c r="DEJ700" s="1349"/>
      <c r="DEK700" s="1349"/>
      <c r="DEL700" s="1349"/>
      <c r="DEM700" s="1349"/>
      <c r="DEN700" s="1349"/>
      <c r="DEO700" s="1349"/>
      <c r="DEP700" s="1349"/>
      <c r="DEQ700" s="1349"/>
      <c r="DER700" s="1349"/>
      <c r="DES700" s="1349"/>
      <c r="DET700" s="1349"/>
      <c r="DEU700" s="1349"/>
      <c r="DEV700" s="1349"/>
      <c r="DEW700" s="1349"/>
      <c r="DEX700" s="1349"/>
      <c r="DEY700" s="1349"/>
      <c r="DEZ700" s="1349"/>
      <c r="DFA700" s="1349"/>
      <c r="DFB700" s="1349"/>
      <c r="DFC700" s="1349"/>
      <c r="DFD700" s="1349"/>
      <c r="DFE700" s="1349"/>
      <c r="DFF700" s="1349"/>
      <c r="DFG700" s="1349"/>
      <c r="DFH700" s="1349"/>
      <c r="DFI700" s="1349"/>
      <c r="DFJ700" s="1349"/>
      <c r="DFK700" s="1349"/>
      <c r="DFL700" s="1349"/>
      <c r="DFM700" s="1349"/>
      <c r="DFN700" s="1349"/>
      <c r="DFO700" s="1349"/>
      <c r="DFP700" s="1349"/>
      <c r="DFQ700" s="1349"/>
      <c r="DFR700" s="1349"/>
      <c r="DFS700" s="1349"/>
      <c r="DFT700" s="1349"/>
      <c r="DFU700" s="1349"/>
      <c r="DFV700" s="1349"/>
      <c r="DFW700" s="1349"/>
      <c r="DFX700" s="1349"/>
      <c r="DFY700" s="1349"/>
      <c r="DFZ700" s="1349"/>
      <c r="DGA700" s="1349"/>
      <c r="DGB700" s="1349"/>
      <c r="DGC700" s="1349"/>
      <c r="DGD700" s="1349"/>
      <c r="DGE700" s="1349"/>
      <c r="DGF700" s="1349"/>
      <c r="DGG700" s="1349"/>
      <c r="DGH700" s="1349"/>
      <c r="DGI700" s="1349"/>
      <c r="DGJ700" s="1349"/>
      <c r="DGK700" s="1349"/>
      <c r="DGL700" s="1349"/>
      <c r="DGM700" s="1349"/>
      <c r="DGN700" s="1349"/>
      <c r="DGO700" s="1349"/>
      <c r="DGP700" s="1349"/>
      <c r="DGQ700" s="1349"/>
      <c r="DGR700" s="1349"/>
      <c r="DGS700" s="1349"/>
      <c r="DGT700" s="1349"/>
      <c r="DGU700" s="1349"/>
      <c r="DGV700" s="1349"/>
      <c r="DGW700" s="1349"/>
      <c r="DGX700" s="1349"/>
      <c r="DGY700" s="1349"/>
      <c r="DGZ700" s="1349"/>
      <c r="DHA700" s="1349"/>
      <c r="DHB700" s="1349"/>
      <c r="DHC700" s="1349"/>
      <c r="DHD700" s="1349"/>
      <c r="DHE700" s="1349"/>
      <c r="DHF700" s="1349"/>
      <c r="DHG700" s="1349"/>
      <c r="DHH700" s="1349"/>
      <c r="DHI700" s="1349"/>
      <c r="DHJ700" s="1349"/>
      <c r="DHK700" s="1349"/>
      <c r="DHL700" s="1349"/>
      <c r="DHM700" s="1349"/>
      <c r="DHN700" s="1349"/>
      <c r="DHO700" s="1349"/>
      <c r="DHP700" s="1349"/>
      <c r="DHQ700" s="1349"/>
      <c r="DHR700" s="1349"/>
      <c r="DHS700" s="1349"/>
      <c r="DHT700" s="1349"/>
      <c r="DHU700" s="1349"/>
      <c r="DHV700" s="1349"/>
      <c r="DHW700" s="1349"/>
      <c r="DHX700" s="1349"/>
      <c r="DHY700" s="1349"/>
      <c r="DHZ700" s="1349"/>
      <c r="DIA700" s="1349"/>
      <c r="DIB700" s="1349"/>
      <c r="DIC700" s="1349"/>
      <c r="DID700" s="1349"/>
      <c r="DIE700" s="1349"/>
      <c r="DIF700" s="1349"/>
      <c r="DIG700" s="1349"/>
      <c r="DIH700" s="1349"/>
      <c r="DII700" s="1349"/>
      <c r="DIJ700" s="1349"/>
      <c r="DIK700" s="1349"/>
      <c r="DIL700" s="1349"/>
      <c r="DIM700" s="1349"/>
      <c r="DIN700" s="1349"/>
      <c r="DIO700" s="1349"/>
      <c r="DIP700" s="1349"/>
      <c r="DIQ700" s="1349"/>
      <c r="DIR700" s="1349"/>
      <c r="DIS700" s="1349"/>
      <c r="DIT700" s="1349"/>
      <c r="DIU700" s="1349"/>
      <c r="DIV700" s="1349"/>
      <c r="DIW700" s="1349"/>
      <c r="DIX700" s="1349"/>
      <c r="DIY700" s="1349"/>
      <c r="DIZ700" s="1349"/>
      <c r="DJA700" s="1349"/>
      <c r="DJB700" s="1349"/>
      <c r="DJC700" s="1349"/>
      <c r="DJD700" s="1349"/>
      <c r="DJE700" s="1349"/>
      <c r="DJF700" s="1349"/>
      <c r="DJG700" s="1349"/>
      <c r="DJH700" s="1349"/>
      <c r="DJI700" s="1349"/>
      <c r="DJJ700" s="1349"/>
      <c r="DJK700" s="1349"/>
      <c r="DJL700" s="1349"/>
      <c r="DJM700" s="1349"/>
      <c r="DJN700" s="1349"/>
      <c r="DJO700" s="1349"/>
      <c r="DJP700" s="1349"/>
      <c r="DJQ700" s="1349"/>
      <c r="DJR700" s="1349"/>
      <c r="DJS700" s="1349"/>
      <c r="DJT700" s="1349"/>
      <c r="DJU700" s="1349"/>
      <c r="DJV700" s="1349"/>
      <c r="DJW700" s="1349"/>
      <c r="DJX700" s="1349"/>
      <c r="DJY700" s="1349"/>
      <c r="DJZ700" s="1349"/>
      <c r="DKA700" s="1349"/>
      <c r="DKB700" s="1349"/>
      <c r="DKC700" s="1349"/>
      <c r="DKD700" s="1349"/>
      <c r="DKE700" s="1349"/>
      <c r="DKF700" s="1349"/>
      <c r="DKG700" s="1349"/>
      <c r="DKH700" s="1349"/>
      <c r="DKI700" s="1349"/>
      <c r="DKJ700" s="1349"/>
      <c r="DKK700" s="1349"/>
      <c r="DKL700" s="1349"/>
      <c r="DKM700" s="1349"/>
      <c r="DKN700" s="1349"/>
      <c r="DKO700" s="1349"/>
      <c r="DKP700" s="1349"/>
      <c r="DKQ700" s="1349"/>
      <c r="DKR700" s="1349"/>
      <c r="DKS700" s="1349"/>
      <c r="DKT700" s="1349"/>
      <c r="DKU700" s="1349"/>
      <c r="DKV700" s="1349"/>
      <c r="DKW700" s="1349"/>
      <c r="DKX700" s="1349"/>
      <c r="DKY700" s="1349"/>
      <c r="DKZ700" s="1349"/>
      <c r="DLA700" s="1349"/>
      <c r="DLB700" s="1349"/>
      <c r="DLC700" s="1349"/>
      <c r="DLD700" s="1349"/>
      <c r="DLE700" s="1349"/>
      <c r="DLF700" s="1349"/>
      <c r="DLG700" s="1349"/>
      <c r="DLH700" s="1349"/>
      <c r="DLI700" s="1349"/>
      <c r="DLJ700" s="1349"/>
      <c r="DLK700" s="1349"/>
      <c r="DLL700" s="1349"/>
      <c r="DLM700" s="1349"/>
      <c r="DLN700" s="1349"/>
      <c r="DLO700" s="1349"/>
      <c r="DLP700" s="1349"/>
      <c r="DLQ700" s="1349"/>
      <c r="DLR700" s="1349"/>
      <c r="DLS700" s="1349"/>
      <c r="DLT700" s="1349"/>
      <c r="DLU700" s="1349"/>
      <c r="DLV700" s="1349"/>
      <c r="DLW700" s="1349"/>
      <c r="DLX700" s="1349"/>
      <c r="DLY700" s="1349"/>
      <c r="DLZ700" s="1349"/>
      <c r="DMA700" s="1349"/>
      <c r="DMB700" s="1349"/>
      <c r="DMC700" s="1349"/>
      <c r="DMD700" s="1349"/>
      <c r="DME700" s="1349"/>
      <c r="DMF700" s="1349"/>
      <c r="DMG700" s="1349"/>
      <c r="DMH700" s="1349"/>
      <c r="DMI700" s="1349"/>
      <c r="DMJ700" s="1349"/>
      <c r="DMK700" s="1349"/>
      <c r="DML700" s="1349"/>
      <c r="DMM700" s="1349"/>
      <c r="DMN700" s="1349"/>
      <c r="DMO700" s="1349"/>
      <c r="DMP700" s="1349"/>
      <c r="DMQ700" s="1349"/>
      <c r="DMR700" s="1349"/>
      <c r="DMS700" s="1349"/>
      <c r="DMT700" s="1349"/>
      <c r="DMU700" s="1349"/>
      <c r="DMV700" s="1349"/>
      <c r="DMW700" s="1349"/>
      <c r="DMX700" s="1349"/>
      <c r="DMY700" s="1349"/>
      <c r="DMZ700" s="1349"/>
      <c r="DNA700" s="1349"/>
      <c r="DNB700" s="1349"/>
      <c r="DNC700" s="1349"/>
      <c r="DND700" s="1349"/>
      <c r="DNE700" s="1349"/>
      <c r="DNF700" s="1349"/>
      <c r="DNG700" s="1349"/>
      <c r="DNH700" s="1349"/>
      <c r="DNI700" s="1349"/>
      <c r="DNJ700" s="1349"/>
      <c r="DNK700" s="1349"/>
      <c r="DNL700" s="1349"/>
      <c r="DNM700" s="1349"/>
      <c r="DNN700" s="1349"/>
      <c r="DNO700" s="1349"/>
      <c r="DNP700" s="1349"/>
      <c r="DNQ700" s="1349"/>
      <c r="DNR700" s="1349"/>
      <c r="DNS700" s="1349"/>
      <c r="DNT700" s="1349"/>
      <c r="DNU700" s="1349"/>
      <c r="DNV700" s="1349"/>
      <c r="DNW700" s="1349"/>
      <c r="DNX700" s="1349"/>
      <c r="DNY700" s="1349"/>
      <c r="DNZ700" s="1349"/>
      <c r="DOA700" s="1349"/>
      <c r="DOB700" s="1349"/>
      <c r="DOC700" s="1349"/>
      <c r="DOD700" s="1349"/>
      <c r="DOE700" s="1349"/>
      <c r="DOF700" s="1349"/>
      <c r="DOG700" s="1349"/>
      <c r="DOH700" s="1349"/>
      <c r="DOI700" s="1349"/>
      <c r="DOJ700" s="1349"/>
      <c r="DOK700" s="1349"/>
      <c r="DOL700" s="1349"/>
      <c r="DOM700" s="1349"/>
      <c r="DON700" s="1349"/>
      <c r="DOO700" s="1349"/>
      <c r="DOP700" s="1349"/>
      <c r="DOQ700" s="1349"/>
      <c r="DOR700" s="1349"/>
      <c r="DOS700" s="1349"/>
      <c r="DOT700" s="1349"/>
      <c r="DOU700" s="1349"/>
      <c r="DOV700" s="1349"/>
      <c r="DOW700" s="1349"/>
      <c r="DOX700" s="1349"/>
      <c r="DOY700" s="1349"/>
      <c r="DOZ700" s="1349"/>
      <c r="DPA700" s="1349"/>
      <c r="DPB700" s="1349"/>
      <c r="DPC700" s="1349"/>
      <c r="DPD700" s="1349"/>
      <c r="DPE700" s="1349"/>
      <c r="DPF700" s="1349"/>
      <c r="DPG700" s="1349"/>
      <c r="DPH700" s="1349"/>
      <c r="DPI700" s="1349"/>
      <c r="DPJ700" s="1349"/>
      <c r="DPK700" s="1349"/>
      <c r="DPL700" s="1349"/>
      <c r="DPM700" s="1349"/>
      <c r="DPN700" s="1349"/>
      <c r="DPO700" s="1349"/>
      <c r="DPP700" s="1349"/>
      <c r="DPQ700" s="1349"/>
      <c r="DPR700" s="1349"/>
      <c r="DPS700" s="1349"/>
      <c r="DPT700" s="1349"/>
      <c r="DPU700" s="1349"/>
      <c r="DPV700" s="1349"/>
      <c r="DPW700" s="1349"/>
      <c r="DPX700" s="1349"/>
      <c r="DPY700" s="1349"/>
      <c r="DPZ700" s="1349"/>
      <c r="DQA700" s="1349"/>
      <c r="DQB700" s="1349"/>
      <c r="DQC700" s="1349"/>
      <c r="DQD700" s="1349"/>
      <c r="DQE700" s="1349"/>
      <c r="DQF700" s="1349"/>
      <c r="DQG700" s="1349"/>
      <c r="DQH700" s="1349"/>
      <c r="DQI700" s="1349"/>
      <c r="DQJ700" s="1349"/>
      <c r="DQK700" s="1349"/>
      <c r="DQL700" s="1349"/>
      <c r="DQM700" s="1349"/>
      <c r="DQN700" s="1349"/>
      <c r="DQO700" s="1349"/>
      <c r="DQP700" s="1349"/>
      <c r="DQQ700" s="1349"/>
      <c r="DQR700" s="1349"/>
      <c r="DQS700" s="1349"/>
      <c r="DQT700" s="1349"/>
      <c r="DQU700" s="1349"/>
      <c r="DQV700" s="1349"/>
      <c r="DQW700" s="1349"/>
      <c r="DQX700" s="1349"/>
      <c r="DQY700" s="1349"/>
      <c r="DQZ700" s="1349"/>
      <c r="DRA700" s="1349"/>
      <c r="DRB700" s="1349"/>
      <c r="DRC700" s="1349"/>
      <c r="DRD700" s="1349"/>
      <c r="DRE700" s="1349"/>
      <c r="DRF700" s="1349"/>
      <c r="DRG700" s="1349"/>
      <c r="DRH700" s="1349"/>
      <c r="DRI700" s="1349"/>
      <c r="DRJ700" s="1349"/>
      <c r="DRK700" s="1349"/>
      <c r="DRL700" s="1349"/>
      <c r="DRM700" s="1349"/>
      <c r="DRN700" s="1349"/>
      <c r="DRO700" s="1349"/>
      <c r="DRP700" s="1349"/>
      <c r="DRQ700" s="1349"/>
      <c r="DRR700" s="1349"/>
      <c r="DRS700" s="1349"/>
      <c r="DRT700" s="1349"/>
      <c r="DRU700" s="1349"/>
      <c r="DRV700" s="1349"/>
      <c r="DRW700" s="1349"/>
      <c r="DRX700" s="1349"/>
      <c r="DRY700" s="1349"/>
      <c r="DRZ700" s="1349"/>
      <c r="DSA700" s="1349"/>
      <c r="DSB700" s="1349"/>
      <c r="DSC700" s="1349"/>
      <c r="DSD700" s="1349"/>
      <c r="DSE700" s="1349"/>
      <c r="DSF700" s="1349"/>
      <c r="DSG700" s="1349"/>
      <c r="DSH700" s="1349"/>
      <c r="DSI700" s="1349"/>
      <c r="DSJ700" s="1349"/>
      <c r="DSK700" s="1349"/>
      <c r="DSL700" s="1349"/>
      <c r="DSM700" s="1349"/>
      <c r="DSN700" s="1349"/>
      <c r="DSO700" s="1349"/>
      <c r="DSP700" s="1349"/>
      <c r="DSQ700" s="1349"/>
      <c r="DSR700" s="1349"/>
      <c r="DSS700" s="1349"/>
      <c r="DST700" s="1349"/>
      <c r="DSU700" s="1349"/>
      <c r="DSV700" s="1349"/>
      <c r="DSW700" s="1349"/>
      <c r="DSX700" s="1349"/>
      <c r="DSY700" s="1349"/>
      <c r="DSZ700" s="1349"/>
      <c r="DTA700" s="1349"/>
      <c r="DTB700" s="1349"/>
      <c r="DTC700" s="1349"/>
      <c r="DTD700" s="1349"/>
      <c r="DTE700" s="1349"/>
      <c r="DTF700" s="1349"/>
      <c r="DTG700" s="1349"/>
      <c r="DTH700" s="1349"/>
      <c r="DTI700" s="1349"/>
      <c r="DTJ700" s="1349"/>
      <c r="DTK700" s="1349"/>
      <c r="DTL700" s="1349"/>
      <c r="DTM700" s="1349"/>
      <c r="DTN700" s="1349"/>
      <c r="DTO700" s="1349"/>
      <c r="DTP700" s="1349"/>
      <c r="DTQ700" s="1349"/>
      <c r="DTR700" s="1349"/>
      <c r="DTS700" s="1349"/>
      <c r="DTT700" s="1349"/>
      <c r="DTU700" s="1349"/>
      <c r="DTV700" s="1349"/>
      <c r="DTW700" s="1349"/>
      <c r="DTX700" s="1349"/>
      <c r="DTY700" s="1349"/>
      <c r="DTZ700" s="1349"/>
      <c r="DUA700" s="1349"/>
      <c r="DUB700" s="1349"/>
      <c r="DUC700" s="1349"/>
      <c r="DUD700" s="1349"/>
      <c r="DUE700" s="1349"/>
      <c r="DUF700" s="1349"/>
      <c r="DUG700" s="1349"/>
      <c r="DUH700" s="1349"/>
      <c r="DUI700" s="1349"/>
      <c r="DUJ700" s="1349"/>
      <c r="DUK700" s="1349"/>
      <c r="DUL700" s="1349"/>
      <c r="DUM700" s="1349"/>
      <c r="DUN700" s="1349"/>
      <c r="DUO700" s="1349"/>
      <c r="DUP700" s="1349"/>
      <c r="DUQ700" s="1349"/>
      <c r="DUR700" s="1349"/>
      <c r="DUS700" s="1349"/>
      <c r="DUT700" s="1349"/>
      <c r="DUU700" s="1349"/>
      <c r="DUV700" s="1349"/>
      <c r="DUW700" s="1349"/>
      <c r="DUX700" s="1349"/>
      <c r="DUY700" s="1349"/>
      <c r="DUZ700" s="1349"/>
      <c r="DVA700" s="1349"/>
      <c r="DVB700" s="1349"/>
      <c r="DVC700" s="1349"/>
      <c r="DVD700" s="1349"/>
      <c r="DVE700" s="1349"/>
      <c r="DVF700" s="1349"/>
      <c r="DVG700" s="1349"/>
      <c r="DVH700" s="1349"/>
      <c r="DVI700" s="1349"/>
      <c r="DVJ700" s="1349"/>
      <c r="DVK700" s="1349"/>
      <c r="DVL700" s="1349"/>
      <c r="DVM700" s="1349"/>
      <c r="DVN700" s="1349"/>
      <c r="DVO700" s="1349"/>
      <c r="DVP700" s="1349"/>
      <c r="DVQ700" s="1349"/>
      <c r="DVR700" s="1349"/>
      <c r="DVS700" s="1349"/>
      <c r="DVT700" s="1349"/>
      <c r="DVU700" s="1349"/>
      <c r="DVV700" s="1349"/>
      <c r="DVW700" s="1349"/>
      <c r="DVX700" s="1349"/>
      <c r="DVY700" s="1349"/>
      <c r="DVZ700" s="1349"/>
      <c r="DWA700" s="1349"/>
      <c r="DWB700" s="1349"/>
      <c r="DWC700" s="1349"/>
      <c r="DWD700" s="1349"/>
      <c r="DWE700" s="1349"/>
      <c r="DWF700" s="1349"/>
      <c r="DWG700" s="1349"/>
      <c r="DWH700" s="1349"/>
      <c r="DWI700" s="1349"/>
      <c r="DWJ700" s="1349"/>
      <c r="DWK700" s="1349"/>
      <c r="DWL700" s="1349"/>
      <c r="DWM700" s="1349"/>
      <c r="DWN700" s="1349"/>
      <c r="DWO700" s="1349"/>
      <c r="DWP700" s="1349"/>
      <c r="DWQ700" s="1349"/>
      <c r="DWR700" s="1349"/>
      <c r="DWS700" s="1349"/>
      <c r="DWT700" s="1349"/>
      <c r="DWU700" s="1349"/>
      <c r="DWV700" s="1349"/>
      <c r="DWW700" s="1349"/>
      <c r="DWX700" s="1349"/>
      <c r="DWY700" s="1349"/>
      <c r="DWZ700" s="1349"/>
      <c r="DXA700" s="1349"/>
      <c r="DXB700" s="1349"/>
      <c r="DXC700" s="1349"/>
      <c r="DXD700" s="1349"/>
      <c r="DXE700" s="1349"/>
      <c r="DXF700" s="1349"/>
      <c r="DXG700" s="1349"/>
      <c r="DXH700" s="1349"/>
      <c r="DXI700" s="1349"/>
      <c r="DXJ700" s="1349"/>
      <c r="DXK700" s="1349"/>
      <c r="DXL700" s="1349"/>
      <c r="DXM700" s="1349"/>
      <c r="DXN700" s="1349"/>
      <c r="DXO700" s="1349"/>
      <c r="DXP700" s="1349"/>
      <c r="DXQ700" s="1349"/>
      <c r="DXR700" s="1349"/>
      <c r="DXS700" s="1349"/>
      <c r="DXT700" s="1349"/>
      <c r="DXU700" s="1349"/>
      <c r="DXV700" s="1349"/>
      <c r="DXW700" s="1349"/>
      <c r="DXX700" s="1349"/>
      <c r="DXY700" s="1349"/>
      <c r="DXZ700" s="1349"/>
      <c r="DYA700" s="1349"/>
      <c r="DYB700" s="1349"/>
      <c r="DYC700" s="1349"/>
      <c r="DYD700" s="1349"/>
      <c r="DYE700" s="1349"/>
      <c r="DYF700" s="1349"/>
      <c r="DYG700" s="1349"/>
      <c r="DYH700" s="1349"/>
      <c r="DYI700" s="1349"/>
      <c r="DYJ700" s="1349"/>
      <c r="DYK700" s="1349"/>
      <c r="DYL700" s="1349"/>
      <c r="DYM700" s="1349"/>
      <c r="DYN700" s="1349"/>
      <c r="DYO700" s="1349"/>
      <c r="DYP700" s="1349"/>
      <c r="DYQ700" s="1349"/>
      <c r="DYR700" s="1349"/>
      <c r="DYS700" s="1349"/>
      <c r="DYT700" s="1349"/>
      <c r="DYU700" s="1349"/>
      <c r="DYV700" s="1349"/>
      <c r="DYW700" s="1349"/>
      <c r="DYX700" s="1349"/>
      <c r="DYY700" s="1349"/>
      <c r="DYZ700" s="1349"/>
      <c r="DZA700" s="1349"/>
      <c r="DZB700" s="1349"/>
      <c r="DZC700" s="1349"/>
      <c r="DZD700" s="1349"/>
      <c r="DZE700" s="1349"/>
      <c r="DZF700" s="1349"/>
      <c r="DZG700" s="1349"/>
      <c r="DZH700" s="1349"/>
      <c r="DZI700" s="1349"/>
      <c r="DZJ700" s="1349"/>
      <c r="DZK700" s="1349"/>
      <c r="DZL700" s="1349"/>
      <c r="DZM700" s="1349"/>
      <c r="DZN700" s="1349"/>
      <c r="DZO700" s="1349"/>
      <c r="DZP700" s="1349"/>
      <c r="DZQ700" s="1349"/>
      <c r="DZR700" s="1349"/>
      <c r="DZS700" s="1349"/>
      <c r="DZT700" s="1349"/>
      <c r="DZU700" s="1349"/>
      <c r="DZV700" s="1349"/>
      <c r="DZW700" s="1349"/>
      <c r="DZX700" s="1349"/>
      <c r="DZY700" s="1349"/>
      <c r="DZZ700" s="1349"/>
      <c r="EAA700" s="1349"/>
      <c r="EAB700" s="1349"/>
      <c r="EAC700" s="1349"/>
      <c r="EAD700" s="1349"/>
      <c r="EAE700" s="1349"/>
      <c r="EAF700" s="1349"/>
      <c r="EAG700" s="1349"/>
      <c r="EAH700" s="1349"/>
      <c r="EAI700" s="1349"/>
      <c r="EAJ700" s="1349"/>
      <c r="EAK700" s="1349"/>
      <c r="EAL700" s="1349"/>
      <c r="EAM700" s="1349"/>
      <c r="EAN700" s="1349"/>
      <c r="EAO700" s="1349"/>
      <c r="EAP700" s="1349"/>
      <c r="EAQ700" s="1349"/>
      <c r="EAR700" s="1349"/>
      <c r="EAS700" s="1349"/>
      <c r="EAT700" s="1349"/>
      <c r="EAU700" s="1349"/>
      <c r="EAV700" s="1349"/>
      <c r="EAW700" s="1349"/>
      <c r="EAX700" s="1349"/>
      <c r="EAY700" s="1349"/>
      <c r="EAZ700" s="1349"/>
      <c r="EBA700" s="1349"/>
      <c r="EBB700" s="1349"/>
      <c r="EBC700" s="1349"/>
      <c r="EBD700" s="1349"/>
      <c r="EBE700" s="1349"/>
      <c r="EBF700" s="1349"/>
      <c r="EBG700" s="1349"/>
      <c r="EBH700" s="1349"/>
      <c r="EBI700" s="1349"/>
      <c r="EBJ700" s="1349"/>
      <c r="EBK700" s="1349"/>
      <c r="EBL700" s="1349"/>
      <c r="EBM700" s="1349"/>
      <c r="EBN700" s="1349"/>
      <c r="EBO700" s="1349"/>
      <c r="EBP700" s="1349"/>
      <c r="EBQ700" s="1349"/>
      <c r="EBR700" s="1349"/>
      <c r="EBS700" s="1349"/>
      <c r="EBT700" s="1349"/>
      <c r="EBU700" s="1349"/>
      <c r="EBV700" s="1349"/>
      <c r="EBW700" s="1349"/>
      <c r="EBX700" s="1349"/>
      <c r="EBY700" s="1349"/>
      <c r="EBZ700" s="1349"/>
      <c r="ECA700" s="1349"/>
      <c r="ECB700" s="1349"/>
      <c r="ECC700" s="1349"/>
      <c r="ECD700" s="1349"/>
      <c r="ECE700" s="1349"/>
      <c r="ECF700" s="1349"/>
      <c r="ECG700" s="1349"/>
      <c r="ECH700" s="1349"/>
      <c r="ECI700" s="1349"/>
      <c r="ECJ700" s="1349"/>
      <c r="ECK700" s="1349"/>
      <c r="ECL700" s="1349"/>
      <c r="ECM700" s="1349"/>
      <c r="ECN700" s="1349"/>
      <c r="ECO700" s="1349"/>
      <c r="ECP700" s="1349"/>
      <c r="ECQ700" s="1349"/>
      <c r="ECR700" s="1349"/>
      <c r="ECS700" s="1349"/>
      <c r="ECT700" s="1349"/>
      <c r="ECU700" s="1349"/>
      <c r="ECV700" s="1349"/>
      <c r="ECW700" s="1349"/>
      <c r="ECX700" s="1349"/>
      <c r="ECY700" s="1349"/>
      <c r="ECZ700" s="1349"/>
      <c r="EDA700" s="1349"/>
      <c r="EDB700" s="1349"/>
      <c r="EDC700" s="1349"/>
      <c r="EDD700" s="1349"/>
      <c r="EDE700" s="1349"/>
      <c r="EDF700" s="1349"/>
      <c r="EDG700" s="1349"/>
      <c r="EDH700" s="1349"/>
      <c r="EDI700" s="1349"/>
      <c r="EDJ700" s="1349"/>
      <c r="EDK700" s="1349"/>
      <c r="EDL700" s="1349"/>
      <c r="EDM700" s="1349"/>
      <c r="EDN700" s="1349"/>
      <c r="EDO700" s="1349"/>
      <c r="EDP700" s="1349"/>
      <c r="EDQ700" s="1349"/>
      <c r="EDR700" s="1349"/>
      <c r="EDS700" s="1349"/>
      <c r="EDT700" s="1349"/>
      <c r="EDU700" s="1349"/>
      <c r="EDV700" s="1349"/>
      <c r="EDW700" s="1349"/>
      <c r="EDX700" s="1349"/>
      <c r="EDY700" s="1349"/>
      <c r="EDZ700" s="1349"/>
      <c r="EEA700" s="1349"/>
      <c r="EEB700" s="1349"/>
      <c r="EEC700" s="1349"/>
      <c r="EED700" s="1349"/>
      <c r="EEE700" s="1349"/>
      <c r="EEF700" s="1349"/>
      <c r="EEG700" s="1349"/>
      <c r="EEH700" s="1349"/>
      <c r="EEI700" s="1349"/>
      <c r="EEJ700" s="1349"/>
      <c r="EEK700" s="1349"/>
      <c r="EEL700" s="1349"/>
      <c r="EEM700" s="1349"/>
      <c r="EEN700" s="1349"/>
      <c r="EEO700" s="1349"/>
      <c r="EEP700" s="1349"/>
      <c r="EEQ700" s="1349"/>
      <c r="EER700" s="1349"/>
      <c r="EES700" s="1349"/>
      <c r="EET700" s="1349"/>
      <c r="EEU700" s="1349"/>
      <c r="EEV700" s="1349"/>
      <c r="EEW700" s="1349"/>
      <c r="EEX700" s="1349"/>
      <c r="EEY700" s="1349"/>
      <c r="EEZ700" s="1349"/>
      <c r="EFA700" s="1349"/>
      <c r="EFB700" s="1349"/>
      <c r="EFC700" s="1349"/>
      <c r="EFD700" s="1349"/>
      <c r="EFE700" s="1349"/>
      <c r="EFF700" s="1349"/>
      <c r="EFG700" s="1349"/>
      <c r="EFH700" s="1349"/>
      <c r="EFI700" s="1349"/>
      <c r="EFJ700" s="1349"/>
      <c r="EFK700" s="1349"/>
      <c r="EFL700" s="1349"/>
      <c r="EFM700" s="1349"/>
      <c r="EFN700" s="1349"/>
      <c r="EFO700" s="1349"/>
      <c r="EFP700" s="1349"/>
      <c r="EFQ700" s="1349"/>
      <c r="EFR700" s="1349"/>
      <c r="EFS700" s="1349"/>
      <c r="EFT700" s="1349"/>
      <c r="EFU700" s="1349"/>
      <c r="EFV700" s="1349"/>
      <c r="EFW700" s="1349"/>
      <c r="EFX700" s="1349"/>
      <c r="EFY700" s="1349"/>
      <c r="EFZ700" s="1349"/>
      <c r="EGA700" s="1349"/>
      <c r="EGB700" s="1349"/>
      <c r="EGC700" s="1349"/>
      <c r="EGD700" s="1349"/>
      <c r="EGE700" s="1349"/>
      <c r="EGF700" s="1349"/>
      <c r="EGG700" s="1349"/>
      <c r="EGH700" s="1349"/>
      <c r="EGI700" s="1349"/>
      <c r="EGJ700" s="1349"/>
      <c r="EGK700" s="1349"/>
      <c r="EGL700" s="1349"/>
      <c r="EGM700" s="1349"/>
      <c r="EGN700" s="1349"/>
      <c r="EGO700" s="1349"/>
      <c r="EGP700" s="1349"/>
      <c r="EGQ700" s="1349"/>
      <c r="EGR700" s="1349"/>
      <c r="EGS700" s="1349"/>
      <c r="EGT700" s="1349"/>
      <c r="EGU700" s="1349"/>
      <c r="EGV700" s="1349"/>
      <c r="EGW700" s="1349"/>
      <c r="EGX700" s="1349"/>
      <c r="EGY700" s="1349"/>
      <c r="EGZ700" s="1349"/>
      <c r="EHA700" s="1349"/>
      <c r="EHB700" s="1349"/>
      <c r="EHC700" s="1349"/>
      <c r="EHD700" s="1349"/>
      <c r="EHE700" s="1349"/>
      <c r="EHF700" s="1349"/>
      <c r="EHG700" s="1349"/>
      <c r="EHH700" s="1349"/>
      <c r="EHI700" s="1349"/>
      <c r="EHJ700" s="1349"/>
      <c r="EHK700" s="1349"/>
      <c r="EHL700" s="1349"/>
      <c r="EHM700" s="1349"/>
      <c r="EHN700" s="1349"/>
      <c r="EHO700" s="1349"/>
      <c r="EHP700" s="1349"/>
      <c r="EHQ700" s="1349"/>
      <c r="EHR700" s="1349"/>
      <c r="EHS700" s="1349"/>
      <c r="EHT700" s="1349"/>
      <c r="EHU700" s="1349"/>
      <c r="EHV700" s="1349"/>
      <c r="EHW700" s="1349"/>
      <c r="EHX700" s="1349"/>
      <c r="EHY700" s="1349"/>
      <c r="EHZ700" s="1349"/>
      <c r="EIA700" s="1349"/>
      <c r="EIB700" s="1349"/>
      <c r="EIC700" s="1349"/>
      <c r="EID700" s="1349"/>
      <c r="EIE700" s="1349"/>
      <c r="EIF700" s="1349"/>
      <c r="EIG700" s="1349"/>
      <c r="EIH700" s="1349"/>
      <c r="EII700" s="1349"/>
      <c r="EIJ700" s="1349"/>
      <c r="EIK700" s="1349"/>
      <c r="EIL700" s="1349"/>
      <c r="EIM700" s="1349"/>
      <c r="EIN700" s="1349"/>
      <c r="EIO700" s="1349"/>
      <c r="EIP700" s="1349"/>
      <c r="EIQ700" s="1349"/>
      <c r="EIR700" s="1349"/>
      <c r="EIS700" s="1349"/>
      <c r="EIT700" s="1349"/>
      <c r="EIU700" s="1349"/>
      <c r="EIV700" s="1349"/>
      <c r="EIW700" s="1349"/>
      <c r="EIX700" s="1349"/>
      <c r="EIY700" s="1349"/>
      <c r="EIZ700" s="1349"/>
      <c r="EJA700" s="1349"/>
      <c r="EJB700" s="1349"/>
      <c r="EJC700" s="1349"/>
      <c r="EJD700" s="1349"/>
      <c r="EJE700" s="1349"/>
      <c r="EJF700" s="1349"/>
      <c r="EJG700" s="1349"/>
      <c r="EJH700" s="1349"/>
      <c r="EJI700" s="1349"/>
      <c r="EJJ700" s="1349"/>
      <c r="EJK700" s="1349"/>
      <c r="EJL700" s="1349"/>
      <c r="EJM700" s="1349"/>
      <c r="EJN700" s="1349"/>
      <c r="EJO700" s="1349"/>
      <c r="EJP700" s="1349"/>
      <c r="EJQ700" s="1349"/>
      <c r="EJR700" s="1349"/>
      <c r="EJS700" s="1349"/>
      <c r="EJT700" s="1349"/>
      <c r="EJU700" s="1349"/>
      <c r="EJV700" s="1349"/>
      <c r="EJW700" s="1349"/>
      <c r="EJX700" s="1349"/>
      <c r="EJY700" s="1349"/>
      <c r="EJZ700" s="1349"/>
      <c r="EKA700" s="1349"/>
      <c r="EKB700" s="1349"/>
      <c r="EKC700" s="1349"/>
      <c r="EKD700" s="1349"/>
      <c r="EKE700" s="1349"/>
      <c r="EKF700" s="1349"/>
      <c r="EKG700" s="1349"/>
      <c r="EKH700" s="1349"/>
      <c r="EKI700" s="1349"/>
      <c r="EKJ700" s="1349"/>
      <c r="EKK700" s="1349"/>
      <c r="EKL700" s="1349"/>
      <c r="EKM700" s="1349"/>
      <c r="EKN700" s="1349"/>
      <c r="EKO700" s="1349"/>
      <c r="EKP700" s="1349"/>
      <c r="EKQ700" s="1349"/>
      <c r="EKR700" s="1349"/>
      <c r="EKS700" s="1349"/>
      <c r="EKT700" s="1349"/>
      <c r="EKU700" s="1349"/>
      <c r="EKV700" s="1349"/>
      <c r="EKW700" s="1349"/>
      <c r="EKX700" s="1349"/>
      <c r="EKY700" s="1349"/>
      <c r="EKZ700" s="1349"/>
      <c r="ELA700" s="1349"/>
      <c r="ELB700" s="1349"/>
      <c r="ELC700" s="1349"/>
      <c r="ELD700" s="1349"/>
      <c r="ELE700" s="1349"/>
      <c r="ELF700" s="1349"/>
      <c r="ELG700" s="1349"/>
      <c r="ELH700" s="1349"/>
      <c r="ELI700" s="1349"/>
      <c r="ELJ700" s="1349"/>
      <c r="ELK700" s="1349"/>
      <c r="ELL700" s="1349"/>
      <c r="ELM700" s="1349"/>
      <c r="ELN700" s="1349"/>
      <c r="ELO700" s="1349"/>
      <c r="ELP700" s="1349"/>
      <c r="ELQ700" s="1349"/>
      <c r="ELR700" s="1349"/>
      <c r="ELS700" s="1349"/>
      <c r="ELT700" s="1349"/>
      <c r="ELU700" s="1349"/>
      <c r="ELV700" s="1349"/>
      <c r="ELW700" s="1349"/>
      <c r="ELX700" s="1349"/>
      <c r="ELY700" s="1349"/>
      <c r="ELZ700" s="1349"/>
      <c r="EMA700" s="1349"/>
      <c r="EMB700" s="1349"/>
      <c r="EMC700" s="1349"/>
      <c r="EMD700" s="1349"/>
      <c r="EME700" s="1349"/>
      <c r="EMF700" s="1349"/>
      <c r="EMG700" s="1349"/>
      <c r="EMH700" s="1349"/>
      <c r="EMI700" s="1349"/>
      <c r="EMJ700" s="1349"/>
      <c r="EMK700" s="1349"/>
      <c r="EML700" s="1349"/>
      <c r="EMM700" s="1349"/>
      <c r="EMN700" s="1349"/>
      <c r="EMO700" s="1349"/>
      <c r="EMP700" s="1349"/>
      <c r="EMQ700" s="1349"/>
      <c r="EMR700" s="1349"/>
      <c r="EMS700" s="1349"/>
      <c r="EMT700" s="1349"/>
      <c r="EMU700" s="1349"/>
      <c r="EMV700" s="1349"/>
      <c r="EMW700" s="1349"/>
      <c r="EMX700" s="1349"/>
      <c r="EMY700" s="1349"/>
      <c r="EMZ700" s="1349"/>
      <c r="ENA700" s="1349"/>
      <c r="ENB700" s="1349"/>
      <c r="ENC700" s="1349"/>
      <c r="END700" s="1349"/>
      <c r="ENE700" s="1349"/>
      <c r="ENF700" s="1349"/>
      <c r="ENG700" s="1349"/>
      <c r="ENH700" s="1349"/>
      <c r="ENI700" s="1349"/>
      <c r="ENJ700" s="1349"/>
      <c r="ENK700" s="1349"/>
      <c r="ENL700" s="1349"/>
      <c r="ENM700" s="1349"/>
      <c r="ENN700" s="1349"/>
      <c r="ENO700" s="1349"/>
      <c r="ENP700" s="1349"/>
      <c r="ENQ700" s="1349"/>
      <c r="ENR700" s="1349"/>
      <c r="ENS700" s="1349"/>
      <c r="ENT700" s="1349"/>
      <c r="ENU700" s="1349"/>
      <c r="ENV700" s="1349"/>
      <c r="ENW700" s="1349"/>
      <c r="ENX700" s="1349"/>
      <c r="ENY700" s="1349"/>
      <c r="ENZ700" s="1349"/>
      <c r="EOA700" s="1349"/>
      <c r="EOB700" s="1349"/>
      <c r="EOC700" s="1349"/>
      <c r="EOD700" s="1349"/>
      <c r="EOE700" s="1349"/>
      <c r="EOF700" s="1349"/>
      <c r="EOG700" s="1349"/>
      <c r="EOH700" s="1349"/>
      <c r="EOI700" s="1349"/>
      <c r="EOJ700" s="1349"/>
      <c r="EOK700" s="1349"/>
      <c r="EOL700" s="1349"/>
      <c r="EOM700" s="1349"/>
      <c r="EON700" s="1349"/>
      <c r="EOO700" s="1349"/>
      <c r="EOP700" s="1349"/>
      <c r="EOQ700" s="1349"/>
      <c r="EOR700" s="1349"/>
      <c r="EOS700" s="1349"/>
      <c r="EOT700" s="1349"/>
      <c r="EOU700" s="1349"/>
      <c r="EOV700" s="1349"/>
      <c r="EOW700" s="1349"/>
      <c r="EOX700" s="1349"/>
      <c r="EOY700" s="1349"/>
      <c r="EOZ700" s="1349"/>
      <c r="EPA700" s="1349"/>
      <c r="EPB700" s="1349"/>
      <c r="EPC700" s="1349"/>
      <c r="EPD700" s="1349"/>
      <c r="EPE700" s="1349"/>
      <c r="EPF700" s="1349"/>
      <c r="EPG700" s="1349"/>
      <c r="EPH700" s="1349"/>
      <c r="EPI700" s="1349"/>
      <c r="EPJ700" s="1349"/>
      <c r="EPK700" s="1349"/>
      <c r="EPL700" s="1349"/>
      <c r="EPM700" s="1349"/>
      <c r="EPN700" s="1349"/>
      <c r="EPO700" s="1349"/>
      <c r="EPP700" s="1349"/>
      <c r="EPQ700" s="1349"/>
      <c r="EPR700" s="1349"/>
      <c r="EPS700" s="1349"/>
      <c r="EPT700" s="1349"/>
      <c r="EPU700" s="1349"/>
      <c r="EPV700" s="1349"/>
      <c r="EPW700" s="1349"/>
      <c r="EPX700" s="1349"/>
      <c r="EPY700" s="1349"/>
      <c r="EPZ700" s="1349"/>
      <c r="EQA700" s="1349"/>
      <c r="EQB700" s="1349"/>
      <c r="EQC700" s="1349"/>
      <c r="EQD700" s="1349"/>
      <c r="EQE700" s="1349"/>
      <c r="EQF700" s="1349"/>
      <c r="EQG700" s="1349"/>
      <c r="EQH700" s="1349"/>
      <c r="EQI700" s="1349"/>
      <c r="EQJ700" s="1349"/>
      <c r="EQK700" s="1349"/>
      <c r="EQL700" s="1349"/>
      <c r="EQM700" s="1349"/>
      <c r="EQN700" s="1349"/>
      <c r="EQO700" s="1349"/>
      <c r="EQP700" s="1349"/>
      <c r="EQQ700" s="1349"/>
      <c r="EQR700" s="1349"/>
      <c r="EQS700" s="1349"/>
      <c r="EQT700" s="1349"/>
      <c r="EQU700" s="1349"/>
      <c r="EQV700" s="1349"/>
      <c r="EQW700" s="1349"/>
      <c r="EQX700" s="1349"/>
      <c r="EQY700" s="1349"/>
      <c r="EQZ700" s="1349"/>
      <c r="ERA700" s="1349"/>
      <c r="ERB700" s="1349"/>
      <c r="ERC700" s="1349"/>
      <c r="ERD700" s="1349"/>
      <c r="ERE700" s="1349"/>
      <c r="ERF700" s="1349"/>
      <c r="ERG700" s="1349"/>
      <c r="ERH700" s="1349"/>
      <c r="ERI700" s="1349"/>
      <c r="ERJ700" s="1349"/>
      <c r="ERK700" s="1349"/>
      <c r="ERL700" s="1349"/>
      <c r="ERM700" s="1349"/>
      <c r="ERN700" s="1349"/>
      <c r="ERO700" s="1349"/>
      <c r="ERP700" s="1349"/>
      <c r="ERQ700" s="1349"/>
      <c r="ERR700" s="1349"/>
      <c r="ERS700" s="1349"/>
      <c r="ERT700" s="1349"/>
      <c r="ERU700" s="1349"/>
      <c r="ERV700" s="1349"/>
      <c r="ERW700" s="1349"/>
      <c r="ERX700" s="1349"/>
      <c r="ERY700" s="1349"/>
      <c r="ERZ700" s="1349"/>
      <c r="ESA700" s="1349"/>
      <c r="ESB700" s="1349"/>
      <c r="ESC700" s="1349"/>
      <c r="ESD700" s="1349"/>
      <c r="ESE700" s="1349"/>
      <c r="ESF700" s="1349"/>
      <c r="ESG700" s="1349"/>
      <c r="ESH700" s="1349"/>
      <c r="ESI700" s="1349"/>
      <c r="ESJ700" s="1349"/>
      <c r="ESK700" s="1349"/>
      <c r="ESL700" s="1349"/>
      <c r="ESM700" s="1349"/>
      <c r="ESN700" s="1349"/>
      <c r="ESO700" s="1349"/>
      <c r="ESP700" s="1349"/>
      <c r="ESQ700" s="1349"/>
      <c r="ESR700" s="1349"/>
      <c r="ESS700" s="1349"/>
      <c r="EST700" s="1349"/>
      <c r="ESU700" s="1349"/>
      <c r="ESV700" s="1349"/>
      <c r="ESW700" s="1349"/>
      <c r="ESX700" s="1349"/>
      <c r="ESY700" s="1349"/>
      <c r="ESZ700" s="1349"/>
      <c r="ETA700" s="1349"/>
      <c r="ETB700" s="1349"/>
      <c r="ETC700" s="1349"/>
      <c r="ETD700" s="1349"/>
      <c r="ETE700" s="1349"/>
      <c r="ETF700" s="1349"/>
      <c r="ETG700" s="1349"/>
      <c r="ETH700" s="1349"/>
      <c r="ETI700" s="1349"/>
      <c r="ETJ700" s="1349"/>
      <c r="ETK700" s="1349"/>
      <c r="ETL700" s="1349"/>
      <c r="ETM700" s="1349"/>
      <c r="ETN700" s="1349"/>
      <c r="ETO700" s="1349"/>
      <c r="ETP700" s="1349"/>
      <c r="ETQ700" s="1349"/>
      <c r="ETR700" s="1349"/>
      <c r="ETS700" s="1349"/>
      <c r="ETT700" s="1349"/>
      <c r="ETU700" s="1349"/>
      <c r="ETV700" s="1349"/>
      <c r="ETW700" s="1349"/>
      <c r="ETX700" s="1349"/>
      <c r="ETY700" s="1349"/>
      <c r="ETZ700" s="1349"/>
      <c r="EUA700" s="1349"/>
      <c r="EUB700" s="1349"/>
      <c r="EUC700" s="1349"/>
      <c r="EUD700" s="1349"/>
      <c r="EUE700" s="1349"/>
      <c r="EUF700" s="1349"/>
      <c r="EUG700" s="1349"/>
      <c r="EUH700" s="1349"/>
      <c r="EUI700" s="1349"/>
      <c r="EUJ700" s="1349"/>
      <c r="EUK700" s="1349"/>
      <c r="EUL700" s="1349"/>
      <c r="EUM700" s="1349"/>
      <c r="EUN700" s="1349"/>
      <c r="EUO700" s="1349"/>
      <c r="EUP700" s="1349"/>
      <c r="EUQ700" s="1349"/>
      <c r="EUR700" s="1349"/>
      <c r="EUS700" s="1349"/>
      <c r="EUT700" s="1349"/>
      <c r="EUU700" s="1349"/>
      <c r="EUV700" s="1349"/>
      <c r="EUW700" s="1349"/>
      <c r="EUX700" s="1349"/>
      <c r="EUY700" s="1349"/>
      <c r="EUZ700" s="1349"/>
      <c r="EVA700" s="1349"/>
      <c r="EVB700" s="1349"/>
      <c r="EVC700" s="1349"/>
      <c r="EVD700" s="1349"/>
      <c r="EVE700" s="1349"/>
      <c r="EVF700" s="1349"/>
      <c r="EVG700" s="1349"/>
      <c r="EVH700" s="1349"/>
      <c r="EVI700" s="1349"/>
      <c r="EVJ700" s="1349"/>
      <c r="EVK700" s="1349"/>
      <c r="EVL700" s="1349"/>
      <c r="EVM700" s="1349"/>
      <c r="EVN700" s="1349"/>
      <c r="EVO700" s="1349"/>
      <c r="EVP700" s="1349"/>
      <c r="EVQ700" s="1349"/>
      <c r="EVR700" s="1349"/>
      <c r="EVS700" s="1349"/>
      <c r="EVT700" s="1349"/>
      <c r="EVU700" s="1349"/>
      <c r="EVV700" s="1349"/>
      <c r="EVW700" s="1349"/>
      <c r="EVX700" s="1349"/>
      <c r="EVY700" s="1349"/>
      <c r="EVZ700" s="1349"/>
      <c r="EWA700" s="1349"/>
      <c r="EWB700" s="1349"/>
      <c r="EWC700" s="1349"/>
      <c r="EWD700" s="1349"/>
      <c r="EWE700" s="1349"/>
      <c r="EWF700" s="1349"/>
      <c r="EWG700" s="1349"/>
      <c r="EWH700" s="1349"/>
      <c r="EWI700" s="1349"/>
      <c r="EWJ700" s="1349"/>
      <c r="EWK700" s="1349"/>
      <c r="EWL700" s="1349"/>
      <c r="EWM700" s="1349"/>
      <c r="EWN700" s="1349"/>
      <c r="EWO700" s="1349"/>
      <c r="EWP700" s="1349"/>
      <c r="EWQ700" s="1349"/>
      <c r="EWR700" s="1349"/>
      <c r="EWS700" s="1349"/>
      <c r="EWT700" s="1349"/>
      <c r="EWU700" s="1349"/>
      <c r="EWV700" s="1349"/>
      <c r="EWW700" s="1349"/>
      <c r="EWX700" s="1349"/>
      <c r="EWY700" s="1349"/>
      <c r="EWZ700" s="1349"/>
      <c r="EXA700" s="1349"/>
      <c r="EXB700" s="1349"/>
      <c r="EXC700" s="1349"/>
      <c r="EXD700" s="1349"/>
      <c r="EXE700" s="1349"/>
      <c r="EXF700" s="1349"/>
      <c r="EXG700" s="1349"/>
      <c r="EXH700" s="1349"/>
      <c r="EXI700" s="1349"/>
      <c r="EXJ700" s="1349"/>
      <c r="EXK700" s="1349"/>
      <c r="EXL700" s="1349"/>
      <c r="EXM700" s="1349"/>
      <c r="EXN700" s="1349"/>
      <c r="EXO700" s="1349"/>
      <c r="EXP700" s="1349"/>
      <c r="EXQ700" s="1349"/>
      <c r="EXR700" s="1349"/>
      <c r="EXS700" s="1349"/>
      <c r="EXT700" s="1349"/>
      <c r="EXU700" s="1349"/>
      <c r="EXV700" s="1349"/>
      <c r="EXW700" s="1349"/>
      <c r="EXX700" s="1349"/>
      <c r="EXY700" s="1349"/>
      <c r="EXZ700" s="1349"/>
      <c r="EYA700" s="1349"/>
      <c r="EYB700" s="1349"/>
      <c r="EYC700" s="1349"/>
      <c r="EYD700" s="1349"/>
      <c r="EYE700" s="1349"/>
      <c r="EYF700" s="1349"/>
      <c r="EYG700" s="1349"/>
      <c r="EYH700" s="1349"/>
      <c r="EYI700" s="1349"/>
      <c r="EYJ700" s="1349"/>
      <c r="EYK700" s="1349"/>
      <c r="EYL700" s="1349"/>
      <c r="EYM700" s="1349"/>
      <c r="EYN700" s="1349"/>
      <c r="EYO700" s="1349"/>
      <c r="EYP700" s="1349"/>
      <c r="EYQ700" s="1349"/>
      <c r="EYR700" s="1349"/>
      <c r="EYS700" s="1349"/>
      <c r="EYT700" s="1349"/>
      <c r="EYU700" s="1349"/>
      <c r="EYV700" s="1349"/>
      <c r="EYW700" s="1349"/>
      <c r="EYX700" s="1349"/>
      <c r="EYY700" s="1349"/>
      <c r="EYZ700" s="1349"/>
      <c r="EZA700" s="1349"/>
      <c r="EZB700" s="1349"/>
      <c r="EZC700" s="1349"/>
      <c r="EZD700" s="1349"/>
      <c r="EZE700" s="1349"/>
      <c r="EZF700" s="1349"/>
      <c r="EZG700" s="1349"/>
      <c r="EZH700" s="1349"/>
      <c r="EZI700" s="1349"/>
      <c r="EZJ700" s="1349"/>
      <c r="EZK700" s="1349"/>
      <c r="EZL700" s="1349"/>
      <c r="EZM700" s="1349"/>
      <c r="EZN700" s="1349"/>
      <c r="EZO700" s="1349"/>
      <c r="EZP700" s="1349"/>
      <c r="EZQ700" s="1349"/>
      <c r="EZR700" s="1349"/>
      <c r="EZS700" s="1349"/>
      <c r="EZT700" s="1349"/>
      <c r="EZU700" s="1349"/>
      <c r="EZV700" s="1349"/>
      <c r="EZW700" s="1349"/>
      <c r="EZX700" s="1349"/>
      <c r="EZY700" s="1349"/>
      <c r="EZZ700" s="1349"/>
      <c r="FAA700" s="1349"/>
      <c r="FAB700" s="1349"/>
      <c r="FAC700" s="1349"/>
      <c r="FAD700" s="1349"/>
      <c r="FAE700" s="1349"/>
      <c r="FAF700" s="1349"/>
      <c r="FAG700" s="1349"/>
      <c r="FAH700" s="1349"/>
      <c r="FAI700" s="1349"/>
      <c r="FAJ700" s="1349"/>
      <c r="FAK700" s="1349"/>
      <c r="FAL700" s="1349"/>
      <c r="FAM700" s="1349"/>
      <c r="FAN700" s="1349"/>
      <c r="FAO700" s="1349"/>
      <c r="FAP700" s="1349"/>
      <c r="FAQ700" s="1349"/>
      <c r="FAR700" s="1349"/>
      <c r="FAS700" s="1349"/>
      <c r="FAT700" s="1349"/>
      <c r="FAU700" s="1349"/>
      <c r="FAV700" s="1349"/>
      <c r="FAW700" s="1349"/>
      <c r="FAX700" s="1349"/>
      <c r="FAY700" s="1349"/>
      <c r="FAZ700" s="1349"/>
      <c r="FBA700" s="1349"/>
      <c r="FBB700" s="1349"/>
      <c r="FBC700" s="1349"/>
      <c r="FBD700" s="1349"/>
      <c r="FBE700" s="1349"/>
      <c r="FBF700" s="1349"/>
      <c r="FBG700" s="1349"/>
      <c r="FBH700" s="1349"/>
      <c r="FBI700" s="1349"/>
      <c r="FBJ700" s="1349"/>
      <c r="FBK700" s="1349"/>
      <c r="FBL700" s="1349"/>
      <c r="FBM700" s="1349"/>
      <c r="FBN700" s="1349"/>
      <c r="FBO700" s="1349"/>
      <c r="FBP700" s="1349"/>
      <c r="FBQ700" s="1349"/>
      <c r="FBR700" s="1349"/>
      <c r="FBS700" s="1349"/>
      <c r="FBT700" s="1349"/>
      <c r="FBU700" s="1349"/>
      <c r="FBV700" s="1349"/>
      <c r="FBW700" s="1349"/>
      <c r="FBX700" s="1349"/>
      <c r="FBY700" s="1349"/>
      <c r="FBZ700" s="1349"/>
      <c r="FCA700" s="1349"/>
      <c r="FCB700" s="1349"/>
      <c r="FCC700" s="1349"/>
      <c r="FCD700" s="1349"/>
      <c r="FCE700" s="1349"/>
      <c r="FCF700" s="1349"/>
      <c r="FCG700" s="1349"/>
      <c r="FCH700" s="1349"/>
      <c r="FCI700" s="1349"/>
      <c r="FCJ700" s="1349"/>
      <c r="FCK700" s="1349"/>
      <c r="FCL700" s="1349"/>
      <c r="FCM700" s="1349"/>
      <c r="FCN700" s="1349"/>
      <c r="FCO700" s="1349"/>
      <c r="FCP700" s="1349"/>
      <c r="FCQ700" s="1349"/>
      <c r="FCR700" s="1349"/>
      <c r="FCS700" s="1349"/>
      <c r="FCT700" s="1349"/>
      <c r="FCU700" s="1349"/>
      <c r="FCV700" s="1349"/>
      <c r="FCW700" s="1349"/>
      <c r="FCX700" s="1349"/>
      <c r="FCY700" s="1349"/>
      <c r="FCZ700" s="1349"/>
      <c r="FDA700" s="1349"/>
      <c r="FDB700" s="1349"/>
      <c r="FDC700" s="1349"/>
      <c r="FDD700" s="1349"/>
      <c r="FDE700" s="1349"/>
      <c r="FDF700" s="1349"/>
      <c r="FDG700" s="1349"/>
      <c r="FDH700" s="1349"/>
      <c r="FDI700" s="1349"/>
      <c r="FDJ700" s="1349"/>
      <c r="FDK700" s="1349"/>
      <c r="FDL700" s="1349"/>
      <c r="FDM700" s="1349"/>
      <c r="FDN700" s="1349"/>
      <c r="FDO700" s="1349"/>
      <c r="FDP700" s="1349"/>
      <c r="FDQ700" s="1349"/>
      <c r="FDR700" s="1349"/>
      <c r="FDS700" s="1349"/>
      <c r="FDT700" s="1349"/>
      <c r="FDU700" s="1349"/>
      <c r="FDV700" s="1349"/>
      <c r="FDW700" s="1349"/>
      <c r="FDX700" s="1349"/>
      <c r="FDY700" s="1349"/>
      <c r="FDZ700" s="1349"/>
      <c r="FEA700" s="1349"/>
      <c r="FEB700" s="1349"/>
      <c r="FEC700" s="1349"/>
      <c r="FED700" s="1349"/>
      <c r="FEE700" s="1349"/>
      <c r="FEF700" s="1349"/>
      <c r="FEG700" s="1349"/>
      <c r="FEH700" s="1349"/>
      <c r="FEI700" s="1349"/>
      <c r="FEJ700" s="1349"/>
      <c r="FEK700" s="1349"/>
      <c r="FEL700" s="1349"/>
      <c r="FEM700" s="1349"/>
      <c r="FEN700" s="1349"/>
      <c r="FEO700" s="1349"/>
      <c r="FEP700" s="1349"/>
      <c r="FEQ700" s="1349"/>
      <c r="FER700" s="1349"/>
      <c r="FES700" s="1349"/>
      <c r="FET700" s="1349"/>
      <c r="FEU700" s="1349"/>
      <c r="FEV700" s="1349"/>
      <c r="FEW700" s="1349"/>
      <c r="FEX700" s="1349"/>
      <c r="FEY700" s="1349"/>
      <c r="FEZ700" s="1349"/>
      <c r="FFA700" s="1349"/>
      <c r="FFB700" s="1349"/>
      <c r="FFC700" s="1349"/>
      <c r="FFD700" s="1349"/>
      <c r="FFE700" s="1349"/>
      <c r="FFF700" s="1349"/>
      <c r="FFG700" s="1349"/>
      <c r="FFH700" s="1349"/>
      <c r="FFI700" s="1349"/>
      <c r="FFJ700" s="1349"/>
      <c r="FFK700" s="1349"/>
      <c r="FFL700" s="1349"/>
      <c r="FFM700" s="1349"/>
      <c r="FFN700" s="1349"/>
      <c r="FFO700" s="1349"/>
      <c r="FFP700" s="1349"/>
      <c r="FFQ700" s="1349"/>
      <c r="FFR700" s="1349"/>
      <c r="FFS700" s="1349"/>
      <c r="FFT700" s="1349"/>
      <c r="FFU700" s="1349"/>
      <c r="FFV700" s="1349"/>
      <c r="FFW700" s="1349"/>
      <c r="FFX700" s="1349"/>
      <c r="FFY700" s="1349"/>
      <c r="FFZ700" s="1349"/>
      <c r="FGA700" s="1349"/>
      <c r="FGB700" s="1349"/>
      <c r="FGC700" s="1349"/>
      <c r="FGD700" s="1349"/>
      <c r="FGE700" s="1349"/>
      <c r="FGF700" s="1349"/>
      <c r="FGG700" s="1349"/>
      <c r="FGH700" s="1349"/>
      <c r="FGI700" s="1349"/>
      <c r="FGJ700" s="1349"/>
      <c r="FGK700" s="1349"/>
      <c r="FGL700" s="1349"/>
      <c r="FGM700" s="1349"/>
      <c r="FGN700" s="1349"/>
      <c r="FGO700" s="1349"/>
      <c r="FGP700" s="1349"/>
      <c r="FGQ700" s="1349"/>
      <c r="FGR700" s="1349"/>
      <c r="FGS700" s="1349"/>
      <c r="FGT700" s="1349"/>
      <c r="FGU700" s="1349"/>
      <c r="FGV700" s="1349"/>
      <c r="FGW700" s="1349"/>
      <c r="FGX700" s="1349"/>
      <c r="FGY700" s="1349"/>
      <c r="FGZ700" s="1349"/>
      <c r="FHA700" s="1349"/>
      <c r="FHB700" s="1349"/>
      <c r="FHC700" s="1349"/>
      <c r="FHD700" s="1349"/>
      <c r="FHE700" s="1349"/>
      <c r="FHF700" s="1349"/>
      <c r="FHG700" s="1349"/>
      <c r="FHH700" s="1349"/>
      <c r="FHI700" s="1349"/>
      <c r="FHJ700" s="1349"/>
      <c r="FHK700" s="1349"/>
      <c r="FHL700" s="1349"/>
      <c r="FHM700" s="1349"/>
      <c r="FHN700" s="1349"/>
      <c r="FHO700" s="1349"/>
      <c r="FHP700" s="1349"/>
      <c r="FHQ700" s="1349"/>
      <c r="FHR700" s="1349"/>
      <c r="FHS700" s="1349"/>
      <c r="FHT700" s="1349"/>
      <c r="FHU700" s="1349"/>
      <c r="FHV700" s="1349"/>
      <c r="FHW700" s="1349"/>
      <c r="FHX700" s="1349"/>
      <c r="FHY700" s="1349"/>
      <c r="FHZ700" s="1349"/>
      <c r="FIA700" s="1349"/>
      <c r="FIB700" s="1349"/>
      <c r="FIC700" s="1349"/>
      <c r="FID700" s="1349"/>
      <c r="FIE700" s="1349"/>
      <c r="FIF700" s="1349"/>
      <c r="FIG700" s="1349"/>
      <c r="FIH700" s="1349"/>
      <c r="FII700" s="1349"/>
      <c r="FIJ700" s="1349"/>
      <c r="FIK700" s="1349"/>
      <c r="FIL700" s="1349"/>
      <c r="FIM700" s="1349"/>
      <c r="FIN700" s="1349"/>
      <c r="FIO700" s="1349"/>
      <c r="FIP700" s="1349"/>
      <c r="FIQ700" s="1349"/>
      <c r="FIR700" s="1349"/>
      <c r="FIS700" s="1349"/>
      <c r="FIT700" s="1349"/>
      <c r="FIU700" s="1349"/>
      <c r="FIV700" s="1349"/>
      <c r="FIW700" s="1349"/>
      <c r="FIX700" s="1349"/>
      <c r="FIY700" s="1349"/>
      <c r="FIZ700" s="1349"/>
      <c r="FJA700" s="1349"/>
      <c r="FJB700" s="1349"/>
      <c r="FJC700" s="1349"/>
      <c r="FJD700" s="1349"/>
      <c r="FJE700" s="1349"/>
      <c r="FJF700" s="1349"/>
      <c r="FJG700" s="1349"/>
      <c r="FJH700" s="1349"/>
      <c r="FJI700" s="1349"/>
      <c r="FJJ700" s="1349"/>
      <c r="FJK700" s="1349"/>
      <c r="FJL700" s="1349"/>
      <c r="FJM700" s="1349"/>
      <c r="FJN700" s="1349"/>
      <c r="FJO700" s="1349"/>
      <c r="FJP700" s="1349"/>
      <c r="FJQ700" s="1349"/>
      <c r="FJR700" s="1349"/>
      <c r="FJS700" s="1349"/>
      <c r="FJT700" s="1349"/>
      <c r="FJU700" s="1349"/>
      <c r="FJV700" s="1349"/>
      <c r="FJW700" s="1349"/>
      <c r="FJX700" s="1349"/>
      <c r="FJY700" s="1349"/>
      <c r="FJZ700" s="1349"/>
      <c r="FKA700" s="1349"/>
      <c r="FKB700" s="1349"/>
      <c r="FKC700" s="1349"/>
      <c r="FKD700" s="1349"/>
      <c r="FKE700" s="1349"/>
      <c r="FKF700" s="1349"/>
      <c r="FKG700" s="1349"/>
      <c r="FKH700" s="1349"/>
      <c r="FKI700" s="1349"/>
      <c r="FKJ700" s="1349"/>
      <c r="FKK700" s="1349"/>
      <c r="FKL700" s="1349"/>
      <c r="FKM700" s="1349"/>
      <c r="FKN700" s="1349"/>
      <c r="FKO700" s="1349"/>
      <c r="FKP700" s="1349"/>
      <c r="FKQ700" s="1349"/>
      <c r="FKR700" s="1349"/>
      <c r="FKS700" s="1349"/>
      <c r="FKT700" s="1349"/>
      <c r="FKU700" s="1349"/>
      <c r="FKV700" s="1349"/>
      <c r="FKW700" s="1349"/>
      <c r="FKX700" s="1349"/>
      <c r="FKY700" s="1349"/>
      <c r="FKZ700" s="1349"/>
      <c r="FLA700" s="1349"/>
      <c r="FLB700" s="1349"/>
      <c r="FLC700" s="1349"/>
      <c r="FLD700" s="1349"/>
      <c r="FLE700" s="1349"/>
      <c r="FLF700" s="1349"/>
      <c r="FLG700" s="1349"/>
      <c r="FLH700" s="1349"/>
      <c r="FLI700" s="1349"/>
      <c r="FLJ700" s="1349"/>
      <c r="FLK700" s="1349"/>
      <c r="FLL700" s="1349"/>
      <c r="FLM700" s="1349"/>
      <c r="FLN700" s="1349"/>
      <c r="FLO700" s="1349"/>
      <c r="FLP700" s="1349"/>
      <c r="FLQ700" s="1349"/>
      <c r="FLR700" s="1349"/>
      <c r="FLS700" s="1349"/>
      <c r="FLT700" s="1349"/>
      <c r="FLU700" s="1349"/>
      <c r="FLV700" s="1349"/>
      <c r="FLW700" s="1349"/>
      <c r="FLX700" s="1349"/>
      <c r="FLY700" s="1349"/>
      <c r="FLZ700" s="1349"/>
      <c r="FMA700" s="1349"/>
      <c r="FMB700" s="1349"/>
      <c r="FMC700" s="1349"/>
      <c r="FMD700" s="1349"/>
      <c r="FME700" s="1349"/>
      <c r="FMF700" s="1349"/>
      <c r="FMG700" s="1349"/>
      <c r="FMH700" s="1349"/>
      <c r="FMI700" s="1349"/>
      <c r="FMJ700" s="1349"/>
      <c r="FMK700" s="1349"/>
      <c r="FML700" s="1349"/>
      <c r="FMM700" s="1349"/>
      <c r="FMN700" s="1349"/>
      <c r="FMO700" s="1349"/>
      <c r="FMP700" s="1349"/>
      <c r="FMQ700" s="1349"/>
      <c r="FMR700" s="1349"/>
      <c r="FMS700" s="1349"/>
      <c r="FMT700" s="1349"/>
      <c r="FMU700" s="1349"/>
      <c r="FMV700" s="1349"/>
      <c r="FMW700" s="1349"/>
      <c r="FMX700" s="1349"/>
      <c r="FMY700" s="1349"/>
      <c r="FMZ700" s="1349"/>
      <c r="FNA700" s="1349"/>
      <c r="FNB700" s="1349"/>
      <c r="FNC700" s="1349"/>
      <c r="FND700" s="1349"/>
      <c r="FNE700" s="1349"/>
      <c r="FNF700" s="1349"/>
      <c r="FNG700" s="1349"/>
      <c r="FNH700" s="1349"/>
      <c r="FNI700" s="1349"/>
      <c r="FNJ700" s="1349"/>
      <c r="FNK700" s="1349"/>
      <c r="FNL700" s="1349"/>
      <c r="FNM700" s="1349"/>
      <c r="FNN700" s="1349"/>
      <c r="FNO700" s="1349"/>
      <c r="FNP700" s="1349"/>
      <c r="FNQ700" s="1349"/>
      <c r="FNR700" s="1349"/>
      <c r="FNS700" s="1349"/>
      <c r="FNT700" s="1349"/>
      <c r="FNU700" s="1349"/>
      <c r="FNV700" s="1349"/>
      <c r="FNW700" s="1349"/>
      <c r="FNX700" s="1349"/>
      <c r="FNY700" s="1349"/>
      <c r="FNZ700" s="1349"/>
      <c r="FOA700" s="1349"/>
      <c r="FOB700" s="1349"/>
      <c r="FOC700" s="1349"/>
      <c r="FOD700" s="1349"/>
      <c r="FOE700" s="1349"/>
      <c r="FOF700" s="1349"/>
      <c r="FOG700" s="1349"/>
      <c r="FOH700" s="1349"/>
      <c r="FOI700" s="1349"/>
      <c r="FOJ700" s="1349"/>
      <c r="FOK700" s="1349"/>
      <c r="FOL700" s="1349"/>
      <c r="FOM700" s="1349"/>
      <c r="FON700" s="1349"/>
      <c r="FOO700" s="1349"/>
      <c r="FOP700" s="1349"/>
      <c r="FOQ700" s="1349"/>
      <c r="FOR700" s="1349"/>
      <c r="FOS700" s="1349"/>
      <c r="FOT700" s="1349"/>
      <c r="FOU700" s="1349"/>
      <c r="FOV700" s="1349"/>
      <c r="FOW700" s="1349"/>
      <c r="FOX700" s="1349"/>
      <c r="FOY700" s="1349"/>
      <c r="FOZ700" s="1349"/>
      <c r="FPA700" s="1349"/>
      <c r="FPB700" s="1349"/>
      <c r="FPC700" s="1349"/>
      <c r="FPD700" s="1349"/>
      <c r="FPE700" s="1349"/>
      <c r="FPF700" s="1349"/>
      <c r="FPG700" s="1349"/>
      <c r="FPH700" s="1349"/>
      <c r="FPI700" s="1349"/>
      <c r="FPJ700" s="1349"/>
      <c r="FPK700" s="1349"/>
      <c r="FPL700" s="1349"/>
      <c r="FPM700" s="1349"/>
      <c r="FPN700" s="1349"/>
      <c r="FPO700" s="1349"/>
      <c r="FPP700" s="1349"/>
      <c r="FPQ700" s="1349"/>
      <c r="FPR700" s="1349"/>
      <c r="FPS700" s="1349"/>
      <c r="FPT700" s="1349"/>
      <c r="FPU700" s="1349"/>
      <c r="FPV700" s="1349"/>
      <c r="FPW700" s="1349"/>
      <c r="FPX700" s="1349"/>
      <c r="FPY700" s="1349"/>
      <c r="FPZ700" s="1349"/>
      <c r="FQA700" s="1349"/>
      <c r="FQB700" s="1349"/>
      <c r="FQC700" s="1349"/>
      <c r="FQD700" s="1349"/>
      <c r="FQE700" s="1349"/>
      <c r="FQF700" s="1349"/>
      <c r="FQG700" s="1349"/>
      <c r="FQH700" s="1349"/>
      <c r="FQI700" s="1349"/>
      <c r="FQJ700" s="1349"/>
      <c r="FQK700" s="1349"/>
      <c r="FQL700" s="1349"/>
      <c r="FQM700" s="1349"/>
      <c r="FQN700" s="1349"/>
      <c r="FQO700" s="1349"/>
      <c r="FQP700" s="1349"/>
      <c r="FQQ700" s="1349"/>
      <c r="FQR700" s="1349"/>
      <c r="FQS700" s="1349"/>
      <c r="FQT700" s="1349"/>
      <c r="FQU700" s="1349"/>
      <c r="FQV700" s="1349"/>
      <c r="FQW700" s="1349"/>
      <c r="FQX700" s="1349"/>
      <c r="FQY700" s="1349"/>
      <c r="FQZ700" s="1349"/>
      <c r="FRA700" s="1349"/>
      <c r="FRB700" s="1349"/>
      <c r="FRC700" s="1349"/>
      <c r="FRD700" s="1349"/>
      <c r="FRE700" s="1349"/>
      <c r="FRF700" s="1349"/>
      <c r="FRG700" s="1349"/>
      <c r="FRH700" s="1349"/>
      <c r="FRI700" s="1349"/>
      <c r="FRJ700" s="1349"/>
      <c r="FRK700" s="1349"/>
      <c r="FRL700" s="1349"/>
      <c r="FRM700" s="1349"/>
      <c r="FRN700" s="1349"/>
      <c r="FRO700" s="1349"/>
      <c r="FRP700" s="1349"/>
      <c r="FRQ700" s="1349"/>
      <c r="FRR700" s="1349"/>
      <c r="FRS700" s="1349"/>
      <c r="FRT700" s="1349"/>
      <c r="FRU700" s="1349"/>
      <c r="FRV700" s="1349"/>
      <c r="FRW700" s="1349"/>
      <c r="FRX700" s="1349"/>
      <c r="FRY700" s="1349"/>
      <c r="FRZ700" s="1349"/>
      <c r="FSA700" s="1349"/>
      <c r="FSB700" s="1349"/>
      <c r="FSC700" s="1349"/>
      <c r="FSD700" s="1349"/>
      <c r="FSE700" s="1349"/>
      <c r="FSF700" s="1349"/>
      <c r="FSG700" s="1349"/>
      <c r="FSH700" s="1349"/>
      <c r="FSI700" s="1349"/>
      <c r="FSJ700" s="1349"/>
      <c r="FSK700" s="1349"/>
      <c r="FSL700" s="1349"/>
      <c r="FSM700" s="1349"/>
      <c r="FSN700" s="1349"/>
      <c r="FSO700" s="1349"/>
      <c r="FSP700" s="1349"/>
      <c r="FSQ700" s="1349"/>
      <c r="FSR700" s="1349"/>
      <c r="FSS700" s="1349"/>
      <c r="FST700" s="1349"/>
      <c r="FSU700" s="1349"/>
      <c r="FSV700" s="1349"/>
      <c r="FSW700" s="1349"/>
      <c r="FSX700" s="1349"/>
      <c r="FSY700" s="1349"/>
      <c r="FSZ700" s="1349"/>
      <c r="FTA700" s="1349"/>
      <c r="FTB700" s="1349"/>
      <c r="FTC700" s="1349"/>
      <c r="FTD700" s="1349"/>
      <c r="FTE700" s="1349"/>
      <c r="FTF700" s="1349"/>
      <c r="FTG700" s="1349"/>
      <c r="FTH700" s="1349"/>
      <c r="FTI700" s="1349"/>
      <c r="FTJ700" s="1349"/>
      <c r="FTK700" s="1349"/>
      <c r="FTL700" s="1349"/>
      <c r="FTM700" s="1349"/>
      <c r="FTN700" s="1349"/>
      <c r="FTO700" s="1349"/>
      <c r="FTP700" s="1349"/>
      <c r="FTQ700" s="1349"/>
      <c r="FTR700" s="1349"/>
      <c r="FTS700" s="1349"/>
      <c r="FTT700" s="1349"/>
      <c r="FTU700" s="1349"/>
      <c r="FTV700" s="1349"/>
      <c r="FTW700" s="1349"/>
      <c r="FTX700" s="1349"/>
      <c r="FTY700" s="1349"/>
      <c r="FTZ700" s="1349"/>
      <c r="FUA700" s="1349"/>
      <c r="FUB700" s="1349"/>
      <c r="FUC700" s="1349"/>
      <c r="FUD700" s="1349"/>
      <c r="FUE700" s="1349"/>
      <c r="FUF700" s="1349"/>
      <c r="FUG700" s="1349"/>
      <c r="FUH700" s="1349"/>
      <c r="FUI700" s="1349"/>
      <c r="FUJ700" s="1349"/>
      <c r="FUK700" s="1349"/>
      <c r="FUL700" s="1349"/>
      <c r="FUM700" s="1349"/>
      <c r="FUN700" s="1349"/>
      <c r="FUO700" s="1349"/>
      <c r="FUP700" s="1349"/>
      <c r="FUQ700" s="1349"/>
      <c r="FUR700" s="1349"/>
      <c r="FUS700" s="1349"/>
      <c r="FUT700" s="1349"/>
      <c r="FUU700" s="1349"/>
      <c r="FUV700" s="1349"/>
      <c r="FUW700" s="1349"/>
      <c r="FUX700" s="1349"/>
      <c r="FUY700" s="1349"/>
      <c r="FUZ700" s="1349"/>
      <c r="FVA700" s="1349"/>
      <c r="FVB700" s="1349"/>
      <c r="FVC700" s="1349"/>
      <c r="FVD700" s="1349"/>
      <c r="FVE700" s="1349"/>
      <c r="FVF700" s="1349"/>
      <c r="FVG700" s="1349"/>
      <c r="FVH700" s="1349"/>
      <c r="FVI700" s="1349"/>
      <c r="FVJ700" s="1349"/>
      <c r="FVK700" s="1349"/>
      <c r="FVL700" s="1349"/>
      <c r="FVM700" s="1349"/>
      <c r="FVN700" s="1349"/>
      <c r="FVO700" s="1349"/>
      <c r="FVP700" s="1349"/>
      <c r="FVQ700" s="1349"/>
      <c r="FVR700" s="1349"/>
      <c r="FVS700" s="1349"/>
      <c r="FVT700" s="1349"/>
      <c r="FVU700" s="1349"/>
      <c r="FVV700" s="1349"/>
      <c r="FVW700" s="1349"/>
      <c r="FVX700" s="1349"/>
      <c r="FVY700" s="1349"/>
      <c r="FVZ700" s="1349"/>
      <c r="FWA700" s="1349"/>
      <c r="FWB700" s="1349"/>
      <c r="FWC700" s="1349"/>
      <c r="FWD700" s="1349"/>
      <c r="FWE700" s="1349"/>
      <c r="FWF700" s="1349"/>
      <c r="FWG700" s="1349"/>
      <c r="FWH700" s="1349"/>
      <c r="FWI700" s="1349"/>
      <c r="FWJ700" s="1349"/>
      <c r="FWK700" s="1349"/>
      <c r="FWL700" s="1349"/>
      <c r="FWM700" s="1349"/>
      <c r="FWN700" s="1349"/>
      <c r="FWO700" s="1349"/>
      <c r="FWP700" s="1349"/>
      <c r="FWQ700" s="1349"/>
      <c r="FWR700" s="1349"/>
      <c r="FWS700" s="1349"/>
      <c r="FWT700" s="1349"/>
      <c r="FWU700" s="1349"/>
      <c r="FWV700" s="1349"/>
      <c r="FWW700" s="1349"/>
      <c r="FWX700" s="1349"/>
      <c r="FWY700" s="1349"/>
      <c r="FWZ700" s="1349"/>
      <c r="FXA700" s="1349"/>
      <c r="FXB700" s="1349"/>
      <c r="FXC700" s="1349"/>
      <c r="FXD700" s="1349"/>
      <c r="FXE700" s="1349"/>
      <c r="FXF700" s="1349"/>
      <c r="FXG700" s="1349"/>
      <c r="FXH700" s="1349"/>
      <c r="FXI700" s="1349"/>
      <c r="FXJ700" s="1349"/>
      <c r="FXK700" s="1349"/>
      <c r="FXL700" s="1349"/>
      <c r="FXM700" s="1349"/>
      <c r="FXN700" s="1349"/>
      <c r="FXO700" s="1349"/>
      <c r="FXP700" s="1349"/>
      <c r="FXQ700" s="1349"/>
      <c r="FXR700" s="1349"/>
      <c r="FXS700" s="1349"/>
      <c r="FXT700" s="1349"/>
      <c r="FXU700" s="1349"/>
      <c r="FXV700" s="1349"/>
      <c r="FXW700" s="1349"/>
      <c r="FXX700" s="1349"/>
      <c r="FXY700" s="1349"/>
      <c r="FXZ700" s="1349"/>
      <c r="FYA700" s="1349"/>
      <c r="FYB700" s="1349"/>
      <c r="FYC700" s="1349"/>
      <c r="FYD700" s="1349"/>
      <c r="FYE700" s="1349"/>
      <c r="FYF700" s="1349"/>
      <c r="FYG700" s="1349"/>
      <c r="FYH700" s="1349"/>
      <c r="FYI700" s="1349"/>
      <c r="FYJ700" s="1349"/>
      <c r="FYK700" s="1349"/>
      <c r="FYL700" s="1349"/>
      <c r="FYM700" s="1349"/>
      <c r="FYN700" s="1349"/>
      <c r="FYO700" s="1349"/>
      <c r="FYP700" s="1349"/>
      <c r="FYQ700" s="1349"/>
      <c r="FYR700" s="1349"/>
      <c r="FYS700" s="1349"/>
      <c r="FYT700" s="1349"/>
      <c r="FYU700" s="1349"/>
      <c r="FYV700" s="1349"/>
      <c r="FYW700" s="1349"/>
      <c r="FYX700" s="1349"/>
      <c r="FYY700" s="1349"/>
      <c r="FYZ700" s="1349"/>
      <c r="FZA700" s="1349"/>
      <c r="FZB700" s="1349"/>
      <c r="FZC700" s="1349"/>
      <c r="FZD700" s="1349"/>
      <c r="FZE700" s="1349"/>
      <c r="FZF700" s="1349"/>
      <c r="FZG700" s="1349"/>
      <c r="FZH700" s="1349"/>
      <c r="FZI700" s="1349"/>
      <c r="FZJ700" s="1349"/>
      <c r="FZK700" s="1349"/>
      <c r="FZL700" s="1349"/>
      <c r="FZM700" s="1349"/>
      <c r="FZN700" s="1349"/>
      <c r="FZO700" s="1349"/>
      <c r="FZP700" s="1349"/>
      <c r="FZQ700" s="1349"/>
      <c r="FZR700" s="1349"/>
      <c r="FZS700" s="1349"/>
      <c r="FZT700" s="1349"/>
      <c r="FZU700" s="1349"/>
      <c r="FZV700" s="1349"/>
      <c r="FZW700" s="1349"/>
      <c r="FZX700" s="1349"/>
      <c r="FZY700" s="1349"/>
      <c r="FZZ700" s="1349"/>
      <c r="GAA700" s="1349"/>
      <c r="GAB700" s="1349"/>
      <c r="GAC700" s="1349"/>
      <c r="GAD700" s="1349"/>
      <c r="GAE700" s="1349"/>
      <c r="GAF700" s="1349"/>
      <c r="GAG700" s="1349"/>
      <c r="GAH700" s="1349"/>
      <c r="GAI700" s="1349"/>
      <c r="GAJ700" s="1349"/>
      <c r="GAK700" s="1349"/>
      <c r="GAL700" s="1349"/>
      <c r="GAM700" s="1349"/>
      <c r="GAN700" s="1349"/>
      <c r="GAO700" s="1349"/>
      <c r="GAP700" s="1349"/>
      <c r="GAQ700" s="1349"/>
      <c r="GAR700" s="1349"/>
      <c r="GAS700" s="1349"/>
      <c r="GAT700" s="1349"/>
      <c r="GAU700" s="1349"/>
      <c r="GAV700" s="1349"/>
      <c r="GAW700" s="1349"/>
      <c r="GAX700" s="1349"/>
      <c r="GAY700" s="1349"/>
      <c r="GAZ700" s="1349"/>
      <c r="GBA700" s="1349"/>
      <c r="GBB700" s="1349"/>
      <c r="GBC700" s="1349"/>
      <c r="GBD700" s="1349"/>
      <c r="GBE700" s="1349"/>
      <c r="GBF700" s="1349"/>
      <c r="GBG700" s="1349"/>
      <c r="GBH700" s="1349"/>
      <c r="GBI700" s="1349"/>
      <c r="GBJ700" s="1349"/>
      <c r="GBK700" s="1349"/>
      <c r="GBL700" s="1349"/>
      <c r="GBM700" s="1349"/>
      <c r="GBN700" s="1349"/>
      <c r="GBO700" s="1349"/>
      <c r="GBP700" s="1349"/>
      <c r="GBQ700" s="1349"/>
      <c r="GBR700" s="1349"/>
      <c r="GBS700" s="1349"/>
      <c r="GBT700" s="1349"/>
      <c r="GBU700" s="1349"/>
      <c r="GBV700" s="1349"/>
      <c r="GBW700" s="1349"/>
      <c r="GBX700" s="1349"/>
      <c r="GBY700" s="1349"/>
      <c r="GBZ700" s="1349"/>
      <c r="GCA700" s="1349"/>
      <c r="GCB700" s="1349"/>
      <c r="GCC700" s="1349"/>
      <c r="GCD700" s="1349"/>
      <c r="GCE700" s="1349"/>
      <c r="GCF700" s="1349"/>
      <c r="GCG700" s="1349"/>
      <c r="GCH700" s="1349"/>
      <c r="GCI700" s="1349"/>
      <c r="GCJ700" s="1349"/>
      <c r="GCK700" s="1349"/>
      <c r="GCL700" s="1349"/>
      <c r="GCM700" s="1349"/>
      <c r="GCN700" s="1349"/>
      <c r="GCO700" s="1349"/>
      <c r="GCP700" s="1349"/>
      <c r="GCQ700" s="1349"/>
      <c r="GCR700" s="1349"/>
      <c r="GCS700" s="1349"/>
      <c r="GCT700" s="1349"/>
      <c r="GCU700" s="1349"/>
      <c r="GCV700" s="1349"/>
      <c r="GCW700" s="1349"/>
      <c r="GCX700" s="1349"/>
      <c r="GCY700" s="1349"/>
      <c r="GCZ700" s="1349"/>
      <c r="GDA700" s="1349"/>
      <c r="GDB700" s="1349"/>
      <c r="GDC700" s="1349"/>
      <c r="GDD700" s="1349"/>
      <c r="GDE700" s="1349"/>
      <c r="GDF700" s="1349"/>
      <c r="GDG700" s="1349"/>
      <c r="GDH700" s="1349"/>
      <c r="GDI700" s="1349"/>
      <c r="GDJ700" s="1349"/>
      <c r="GDK700" s="1349"/>
      <c r="GDL700" s="1349"/>
      <c r="GDM700" s="1349"/>
      <c r="GDN700" s="1349"/>
      <c r="GDO700" s="1349"/>
      <c r="GDP700" s="1349"/>
      <c r="GDQ700" s="1349"/>
      <c r="GDR700" s="1349"/>
      <c r="GDS700" s="1349"/>
      <c r="GDT700" s="1349"/>
      <c r="GDU700" s="1349"/>
      <c r="GDV700" s="1349"/>
      <c r="GDW700" s="1349"/>
      <c r="GDX700" s="1349"/>
      <c r="GDY700" s="1349"/>
      <c r="GDZ700" s="1349"/>
      <c r="GEA700" s="1349"/>
      <c r="GEB700" s="1349"/>
      <c r="GEC700" s="1349"/>
      <c r="GED700" s="1349"/>
      <c r="GEE700" s="1349"/>
      <c r="GEF700" s="1349"/>
      <c r="GEG700" s="1349"/>
      <c r="GEH700" s="1349"/>
      <c r="GEI700" s="1349"/>
      <c r="GEJ700" s="1349"/>
      <c r="GEK700" s="1349"/>
      <c r="GEL700" s="1349"/>
      <c r="GEM700" s="1349"/>
      <c r="GEN700" s="1349"/>
      <c r="GEO700" s="1349"/>
      <c r="GEP700" s="1349"/>
      <c r="GEQ700" s="1349"/>
      <c r="GER700" s="1349"/>
      <c r="GES700" s="1349"/>
      <c r="GET700" s="1349"/>
      <c r="GEU700" s="1349"/>
      <c r="GEV700" s="1349"/>
      <c r="GEW700" s="1349"/>
      <c r="GEX700" s="1349"/>
      <c r="GEY700" s="1349"/>
      <c r="GEZ700" s="1349"/>
      <c r="GFA700" s="1349"/>
      <c r="GFB700" s="1349"/>
      <c r="GFC700" s="1349"/>
      <c r="GFD700" s="1349"/>
      <c r="GFE700" s="1349"/>
      <c r="GFF700" s="1349"/>
      <c r="GFG700" s="1349"/>
      <c r="GFH700" s="1349"/>
      <c r="GFI700" s="1349"/>
      <c r="GFJ700" s="1349"/>
      <c r="GFK700" s="1349"/>
      <c r="GFL700" s="1349"/>
      <c r="GFM700" s="1349"/>
      <c r="GFN700" s="1349"/>
      <c r="GFO700" s="1349"/>
      <c r="GFP700" s="1349"/>
      <c r="GFQ700" s="1349"/>
      <c r="GFR700" s="1349"/>
      <c r="GFS700" s="1349"/>
      <c r="GFT700" s="1349"/>
      <c r="GFU700" s="1349"/>
      <c r="GFV700" s="1349"/>
      <c r="GFW700" s="1349"/>
      <c r="GFX700" s="1349"/>
      <c r="GFY700" s="1349"/>
      <c r="GFZ700" s="1349"/>
      <c r="GGA700" s="1349"/>
      <c r="GGB700" s="1349"/>
      <c r="GGC700" s="1349"/>
      <c r="GGD700" s="1349"/>
      <c r="GGE700" s="1349"/>
      <c r="GGF700" s="1349"/>
      <c r="GGG700" s="1349"/>
      <c r="GGH700" s="1349"/>
      <c r="GGI700" s="1349"/>
      <c r="GGJ700" s="1349"/>
      <c r="GGK700" s="1349"/>
      <c r="GGL700" s="1349"/>
      <c r="GGM700" s="1349"/>
      <c r="GGN700" s="1349"/>
      <c r="GGO700" s="1349"/>
      <c r="GGP700" s="1349"/>
      <c r="GGQ700" s="1349"/>
      <c r="GGR700" s="1349"/>
      <c r="GGS700" s="1349"/>
      <c r="GGT700" s="1349"/>
      <c r="GGU700" s="1349"/>
      <c r="GGV700" s="1349"/>
      <c r="GGW700" s="1349"/>
      <c r="GGX700" s="1349"/>
      <c r="GGY700" s="1349"/>
      <c r="GGZ700" s="1349"/>
      <c r="GHA700" s="1349"/>
      <c r="GHB700" s="1349"/>
      <c r="GHC700" s="1349"/>
      <c r="GHD700" s="1349"/>
      <c r="GHE700" s="1349"/>
      <c r="GHF700" s="1349"/>
      <c r="GHG700" s="1349"/>
      <c r="GHH700" s="1349"/>
      <c r="GHI700" s="1349"/>
      <c r="GHJ700" s="1349"/>
      <c r="GHK700" s="1349"/>
      <c r="GHL700" s="1349"/>
      <c r="GHM700" s="1349"/>
      <c r="GHN700" s="1349"/>
      <c r="GHO700" s="1349"/>
      <c r="GHP700" s="1349"/>
      <c r="GHQ700" s="1349"/>
      <c r="GHR700" s="1349"/>
      <c r="GHS700" s="1349"/>
      <c r="GHT700" s="1349"/>
      <c r="GHU700" s="1349"/>
      <c r="GHV700" s="1349"/>
      <c r="GHW700" s="1349"/>
      <c r="GHX700" s="1349"/>
      <c r="GHY700" s="1349"/>
      <c r="GHZ700" s="1349"/>
      <c r="GIA700" s="1349"/>
      <c r="GIB700" s="1349"/>
      <c r="GIC700" s="1349"/>
      <c r="GID700" s="1349"/>
      <c r="GIE700" s="1349"/>
      <c r="GIF700" s="1349"/>
      <c r="GIG700" s="1349"/>
      <c r="GIH700" s="1349"/>
      <c r="GII700" s="1349"/>
      <c r="GIJ700" s="1349"/>
      <c r="GIK700" s="1349"/>
      <c r="GIL700" s="1349"/>
      <c r="GIM700" s="1349"/>
      <c r="GIN700" s="1349"/>
      <c r="GIO700" s="1349"/>
      <c r="GIP700" s="1349"/>
      <c r="GIQ700" s="1349"/>
      <c r="GIR700" s="1349"/>
      <c r="GIS700" s="1349"/>
      <c r="GIT700" s="1349"/>
      <c r="GIU700" s="1349"/>
      <c r="GIV700" s="1349"/>
      <c r="GIW700" s="1349"/>
      <c r="GIX700" s="1349"/>
      <c r="GIY700" s="1349"/>
      <c r="GIZ700" s="1349"/>
      <c r="GJA700" s="1349"/>
      <c r="GJB700" s="1349"/>
      <c r="GJC700" s="1349"/>
      <c r="GJD700" s="1349"/>
      <c r="GJE700" s="1349"/>
      <c r="GJF700" s="1349"/>
      <c r="GJG700" s="1349"/>
      <c r="GJH700" s="1349"/>
      <c r="GJI700" s="1349"/>
      <c r="GJJ700" s="1349"/>
      <c r="GJK700" s="1349"/>
      <c r="GJL700" s="1349"/>
      <c r="GJM700" s="1349"/>
      <c r="GJN700" s="1349"/>
      <c r="GJO700" s="1349"/>
      <c r="GJP700" s="1349"/>
      <c r="GJQ700" s="1349"/>
      <c r="GJR700" s="1349"/>
      <c r="GJS700" s="1349"/>
      <c r="GJT700" s="1349"/>
      <c r="GJU700" s="1349"/>
      <c r="GJV700" s="1349"/>
      <c r="GJW700" s="1349"/>
      <c r="GJX700" s="1349"/>
      <c r="GJY700" s="1349"/>
      <c r="GJZ700" s="1349"/>
      <c r="GKA700" s="1349"/>
      <c r="GKB700" s="1349"/>
      <c r="GKC700" s="1349"/>
      <c r="GKD700" s="1349"/>
      <c r="GKE700" s="1349"/>
      <c r="GKF700" s="1349"/>
      <c r="GKG700" s="1349"/>
      <c r="GKH700" s="1349"/>
      <c r="GKI700" s="1349"/>
      <c r="GKJ700" s="1349"/>
      <c r="GKK700" s="1349"/>
      <c r="GKL700" s="1349"/>
      <c r="GKM700" s="1349"/>
      <c r="GKN700" s="1349"/>
      <c r="GKO700" s="1349"/>
      <c r="GKP700" s="1349"/>
      <c r="GKQ700" s="1349"/>
      <c r="GKR700" s="1349"/>
      <c r="GKS700" s="1349"/>
      <c r="GKT700" s="1349"/>
      <c r="GKU700" s="1349"/>
      <c r="GKV700" s="1349"/>
      <c r="GKW700" s="1349"/>
      <c r="GKX700" s="1349"/>
      <c r="GKY700" s="1349"/>
      <c r="GKZ700" s="1349"/>
      <c r="GLA700" s="1349"/>
      <c r="GLB700" s="1349"/>
      <c r="GLC700" s="1349"/>
      <c r="GLD700" s="1349"/>
      <c r="GLE700" s="1349"/>
      <c r="GLF700" s="1349"/>
      <c r="GLG700" s="1349"/>
      <c r="GLH700" s="1349"/>
      <c r="GLI700" s="1349"/>
      <c r="GLJ700" s="1349"/>
      <c r="GLK700" s="1349"/>
      <c r="GLL700" s="1349"/>
      <c r="GLM700" s="1349"/>
      <c r="GLN700" s="1349"/>
      <c r="GLO700" s="1349"/>
      <c r="GLP700" s="1349"/>
      <c r="GLQ700" s="1349"/>
      <c r="GLR700" s="1349"/>
      <c r="GLS700" s="1349"/>
      <c r="GLT700" s="1349"/>
      <c r="GLU700" s="1349"/>
      <c r="GLV700" s="1349"/>
      <c r="GLW700" s="1349"/>
      <c r="GLX700" s="1349"/>
      <c r="GLY700" s="1349"/>
      <c r="GLZ700" s="1349"/>
      <c r="GMA700" s="1349"/>
      <c r="GMB700" s="1349"/>
      <c r="GMC700" s="1349"/>
      <c r="GMD700" s="1349"/>
      <c r="GME700" s="1349"/>
      <c r="GMF700" s="1349"/>
      <c r="GMG700" s="1349"/>
      <c r="GMH700" s="1349"/>
      <c r="GMI700" s="1349"/>
      <c r="GMJ700" s="1349"/>
      <c r="GMK700" s="1349"/>
      <c r="GML700" s="1349"/>
      <c r="GMM700" s="1349"/>
      <c r="GMN700" s="1349"/>
      <c r="GMO700" s="1349"/>
      <c r="GMP700" s="1349"/>
      <c r="GMQ700" s="1349"/>
      <c r="GMR700" s="1349"/>
      <c r="GMS700" s="1349"/>
      <c r="GMT700" s="1349"/>
      <c r="GMU700" s="1349"/>
      <c r="GMV700" s="1349"/>
      <c r="GMW700" s="1349"/>
      <c r="GMX700" s="1349"/>
      <c r="GMY700" s="1349"/>
      <c r="GMZ700" s="1349"/>
      <c r="GNA700" s="1349"/>
      <c r="GNB700" s="1349"/>
      <c r="GNC700" s="1349"/>
      <c r="GND700" s="1349"/>
      <c r="GNE700" s="1349"/>
      <c r="GNF700" s="1349"/>
      <c r="GNG700" s="1349"/>
      <c r="GNH700" s="1349"/>
      <c r="GNI700" s="1349"/>
      <c r="GNJ700" s="1349"/>
      <c r="GNK700" s="1349"/>
      <c r="GNL700" s="1349"/>
      <c r="GNM700" s="1349"/>
      <c r="GNN700" s="1349"/>
      <c r="GNO700" s="1349"/>
      <c r="GNP700" s="1349"/>
      <c r="GNQ700" s="1349"/>
      <c r="GNR700" s="1349"/>
      <c r="GNS700" s="1349"/>
      <c r="GNT700" s="1349"/>
      <c r="GNU700" s="1349"/>
      <c r="GNV700" s="1349"/>
      <c r="GNW700" s="1349"/>
      <c r="GNX700" s="1349"/>
      <c r="GNY700" s="1349"/>
      <c r="GNZ700" s="1349"/>
      <c r="GOA700" s="1349"/>
      <c r="GOB700" s="1349"/>
      <c r="GOC700" s="1349"/>
      <c r="GOD700" s="1349"/>
      <c r="GOE700" s="1349"/>
      <c r="GOF700" s="1349"/>
      <c r="GOG700" s="1349"/>
      <c r="GOH700" s="1349"/>
      <c r="GOI700" s="1349"/>
      <c r="GOJ700" s="1349"/>
      <c r="GOK700" s="1349"/>
      <c r="GOL700" s="1349"/>
      <c r="GOM700" s="1349"/>
      <c r="GON700" s="1349"/>
      <c r="GOO700" s="1349"/>
      <c r="GOP700" s="1349"/>
      <c r="GOQ700" s="1349"/>
      <c r="GOR700" s="1349"/>
      <c r="GOS700" s="1349"/>
      <c r="GOT700" s="1349"/>
      <c r="GOU700" s="1349"/>
      <c r="GOV700" s="1349"/>
      <c r="GOW700" s="1349"/>
      <c r="GOX700" s="1349"/>
      <c r="GOY700" s="1349"/>
      <c r="GOZ700" s="1349"/>
      <c r="GPA700" s="1349"/>
      <c r="GPB700" s="1349"/>
      <c r="GPC700" s="1349"/>
      <c r="GPD700" s="1349"/>
      <c r="GPE700" s="1349"/>
      <c r="GPF700" s="1349"/>
      <c r="GPG700" s="1349"/>
      <c r="GPH700" s="1349"/>
      <c r="GPI700" s="1349"/>
      <c r="GPJ700" s="1349"/>
      <c r="GPK700" s="1349"/>
      <c r="GPL700" s="1349"/>
      <c r="GPM700" s="1349"/>
      <c r="GPN700" s="1349"/>
      <c r="GPO700" s="1349"/>
      <c r="GPP700" s="1349"/>
      <c r="GPQ700" s="1349"/>
      <c r="GPR700" s="1349"/>
      <c r="GPS700" s="1349"/>
      <c r="GPT700" s="1349"/>
      <c r="GPU700" s="1349"/>
      <c r="GPV700" s="1349"/>
      <c r="GPW700" s="1349"/>
      <c r="GPX700" s="1349"/>
      <c r="GPY700" s="1349"/>
      <c r="GPZ700" s="1349"/>
      <c r="GQA700" s="1349"/>
      <c r="GQB700" s="1349"/>
      <c r="GQC700" s="1349"/>
      <c r="GQD700" s="1349"/>
      <c r="GQE700" s="1349"/>
      <c r="GQF700" s="1349"/>
      <c r="GQG700" s="1349"/>
      <c r="GQH700" s="1349"/>
      <c r="GQI700" s="1349"/>
      <c r="GQJ700" s="1349"/>
      <c r="GQK700" s="1349"/>
      <c r="GQL700" s="1349"/>
      <c r="GQM700" s="1349"/>
      <c r="GQN700" s="1349"/>
      <c r="GQO700" s="1349"/>
      <c r="GQP700" s="1349"/>
      <c r="GQQ700" s="1349"/>
      <c r="GQR700" s="1349"/>
      <c r="GQS700" s="1349"/>
      <c r="GQT700" s="1349"/>
      <c r="GQU700" s="1349"/>
      <c r="GQV700" s="1349"/>
      <c r="GQW700" s="1349"/>
      <c r="GQX700" s="1349"/>
      <c r="GQY700" s="1349"/>
      <c r="GQZ700" s="1349"/>
      <c r="GRA700" s="1349"/>
      <c r="GRB700" s="1349"/>
      <c r="GRC700" s="1349"/>
      <c r="GRD700" s="1349"/>
      <c r="GRE700" s="1349"/>
      <c r="GRF700" s="1349"/>
      <c r="GRG700" s="1349"/>
      <c r="GRH700" s="1349"/>
      <c r="GRI700" s="1349"/>
      <c r="GRJ700" s="1349"/>
      <c r="GRK700" s="1349"/>
      <c r="GRL700" s="1349"/>
      <c r="GRM700" s="1349"/>
      <c r="GRN700" s="1349"/>
      <c r="GRO700" s="1349"/>
      <c r="GRP700" s="1349"/>
      <c r="GRQ700" s="1349"/>
      <c r="GRR700" s="1349"/>
      <c r="GRS700" s="1349"/>
      <c r="GRT700" s="1349"/>
      <c r="GRU700" s="1349"/>
      <c r="GRV700" s="1349"/>
      <c r="GRW700" s="1349"/>
      <c r="GRX700" s="1349"/>
      <c r="GRY700" s="1349"/>
      <c r="GRZ700" s="1349"/>
      <c r="GSA700" s="1349"/>
      <c r="GSB700" s="1349"/>
      <c r="GSC700" s="1349"/>
      <c r="GSD700" s="1349"/>
      <c r="GSE700" s="1349"/>
      <c r="GSF700" s="1349"/>
      <c r="GSG700" s="1349"/>
      <c r="GSH700" s="1349"/>
      <c r="GSI700" s="1349"/>
      <c r="GSJ700" s="1349"/>
      <c r="GSK700" s="1349"/>
      <c r="GSL700" s="1349"/>
      <c r="GSM700" s="1349"/>
      <c r="GSN700" s="1349"/>
      <c r="GSO700" s="1349"/>
      <c r="GSP700" s="1349"/>
      <c r="GSQ700" s="1349"/>
      <c r="GSR700" s="1349"/>
      <c r="GSS700" s="1349"/>
      <c r="GST700" s="1349"/>
      <c r="GSU700" s="1349"/>
      <c r="GSV700" s="1349"/>
      <c r="GSW700" s="1349"/>
      <c r="GSX700" s="1349"/>
      <c r="GSY700" s="1349"/>
      <c r="GSZ700" s="1349"/>
      <c r="GTA700" s="1349"/>
      <c r="GTB700" s="1349"/>
      <c r="GTC700" s="1349"/>
      <c r="GTD700" s="1349"/>
      <c r="GTE700" s="1349"/>
      <c r="GTF700" s="1349"/>
      <c r="GTG700" s="1349"/>
      <c r="GTH700" s="1349"/>
      <c r="GTI700" s="1349"/>
      <c r="GTJ700" s="1349"/>
      <c r="GTK700" s="1349"/>
      <c r="GTL700" s="1349"/>
      <c r="GTM700" s="1349"/>
      <c r="GTN700" s="1349"/>
      <c r="GTO700" s="1349"/>
      <c r="GTP700" s="1349"/>
      <c r="GTQ700" s="1349"/>
      <c r="GTR700" s="1349"/>
      <c r="GTS700" s="1349"/>
      <c r="GTT700" s="1349"/>
      <c r="GTU700" s="1349"/>
      <c r="GTV700" s="1349"/>
      <c r="GTW700" s="1349"/>
      <c r="GTX700" s="1349"/>
      <c r="GTY700" s="1349"/>
      <c r="GTZ700" s="1349"/>
      <c r="GUA700" s="1349"/>
      <c r="GUB700" s="1349"/>
      <c r="GUC700" s="1349"/>
      <c r="GUD700" s="1349"/>
      <c r="GUE700" s="1349"/>
      <c r="GUF700" s="1349"/>
      <c r="GUG700" s="1349"/>
      <c r="GUH700" s="1349"/>
      <c r="GUI700" s="1349"/>
      <c r="GUJ700" s="1349"/>
      <c r="GUK700" s="1349"/>
      <c r="GUL700" s="1349"/>
      <c r="GUM700" s="1349"/>
      <c r="GUN700" s="1349"/>
      <c r="GUO700" s="1349"/>
      <c r="GUP700" s="1349"/>
      <c r="GUQ700" s="1349"/>
      <c r="GUR700" s="1349"/>
      <c r="GUS700" s="1349"/>
      <c r="GUT700" s="1349"/>
      <c r="GUU700" s="1349"/>
      <c r="GUV700" s="1349"/>
      <c r="GUW700" s="1349"/>
      <c r="GUX700" s="1349"/>
      <c r="GUY700" s="1349"/>
      <c r="GUZ700" s="1349"/>
      <c r="GVA700" s="1349"/>
      <c r="GVB700" s="1349"/>
      <c r="GVC700" s="1349"/>
      <c r="GVD700" s="1349"/>
      <c r="GVE700" s="1349"/>
      <c r="GVF700" s="1349"/>
      <c r="GVG700" s="1349"/>
      <c r="GVH700" s="1349"/>
      <c r="GVI700" s="1349"/>
      <c r="GVJ700" s="1349"/>
      <c r="GVK700" s="1349"/>
      <c r="GVL700" s="1349"/>
      <c r="GVM700" s="1349"/>
      <c r="GVN700" s="1349"/>
      <c r="GVO700" s="1349"/>
      <c r="GVP700" s="1349"/>
      <c r="GVQ700" s="1349"/>
      <c r="GVR700" s="1349"/>
      <c r="GVS700" s="1349"/>
      <c r="GVT700" s="1349"/>
      <c r="GVU700" s="1349"/>
      <c r="GVV700" s="1349"/>
      <c r="GVW700" s="1349"/>
      <c r="GVX700" s="1349"/>
      <c r="GVY700" s="1349"/>
      <c r="GVZ700" s="1349"/>
      <c r="GWA700" s="1349"/>
      <c r="GWB700" s="1349"/>
      <c r="GWC700" s="1349"/>
      <c r="GWD700" s="1349"/>
      <c r="GWE700" s="1349"/>
      <c r="GWF700" s="1349"/>
      <c r="GWG700" s="1349"/>
      <c r="GWH700" s="1349"/>
      <c r="GWI700" s="1349"/>
      <c r="GWJ700" s="1349"/>
      <c r="GWK700" s="1349"/>
      <c r="GWL700" s="1349"/>
      <c r="GWM700" s="1349"/>
      <c r="GWN700" s="1349"/>
      <c r="GWO700" s="1349"/>
      <c r="GWP700" s="1349"/>
      <c r="GWQ700" s="1349"/>
      <c r="GWR700" s="1349"/>
      <c r="GWS700" s="1349"/>
      <c r="GWT700" s="1349"/>
      <c r="GWU700" s="1349"/>
      <c r="GWV700" s="1349"/>
      <c r="GWW700" s="1349"/>
      <c r="GWX700" s="1349"/>
      <c r="GWY700" s="1349"/>
      <c r="GWZ700" s="1349"/>
      <c r="GXA700" s="1349"/>
      <c r="GXB700" s="1349"/>
      <c r="GXC700" s="1349"/>
      <c r="GXD700" s="1349"/>
      <c r="GXE700" s="1349"/>
      <c r="GXF700" s="1349"/>
      <c r="GXG700" s="1349"/>
      <c r="GXH700" s="1349"/>
      <c r="GXI700" s="1349"/>
      <c r="GXJ700" s="1349"/>
      <c r="GXK700" s="1349"/>
      <c r="GXL700" s="1349"/>
      <c r="GXM700" s="1349"/>
      <c r="GXN700" s="1349"/>
      <c r="GXO700" s="1349"/>
      <c r="GXP700" s="1349"/>
      <c r="GXQ700" s="1349"/>
      <c r="GXR700" s="1349"/>
      <c r="GXS700" s="1349"/>
      <c r="GXT700" s="1349"/>
      <c r="GXU700" s="1349"/>
      <c r="GXV700" s="1349"/>
      <c r="GXW700" s="1349"/>
      <c r="GXX700" s="1349"/>
      <c r="GXY700" s="1349"/>
      <c r="GXZ700" s="1349"/>
      <c r="GYA700" s="1349"/>
      <c r="GYB700" s="1349"/>
      <c r="GYC700" s="1349"/>
      <c r="GYD700" s="1349"/>
      <c r="GYE700" s="1349"/>
      <c r="GYF700" s="1349"/>
      <c r="GYG700" s="1349"/>
      <c r="GYH700" s="1349"/>
      <c r="GYI700" s="1349"/>
      <c r="GYJ700" s="1349"/>
      <c r="GYK700" s="1349"/>
      <c r="GYL700" s="1349"/>
      <c r="GYM700" s="1349"/>
      <c r="GYN700" s="1349"/>
      <c r="GYO700" s="1349"/>
      <c r="GYP700" s="1349"/>
      <c r="GYQ700" s="1349"/>
      <c r="GYR700" s="1349"/>
      <c r="GYS700" s="1349"/>
      <c r="GYT700" s="1349"/>
      <c r="GYU700" s="1349"/>
      <c r="GYV700" s="1349"/>
      <c r="GYW700" s="1349"/>
      <c r="GYX700" s="1349"/>
      <c r="GYY700" s="1349"/>
      <c r="GYZ700" s="1349"/>
      <c r="GZA700" s="1349"/>
      <c r="GZB700" s="1349"/>
      <c r="GZC700" s="1349"/>
      <c r="GZD700" s="1349"/>
      <c r="GZE700" s="1349"/>
      <c r="GZF700" s="1349"/>
      <c r="GZG700" s="1349"/>
      <c r="GZH700" s="1349"/>
      <c r="GZI700" s="1349"/>
      <c r="GZJ700" s="1349"/>
      <c r="GZK700" s="1349"/>
      <c r="GZL700" s="1349"/>
      <c r="GZM700" s="1349"/>
      <c r="GZN700" s="1349"/>
      <c r="GZO700" s="1349"/>
      <c r="GZP700" s="1349"/>
      <c r="GZQ700" s="1349"/>
      <c r="GZR700" s="1349"/>
      <c r="GZS700" s="1349"/>
      <c r="GZT700" s="1349"/>
      <c r="GZU700" s="1349"/>
      <c r="GZV700" s="1349"/>
      <c r="GZW700" s="1349"/>
      <c r="GZX700" s="1349"/>
      <c r="GZY700" s="1349"/>
      <c r="GZZ700" s="1349"/>
      <c r="HAA700" s="1349"/>
      <c r="HAB700" s="1349"/>
      <c r="HAC700" s="1349"/>
      <c r="HAD700" s="1349"/>
      <c r="HAE700" s="1349"/>
      <c r="HAF700" s="1349"/>
      <c r="HAG700" s="1349"/>
      <c r="HAH700" s="1349"/>
      <c r="HAI700" s="1349"/>
      <c r="HAJ700" s="1349"/>
      <c r="HAK700" s="1349"/>
      <c r="HAL700" s="1349"/>
      <c r="HAM700" s="1349"/>
      <c r="HAN700" s="1349"/>
      <c r="HAO700" s="1349"/>
      <c r="HAP700" s="1349"/>
      <c r="HAQ700" s="1349"/>
      <c r="HAR700" s="1349"/>
      <c r="HAS700" s="1349"/>
      <c r="HAT700" s="1349"/>
      <c r="HAU700" s="1349"/>
      <c r="HAV700" s="1349"/>
      <c r="HAW700" s="1349"/>
      <c r="HAX700" s="1349"/>
      <c r="HAY700" s="1349"/>
      <c r="HAZ700" s="1349"/>
      <c r="HBA700" s="1349"/>
      <c r="HBB700" s="1349"/>
      <c r="HBC700" s="1349"/>
      <c r="HBD700" s="1349"/>
      <c r="HBE700" s="1349"/>
      <c r="HBF700" s="1349"/>
      <c r="HBG700" s="1349"/>
      <c r="HBH700" s="1349"/>
      <c r="HBI700" s="1349"/>
      <c r="HBJ700" s="1349"/>
      <c r="HBK700" s="1349"/>
      <c r="HBL700" s="1349"/>
      <c r="HBM700" s="1349"/>
      <c r="HBN700" s="1349"/>
      <c r="HBO700" s="1349"/>
      <c r="HBP700" s="1349"/>
      <c r="HBQ700" s="1349"/>
      <c r="HBR700" s="1349"/>
      <c r="HBS700" s="1349"/>
      <c r="HBT700" s="1349"/>
      <c r="HBU700" s="1349"/>
      <c r="HBV700" s="1349"/>
      <c r="HBW700" s="1349"/>
      <c r="HBX700" s="1349"/>
      <c r="HBY700" s="1349"/>
      <c r="HBZ700" s="1349"/>
      <c r="HCA700" s="1349"/>
      <c r="HCB700" s="1349"/>
      <c r="HCC700" s="1349"/>
      <c r="HCD700" s="1349"/>
      <c r="HCE700" s="1349"/>
      <c r="HCF700" s="1349"/>
      <c r="HCG700" s="1349"/>
      <c r="HCH700" s="1349"/>
      <c r="HCI700" s="1349"/>
      <c r="HCJ700" s="1349"/>
      <c r="HCK700" s="1349"/>
      <c r="HCL700" s="1349"/>
      <c r="HCM700" s="1349"/>
      <c r="HCN700" s="1349"/>
      <c r="HCO700" s="1349"/>
      <c r="HCP700" s="1349"/>
      <c r="HCQ700" s="1349"/>
      <c r="HCR700" s="1349"/>
      <c r="HCS700" s="1349"/>
      <c r="HCT700" s="1349"/>
      <c r="HCU700" s="1349"/>
      <c r="HCV700" s="1349"/>
      <c r="HCW700" s="1349"/>
      <c r="HCX700" s="1349"/>
      <c r="HCY700" s="1349"/>
      <c r="HCZ700" s="1349"/>
      <c r="HDA700" s="1349"/>
      <c r="HDB700" s="1349"/>
      <c r="HDC700" s="1349"/>
      <c r="HDD700" s="1349"/>
      <c r="HDE700" s="1349"/>
      <c r="HDF700" s="1349"/>
      <c r="HDG700" s="1349"/>
      <c r="HDH700" s="1349"/>
      <c r="HDI700" s="1349"/>
      <c r="HDJ700" s="1349"/>
      <c r="HDK700" s="1349"/>
      <c r="HDL700" s="1349"/>
      <c r="HDM700" s="1349"/>
      <c r="HDN700" s="1349"/>
      <c r="HDO700" s="1349"/>
      <c r="HDP700" s="1349"/>
      <c r="HDQ700" s="1349"/>
      <c r="HDR700" s="1349"/>
      <c r="HDS700" s="1349"/>
      <c r="HDT700" s="1349"/>
      <c r="HDU700" s="1349"/>
      <c r="HDV700" s="1349"/>
      <c r="HDW700" s="1349"/>
      <c r="HDX700" s="1349"/>
      <c r="HDY700" s="1349"/>
      <c r="HDZ700" s="1349"/>
      <c r="HEA700" s="1349"/>
      <c r="HEB700" s="1349"/>
      <c r="HEC700" s="1349"/>
      <c r="HED700" s="1349"/>
      <c r="HEE700" s="1349"/>
      <c r="HEF700" s="1349"/>
      <c r="HEG700" s="1349"/>
      <c r="HEH700" s="1349"/>
      <c r="HEI700" s="1349"/>
      <c r="HEJ700" s="1349"/>
      <c r="HEK700" s="1349"/>
      <c r="HEL700" s="1349"/>
      <c r="HEM700" s="1349"/>
      <c r="HEN700" s="1349"/>
      <c r="HEO700" s="1349"/>
      <c r="HEP700" s="1349"/>
      <c r="HEQ700" s="1349"/>
      <c r="HER700" s="1349"/>
      <c r="HES700" s="1349"/>
      <c r="HET700" s="1349"/>
      <c r="HEU700" s="1349"/>
      <c r="HEV700" s="1349"/>
      <c r="HEW700" s="1349"/>
      <c r="HEX700" s="1349"/>
      <c r="HEY700" s="1349"/>
      <c r="HEZ700" s="1349"/>
      <c r="HFA700" s="1349"/>
      <c r="HFB700" s="1349"/>
      <c r="HFC700" s="1349"/>
      <c r="HFD700" s="1349"/>
      <c r="HFE700" s="1349"/>
      <c r="HFF700" s="1349"/>
      <c r="HFG700" s="1349"/>
      <c r="HFH700" s="1349"/>
      <c r="HFI700" s="1349"/>
      <c r="HFJ700" s="1349"/>
      <c r="HFK700" s="1349"/>
      <c r="HFL700" s="1349"/>
      <c r="HFM700" s="1349"/>
      <c r="HFN700" s="1349"/>
      <c r="HFO700" s="1349"/>
      <c r="HFP700" s="1349"/>
      <c r="HFQ700" s="1349"/>
      <c r="HFR700" s="1349"/>
      <c r="HFS700" s="1349"/>
      <c r="HFT700" s="1349"/>
      <c r="HFU700" s="1349"/>
      <c r="HFV700" s="1349"/>
      <c r="HFW700" s="1349"/>
      <c r="HFX700" s="1349"/>
      <c r="HFY700" s="1349"/>
      <c r="HFZ700" s="1349"/>
      <c r="HGA700" s="1349"/>
      <c r="HGB700" s="1349"/>
      <c r="HGC700" s="1349"/>
      <c r="HGD700" s="1349"/>
      <c r="HGE700" s="1349"/>
      <c r="HGF700" s="1349"/>
      <c r="HGG700" s="1349"/>
      <c r="HGH700" s="1349"/>
      <c r="HGI700" s="1349"/>
      <c r="HGJ700" s="1349"/>
      <c r="HGK700" s="1349"/>
      <c r="HGL700" s="1349"/>
      <c r="HGM700" s="1349"/>
      <c r="HGN700" s="1349"/>
      <c r="HGO700" s="1349"/>
      <c r="HGP700" s="1349"/>
      <c r="HGQ700" s="1349"/>
      <c r="HGR700" s="1349"/>
      <c r="HGS700" s="1349"/>
      <c r="HGT700" s="1349"/>
      <c r="HGU700" s="1349"/>
      <c r="HGV700" s="1349"/>
      <c r="HGW700" s="1349"/>
      <c r="HGX700" s="1349"/>
      <c r="HGY700" s="1349"/>
      <c r="HGZ700" s="1349"/>
      <c r="HHA700" s="1349"/>
      <c r="HHB700" s="1349"/>
      <c r="HHC700" s="1349"/>
      <c r="HHD700" s="1349"/>
      <c r="HHE700" s="1349"/>
      <c r="HHF700" s="1349"/>
      <c r="HHG700" s="1349"/>
      <c r="HHH700" s="1349"/>
      <c r="HHI700" s="1349"/>
      <c r="HHJ700" s="1349"/>
      <c r="HHK700" s="1349"/>
      <c r="HHL700" s="1349"/>
      <c r="HHM700" s="1349"/>
      <c r="HHN700" s="1349"/>
      <c r="HHO700" s="1349"/>
      <c r="HHP700" s="1349"/>
      <c r="HHQ700" s="1349"/>
      <c r="HHR700" s="1349"/>
      <c r="HHS700" s="1349"/>
      <c r="HHT700" s="1349"/>
      <c r="HHU700" s="1349"/>
      <c r="HHV700" s="1349"/>
      <c r="HHW700" s="1349"/>
      <c r="HHX700" s="1349"/>
      <c r="HHY700" s="1349"/>
      <c r="HHZ700" s="1349"/>
      <c r="HIA700" s="1349"/>
      <c r="HIB700" s="1349"/>
      <c r="HIC700" s="1349"/>
      <c r="HID700" s="1349"/>
      <c r="HIE700" s="1349"/>
      <c r="HIF700" s="1349"/>
      <c r="HIG700" s="1349"/>
      <c r="HIH700" s="1349"/>
      <c r="HII700" s="1349"/>
      <c r="HIJ700" s="1349"/>
      <c r="HIK700" s="1349"/>
      <c r="HIL700" s="1349"/>
      <c r="HIM700" s="1349"/>
      <c r="HIN700" s="1349"/>
      <c r="HIO700" s="1349"/>
      <c r="HIP700" s="1349"/>
      <c r="HIQ700" s="1349"/>
      <c r="HIR700" s="1349"/>
      <c r="HIS700" s="1349"/>
      <c r="HIT700" s="1349"/>
      <c r="HIU700" s="1349"/>
      <c r="HIV700" s="1349"/>
      <c r="HIW700" s="1349"/>
      <c r="HIX700" s="1349"/>
      <c r="HIY700" s="1349"/>
      <c r="HIZ700" s="1349"/>
      <c r="HJA700" s="1349"/>
      <c r="HJB700" s="1349"/>
      <c r="HJC700" s="1349"/>
      <c r="HJD700" s="1349"/>
      <c r="HJE700" s="1349"/>
      <c r="HJF700" s="1349"/>
      <c r="HJG700" s="1349"/>
      <c r="HJH700" s="1349"/>
      <c r="HJI700" s="1349"/>
      <c r="HJJ700" s="1349"/>
      <c r="HJK700" s="1349"/>
      <c r="HJL700" s="1349"/>
      <c r="HJM700" s="1349"/>
      <c r="HJN700" s="1349"/>
      <c r="HJO700" s="1349"/>
      <c r="HJP700" s="1349"/>
      <c r="HJQ700" s="1349"/>
      <c r="HJR700" s="1349"/>
      <c r="HJS700" s="1349"/>
      <c r="HJT700" s="1349"/>
      <c r="HJU700" s="1349"/>
      <c r="HJV700" s="1349"/>
      <c r="HJW700" s="1349"/>
      <c r="HJX700" s="1349"/>
      <c r="HJY700" s="1349"/>
      <c r="HJZ700" s="1349"/>
      <c r="HKA700" s="1349"/>
      <c r="HKB700" s="1349"/>
      <c r="HKC700" s="1349"/>
      <c r="HKD700" s="1349"/>
      <c r="HKE700" s="1349"/>
      <c r="HKF700" s="1349"/>
      <c r="HKG700" s="1349"/>
      <c r="HKH700" s="1349"/>
      <c r="HKI700" s="1349"/>
      <c r="HKJ700" s="1349"/>
      <c r="HKK700" s="1349"/>
      <c r="HKL700" s="1349"/>
      <c r="HKM700" s="1349"/>
      <c r="HKN700" s="1349"/>
      <c r="HKO700" s="1349"/>
      <c r="HKP700" s="1349"/>
      <c r="HKQ700" s="1349"/>
      <c r="HKR700" s="1349"/>
      <c r="HKS700" s="1349"/>
      <c r="HKT700" s="1349"/>
      <c r="HKU700" s="1349"/>
      <c r="HKV700" s="1349"/>
      <c r="HKW700" s="1349"/>
      <c r="HKX700" s="1349"/>
      <c r="HKY700" s="1349"/>
      <c r="HKZ700" s="1349"/>
      <c r="HLA700" s="1349"/>
      <c r="HLB700" s="1349"/>
      <c r="HLC700" s="1349"/>
      <c r="HLD700" s="1349"/>
      <c r="HLE700" s="1349"/>
      <c r="HLF700" s="1349"/>
      <c r="HLG700" s="1349"/>
      <c r="HLH700" s="1349"/>
      <c r="HLI700" s="1349"/>
      <c r="HLJ700" s="1349"/>
      <c r="HLK700" s="1349"/>
      <c r="HLL700" s="1349"/>
      <c r="HLM700" s="1349"/>
      <c r="HLN700" s="1349"/>
      <c r="HLO700" s="1349"/>
      <c r="HLP700" s="1349"/>
      <c r="HLQ700" s="1349"/>
      <c r="HLR700" s="1349"/>
      <c r="HLS700" s="1349"/>
      <c r="HLT700" s="1349"/>
      <c r="HLU700" s="1349"/>
      <c r="HLV700" s="1349"/>
      <c r="HLW700" s="1349"/>
      <c r="HLX700" s="1349"/>
      <c r="HLY700" s="1349"/>
      <c r="HLZ700" s="1349"/>
      <c r="HMA700" s="1349"/>
      <c r="HMB700" s="1349"/>
      <c r="HMC700" s="1349"/>
      <c r="HMD700" s="1349"/>
      <c r="HME700" s="1349"/>
      <c r="HMF700" s="1349"/>
      <c r="HMG700" s="1349"/>
      <c r="HMH700" s="1349"/>
      <c r="HMI700" s="1349"/>
      <c r="HMJ700" s="1349"/>
      <c r="HMK700" s="1349"/>
      <c r="HML700" s="1349"/>
      <c r="HMM700" s="1349"/>
      <c r="HMN700" s="1349"/>
      <c r="HMO700" s="1349"/>
      <c r="HMP700" s="1349"/>
      <c r="HMQ700" s="1349"/>
      <c r="HMR700" s="1349"/>
      <c r="HMS700" s="1349"/>
      <c r="HMT700" s="1349"/>
      <c r="HMU700" s="1349"/>
      <c r="HMV700" s="1349"/>
      <c r="HMW700" s="1349"/>
      <c r="HMX700" s="1349"/>
      <c r="HMY700" s="1349"/>
      <c r="HMZ700" s="1349"/>
      <c r="HNA700" s="1349"/>
      <c r="HNB700" s="1349"/>
      <c r="HNC700" s="1349"/>
      <c r="HND700" s="1349"/>
      <c r="HNE700" s="1349"/>
      <c r="HNF700" s="1349"/>
      <c r="HNG700" s="1349"/>
      <c r="HNH700" s="1349"/>
      <c r="HNI700" s="1349"/>
      <c r="HNJ700" s="1349"/>
      <c r="HNK700" s="1349"/>
      <c r="HNL700" s="1349"/>
      <c r="HNM700" s="1349"/>
      <c r="HNN700" s="1349"/>
      <c r="HNO700" s="1349"/>
      <c r="HNP700" s="1349"/>
      <c r="HNQ700" s="1349"/>
      <c r="HNR700" s="1349"/>
      <c r="HNS700" s="1349"/>
      <c r="HNT700" s="1349"/>
      <c r="HNU700" s="1349"/>
      <c r="HNV700" s="1349"/>
      <c r="HNW700" s="1349"/>
      <c r="HNX700" s="1349"/>
      <c r="HNY700" s="1349"/>
      <c r="HNZ700" s="1349"/>
      <c r="HOA700" s="1349"/>
      <c r="HOB700" s="1349"/>
      <c r="HOC700" s="1349"/>
      <c r="HOD700" s="1349"/>
      <c r="HOE700" s="1349"/>
      <c r="HOF700" s="1349"/>
      <c r="HOG700" s="1349"/>
      <c r="HOH700" s="1349"/>
      <c r="HOI700" s="1349"/>
      <c r="HOJ700" s="1349"/>
      <c r="HOK700" s="1349"/>
      <c r="HOL700" s="1349"/>
      <c r="HOM700" s="1349"/>
      <c r="HON700" s="1349"/>
      <c r="HOO700" s="1349"/>
      <c r="HOP700" s="1349"/>
      <c r="HOQ700" s="1349"/>
      <c r="HOR700" s="1349"/>
      <c r="HOS700" s="1349"/>
      <c r="HOT700" s="1349"/>
      <c r="HOU700" s="1349"/>
      <c r="HOV700" s="1349"/>
      <c r="HOW700" s="1349"/>
      <c r="HOX700" s="1349"/>
      <c r="HOY700" s="1349"/>
      <c r="HOZ700" s="1349"/>
      <c r="HPA700" s="1349"/>
      <c r="HPB700" s="1349"/>
      <c r="HPC700" s="1349"/>
      <c r="HPD700" s="1349"/>
      <c r="HPE700" s="1349"/>
      <c r="HPF700" s="1349"/>
      <c r="HPG700" s="1349"/>
      <c r="HPH700" s="1349"/>
      <c r="HPI700" s="1349"/>
      <c r="HPJ700" s="1349"/>
      <c r="HPK700" s="1349"/>
      <c r="HPL700" s="1349"/>
      <c r="HPM700" s="1349"/>
      <c r="HPN700" s="1349"/>
      <c r="HPO700" s="1349"/>
      <c r="HPP700" s="1349"/>
      <c r="HPQ700" s="1349"/>
      <c r="HPR700" s="1349"/>
      <c r="HPS700" s="1349"/>
      <c r="HPT700" s="1349"/>
      <c r="HPU700" s="1349"/>
      <c r="HPV700" s="1349"/>
      <c r="HPW700" s="1349"/>
      <c r="HPX700" s="1349"/>
      <c r="HPY700" s="1349"/>
      <c r="HPZ700" s="1349"/>
      <c r="HQA700" s="1349"/>
      <c r="HQB700" s="1349"/>
      <c r="HQC700" s="1349"/>
      <c r="HQD700" s="1349"/>
      <c r="HQE700" s="1349"/>
      <c r="HQF700" s="1349"/>
      <c r="HQG700" s="1349"/>
      <c r="HQH700" s="1349"/>
      <c r="HQI700" s="1349"/>
      <c r="HQJ700" s="1349"/>
      <c r="HQK700" s="1349"/>
      <c r="HQL700" s="1349"/>
      <c r="HQM700" s="1349"/>
      <c r="HQN700" s="1349"/>
      <c r="HQO700" s="1349"/>
      <c r="HQP700" s="1349"/>
      <c r="HQQ700" s="1349"/>
      <c r="HQR700" s="1349"/>
      <c r="HQS700" s="1349"/>
      <c r="HQT700" s="1349"/>
      <c r="HQU700" s="1349"/>
      <c r="HQV700" s="1349"/>
      <c r="HQW700" s="1349"/>
      <c r="HQX700" s="1349"/>
      <c r="HQY700" s="1349"/>
      <c r="HQZ700" s="1349"/>
      <c r="HRA700" s="1349"/>
      <c r="HRB700" s="1349"/>
      <c r="HRC700" s="1349"/>
      <c r="HRD700" s="1349"/>
      <c r="HRE700" s="1349"/>
      <c r="HRF700" s="1349"/>
      <c r="HRG700" s="1349"/>
      <c r="HRH700" s="1349"/>
      <c r="HRI700" s="1349"/>
      <c r="HRJ700" s="1349"/>
      <c r="HRK700" s="1349"/>
      <c r="HRL700" s="1349"/>
      <c r="HRM700" s="1349"/>
      <c r="HRN700" s="1349"/>
      <c r="HRO700" s="1349"/>
      <c r="HRP700" s="1349"/>
      <c r="HRQ700" s="1349"/>
      <c r="HRR700" s="1349"/>
      <c r="HRS700" s="1349"/>
      <c r="HRT700" s="1349"/>
      <c r="HRU700" s="1349"/>
      <c r="HRV700" s="1349"/>
      <c r="HRW700" s="1349"/>
      <c r="HRX700" s="1349"/>
      <c r="HRY700" s="1349"/>
      <c r="HRZ700" s="1349"/>
      <c r="HSA700" s="1349"/>
      <c r="HSB700" s="1349"/>
      <c r="HSC700" s="1349"/>
      <c r="HSD700" s="1349"/>
      <c r="HSE700" s="1349"/>
      <c r="HSF700" s="1349"/>
      <c r="HSG700" s="1349"/>
      <c r="HSH700" s="1349"/>
      <c r="HSI700" s="1349"/>
      <c r="HSJ700" s="1349"/>
      <c r="HSK700" s="1349"/>
      <c r="HSL700" s="1349"/>
      <c r="HSM700" s="1349"/>
      <c r="HSN700" s="1349"/>
      <c r="HSO700" s="1349"/>
      <c r="HSP700" s="1349"/>
      <c r="HSQ700" s="1349"/>
      <c r="HSR700" s="1349"/>
      <c r="HSS700" s="1349"/>
      <c r="HST700" s="1349"/>
      <c r="HSU700" s="1349"/>
      <c r="HSV700" s="1349"/>
      <c r="HSW700" s="1349"/>
      <c r="HSX700" s="1349"/>
      <c r="HSY700" s="1349"/>
      <c r="HSZ700" s="1349"/>
      <c r="HTA700" s="1349"/>
      <c r="HTB700" s="1349"/>
      <c r="HTC700" s="1349"/>
      <c r="HTD700" s="1349"/>
      <c r="HTE700" s="1349"/>
      <c r="HTF700" s="1349"/>
      <c r="HTG700" s="1349"/>
      <c r="HTH700" s="1349"/>
      <c r="HTI700" s="1349"/>
      <c r="HTJ700" s="1349"/>
      <c r="HTK700" s="1349"/>
      <c r="HTL700" s="1349"/>
      <c r="HTM700" s="1349"/>
      <c r="HTN700" s="1349"/>
      <c r="HTO700" s="1349"/>
      <c r="HTP700" s="1349"/>
      <c r="HTQ700" s="1349"/>
      <c r="HTR700" s="1349"/>
      <c r="HTS700" s="1349"/>
      <c r="HTT700" s="1349"/>
      <c r="HTU700" s="1349"/>
      <c r="HTV700" s="1349"/>
      <c r="HTW700" s="1349"/>
      <c r="HTX700" s="1349"/>
      <c r="HTY700" s="1349"/>
      <c r="HTZ700" s="1349"/>
      <c r="HUA700" s="1349"/>
      <c r="HUB700" s="1349"/>
      <c r="HUC700" s="1349"/>
      <c r="HUD700" s="1349"/>
      <c r="HUE700" s="1349"/>
      <c r="HUF700" s="1349"/>
      <c r="HUG700" s="1349"/>
      <c r="HUH700" s="1349"/>
      <c r="HUI700" s="1349"/>
      <c r="HUJ700" s="1349"/>
      <c r="HUK700" s="1349"/>
      <c r="HUL700" s="1349"/>
      <c r="HUM700" s="1349"/>
      <c r="HUN700" s="1349"/>
      <c r="HUO700" s="1349"/>
      <c r="HUP700" s="1349"/>
      <c r="HUQ700" s="1349"/>
      <c r="HUR700" s="1349"/>
      <c r="HUS700" s="1349"/>
      <c r="HUT700" s="1349"/>
      <c r="HUU700" s="1349"/>
      <c r="HUV700" s="1349"/>
      <c r="HUW700" s="1349"/>
      <c r="HUX700" s="1349"/>
      <c r="HUY700" s="1349"/>
      <c r="HUZ700" s="1349"/>
      <c r="HVA700" s="1349"/>
      <c r="HVB700" s="1349"/>
      <c r="HVC700" s="1349"/>
      <c r="HVD700" s="1349"/>
      <c r="HVE700" s="1349"/>
      <c r="HVF700" s="1349"/>
      <c r="HVG700" s="1349"/>
      <c r="HVH700" s="1349"/>
      <c r="HVI700" s="1349"/>
      <c r="HVJ700" s="1349"/>
      <c r="HVK700" s="1349"/>
      <c r="HVL700" s="1349"/>
      <c r="HVM700" s="1349"/>
      <c r="HVN700" s="1349"/>
      <c r="HVO700" s="1349"/>
      <c r="HVP700" s="1349"/>
      <c r="HVQ700" s="1349"/>
      <c r="HVR700" s="1349"/>
      <c r="HVS700" s="1349"/>
      <c r="HVT700" s="1349"/>
      <c r="HVU700" s="1349"/>
      <c r="HVV700" s="1349"/>
      <c r="HVW700" s="1349"/>
      <c r="HVX700" s="1349"/>
      <c r="HVY700" s="1349"/>
      <c r="HVZ700" s="1349"/>
      <c r="HWA700" s="1349"/>
      <c r="HWB700" s="1349"/>
      <c r="HWC700" s="1349"/>
      <c r="HWD700" s="1349"/>
      <c r="HWE700" s="1349"/>
      <c r="HWF700" s="1349"/>
      <c r="HWG700" s="1349"/>
      <c r="HWH700" s="1349"/>
      <c r="HWI700" s="1349"/>
      <c r="HWJ700" s="1349"/>
      <c r="HWK700" s="1349"/>
      <c r="HWL700" s="1349"/>
      <c r="HWM700" s="1349"/>
      <c r="HWN700" s="1349"/>
      <c r="HWO700" s="1349"/>
      <c r="HWP700" s="1349"/>
      <c r="HWQ700" s="1349"/>
      <c r="HWR700" s="1349"/>
      <c r="HWS700" s="1349"/>
      <c r="HWT700" s="1349"/>
      <c r="HWU700" s="1349"/>
      <c r="HWV700" s="1349"/>
      <c r="HWW700" s="1349"/>
      <c r="HWX700" s="1349"/>
      <c r="HWY700" s="1349"/>
      <c r="HWZ700" s="1349"/>
      <c r="HXA700" s="1349"/>
      <c r="HXB700" s="1349"/>
      <c r="HXC700" s="1349"/>
      <c r="HXD700" s="1349"/>
      <c r="HXE700" s="1349"/>
      <c r="HXF700" s="1349"/>
      <c r="HXG700" s="1349"/>
      <c r="HXH700" s="1349"/>
      <c r="HXI700" s="1349"/>
      <c r="HXJ700" s="1349"/>
      <c r="HXK700" s="1349"/>
      <c r="HXL700" s="1349"/>
      <c r="HXM700" s="1349"/>
      <c r="HXN700" s="1349"/>
      <c r="HXO700" s="1349"/>
      <c r="HXP700" s="1349"/>
      <c r="HXQ700" s="1349"/>
      <c r="HXR700" s="1349"/>
      <c r="HXS700" s="1349"/>
      <c r="HXT700" s="1349"/>
      <c r="HXU700" s="1349"/>
      <c r="HXV700" s="1349"/>
      <c r="HXW700" s="1349"/>
      <c r="HXX700" s="1349"/>
      <c r="HXY700" s="1349"/>
      <c r="HXZ700" s="1349"/>
      <c r="HYA700" s="1349"/>
      <c r="HYB700" s="1349"/>
      <c r="HYC700" s="1349"/>
      <c r="HYD700" s="1349"/>
      <c r="HYE700" s="1349"/>
      <c r="HYF700" s="1349"/>
      <c r="HYG700" s="1349"/>
      <c r="HYH700" s="1349"/>
      <c r="HYI700" s="1349"/>
      <c r="HYJ700" s="1349"/>
      <c r="HYK700" s="1349"/>
      <c r="HYL700" s="1349"/>
      <c r="HYM700" s="1349"/>
      <c r="HYN700" s="1349"/>
      <c r="HYO700" s="1349"/>
      <c r="HYP700" s="1349"/>
      <c r="HYQ700" s="1349"/>
      <c r="HYR700" s="1349"/>
      <c r="HYS700" s="1349"/>
      <c r="HYT700" s="1349"/>
      <c r="HYU700" s="1349"/>
      <c r="HYV700" s="1349"/>
      <c r="HYW700" s="1349"/>
      <c r="HYX700" s="1349"/>
      <c r="HYY700" s="1349"/>
      <c r="HYZ700" s="1349"/>
      <c r="HZA700" s="1349"/>
      <c r="HZB700" s="1349"/>
      <c r="HZC700" s="1349"/>
      <c r="HZD700" s="1349"/>
      <c r="HZE700" s="1349"/>
      <c r="HZF700" s="1349"/>
      <c r="HZG700" s="1349"/>
      <c r="HZH700" s="1349"/>
      <c r="HZI700" s="1349"/>
      <c r="HZJ700" s="1349"/>
      <c r="HZK700" s="1349"/>
      <c r="HZL700" s="1349"/>
      <c r="HZM700" s="1349"/>
      <c r="HZN700" s="1349"/>
      <c r="HZO700" s="1349"/>
      <c r="HZP700" s="1349"/>
      <c r="HZQ700" s="1349"/>
      <c r="HZR700" s="1349"/>
      <c r="HZS700" s="1349"/>
      <c r="HZT700" s="1349"/>
      <c r="HZU700" s="1349"/>
      <c r="HZV700" s="1349"/>
      <c r="HZW700" s="1349"/>
      <c r="HZX700" s="1349"/>
      <c r="HZY700" s="1349"/>
      <c r="HZZ700" s="1349"/>
      <c r="IAA700" s="1349"/>
      <c r="IAB700" s="1349"/>
      <c r="IAC700" s="1349"/>
      <c r="IAD700" s="1349"/>
      <c r="IAE700" s="1349"/>
      <c r="IAF700" s="1349"/>
      <c r="IAG700" s="1349"/>
      <c r="IAH700" s="1349"/>
      <c r="IAI700" s="1349"/>
      <c r="IAJ700" s="1349"/>
      <c r="IAK700" s="1349"/>
      <c r="IAL700" s="1349"/>
      <c r="IAM700" s="1349"/>
      <c r="IAN700" s="1349"/>
      <c r="IAO700" s="1349"/>
      <c r="IAP700" s="1349"/>
      <c r="IAQ700" s="1349"/>
      <c r="IAR700" s="1349"/>
      <c r="IAS700" s="1349"/>
      <c r="IAT700" s="1349"/>
      <c r="IAU700" s="1349"/>
      <c r="IAV700" s="1349"/>
      <c r="IAW700" s="1349"/>
      <c r="IAX700" s="1349"/>
      <c r="IAY700" s="1349"/>
      <c r="IAZ700" s="1349"/>
      <c r="IBA700" s="1349"/>
      <c r="IBB700" s="1349"/>
      <c r="IBC700" s="1349"/>
      <c r="IBD700" s="1349"/>
      <c r="IBE700" s="1349"/>
      <c r="IBF700" s="1349"/>
      <c r="IBG700" s="1349"/>
      <c r="IBH700" s="1349"/>
      <c r="IBI700" s="1349"/>
      <c r="IBJ700" s="1349"/>
      <c r="IBK700" s="1349"/>
      <c r="IBL700" s="1349"/>
      <c r="IBM700" s="1349"/>
      <c r="IBN700" s="1349"/>
      <c r="IBO700" s="1349"/>
      <c r="IBP700" s="1349"/>
      <c r="IBQ700" s="1349"/>
      <c r="IBR700" s="1349"/>
      <c r="IBS700" s="1349"/>
      <c r="IBT700" s="1349"/>
      <c r="IBU700" s="1349"/>
      <c r="IBV700" s="1349"/>
      <c r="IBW700" s="1349"/>
      <c r="IBX700" s="1349"/>
      <c r="IBY700" s="1349"/>
      <c r="IBZ700" s="1349"/>
      <c r="ICA700" s="1349"/>
      <c r="ICB700" s="1349"/>
      <c r="ICC700" s="1349"/>
      <c r="ICD700" s="1349"/>
      <c r="ICE700" s="1349"/>
      <c r="ICF700" s="1349"/>
      <c r="ICG700" s="1349"/>
      <c r="ICH700" s="1349"/>
      <c r="ICI700" s="1349"/>
      <c r="ICJ700" s="1349"/>
      <c r="ICK700" s="1349"/>
      <c r="ICL700" s="1349"/>
      <c r="ICM700" s="1349"/>
      <c r="ICN700" s="1349"/>
      <c r="ICO700" s="1349"/>
      <c r="ICP700" s="1349"/>
      <c r="ICQ700" s="1349"/>
      <c r="ICR700" s="1349"/>
      <c r="ICS700" s="1349"/>
      <c r="ICT700" s="1349"/>
      <c r="ICU700" s="1349"/>
      <c r="ICV700" s="1349"/>
      <c r="ICW700" s="1349"/>
      <c r="ICX700" s="1349"/>
      <c r="ICY700" s="1349"/>
      <c r="ICZ700" s="1349"/>
      <c r="IDA700" s="1349"/>
      <c r="IDB700" s="1349"/>
      <c r="IDC700" s="1349"/>
      <c r="IDD700" s="1349"/>
      <c r="IDE700" s="1349"/>
      <c r="IDF700" s="1349"/>
      <c r="IDG700" s="1349"/>
      <c r="IDH700" s="1349"/>
      <c r="IDI700" s="1349"/>
      <c r="IDJ700" s="1349"/>
      <c r="IDK700" s="1349"/>
      <c r="IDL700" s="1349"/>
      <c r="IDM700" s="1349"/>
      <c r="IDN700" s="1349"/>
      <c r="IDO700" s="1349"/>
      <c r="IDP700" s="1349"/>
      <c r="IDQ700" s="1349"/>
      <c r="IDR700" s="1349"/>
      <c r="IDS700" s="1349"/>
      <c r="IDT700" s="1349"/>
      <c r="IDU700" s="1349"/>
      <c r="IDV700" s="1349"/>
      <c r="IDW700" s="1349"/>
      <c r="IDX700" s="1349"/>
      <c r="IDY700" s="1349"/>
      <c r="IDZ700" s="1349"/>
      <c r="IEA700" s="1349"/>
      <c r="IEB700" s="1349"/>
      <c r="IEC700" s="1349"/>
      <c r="IED700" s="1349"/>
      <c r="IEE700" s="1349"/>
      <c r="IEF700" s="1349"/>
      <c r="IEG700" s="1349"/>
      <c r="IEH700" s="1349"/>
      <c r="IEI700" s="1349"/>
      <c r="IEJ700" s="1349"/>
      <c r="IEK700" s="1349"/>
      <c r="IEL700" s="1349"/>
      <c r="IEM700" s="1349"/>
      <c r="IEN700" s="1349"/>
      <c r="IEO700" s="1349"/>
      <c r="IEP700" s="1349"/>
      <c r="IEQ700" s="1349"/>
      <c r="IER700" s="1349"/>
      <c r="IES700" s="1349"/>
      <c r="IET700" s="1349"/>
      <c r="IEU700" s="1349"/>
      <c r="IEV700" s="1349"/>
      <c r="IEW700" s="1349"/>
      <c r="IEX700" s="1349"/>
      <c r="IEY700" s="1349"/>
      <c r="IEZ700" s="1349"/>
      <c r="IFA700" s="1349"/>
      <c r="IFB700" s="1349"/>
      <c r="IFC700" s="1349"/>
      <c r="IFD700" s="1349"/>
      <c r="IFE700" s="1349"/>
      <c r="IFF700" s="1349"/>
      <c r="IFG700" s="1349"/>
      <c r="IFH700" s="1349"/>
      <c r="IFI700" s="1349"/>
      <c r="IFJ700" s="1349"/>
      <c r="IFK700" s="1349"/>
      <c r="IFL700" s="1349"/>
      <c r="IFM700" s="1349"/>
      <c r="IFN700" s="1349"/>
      <c r="IFO700" s="1349"/>
      <c r="IFP700" s="1349"/>
      <c r="IFQ700" s="1349"/>
      <c r="IFR700" s="1349"/>
      <c r="IFS700" s="1349"/>
      <c r="IFT700" s="1349"/>
      <c r="IFU700" s="1349"/>
      <c r="IFV700" s="1349"/>
      <c r="IFW700" s="1349"/>
      <c r="IFX700" s="1349"/>
      <c r="IFY700" s="1349"/>
      <c r="IFZ700" s="1349"/>
      <c r="IGA700" s="1349"/>
      <c r="IGB700" s="1349"/>
      <c r="IGC700" s="1349"/>
      <c r="IGD700" s="1349"/>
      <c r="IGE700" s="1349"/>
      <c r="IGF700" s="1349"/>
      <c r="IGG700" s="1349"/>
      <c r="IGH700" s="1349"/>
      <c r="IGI700" s="1349"/>
      <c r="IGJ700" s="1349"/>
      <c r="IGK700" s="1349"/>
      <c r="IGL700" s="1349"/>
      <c r="IGM700" s="1349"/>
      <c r="IGN700" s="1349"/>
      <c r="IGO700" s="1349"/>
      <c r="IGP700" s="1349"/>
      <c r="IGQ700" s="1349"/>
      <c r="IGR700" s="1349"/>
      <c r="IGS700" s="1349"/>
      <c r="IGT700" s="1349"/>
      <c r="IGU700" s="1349"/>
      <c r="IGV700" s="1349"/>
      <c r="IGW700" s="1349"/>
      <c r="IGX700" s="1349"/>
      <c r="IGY700" s="1349"/>
      <c r="IGZ700" s="1349"/>
      <c r="IHA700" s="1349"/>
      <c r="IHB700" s="1349"/>
      <c r="IHC700" s="1349"/>
      <c r="IHD700" s="1349"/>
      <c r="IHE700" s="1349"/>
      <c r="IHF700" s="1349"/>
      <c r="IHG700" s="1349"/>
      <c r="IHH700" s="1349"/>
      <c r="IHI700" s="1349"/>
      <c r="IHJ700" s="1349"/>
      <c r="IHK700" s="1349"/>
      <c r="IHL700" s="1349"/>
      <c r="IHM700" s="1349"/>
      <c r="IHN700" s="1349"/>
      <c r="IHO700" s="1349"/>
      <c r="IHP700" s="1349"/>
      <c r="IHQ700" s="1349"/>
      <c r="IHR700" s="1349"/>
      <c r="IHS700" s="1349"/>
      <c r="IHT700" s="1349"/>
      <c r="IHU700" s="1349"/>
      <c r="IHV700" s="1349"/>
      <c r="IHW700" s="1349"/>
      <c r="IHX700" s="1349"/>
      <c r="IHY700" s="1349"/>
      <c r="IHZ700" s="1349"/>
      <c r="IIA700" s="1349"/>
      <c r="IIB700" s="1349"/>
      <c r="IIC700" s="1349"/>
      <c r="IID700" s="1349"/>
      <c r="IIE700" s="1349"/>
      <c r="IIF700" s="1349"/>
      <c r="IIG700" s="1349"/>
      <c r="IIH700" s="1349"/>
      <c r="III700" s="1349"/>
      <c r="IIJ700" s="1349"/>
      <c r="IIK700" s="1349"/>
      <c r="IIL700" s="1349"/>
      <c r="IIM700" s="1349"/>
      <c r="IIN700" s="1349"/>
      <c r="IIO700" s="1349"/>
      <c r="IIP700" s="1349"/>
      <c r="IIQ700" s="1349"/>
      <c r="IIR700" s="1349"/>
      <c r="IIS700" s="1349"/>
      <c r="IIT700" s="1349"/>
      <c r="IIU700" s="1349"/>
      <c r="IIV700" s="1349"/>
      <c r="IIW700" s="1349"/>
      <c r="IIX700" s="1349"/>
      <c r="IIY700" s="1349"/>
      <c r="IIZ700" s="1349"/>
      <c r="IJA700" s="1349"/>
      <c r="IJB700" s="1349"/>
      <c r="IJC700" s="1349"/>
      <c r="IJD700" s="1349"/>
      <c r="IJE700" s="1349"/>
      <c r="IJF700" s="1349"/>
      <c r="IJG700" s="1349"/>
      <c r="IJH700" s="1349"/>
      <c r="IJI700" s="1349"/>
      <c r="IJJ700" s="1349"/>
      <c r="IJK700" s="1349"/>
      <c r="IJL700" s="1349"/>
      <c r="IJM700" s="1349"/>
      <c r="IJN700" s="1349"/>
      <c r="IJO700" s="1349"/>
      <c r="IJP700" s="1349"/>
      <c r="IJQ700" s="1349"/>
      <c r="IJR700" s="1349"/>
      <c r="IJS700" s="1349"/>
      <c r="IJT700" s="1349"/>
      <c r="IJU700" s="1349"/>
      <c r="IJV700" s="1349"/>
      <c r="IJW700" s="1349"/>
      <c r="IJX700" s="1349"/>
      <c r="IJY700" s="1349"/>
      <c r="IJZ700" s="1349"/>
      <c r="IKA700" s="1349"/>
      <c r="IKB700" s="1349"/>
      <c r="IKC700" s="1349"/>
      <c r="IKD700" s="1349"/>
      <c r="IKE700" s="1349"/>
      <c r="IKF700" s="1349"/>
      <c r="IKG700" s="1349"/>
      <c r="IKH700" s="1349"/>
      <c r="IKI700" s="1349"/>
      <c r="IKJ700" s="1349"/>
      <c r="IKK700" s="1349"/>
      <c r="IKL700" s="1349"/>
      <c r="IKM700" s="1349"/>
      <c r="IKN700" s="1349"/>
      <c r="IKO700" s="1349"/>
      <c r="IKP700" s="1349"/>
      <c r="IKQ700" s="1349"/>
      <c r="IKR700" s="1349"/>
      <c r="IKS700" s="1349"/>
      <c r="IKT700" s="1349"/>
      <c r="IKU700" s="1349"/>
      <c r="IKV700" s="1349"/>
      <c r="IKW700" s="1349"/>
      <c r="IKX700" s="1349"/>
      <c r="IKY700" s="1349"/>
      <c r="IKZ700" s="1349"/>
      <c r="ILA700" s="1349"/>
      <c r="ILB700" s="1349"/>
      <c r="ILC700" s="1349"/>
      <c r="ILD700" s="1349"/>
      <c r="ILE700" s="1349"/>
      <c r="ILF700" s="1349"/>
      <c r="ILG700" s="1349"/>
      <c r="ILH700" s="1349"/>
      <c r="ILI700" s="1349"/>
      <c r="ILJ700" s="1349"/>
      <c r="ILK700" s="1349"/>
      <c r="ILL700" s="1349"/>
      <c r="ILM700" s="1349"/>
      <c r="ILN700" s="1349"/>
      <c r="ILO700" s="1349"/>
      <c r="ILP700" s="1349"/>
      <c r="ILQ700" s="1349"/>
      <c r="ILR700" s="1349"/>
      <c r="ILS700" s="1349"/>
      <c r="ILT700" s="1349"/>
      <c r="ILU700" s="1349"/>
      <c r="ILV700" s="1349"/>
      <c r="ILW700" s="1349"/>
      <c r="ILX700" s="1349"/>
      <c r="ILY700" s="1349"/>
      <c r="ILZ700" s="1349"/>
      <c r="IMA700" s="1349"/>
      <c r="IMB700" s="1349"/>
      <c r="IMC700" s="1349"/>
      <c r="IMD700" s="1349"/>
      <c r="IME700" s="1349"/>
      <c r="IMF700" s="1349"/>
      <c r="IMG700" s="1349"/>
      <c r="IMH700" s="1349"/>
      <c r="IMI700" s="1349"/>
      <c r="IMJ700" s="1349"/>
      <c r="IMK700" s="1349"/>
      <c r="IML700" s="1349"/>
      <c r="IMM700" s="1349"/>
      <c r="IMN700" s="1349"/>
      <c r="IMO700" s="1349"/>
      <c r="IMP700" s="1349"/>
      <c r="IMQ700" s="1349"/>
      <c r="IMR700" s="1349"/>
      <c r="IMS700" s="1349"/>
      <c r="IMT700" s="1349"/>
      <c r="IMU700" s="1349"/>
      <c r="IMV700" s="1349"/>
      <c r="IMW700" s="1349"/>
      <c r="IMX700" s="1349"/>
      <c r="IMY700" s="1349"/>
      <c r="IMZ700" s="1349"/>
      <c r="INA700" s="1349"/>
      <c r="INB700" s="1349"/>
      <c r="INC700" s="1349"/>
      <c r="IND700" s="1349"/>
      <c r="INE700" s="1349"/>
      <c r="INF700" s="1349"/>
      <c r="ING700" s="1349"/>
      <c r="INH700" s="1349"/>
      <c r="INI700" s="1349"/>
      <c r="INJ700" s="1349"/>
      <c r="INK700" s="1349"/>
      <c r="INL700" s="1349"/>
      <c r="INM700" s="1349"/>
      <c r="INN700" s="1349"/>
      <c r="INO700" s="1349"/>
      <c r="INP700" s="1349"/>
      <c r="INQ700" s="1349"/>
      <c r="INR700" s="1349"/>
      <c r="INS700" s="1349"/>
      <c r="INT700" s="1349"/>
      <c r="INU700" s="1349"/>
      <c r="INV700" s="1349"/>
      <c r="INW700" s="1349"/>
      <c r="INX700" s="1349"/>
      <c r="INY700" s="1349"/>
      <c r="INZ700" s="1349"/>
      <c r="IOA700" s="1349"/>
      <c r="IOB700" s="1349"/>
      <c r="IOC700" s="1349"/>
      <c r="IOD700" s="1349"/>
      <c r="IOE700" s="1349"/>
      <c r="IOF700" s="1349"/>
      <c r="IOG700" s="1349"/>
      <c r="IOH700" s="1349"/>
      <c r="IOI700" s="1349"/>
      <c r="IOJ700" s="1349"/>
      <c r="IOK700" s="1349"/>
      <c r="IOL700" s="1349"/>
      <c r="IOM700" s="1349"/>
      <c r="ION700" s="1349"/>
      <c r="IOO700" s="1349"/>
      <c r="IOP700" s="1349"/>
      <c r="IOQ700" s="1349"/>
      <c r="IOR700" s="1349"/>
      <c r="IOS700" s="1349"/>
      <c r="IOT700" s="1349"/>
      <c r="IOU700" s="1349"/>
      <c r="IOV700" s="1349"/>
      <c r="IOW700" s="1349"/>
      <c r="IOX700" s="1349"/>
      <c r="IOY700" s="1349"/>
      <c r="IOZ700" s="1349"/>
      <c r="IPA700" s="1349"/>
      <c r="IPB700" s="1349"/>
      <c r="IPC700" s="1349"/>
      <c r="IPD700" s="1349"/>
      <c r="IPE700" s="1349"/>
      <c r="IPF700" s="1349"/>
      <c r="IPG700" s="1349"/>
      <c r="IPH700" s="1349"/>
      <c r="IPI700" s="1349"/>
      <c r="IPJ700" s="1349"/>
      <c r="IPK700" s="1349"/>
      <c r="IPL700" s="1349"/>
      <c r="IPM700" s="1349"/>
      <c r="IPN700" s="1349"/>
      <c r="IPO700" s="1349"/>
      <c r="IPP700" s="1349"/>
      <c r="IPQ700" s="1349"/>
      <c r="IPR700" s="1349"/>
      <c r="IPS700" s="1349"/>
      <c r="IPT700" s="1349"/>
      <c r="IPU700" s="1349"/>
      <c r="IPV700" s="1349"/>
      <c r="IPW700" s="1349"/>
      <c r="IPX700" s="1349"/>
      <c r="IPY700" s="1349"/>
      <c r="IPZ700" s="1349"/>
      <c r="IQA700" s="1349"/>
      <c r="IQB700" s="1349"/>
      <c r="IQC700" s="1349"/>
      <c r="IQD700" s="1349"/>
      <c r="IQE700" s="1349"/>
      <c r="IQF700" s="1349"/>
      <c r="IQG700" s="1349"/>
      <c r="IQH700" s="1349"/>
      <c r="IQI700" s="1349"/>
      <c r="IQJ700" s="1349"/>
      <c r="IQK700" s="1349"/>
      <c r="IQL700" s="1349"/>
      <c r="IQM700" s="1349"/>
      <c r="IQN700" s="1349"/>
      <c r="IQO700" s="1349"/>
      <c r="IQP700" s="1349"/>
      <c r="IQQ700" s="1349"/>
      <c r="IQR700" s="1349"/>
      <c r="IQS700" s="1349"/>
      <c r="IQT700" s="1349"/>
      <c r="IQU700" s="1349"/>
      <c r="IQV700" s="1349"/>
      <c r="IQW700" s="1349"/>
      <c r="IQX700" s="1349"/>
      <c r="IQY700" s="1349"/>
      <c r="IQZ700" s="1349"/>
      <c r="IRA700" s="1349"/>
      <c r="IRB700" s="1349"/>
      <c r="IRC700" s="1349"/>
      <c r="IRD700" s="1349"/>
      <c r="IRE700" s="1349"/>
      <c r="IRF700" s="1349"/>
      <c r="IRG700" s="1349"/>
      <c r="IRH700" s="1349"/>
      <c r="IRI700" s="1349"/>
      <c r="IRJ700" s="1349"/>
      <c r="IRK700" s="1349"/>
      <c r="IRL700" s="1349"/>
      <c r="IRM700" s="1349"/>
      <c r="IRN700" s="1349"/>
      <c r="IRO700" s="1349"/>
      <c r="IRP700" s="1349"/>
      <c r="IRQ700" s="1349"/>
      <c r="IRR700" s="1349"/>
      <c r="IRS700" s="1349"/>
      <c r="IRT700" s="1349"/>
      <c r="IRU700" s="1349"/>
      <c r="IRV700" s="1349"/>
      <c r="IRW700" s="1349"/>
      <c r="IRX700" s="1349"/>
      <c r="IRY700" s="1349"/>
      <c r="IRZ700" s="1349"/>
      <c r="ISA700" s="1349"/>
      <c r="ISB700" s="1349"/>
      <c r="ISC700" s="1349"/>
      <c r="ISD700" s="1349"/>
      <c r="ISE700" s="1349"/>
      <c r="ISF700" s="1349"/>
      <c r="ISG700" s="1349"/>
      <c r="ISH700" s="1349"/>
      <c r="ISI700" s="1349"/>
      <c r="ISJ700" s="1349"/>
      <c r="ISK700" s="1349"/>
      <c r="ISL700" s="1349"/>
      <c r="ISM700" s="1349"/>
      <c r="ISN700" s="1349"/>
      <c r="ISO700" s="1349"/>
      <c r="ISP700" s="1349"/>
      <c r="ISQ700" s="1349"/>
      <c r="ISR700" s="1349"/>
      <c r="ISS700" s="1349"/>
      <c r="IST700" s="1349"/>
      <c r="ISU700" s="1349"/>
      <c r="ISV700" s="1349"/>
      <c r="ISW700" s="1349"/>
      <c r="ISX700" s="1349"/>
      <c r="ISY700" s="1349"/>
      <c r="ISZ700" s="1349"/>
      <c r="ITA700" s="1349"/>
      <c r="ITB700" s="1349"/>
      <c r="ITC700" s="1349"/>
      <c r="ITD700" s="1349"/>
      <c r="ITE700" s="1349"/>
      <c r="ITF700" s="1349"/>
      <c r="ITG700" s="1349"/>
      <c r="ITH700" s="1349"/>
      <c r="ITI700" s="1349"/>
      <c r="ITJ700" s="1349"/>
      <c r="ITK700" s="1349"/>
      <c r="ITL700" s="1349"/>
      <c r="ITM700" s="1349"/>
      <c r="ITN700" s="1349"/>
      <c r="ITO700" s="1349"/>
      <c r="ITP700" s="1349"/>
      <c r="ITQ700" s="1349"/>
      <c r="ITR700" s="1349"/>
      <c r="ITS700" s="1349"/>
      <c r="ITT700" s="1349"/>
      <c r="ITU700" s="1349"/>
      <c r="ITV700" s="1349"/>
      <c r="ITW700" s="1349"/>
      <c r="ITX700" s="1349"/>
      <c r="ITY700" s="1349"/>
      <c r="ITZ700" s="1349"/>
      <c r="IUA700" s="1349"/>
      <c r="IUB700" s="1349"/>
      <c r="IUC700" s="1349"/>
      <c r="IUD700" s="1349"/>
      <c r="IUE700" s="1349"/>
      <c r="IUF700" s="1349"/>
      <c r="IUG700" s="1349"/>
      <c r="IUH700" s="1349"/>
      <c r="IUI700" s="1349"/>
      <c r="IUJ700" s="1349"/>
      <c r="IUK700" s="1349"/>
      <c r="IUL700" s="1349"/>
      <c r="IUM700" s="1349"/>
      <c r="IUN700" s="1349"/>
      <c r="IUO700" s="1349"/>
      <c r="IUP700" s="1349"/>
      <c r="IUQ700" s="1349"/>
      <c r="IUR700" s="1349"/>
      <c r="IUS700" s="1349"/>
      <c r="IUT700" s="1349"/>
      <c r="IUU700" s="1349"/>
      <c r="IUV700" s="1349"/>
      <c r="IUW700" s="1349"/>
      <c r="IUX700" s="1349"/>
      <c r="IUY700" s="1349"/>
      <c r="IUZ700" s="1349"/>
      <c r="IVA700" s="1349"/>
      <c r="IVB700" s="1349"/>
      <c r="IVC700" s="1349"/>
      <c r="IVD700" s="1349"/>
      <c r="IVE700" s="1349"/>
      <c r="IVF700" s="1349"/>
      <c r="IVG700" s="1349"/>
      <c r="IVH700" s="1349"/>
      <c r="IVI700" s="1349"/>
      <c r="IVJ700" s="1349"/>
      <c r="IVK700" s="1349"/>
      <c r="IVL700" s="1349"/>
      <c r="IVM700" s="1349"/>
      <c r="IVN700" s="1349"/>
      <c r="IVO700" s="1349"/>
      <c r="IVP700" s="1349"/>
      <c r="IVQ700" s="1349"/>
      <c r="IVR700" s="1349"/>
      <c r="IVS700" s="1349"/>
      <c r="IVT700" s="1349"/>
      <c r="IVU700" s="1349"/>
      <c r="IVV700" s="1349"/>
      <c r="IVW700" s="1349"/>
      <c r="IVX700" s="1349"/>
      <c r="IVY700" s="1349"/>
      <c r="IVZ700" s="1349"/>
      <c r="IWA700" s="1349"/>
      <c r="IWB700" s="1349"/>
      <c r="IWC700" s="1349"/>
      <c r="IWD700" s="1349"/>
      <c r="IWE700" s="1349"/>
      <c r="IWF700" s="1349"/>
      <c r="IWG700" s="1349"/>
      <c r="IWH700" s="1349"/>
      <c r="IWI700" s="1349"/>
      <c r="IWJ700" s="1349"/>
      <c r="IWK700" s="1349"/>
      <c r="IWL700" s="1349"/>
      <c r="IWM700" s="1349"/>
      <c r="IWN700" s="1349"/>
      <c r="IWO700" s="1349"/>
      <c r="IWP700" s="1349"/>
      <c r="IWQ700" s="1349"/>
      <c r="IWR700" s="1349"/>
      <c r="IWS700" s="1349"/>
      <c r="IWT700" s="1349"/>
      <c r="IWU700" s="1349"/>
      <c r="IWV700" s="1349"/>
      <c r="IWW700" s="1349"/>
      <c r="IWX700" s="1349"/>
      <c r="IWY700" s="1349"/>
      <c r="IWZ700" s="1349"/>
      <c r="IXA700" s="1349"/>
      <c r="IXB700" s="1349"/>
      <c r="IXC700" s="1349"/>
      <c r="IXD700" s="1349"/>
      <c r="IXE700" s="1349"/>
      <c r="IXF700" s="1349"/>
      <c r="IXG700" s="1349"/>
      <c r="IXH700" s="1349"/>
      <c r="IXI700" s="1349"/>
      <c r="IXJ700" s="1349"/>
      <c r="IXK700" s="1349"/>
      <c r="IXL700" s="1349"/>
      <c r="IXM700" s="1349"/>
      <c r="IXN700" s="1349"/>
      <c r="IXO700" s="1349"/>
      <c r="IXP700" s="1349"/>
      <c r="IXQ700" s="1349"/>
      <c r="IXR700" s="1349"/>
      <c r="IXS700" s="1349"/>
      <c r="IXT700" s="1349"/>
      <c r="IXU700" s="1349"/>
      <c r="IXV700" s="1349"/>
      <c r="IXW700" s="1349"/>
      <c r="IXX700" s="1349"/>
      <c r="IXY700" s="1349"/>
      <c r="IXZ700" s="1349"/>
      <c r="IYA700" s="1349"/>
      <c r="IYB700" s="1349"/>
      <c r="IYC700" s="1349"/>
      <c r="IYD700" s="1349"/>
      <c r="IYE700" s="1349"/>
      <c r="IYF700" s="1349"/>
      <c r="IYG700" s="1349"/>
      <c r="IYH700" s="1349"/>
      <c r="IYI700" s="1349"/>
      <c r="IYJ700" s="1349"/>
      <c r="IYK700" s="1349"/>
      <c r="IYL700" s="1349"/>
      <c r="IYM700" s="1349"/>
      <c r="IYN700" s="1349"/>
      <c r="IYO700" s="1349"/>
      <c r="IYP700" s="1349"/>
      <c r="IYQ700" s="1349"/>
      <c r="IYR700" s="1349"/>
      <c r="IYS700" s="1349"/>
      <c r="IYT700" s="1349"/>
      <c r="IYU700" s="1349"/>
      <c r="IYV700" s="1349"/>
      <c r="IYW700" s="1349"/>
      <c r="IYX700" s="1349"/>
      <c r="IYY700" s="1349"/>
      <c r="IYZ700" s="1349"/>
      <c r="IZA700" s="1349"/>
      <c r="IZB700" s="1349"/>
      <c r="IZC700" s="1349"/>
      <c r="IZD700" s="1349"/>
      <c r="IZE700" s="1349"/>
      <c r="IZF700" s="1349"/>
      <c r="IZG700" s="1349"/>
      <c r="IZH700" s="1349"/>
      <c r="IZI700" s="1349"/>
      <c r="IZJ700" s="1349"/>
      <c r="IZK700" s="1349"/>
      <c r="IZL700" s="1349"/>
      <c r="IZM700" s="1349"/>
      <c r="IZN700" s="1349"/>
      <c r="IZO700" s="1349"/>
      <c r="IZP700" s="1349"/>
      <c r="IZQ700" s="1349"/>
      <c r="IZR700" s="1349"/>
      <c r="IZS700" s="1349"/>
      <c r="IZT700" s="1349"/>
      <c r="IZU700" s="1349"/>
      <c r="IZV700" s="1349"/>
      <c r="IZW700" s="1349"/>
      <c r="IZX700" s="1349"/>
      <c r="IZY700" s="1349"/>
      <c r="IZZ700" s="1349"/>
      <c r="JAA700" s="1349"/>
      <c r="JAB700" s="1349"/>
      <c r="JAC700" s="1349"/>
      <c r="JAD700" s="1349"/>
      <c r="JAE700" s="1349"/>
      <c r="JAF700" s="1349"/>
      <c r="JAG700" s="1349"/>
      <c r="JAH700" s="1349"/>
      <c r="JAI700" s="1349"/>
      <c r="JAJ700" s="1349"/>
      <c r="JAK700" s="1349"/>
      <c r="JAL700" s="1349"/>
      <c r="JAM700" s="1349"/>
      <c r="JAN700" s="1349"/>
      <c r="JAO700" s="1349"/>
      <c r="JAP700" s="1349"/>
      <c r="JAQ700" s="1349"/>
      <c r="JAR700" s="1349"/>
      <c r="JAS700" s="1349"/>
      <c r="JAT700" s="1349"/>
      <c r="JAU700" s="1349"/>
      <c r="JAV700" s="1349"/>
      <c r="JAW700" s="1349"/>
      <c r="JAX700" s="1349"/>
      <c r="JAY700" s="1349"/>
      <c r="JAZ700" s="1349"/>
      <c r="JBA700" s="1349"/>
      <c r="JBB700" s="1349"/>
      <c r="JBC700" s="1349"/>
      <c r="JBD700" s="1349"/>
      <c r="JBE700" s="1349"/>
      <c r="JBF700" s="1349"/>
      <c r="JBG700" s="1349"/>
      <c r="JBH700" s="1349"/>
      <c r="JBI700" s="1349"/>
      <c r="JBJ700" s="1349"/>
      <c r="JBK700" s="1349"/>
      <c r="JBL700" s="1349"/>
      <c r="JBM700" s="1349"/>
      <c r="JBN700" s="1349"/>
      <c r="JBO700" s="1349"/>
      <c r="JBP700" s="1349"/>
      <c r="JBQ700" s="1349"/>
      <c r="JBR700" s="1349"/>
      <c r="JBS700" s="1349"/>
      <c r="JBT700" s="1349"/>
      <c r="JBU700" s="1349"/>
      <c r="JBV700" s="1349"/>
      <c r="JBW700" s="1349"/>
      <c r="JBX700" s="1349"/>
      <c r="JBY700" s="1349"/>
      <c r="JBZ700" s="1349"/>
      <c r="JCA700" s="1349"/>
      <c r="JCB700" s="1349"/>
      <c r="JCC700" s="1349"/>
      <c r="JCD700" s="1349"/>
      <c r="JCE700" s="1349"/>
      <c r="JCF700" s="1349"/>
      <c r="JCG700" s="1349"/>
      <c r="JCH700" s="1349"/>
      <c r="JCI700" s="1349"/>
      <c r="JCJ700" s="1349"/>
      <c r="JCK700" s="1349"/>
      <c r="JCL700" s="1349"/>
      <c r="JCM700" s="1349"/>
      <c r="JCN700" s="1349"/>
      <c r="JCO700" s="1349"/>
      <c r="JCP700" s="1349"/>
      <c r="JCQ700" s="1349"/>
      <c r="JCR700" s="1349"/>
      <c r="JCS700" s="1349"/>
      <c r="JCT700" s="1349"/>
      <c r="JCU700" s="1349"/>
      <c r="JCV700" s="1349"/>
      <c r="JCW700" s="1349"/>
      <c r="JCX700" s="1349"/>
      <c r="JCY700" s="1349"/>
      <c r="JCZ700" s="1349"/>
      <c r="JDA700" s="1349"/>
      <c r="JDB700" s="1349"/>
      <c r="JDC700" s="1349"/>
      <c r="JDD700" s="1349"/>
      <c r="JDE700" s="1349"/>
      <c r="JDF700" s="1349"/>
      <c r="JDG700" s="1349"/>
      <c r="JDH700" s="1349"/>
      <c r="JDI700" s="1349"/>
      <c r="JDJ700" s="1349"/>
      <c r="JDK700" s="1349"/>
      <c r="JDL700" s="1349"/>
      <c r="JDM700" s="1349"/>
      <c r="JDN700" s="1349"/>
      <c r="JDO700" s="1349"/>
      <c r="JDP700" s="1349"/>
      <c r="JDQ700" s="1349"/>
      <c r="JDR700" s="1349"/>
      <c r="JDS700" s="1349"/>
      <c r="JDT700" s="1349"/>
      <c r="JDU700" s="1349"/>
      <c r="JDV700" s="1349"/>
      <c r="JDW700" s="1349"/>
      <c r="JDX700" s="1349"/>
      <c r="JDY700" s="1349"/>
      <c r="JDZ700" s="1349"/>
      <c r="JEA700" s="1349"/>
      <c r="JEB700" s="1349"/>
      <c r="JEC700" s="1349"/>
      <c r="JED700" s="1349"/>
      <c r="JEE700" s="1349"/>
      <c r="JEF700" s="1349"/>
      <c r="JEG700" s="1349"/>
      <c r="JEH700" s="1349"/>
      <c r="JEI700" s="1349"/>
      <c r="JEJ700" s="1349"/>
      <c r="JEK700" s="1349"/>
      <c r="JEL700" s="1349"/>
      <c r="JEM700" s="1349"/>
      <c r="JEN700" s="1349"/>
      <c r="JEO700" s="1349"/>
      <c r="JEP700" s="1349"/>
      <c r="JEQ700" s="1349"/>
      <c r="JER700" s="1349"/>
      <c r="JES700" s="1349"/>
      <c r="JET700" s="1349"/>
      <c r="JEU700" s="1349"/>
      <c r="JEV700" s="1349"/>
      <c r="JEW700" s="1349"/>
      <c r="JEX700" s="1349"/>
      <c r="JEY700" s="1349"/>
      <c r="JEZ700" s="1349"/>
      <c r="JFA700" s="1349"/>
      <c r="JFB700" s="1349"/>
      <c r="JFC700" s="1349"/>
      <c r="JFD700" s="1349"/>
      <c r="JFE700" s="1349"/>
      <c r="JFF700" s="1349"/>
      <c r="JFG700" s="1349"/>
      <c r="JFH700" s="1349"/>
      <c r="JFI700" s="1349"/>
      <c r="JFJ700" s="1349"/>
      <c r="JFK700" s="1349"/>
      <c r="JFL700" s="1349"/>
      <c r="JFM700" s="1349"/>
      <c r="JFN700" s="1349"/>
      <c r="JFO700" s="1349"/>
      <c r="JFP700" s="1349"/>
      <c r="JFQ700" s="1349"/>
      <c r="JFR700" s="1349"/>
      <c r="JFS700" s="1349"/>
      <c r="JFT700" s="1349"/>
      <c r="JFU700" s="1349"/>
      <c r="JFV700" s="1349"/>
      <c r="JFW700" s="1349"/>
      <c r="JFX700" s="1349"/>
      <c r="JFY700" s="1349"/>
      <c r="JFZ700" s="1349"/>
      <c r="JGA700" s="1349"/>
      <c r="JGB700" s="1349"/>
      <c r="JGC700" s="1349"/>
      <c r="JGD700" s="1349"/>
      <c r="JGE700" s="1349"/>
      <c r="JGF700" s="1349"/>
      <c r="JGG700" s="1349"/>
      <c r="JGH700" s="1349"/>
      <c r="JGI700" s="1349"/>
      <c r="JGJ700" s="1349"/>
      <c r="JGK700" s="1349"/>
      <c r="JGL700" s="1349"/>
      <c r="JGM700" s="1349"/>
      <c r="JGN700" s="1349"/>
      <c r="JGO700" s="1349"/>
      <c r="JGP700" s="1349"/>
      <c r="JGQ700" s="1349"/>
      <c r="JGR700" s="1349"/>
      <c r="JGS700" s="1349"/>
      <c r="JGT700" s="1349"/>
      <c r="JGU700" s="1349"/>
      <c r="JGV700" s="1349"/>
      <c r="JGW700" s="1349"/>
      <c r="JGX700" s="1349"/>
      <c r="JGY700" s="1349"/>
      <c r="JGZ700" s="1349"/>
      <c r="JHA700" s="1349"/>
      <c r="JHB700" s="1349"/>
      <c r="JHC700" s="1349"/>
      <c r="JHD700" s="1349"/>
      <c r="JHE700" s="1349"/>
      <c r="JHF700" s="1349"/>
      <c r="JHG700" s="1349"/>
      <c r="JHH700" s="1349"/>
      <c r="JHI700" s="1349"/>
      <c r="JHJ700" s="1349"/>
      <c r="JHK700" s="1349"/>
      <c r="JHL700" s="1349"/>
      <c r="JHM700" s="1349"/>
      <c r="JHN700" s="1349"/>
      <c r="JHO700" s="1349"/>
      <c r="JHP700" s="1349"/>
      <c r="JHQ700" s="1349"/>
      <c r="JHR700" s="1349"/>
      <c r="JHS700" s="1349"/>
      <c r="JHT700" s="1349"/>
      <c r="JHU700" s="1349"/>
      <c r="JHV700" s="1349"/>
      <c r="JHW700" s="1349"/>
      <c r="JHX700" s="1349"/>
      <c r="JHY700" s="1349"/>
      <c r="JHZ700" s="1349"/>
      <c r="JIA700" s="1349"/>
      <c r="JIB700" s="1349"/>
      <c r="JIC700" s="1349"/>
      <c r="JID700" s="1349"/>
      <c r="JIE700" s="1349"/>
      <c r="JIF700" s="1349"/>
      <c r="JIG700" s="1349"/>
      <c r="JIH700" s="1349"/>
      <c r="JII700" s="1349"/>
      <c r="JIJ700" s="1349"/>
      <c r="JIK700" s="1349"/>
      <c r="JIL700" s="1349"/>
      <c r="JIM700" s="1349"/>
      <c r="JIN700" s="1349"/>
      <c r="JIO700" s="1349"/>
      <c r="JIP700" s="1349"/>
      <c r="JIQ700" s="1349"/>
      <c r="JIR700" s="1349"/>
      <c r="JIS700" s="1349"/>
      <c r="JIT700" s="1349"/>
      <c r="JIU700" s="1349"/>
      <c r="JIV700" s="1349"/>
      <c r="JIW700" s="1349"/>
      <c r="JIX700" s="1349"/>
      <c r="JIY700" s="1349"/>
      <c r="JIZ700" s="1349"/>
      <c r="JJA700" s="1349"/>
      <c r="JJB700" s="1349"/>
      <c r="JJC700" s="1349"/>
      <c r="JJD700" s="1349"/>
      <c r="JJE700" s="1349"/>
      <c r="JJF700" s="1349"/>
      <c r="JJG700" s="1349"/>
      <c r="JJH700" s="1349"/>
      <c r="JJI700" s="1349"/>
      <c r="JJJ700" s="1349"/>
      <c r="JJK700" s="1349"/>
      <c r="JJL700" s="1349"/>
      <c r="JJM700" s="1349"/>
      <c r="JJN700" s="1349"/>
      <c r="JJO700" s="1349"/>
      <c r="JJP700" s="1349"/>
      <c r="JJQ700" s="1349"/>
      <c r="JJR700" s="1349"/>
      <c r="JJS700" s="1349"/>
      <c r="JJT700" s="1349"/>
      <c r="JJU700" s="1349"/>
      <c r="JJV700" s="1349"/>
      <c r="JJW700" s="1349"/>
      <c r="JJX700" s="1349"/>
      <c r="JJY700" s="1349"/>
      <c r="JJZ700" s="1349"/>
      <c r="JKA700" s="1349"/>
      <c r="JKB700" s="1349"/>
      <c r="JKC700" s="1349"/>
      <c r="JKD700" s="1349"/>
      <c r="JKE700" s="1349"/>
      <c r="JKF700" s="1349"/>
      <c r="JKG700" s="1349"/>
      <c r="JKH700" s="1349"/>
      <c r="JKI700" s="1349"/>
      <c r="JKJ700" s="1349"/>
      <c r="JKK700" s="1349"/>
      <c r="JKL700" s="1349"/>
      <c r="JKM700" s="1349"/>
      <c r="JKN700" s="1349"/>
      <c r="JKO700" s="1349"/>
      <c r="JKP700" s="1349"/>
      <c r="JKQ700" s="1349"/>
      <c r="JKR700" s="1349"/>
      <c r="JKS700" s="1349"/>
      <c r="JKT700" s="1349"/>
      <c r="JKU700" s="1349"/>
      <c r="JKV700" s="1349"/>
      <c r="JKW700" s="1349"/>
      <c r="JKX700" s="1349"/>
      <c r="JKY700" s="1349"/>
      <c r="JKZ700" s="1349"/>
      <c r="JLA700" s="1349"/>
      <c r="JLB700" s="1349"/>
      <c r="JLC700" s="1349"/>
      <c r="JLD700" s="1349"/>
      <c r="JLE700" s="1349"/>
      <c r="JLF700" s="1349"/>
      <c r="JLG700" s="1349"/>
      <c r="JLH700" s="1349"/>
      <c r="JLI700" s="1349"/>
      <c r="JLJ700" s="1349"/>
      <c r="JLK700" s="1349"/>
      <c r="JLL700" s="1349"/>
      <c r="JLM700" s="1349"/>
      <c r="JLN700" s="1349"/>
      <c r="JLO700" s="1349"/>
      <c r="JLP700" s="1349"/>
      <c r="JLQ700" s="1349"/>
      <c r="JLR700" s="1349"/>
      <c r="JLS700" s="1349"/>
      <c r="JLT700" s="1349"/>
      <c r="JLU700" s="1349"/>
      <c r="JLV700" s="1349"/>
      <c r="JLW700" s="1349"/>
      <c r="JLX700" s="1349"/>
      <c r="JLY700" s="1349"/>
      <c r="JLZ700" s="1349"/>
      <c r="JMA700" s="1349"/>
      <c r="JMB700" s="1349"/>
      <c r="JMC700" s="1349"/>
      <c r="JMD700" s="1349"/>
      <c r="JME700" s="1349"/>
      <c r="JMF700" s="1349"/>
      <c r="JMG700" s="1349"/>
      <c r="JMH700" s="1349"/>
      <c r="JMI700" s="1349"/>
      <c r="JMJ700" s="1349"/>
      <c r="JMK700" s="1349"/>
      <c r="JML700" s="1349"/>
      <c r="JMM700" s="1349"/>
      <c r="JMN700" s="1349"/>
      <c r="JMO700" s="1349"/>
      <c r="JMP700" s="1349"/>
      <c r="JMQ700" s="1349"/>
      <c r="JMR700" s="1349"/>
      <c r="JMS700" s="1349"/>
      <c r="JMT700" s="1349"/>
      <c r="JMU700" s="1349"/>
      <c r="JMV700" s="1349"/>
      <c r="JMW700" s="1349"/>
      <c r="JMX700" s="1349"/>
      <c r="JMY700" s="1349"/>
      <c r="JMZ700" s="1349"/>
      <c r="JNA700" s="1349"/>
      <c r="JNB700" s="1349"/>
      <c r="JNC700" s="1349"/>
      <c r="JND700" s="1349"/>
      <c r="JNE700" s="1349"/>
      <c r="JNF700" s="1349"/>
      <c r="JNG700" s="1349"/>
      <c r="JNH700" s="1349"/>
      <c r="JNI700" s="1349"/>
      <c r="JNJ700" s="1349"/>
      <c r="JNK700" s="1349"/>
      <c r="JNL700" s="1349"/>
      <c r="JNM700" s="1349"/>
      <c r="JNN700" s="1349"/>
      <c r="JNO700" s="1349"/>
      <c r="JNP700" s="1349"/>
      <c r="JNQ700" s="1349"/>
      <c r="JNR700" s="1349"/>
      <c r="JNS700" s="1349"/>
      <c r="JNT700" s="1349"/>
      <c r="JNU700" s="1349"/>
      <c r="JNV700" s="1349"/>
      <c r="JNW700" s="1349"/>
      <c r="JNX700" s="1349"/>
      <c r="JNY700" s="1349"/>
      <c r="JNZ700" s="1349"/>
      <c r="JOA700" s="1349"/>
      <c r="JOB700" s="1349"/>
      <c r="JOC700" s="1349"/>
      <c r="JOD700" s="1349"/>
      <c r="JOE700" s="1349"/>
      <c r="JOF700" s="1349"/>
      <c r="JOG700" s="1349"/>
      <c r="JOH700" s="1349"/>
      <c r="JOI700" s="1349"/>
      <c r="JOJ700" s="1349"/>
      <c r="JOK700" s="1349"/>
      <c r="JOL700" s="1349"/>
      <c r="JOM700" s="1349"/>
      <c r="JON700" s="1349"/>
      <c r="JOO700" s="1349"/>
      <c r="JOP700" s="1349"/>
      <c r="JOQ700" s="1349"/>
      <c r="JOR700" s="1349"/>
      <c r="JOS700" s="1349"/>
      <c r="JOT700" s="1349"/>
      <c r="JOU700" s="1349"/>
      <c r="JOV700" s="1349"/>
      <c r="JOW700" s="1349"/>
      <c r="JOX700" s="1349"/>
      <c r="JOY700" s="1349"/>
      <c r="JOZ700" s="1349"/>
      <c r="JPA700" s="1349"/>
      <c r="JPB700" s="1349"/>
      <c r="JPC700" s="1349"/>
      <c r="JPD700" s="1349"/>
      <c r="JPE700" s="1349"/>
      <c r="JPF700" s="1349"/>
      <c r="JPG700" s="1349"/>
      <c r="JPH700" s="1349"/>
      <c r="JPI700" s="1349"/>
      <c r="JPJ700" s="1349"/>
      <c r="JPK700" s="1349"/>
      <c r="JPL700" s="1349"/>
      <c r="JPM700" s="1349"/>
      <c r="JPN700" s="1349"/>
      <c r="JPO700" s="1349"/>
      <c r="JPP700" s="1349"/>
      <c r="JPQ700" s="1349"/>
      <c r="JPR700" s="1349"/>
      <c r="JPS700" s="1349"/>
      <c r="JPT700" s="1349"/>
      <c r="JPU700" s="1349"/>
      <c r="JPV700" s="1349"/>
      <c r="JPW700" s="1349"/>
      <c r="JPX700" s="1349"/>
      <c r="JPY700" s="1349"/>
      <c r="JPZ700" s="1349"/>
      <c r="JQA700" s="1349"/>
      <c r="JQB700" s="1349"/>
      <c r="JQC700" s="1349"/>
      <c r="JQD700" s="1349"/>
      <c r="JQE700" s="1349"/>
      <c r="JQF700" s="1349"/>
      <c r="JQG700" s="1349"/>
      <c r="JQH700" s="1349"/>
      <c r="JQI700" s="1349"/>
      <c r="JQJ700" s="1349"/>
      <c r="JQK700" s="1349"/>
      <c r="JQL700" s="1349"/>
      <c r="JQM700" s="1349"/>
      <c r="JQN700" s="1349"/>
      <c r="JQO700" s="1349"/>
      <c r="JQP700" s="1349"/>
      <c r="JQQ700" s="1349"/>
      <c r="JQR700" s="1349"/>
      <c r="JQS700" s="1349"/>
      <c r="JQT700" s="1349"/>
      <c r="JQU700" s="1349"/>
      <c r="JQV700" s="1349"/>
      <c r="JQW700" s="1349"/>
      <c r="JQX700" s="1349"/>
      <c r="JQY700" s="1349"/>
      <c r="JQZ700" s="1349"/>
      <c r="JRA700" s="1349"/>
      <c r="JRB700" s="1349"/>
      <c r="JRC700" s="1349"/>
      <c r="JRD700" s="1349"/>
      <c r="JRE700" s="1349"/>
      <c r="JRF700" s="1349"/>
      <c r="JRG700" s="1349"/>
      <c r="JRH700" s="1349"/>
      <c r="JRI700" s="1349"/>
      <c r="JRJ700" s="1349"/>
      <c r="JRK700" s="1349"/>
      <c r="JRL700" s="1349"/>
      <c r="JRM700" s="1349"/>
      <c r="JRN700" s="1349"/>
      <c r="JRO700" s="1349"/>
      <c r="JRP700" s="1349"/>
      <c r="JRQ700" s="1349"/>
      <c r="JRR700" s="1349"/>
      <c r="JRS700" s="1349"/>
      <c r="JRT700" s="1349"/>
      <c r="JRU700" s="1349"/>
      <c r="JRV700" s="1349"/>
      <c r="JRW700" s="1349"/>
      <c r="JRX700" s="1349"/>
      <c r="JRY700" s="1349"/>
      <c r="JRZ700" s="1349"/>
      <c r="JSA700" s="1349"/>
      <c r="JSB700" s="1349"/>
      <c r="JSC700" s="1349"/>
      <c r="JSD700" s="1349"/>
      <c r="JSE700" s="1349"/>
      <c r="JSF700" s="1349"/>
      <c r="JSG700" s="1349"/>
      <c r="JSH700" s="1349"/>
      <c r="JSI700" s="1349"/>
      <c r="JSJ700" s="1349"/>
      <c r="JSK700" s="1349"/>
      <c r="JSL700" s="1349"/>
      <c r="JSM700" s="1349"/>
      <c r="JSN700" s="1349"/>
      <c r="JSO700" s="1349"/>
      <c r="JSP700" s="1349"/>
      <c r="JSQ700" s="1349"/>
      <c r="JSR700" s="1349"/>
      <c r="JSS700" s="1349"/>
      <c r="JST700" s="1349"/>
      <c r="JSU700" s="1349"/>
      <c r="JSV700" s="1349"/>
      <c r="JSW700" s="1349"/>
      <c r="JSX700" s="1349"/>
      <c r="JSY700" s="1349"/>
      <c r="JSZ700" s="1349"/>
      <c r="JTA700" s="1349"/>
      <c r="JTB700" s="1349"/>
      <c r="JTC700" s="1349"/>
      <c r="JTD700" s="1349"/>
      <c r="JTE700" s="1349"/>
      <c r="JTF700" s="1349"/>
      <c r="JTG700" s="1349"/>
      <c r="JTH700" s="1349"/>
      <c r="JTI700" s="1349"/>
      <c r="JTJ700" s="1349"/>
      <c r="JTK700" s="1349"/>
      <c r="JTL700" s="1349"/>
      <c r="JTM700" s="1349"/>
      <c r="JTN700" s="1349"/>
      <c r="JTO700" s="1349"/>
      <c r="JTP700" s="1349"/>
      <c r="JTQ700" s="1349"/>
      <c r="JTR700" s="1349"/>
      <c r="JTS700" s="1349"/>
      <c r="JTT700" s="1349"/>
      <c r="JTU700" s="1349"/>
      <c r="JTV700" s="1349"/>
      <c r="JTW700" s="1349"/>
      <c r="JTX700" s="1349"/>
      <c r="JTY700" s="1349"/>
      <c r="JTZ700" s="1349"/>
      <c r="JUA700" s="1349"/>
      <c r="JUB700" s="1349"/>
      <c r="JUC700" s="1349"/>
      <c r="JUD700" s="1349"/>
      <c r="JUE700" s="1349"/>
      <c r="JUF700" s="1349"/>
      <c r="JUG700" s="1349"/>
      <c r="JUH700" s="1349"/>
      <c r="JUI700" s="1349"/>
      <c r="JUJ700" s="1349"/>
      <c r="JUK700" s="1349"/>
      <c r="JUL700" s="1349"/>
      <c r="JUM700" s="1349"/>
      <c r="JUN700" s="1349"/>
      <c r="JUO700" s="1349"/>
      <c r="JUP700" s="1349"/>
      <c r="JUQ700" s="1349"/>
      <c r="JUR700" s="1349"/>
      <c r="JUS700" s="1349"/>
      <c r="JUT700" s="1349"/>
      <c r="JUU700" s="1349"/>
      <c r="JUV700" s="1349"/>
      <c r="JUW700" s="1349"/>
      <c r="JUX700" s="1349"/>
      <c r="JUY700" s="1349"/>
      <c r="JUZ700" s="1349"/>
      <c r="JVA700" s="1349"/>
      <c r="JVB700" s="1349"/>
      <c r="JVC700" s="1349"/>
      <c r="JVD700" s="1349"/>
      <c r="JVE700" s="1349"/>
      <c r="JVF700" s="1349"/>
      <c r="JVG700" s="1349"/>
      <c r="JVH700" s="1349"/>
      <c r="JVI700" s="1349"/>
      <c r="JVJ700" s="1349"/>
      <c r="JVK700" s="1349"/>
      <c r="JVL700" s="1349"/>
      <c r="JVM700" s="1349"/>
      <c r="JVN700" s="1349"/>
      <c r="JVO700" s="1349"/>
      <c r="JVP700" s="1349"/>
      <c r="JVQ700" s="1349"/>
      <c r="JVR700" s="1349"/>
      <c r="JVS700" s="1349"/>
      <c r="JVT700" s="1349"/>
      <c r="JVU700" s="1349"/>
      <c r="JVV700" s="1349"/>
      <c r="JVW700" s="1349"/>
      <c r="JVX700" s="1349"/>
      <c r="JVY700" s="1349"/>
      <c r="JVZ700" s="1349"/>
      <c r="JWA700" s="1349"/>
      <c r="JWB700" s="1349"/>
      <c r="JWC700" s="1349"/>
      <c r="JWD700" s="1349"/>
      <c r="JWE700" s="1349"/>
      <c r="JWF700" s="1349"/>
      <c r="JWG700" s="1349"/>
      <c r="JWH700" s="1349"/>
      <c r="JWI700" s="1349"/>
      <c r="JWJ700" s="1349"/>
      <c r="JWK700" s="1349"/>
      <c r="JWL700" s="1349"/>
      <c r="JWM700" s="1349"/>
      <c r="JWN700" s="1349"/>
      <c r="JWO700" s="1349"/>
      <c r="JWP700" s="1349"/>
      <c r="JWQ700" s="1349"/>
      <c r="JWR700" s="1349"/>
      <c r="JWS700" s="1349"/>
      <c r="JWT700" s="1349"/>
      <c r="JWU700" s="1349"/>
      <c r="JWV700" s="1349"/>
      <c r="JWW700" s="1349"/>
      <c r="JWX700" s="1349"/>
      <c r="JWY700" s="1349"/>
      <c r="JWZ700" s="1349"/>
      <c r="JXA700" s="1349"/>
      <c r="JXB700" s="1349"/>
      <c r="JXC700" s="1349"/>
      <c r="JXD700" s="1349"/>
      <c r="JXE700" s="1349"/>
      <c r="JXF700" s="1349"/>
      <c r="JXG700" s="1349"/>
      <c r="JXH700" s="1349"/>
      <c r="JXI700" s="1349"/>
      <c r="JXJ700" s="1349"/>
      <c r="JXK700" s="1349"/>
      <c r="JXL700" s="1349"/>
      <c r="JXM700" s="1349"/>
      <c r="JXN700" s="1349"/>
      <c r="JXO700" s="1349"/>
      <c r="JXP700" s="1349"/>
      <c r="JXQ700" s="1349"/>
      <c r="JXR700" s="1349"/>
      <c r="JXS700" s="1349"/>
      <c r="JXT700" s="1349"/>
      <c r="JXU700" s="1349"/>
      <c r="JXV700" s="1349"/>
      <c r="JXW700" s="1349"/>
      <c r="JXX700" s="1349"/>
      <c r="JXY700" s="1349"/>
      <c r="JXZ700" s="1349"/>
      <c r="JYA700" s="1349"/>
      <c r="JYB700" s="1349"/>
      <c r="JYC700" s="1349"/>
      <c r="JYD700" s="1349"/>
      <c r="JYE700" s="1349"/>
      <c r="JYF700" s="1349"/>
      <c r="JYG700" s="1349"/>
      <c r="JYH700" s="1349"/>
      <c r="JYI700" s="1349"/>
      <c r="JYJ700" s="1349"/>
      <c r="JYK700" s="1349"/>
      <c r="JYL700" s="1349"/>
      <c r="JYM700" s="1349"/>
      <c r="JYN700" s="1349"/>
      <c r="JYO700" s="1349"/>
      <c r="JYP700" s="1349"/>
      <c r="JYQ700" s="1349"/>
      <c r="JYR700" s="1349"/>
      <c r="JYS700" s="1349"/>
      <c r="JYT700" s="1349"/>
      <c r="JYU700" s="1349"/>
      <c r="JYV700" s="1349"/>
      <c r="JYW700" s="1349"/>
      <c r="JYX700" s="1349"/>
      <c r="JYY700" s="1349"/>
      <c r="JYZ700" s="1349"/>
      <c r="JZA700" s="1349"/>
      <c r="JZB700" s="1349"/>
      <c r="JZC700" s="1349"/>
      <c r="JZD700" s="1349"/>
      <c r="JZE700" s="1349"/>
      <c r="JZF700" s="1349"/>
      <c r="JZG700" s="1349"/>
      <c r="JZH700" s="1349"/>
      <c r="JZI700" s="1349"/>
      <c r="JZJ700" s="1349"/>
      <c r="JZK700" s="1349"/>
      <c r="JZL700" s="1349"/>
      <c r="JZM700" s="1349"/>
      <c r="JZN700" s="1349"/>
      <c r="JZO700" s="1349"/>
      <c r="JZP700" s="1349"/>
      <c r="JZQ700" s="1349"/>
      <c r="JZR700" s="1349"/>
      <c r="JZS700" s="1349"/>
      <c r="JZT700" s="1349"/>
      <c r="JZU700" s="1349"/>
      <c r="JZV700" s="1349"/>
      <c r="JZW700" s="1349"/>
      <c r="JZX700" s="1349"/>
      <c r="JZY700" s="1349"/>
      <c r="JZZ700" s="1349"/>
      <c r="KAA700" s="1349"/>
      <c r="KAB700" s="1349"/>
      <c r="KAC700" s="1349"/>
      <c r="KAD700" s="1349"/>
      <c r="KAE700" s="1349"/>
      <c r="KAF700" s="1349"/>
      <c r="KAG700" s="1349"/>
      <c r="KAH700" s="1349"/>
      <c r="KAI700" s="1349"/>
      <c r="KAJ700" s="1349"/>
      <c r="KAK700" s="1349"/>
      <c r="KAL700" s="1349"/>
      <c r="KAM700" s="1349"/>
      <c r="KAN700" s="1349"/>
      <c r="KAO700" s="1349"/>
      <c r="KAP700" s="1349"/>
      <c r="KAQ700" s="1349"/>
      <c r="KAR700" s="1349"/>
      <c r="KAS700" s="1349"/>
      <c r="KAT700" s="1349"/>
      <c r="KAU700" s="1349"/>
      <c r="KAV700" s="1349"/>
      <c r="KAW700" s="1349"/>
      <c r="KAX700" s="1349"/>
      <c r="KAY700" s="1349"/>
      <c r="KAZ700" s="1349"/>
      <c r="KBA700" s="1349"/>
      <c r="KBB700" s="1349"/>
      <c r="KBC700" s="1349"/>
      <c r="KBD700" s="1349"/>
      <c r="KBE700" s="1349"/>
      <c r="KBF700" s="1349"/>
      <c r="KBG700" s="1349"/>
      <c r="KBH700" s="1349"/>
      <c r="KBI700" s="1349"/>
      <c r="KBJ700" s="1349"/>
      <c r="KBK700" s="1349"/>
      <c r="KBL700" s="1349"/>
      <c r="KBM700" s="1349"/>
      <c r="KBN700" s="1349"/>
      <c r="KBO700" s="1349"/>
      <c r="KBP700" s="1349"/>
      <c r="KBQ700" s="1349"/>
      <c r="KBR700" s="1349"/>
      <c r="KBS700" s="1349"/>
      <c r="KBT700" s="1349"/>
      <c r="KBU700" s="1349"/>
      <c r="KBV700" s="1349"/>
      <c r="KBW700" s="1349"/>
      <c r="KBX700" s="1349"/>
      <c r="KBY700" s="1349"/>
      <c r="KBZ700" s="1349"/>
      <c r="KCA700" s="1349"/>
      <c r="KCB700" s="1349"/>
      <c r="KCC700" s="1349"/>
      <c r="KCD700" s="1349"/>
      <c r="KCE700" s="1349"/>
      <c r="KCF700" s="1349"/>
      <c r="KCG700" s="1349"/>
      <c r="KCH700" s="1349"/>
      <c r="KCI700" s="1349"/>
      <c r="KCJ700" s="1349"/>
      <c r="KCK700" s="1349"/>
      <c r="KCL700" s="1349"/>
      <c r="KCM700" s="1349"/>
      <c r="KCN700" s="1349"/>
      <c r="KCO700" s="1349"/>
      <c r="KCP700" s="1349"/>
      <c r="KCQ700" s="1349"/>
      <c r="KCR700" s="1349"/>
      <c r="KCS700" s="1349"/>
      <c r="KCT700" s="1349"/>
      <c r="KCU700" s="1349"/>
      <c r="KCV700" s="1349"/>
      <c r="KCW700" s="1349"/>
      <c r="KCX700" s="1349"/>
      <c r="KCY700" s="1349"/>
      <c r="KCZ700" s="1349"/>
      <c r="KDA700" s="1349"/>
      <c r="KDB700" s="1349"/>
      <c r="KDC700" s="1349"/>
      <c r="KDD700" s="1349"/>
      <c r="KDE700" s="1349"/>
      <c r="KDF700" s="1349"/>
      <c r="KDG700" s="1349"/>
      <c r="KDH700" s="1349"/>
      <c r="KDI700" s="1349"/>
      <c r="KDJ700" s="1349"/>
      <c r="KDK700" s="1349"/>
      <c r="KDL700" s="1349"/>
      <c r="KDM700" s="1349"/>
      <c r="KDN700" s="1349"/>
      <c r="KDO700" s="1349"/>
      <c r="KDP700" s="1349"/>
      <c r="KDQ700" s="1349"/>
      <c r="KDR700" s="1349"/>
      <c r="KDS700" s="1349"/>
      <c r="KDT700" s="1349"/>
      <c r="KDU700" s="1349"/>
      <c r="KDV700" s="1349"/>
      <c r="KDW700" s="1349"/>
      <c r="KDX700" s="1349"/>
      <c r="KDY700" s="1349"/>
      <c r="KDZ700" s="1349"/>
      <c r="KEA700" s="1349"/>
      <c r="KEB700" s="1349"/>
      <c r="KEC700" s="1349"/>
      <c r="KED700" s="1349"/>
      <c r="KEE700" s="1349"/>
      <c r="KEF700" s="1349"/>
      <c r="KEG700" s="1349"/>
      <c r="KEH700" s="1349"/>
      <c r="KEI700" s="1349"/>
      <c r="KEJ700" s="1349"/>
      <c r="KEK700" s="1349"/>
      <c r="KEL700" s="1349"/>
      <c r="KEM700" s="1349"/>
      <c r="KEN700" s="1349"/>
      <c r="KEO700" s="1349"/>
      <c r="KEP700" s="1349"/>
      <c r="KEQ700" s="1349"/>
      <c r="KER700" s="1349"/>
      <c r="KES700" s="1349"/>
      <c r="KET700" s="1349"/>
      <c r="KEU700" s="1349"/>
      <c r="KEV700" s="1349"/>
      <c r="KEW700" s="1349"/>
      <c r="KEX700" s="1349"/>
      <c r="KEY700" s="1349"/>
      <c r="KEZ700" s="1349"/>
      <c r="KFA700" s="1349"/>
      <c r="KFB700" s="1349"/>
      <c r="KFC700" s="1349"/>
      <c r="KFD700" s="1349"/>
      <c r="KFE700" s="1349"/>
      <c r="KFF700" s="1349"/>
      <c r="KFG700" s="1349"/>
      <c r="KFH700" s="1349"/>
      <c r="KFI700" s="1349"/>
      <c r="KFJ700" s="1349"/>
      <c r="KFK700" s="1349"/>
      <c r="KFL700" s="1349"/>
      <c r="KFM700" s="1349"/>
      <c r="KFN700" s="1349"/>
      <c r="KFO700" s="1349"/>
      <c r="KFP700" s="1349"/>
      <c r="KFQ700" s="1349"/>
      <c r="KFR700" s="1349"/>
      <c r="KFS700" s="1349"/>
      <c r="KFT700" s="1349"/>
      <c r="KFU700" s="1349"/>
      <c r="KFV700" s="1349"/>
      <c r="KFW700" s="1349"/>
      <c r="KFX700" s="1349"/>
      <c r="KFY700" s="1349"/>
      <c r="KFZ700" s="1349"/>
      <c r="KGA700" s="1349"/>
      <c r="KGB700" s="1349"/>
      <c r="KGC700" s="1349"/>
      <c r="KGD700" s="1349"/>
      <c r="KGE700" s="1349"/>
      <c r="KGF700" s="1349"/>
      <c r="KGG700" s="1349"/>
      <c r="KGH700" s="1349"/>
      <c r="KGI700" s="1349"/>
      <c r="KGJ700" s="1349"/>
      <c r="KGK700" s="1349"/>
      <c r="KGL700" s="1349"/>
      <c r="KGM700" s="1349"/>
      <c r="KGN700" s="1349"/>
      <c r="KGO700" s="1349"/>
      <c r="KGP700" s="1349"/>
      <c r="KGQ700" s="1349"/>
      <c r="KGR700" s="1349"/>
      <c r="KGS700" s="1349"/>
      <c r="KGT700" s="1349"/>
      <c r="KGU700" s="1349"/>
      <c r="KGV700" s="1349"/>
      <c r="KGW700" s="1349"/>
      <c r="KGX700" s="1349"/>
      <c r="KGY700" s="1349"/>
      <c r="KGZ700" s="1349"/>
      <c r="KHA700" s="1349"/>
      <c r="KHB700" s="1349"/>
      <c r="KHC700" s="1349"/>
      <c r="KHD700" s="1349"/>
      <c r="KHE700" s="1349"/>
      <c r="KHF700" s="1349"/>
      <c r="KHG700" s="1349"/>
      <c r="KHH700" s="1349"/>
      <c r="KHI700" s="1349"/>
      <c r="KHJ700" s="1349"/>
      <c r="KHK700" s="1349"/>
      <c r="KHL700" s="1349"/>
      <c r="KHM700" s="1349"/>
      <c r="KHN700" s="1349"/>
      <c r="KHO700" s="1349"/>
      <c r="KHP700" s="1349"/>
      <c r="KHQ700" s="1349"/>
      <c r="KHR700" s="1349"/>
      <c r="KHS700" s="1349"/>
      <c r="KHT700" s="1349"/>
      <c r="KHU700" s="1349"/>
      <c r="KHV700" s="1349"/>
      <c r="KHW700" s="1349"/>
      <c r="KHX700" s="1349"/>
      <c r="KHY700" s="1349"/>
      <c r="KHZ700" s="1349"/>
      <c r="KIA700" s="1349"/>
      <c r="KIB700" s="1349"/>
      <c r="KIC700" s="1349"/>
      <c r="KID700" s="1349"/>
      <c r="KIE700" s="1349"/>
      <c r="KIF700" s="1349"/>
      <c r="KIG700" s="1349"/>
      <c r="KIH700" s="1349"/>
      <c r="KII700" s="1349"/>
      <c r="KIJ700" s="1349"/>
      <c r="KIK700" s="1349"/>
      <c r="KIL700" s="1349"/>
      <c r="KIM700" s="1349"/>
      <c r="KIN700" s="1349"/>
      <c r="KIO700" s="1349"/>
      <c r="KIP700" s="1349"/>
      <c r="KIQ700" s="1349"/>
      <c r="KIR700" s="1349"/>
      <c r="KIS700" s="1349"/>
      <c r="KIT700" s="1349"/>
      <c r="KIU700" s="1349"/>
      <c r="KIV700" s="1349"/>
      <c r="KIW700" s="1349"/>
      <c r="KIX700" s="1349"/>
      <c r="KIY700" s="1349"/>
      <c r="KIZ700" s="1349"/>
      <c r="KJA700" s="1349"/>
      <c r="KJB700" s="1349"/>
      <c r="KJC700" s="1349"/>
      <c r="KJD700" s="1349"/>
      <c r="KJE700" s="1349"/>
      <c r="KJF700" s="1349"/>
      <c r="KJG700" s="1349"/>
      <c r="KJH700" s="1349"/>
      <c r="KJI700" s="1349"/>
      <c r="KJJ700" s="1349"/>
      <c r="KJK700" s="1349"/>
      <c r="KJL700" s="1349"/>
      <c r="KJM700" s="1349"/>
      <c r="KJN700" s="1349"/>
      <c r="KJO700" s="1349"/>
      <c r="KJP700" s="1349"/>
      <c r="KJQ700" s="1349"/>
      <c r="KJR700" s="1349"/>
      <c r="KJS700" s="1349"/>
      <c r="KJT700" s="1349"/>
      <c r="KJU700" s="1349"/>
      <c r="KJV700" s="1349"/>
      <c r="KJW700" s="1349"/>
      <c r="KJX700" s="1349"/>
      <c r="KJY700" s="1349"/>
      <c r="KJZ700" s="1349"/>
      <c r="KKA700" s="1349"/>
      <c r="KKB700" s="1349"/>
      <c r="KKC700" s="1349"/>
      <c r="KKD700" s="1349"/>
      <c r="KKE700" s="1349"/>
      <c r="KKF700" s="1349"/>
      <c r="KKG700" s="1349"/>
      <c r="KKH700" s="1349"/>
      <c r="KKI700" s="1349"/>
      <c r="KKJ700" s="1349"/>
      <c r="KKK700" s="1349"/>
      <c r="KKL700" s="1349"/>
      <c r="KKM700" s="1349"/>
      <c r="KKN700" s="1349"/>
      <c r="KKO700" s="1349"/>
      <c r="KKP700" s="1349"/>
      <c r="KKQ700" s="1349"/>
      <c r="KKR700" s="1349"/>
      <c r="KKS700" s="1349"/>
      <c r="KKT700" s="1349"/>
      <c r="KKU700" s="1349"/>
      <c r="KKV700" s="1349"/>
      <c r="KKW700" s="1349"/>
      <c r="KKX700" s="1349"/>
      <c r="KKY700" s="1349"/>
      <c r="KKZ700" s="1349"/>
      <c r="KLA700" s="1349"/>
      <c r="KLB700" s="1349"/>
      <c r="KLC700" s="1349"/>
      <c r="KLD700" s="1349"/>
      <c r="KLE700" s="1349"/>
      <c r="KLF700" s="1349"/>
      <c r="KLG700" s="1349"/>
      <c r="KLH700" s="1349"/>
      <c r="KLI700" s="1349"/>
      <c r="KLJ700" s="1349"/>
      <c r="KLK700" s="1349"/>
      <c r="KLL700" s="1349"/>
      <c r="KLM700" s="1349"/>
      <c r="KLN700" s="1349"/>
      <c r="KLO700" s="1349"/>
      <c r="KLP700" s="1349"/>
      <c r="KLQ700" s="1349"/>
      <c r="KLR700" s="1349"/>
      <c r="KLS700" s="1349"/>
      <c r="KLT700" s="1349"/>
      <c r="KLU700" s="1349"/>
      <c r="KLV700" s="1349"/>
      <c r="KLW700" s="1349"/>
      <c r="KLX700" s="1349"/>
      <c r="KLY700" s="1349"/>
      <c r="KLZ700" s="1349"/>
      <c r="KMA700" s="1349"/>
      <c r="KMB700" s="1349"/>
      <c r="KMC700" s="1349"/>
      <c r="KMD700" s="1349"/>
      <c r="KME700" s="1349"/>
      <c r="KMF700" s="1349"/>
      <c r="KMG700" s="1349"/>
      <c r="KMH700" s="1349"/>
      <c r="KMI700" s="1349"/>
      <c r="KMJ700" s="1349"/>
      <c r="KMK700" s="1349"/>
      <c r="KML700" s="1349"/>
      <c r="KMM700" s="1349"/>
      <c r="KMN700" s="1349"/>
      <c r="KMO700" s="1349"/>
      <c r="KMP700" s="1349"/>
      <c r="KMQ700" s="1349"/>
      <c r="KMR700" s="1349"/>
      <c r="KMS700" s="1349"/>
      <c r="KMT700" s="1349"/>
      <c r="KMU700" s="1349"/>
      <c r="KMV700" s="1349"/>
      <c r="KMW700" s="1349"/>
      <c r="KMX700" s="1349"/>
      <c r="KMY700" s="1349"/>
      <c r="KMZ700" s="1349"/>
      <c r="KNA700" s="1349"/>
      <c r="KNB700" s="1349"/>
      <c r="KNC700" s="1349"/>
      <c r="KND700" s="1349"/>
      <c r="KNE700" s="1349"/>
      <c r="KNF700" s="1349"/>
      <c r="KNG700" s="1349"/>
      <c r="KNH700" s="1349"/>
      <c r="KNI700" s="1349"/>
      <c r="KNJ700" s="1349"/>
      <c r="KNK700" s="1349"/>
      <c r="KNL700" s="1349"/>
      <c r="KNM700" s="1349"/>
      <c r="KNN700" s="1349"/>
      <c r="KNO700" s="1349"/>
      <c r="KNP700" s="1349"/>
      <c r="KNQ700" s="1349"/>
      <c r="KNR700" s="1349"/>
      <c r="KNS700" s="1349"/>
      <c r="KNT700" s="1349"/>
      <c r="KNU700" s="1349"/>
      <c r="KNV700" s="1349"/>
      <c r="KNW700" s="1349"/>
      <c r="KNX700" s="1349"/>
      <c r="KNY700" s="1349"/>
      <c r="KNZ700" s="1349"/>
      <c r="KOA700" s="1349"/>
      <c r="KOB700" s="1349"/>
      <c r="KOC700" s="1349"/>
      <c r="KOD700" s="1349"/>
      <c r="KOE700" s="1349"/>
      <c r="KOF700" s="1349"/>
      <c r="KOG700" s="1349"/>
      <c r="KOH700" s="1349"/>
      <c r="KOI700" s="1349"/>
      <c r="KOJ700" s="1349"/>
      <c r="KOK700" s="1349"/>
      <c r="KOL700" s="1349"/>
      <c r="KOM700" s="1349"/>
      <c r="KON700" s="1349"/>
      <c r="KOO700" s="1349"/>
      <c r="KOP700" s="1349"/>
      <c r="KOQ700" s="1349"/>
      <c r="KOR700" s="1349"/>
      <c r="KOS700" s="1349"/>
      <c r="KOT700" s="1349"/>
      <c r="KOU700" s="1349"/>
      <c r="KOV700" s="1349"/>
      <c r="KOW700" s="1349"/>
      <c r="KOX700" s="1349"/>
      <c r="KOY700" s="1349"/>
      <c r="KOZ700" s="1349"/>
      <c r="KPA700" s="1349"/>
      <c r="KPB700" s="1349"/>
      <c r="KPC700" s="1349"/>
      <c r="KPD700" s="1349"/>
      <c r="KPE700" s="1349"/>
      <c r="KPF700" s="1349"/>
      <c r="KPG700" s="1349"/>
      <c r="KPH700" s="1349"/>
      <c r="KPI700" s="1349"/>
      <c r="KPJ700" s="1349"/>
      <c r="KPK700" s="1349"/>
      <c r="KPL700" s="1349"/>
      <c r="KPM700" s="1349"/>
      <c r="KPN700" s="1349"/>
      <c r="KPO700" s="1349"/>
      <c r="KPP700" s="1349"/>
      <c r="KPQ700" s="1349"/>
      <c r="KPR700" s="1349"/>
      <c r="KPS700" s="1349"/>
      <c r="KPT700" s="1349"/>
      <c r="KPU700" s="1349"/>
      <c r="KPV700" s="1349"/>
      <c r="KPW700" s="1349"/>
      <c r="KPX700" s="1349"/>
      <c r="KPY700" s="1349"/>
      <c r="KPZ700" s="1349"/>
      <c r="KQA700" s="1349"/>
      <c r="KQB700" s="1349"/>
      <c r="KQC700" s="1349"/>
      <c r="KQD700" s="1349"/>
      <c r="KQE700" s="1349"/>
      <c r="KQF700" s="1349"/>
      <c r="KQG700" s="1349"/>
      <c r="KQH700" s="1349"/>
      <c r="KQI700" s="1349"/>
      <c r="KQJ700" s="1349"/>
      <c r="KQK700" s="1349"/>
      <c r="KQL700" s="1349"/>
      <c r="KQM700" s="1349"/>
      <c r="KQN700" s="1349"/>
      <c r="KQO700" s="1349"/>
      <c r="KQP700" s="1349"/>
      <c r="KQQ700" s="1349"/>
      <c r="KQR700" s="1349"/>
      <c r="KQS700" s="1349"/>
      <c r="KQT700" s="1349"/>
      <c r="KQU700" s="1349"/>
      <c r="KQV700" s="1349"/>
      <c r="KQW700" s="1349"/>
      <c r="KQX700" s="1349"/>
      <c r="KQY700" s="1349"/>
      <c r="KQZ700" s="1349"/>
      <c r="KRA700" s="1349"/>
      <c r="KRB700" s="1349"/>
      <c r="KRC700" s="1349"/>
      <c r="KRD700" s="1349"/>
      <c r="KRE700" s="1349"/>
      <c r="KRF700" s="1349"/>
      <c r="KRG700" s="1349"/>
      <c r="KRH700" s="1349"/>
      <c r="KRI700" s="1349"/>
      <c r="KRJ700" s="1349"/>
      <c r="KRK700" s="1349"/>
      <c r="KRL700" s="1349"/>
      <c r="KRM700" s="1349"/>
      <c r="KRN700" s="1349"/>
      <c r="KRO700" s="1349"/>
      <c r="KRP700" s="1349"/>
      <c r="KRQ700" s="1349"/>
      <c r="KRR700" s="1349"/>
      <c r="KRS700" s="1349"/>
      <c r="KRT700" s="1349"/>
      <c r="KRU700" s="1349"/>
      <c r="KRV700" s="1349"/>
      <c r="KRW700" s="1349"/>
      <c r="KRX700" s="1349"/>
      <c r="KRY700" s="1349"/>
      <c r="KRZ700" s="1349"/>
      <c r="KSA700" s="1349"/>
      <c r="KSB700" s="1349"/>
      <c r="KSC700" s="1349"/>
      <c r="KSD700" s="1349"/>
      <c r="KSE700" s="1349"/>
      <c r="KSF700" s="1349"/>
      <c r="KSG700" s="1349"/>
      <c r="KSH700" s="1349"/>
      <c r="KSI700" s="1349"/>
      <c r="KSJ700" s="1349"/>
      <c r="KSK700" s="1349"/>
      <c r="KSL700" s="1349"/>
      <c r="KSM700" s="1349"/>
      <c r="KSN700" s="1349"/>
      <c r="KSO700" s="1349"/>
      <c r="KSP700" s="1349"/>
      <c r="KSQ700" s="1349"/>
      <c r="KSR700" s="1349"/>
      <c r="KSS700" s="1349"/>
      <c r="KST700" s="1349"/>
      <c r="KSU700" s="1349"/>
      <c r="KSV700" s="1349"/>
      <c r="KSW700" s="1349"/>
      <c r="KSX700" s="1349"/>
      <c r="KSY700" s="1349"/>
      <c r="KSZ700" s="1349"/>
      <c r="KTA700" s="1349"/>
      <c r="KTB700" s="1349"/>
      <c r="KTC700" s="1349"/>
      <c r="KTD700" s="1349"/>
      <c r="KTE700" s="1349"/>
      <c r="KTF700" s="1349"/>
      <c r="KTG700" s="1349"/>
      <c r="KTH700" s="1349"/>
      <c r="KTI700" s="1349"/>
      <c r="KTJ700" s="1349"/>
      <c r="KTK700" s="1349"/>
      <c r="KTL700" s="1349"/>
      <c r="KTM700" s="1349"/>
      <c r="KTN700" s="1349"/>
      <c r="KTO700" s="1349"/>
      <c r="KTP700" s="1349"/>
      <c r="KTQ700" s="1349"/>
      <c r="KTR700" s="1349"/>
      <c r="KTS700" s="1349"/>
      <c r="KTT700" s="1349"/>
      <c r="KTU700" s="1349"/>
      <c r="KTV700" s="1349"/>
      <c r="KTW700" s="1349"/>
      <c r="KTX700" s="1349"/>
      <c r="KTY700" s="1349"/>
      <c r="KTZ700" s="1349"/>
      <c r="KUA700" s="1349"/>
      <c r="KUB700" s="1349"/>
      <c r="KUC700" s="1349"/>
      <c r="KUD700" s="1349"/>
      <c r="KUE700" s="1349"/>
      <c r="KUF700" s="1349"/>
      <c r="KUG700" s="1349"/>
      <c r="KUH700" s="1349"/>
      <c r="KUI700" s="1349"/>
      <c r="KUJ700" s="1349"/>
      <c r="KUK700" s="1349"/>
      <c r="KUL700" s="1349"/>
      <c r="KUM700" s="1349"/>
      <c r="KUN700" s="1349"/>
      <c r="KUO700" s="1349"/>
      <c r="KUP700" s="1349"/>
      <c r="KUQ700" s="1349"/>
      <c r="KUR700" s="1349"/>
      <c r="KUS700" s="1349"/>
      <c r="KUT700" s="1349"/>
      <c r="KUU700" s="1349"/>
      <c r="KUV700" s="1349"/>
      <c r="KUW700" s="1349"/>
      <c r="KUX700" s="1349"/>
      <c r="KUY700" s="1349"/>
      <c r="KUZ700" s="1349"/>
      <c r="KVA700" s="1349"/>
      <c r="KVB700" s="1349"/>
      <c r="KVC700" s="1349"/>
      <c r="KVD700" s="1349"/>
      <c r="KVE700" s="1349"/>
      <c r="KVF700" s="1349"/>
      <c r="KVG700" s="1349"/>
      <c r="KVH700" s="1349"/>
      <c r="KVI700" s="1349"/>
      <c r="KVJ700" s="1349"/>
      <c r="KVK700" s="1349"/>
      <c r="KVL700" s="1349"/>
      <c r="KVM700" s="1349"/>
      <c r="KVN700" s="1349"/>
      <c r="KVO700" s="1349"/>
      <c r="KVP700" s="1349"/>
      <c r="KVQ700" s="1349"/>
      <c r="KVR700" s="1349"/>
      <c r="KVS700" s="1349"/>
      <c r="KVT700" s="1349"/>
      <c r="KVU700" s="1349"/>
      <c r="KVV700" s="1349"/>
      <c r="KVW700" s="1349"/>
      <c r="KVX700" s="1349"/>
      <c r="KVY700" s="1349"/>
      <c r="KVZ700" s="1349"/>
      <c r="KWA700" s="1349"/>
      <c r="KWB700" s="1349"/>
      <c r="KWC700" s="1349"/>
      <c r="KWD700" s="1349"/>
      <c r="KWE700" s="1349"/>
      <c r="KWF700" s="1349"/>
      <c r="KWG700" s="1349"/>
      <c r="KWH700" s="1349"/>
      <c r="KWI700" s="1349"/>
      <c r="KWJ700" s="1349"/>
      <c r="KWK700" s="1349"/>
      <c r="KWL700" s="1349"/>
      <c r="KWM700" s="1349"/>
      <c r="KWN700" s="1349"/>
      <c r="KWO700" s="1349"/>
      <c r="KWP700" s="1349"/>
      <c r="KWQ700" s="1349"/>
      <c r="KWR700" s="1349"/>
      <c r="KWS700" s="1349"/>
      <c r="KWT700" s="1349"/>
      <c r="KWU700" s="1349"/>
      <c r="KWV700" s="1349"/>
      <c r="KWW700" s="1349"/>
      <c r="KWX700" s="1349"/>
      <c r="KWY700" s="1349"/>
      <c r="KWZ700" s="1349"/>
      <c r="KXA700" s="1349"/>
      <c r="KXB700" s="1349"/>
      <c r="KXC700" s="1349"/>
      <c r="KXD700" s="1349"/>
      <c r="KXE700" s="1349"/>
      <c r="KXF700" s="1349"/>
      <c r="KXG700" s="1349"/>
      <c r="KXH700" s="1349"/>
      <c r="KXI700" s="1349"/>
      <c r="KXJ700" s="1349"/>
      <c r="KXK700" s="1349"/>
      <c r="KXL700" s="1349"/>
      <c r="KXM700" s="1349"/>
      <c r="KXN700" s="1349"/>
      <c r="KXO700" s="1349"/>
      <c r="KXP700" s="1349"/>
      <c r="KXQ700" s="1349"/>
      <c r="KXR700" s="1349"/>
      <c r="KXS700" s="1349"/>
      <c r="KXT700" s="1349"/>
      <c r="KXU700" s="1349"/>
      <c r="KXV700" s="1349"/>
      <c r="KXW700" s="1349"/>
      <c r="KXX700" s="1349"/>
      <c r="KXY700" s="1349"/>
      <c r="KXZ700" s="1349"/>
      <c r="KYA700" s="1349"/>
      <c r="KYB700" s="1349"/>
      <c r="KYC700" s="1349"/>
      <c r="KYD700" s="1349"/>
      <c r="KYE700" s="1349"/>
      <c r="KYF700" s="1349"/>
      <c r="KYG700" s="1349"/>
      <c r="KYH700" s="1349"/>
      <c r="KYI700" s="1349"/>
      <c r="KYJ700" s="1349"/>
      <c r="KYK700" s="1349"/>
      <c r="KYL700" s="1349"/>
      <c r="KYM700" s="1349"/>
      <c r="KYN700" s="1349"/>
      <c r="KYO700" s="1349"/>
      <c r="KYP700" s="1349"/>
      <c r="KYQ700" s="1349"/>
      <c r="KYR700" s="1349"/>
      <c r="KYS700" s="1349"/>
      <c r="KYT700" s="1349"/>
      <c r="KYU700" s="1349"/>
      <c r="KYV700" s="1349"/>
      <c r="KYW700" s="1349"/>
      <c r="KYX700" s="1349"/>
      <c r="KYY700" s="1349"/>
      <c r="KYZ700" s="1349"/>
      <c r="KZA700" s="1349"/>
      <c r="KZB700" s="1349"/>
      <c r="KZC700" s="1349"/>
      <c r="KZD700" s="1349"/>
      <c r="KZE700" s="1349"/>
      <c r="KZF700" s="1349"/>
      <c r="KZG700" s="1349"/>
      <c r="KZH700" s="1349"/>
      <c r="KZI700" s="1349"/>
      <c r="KZJ700" s="1349"/>
      <c r="KZK700" s="1349"/>
      <c r="KZL700" s="1349"/>
      <c r="KZM700" s="1349"/>
      <c r="KZN700" s="1349"/>
      <c r="KZO700" s="1349"/>
      <c r="KZP700" s="1349"/>
      <c r="KZQ700" s="1349"/>
      <c r="KZR700" s="1349"/>
      <c r="KZS700" s="1349"/>
      <c r="KZT700" s="1349"/>
      <c r="KZU700" s="1349"/>
      <c r="KZV700" s="1349"/>
      <c r="KZW700" s="1349"/>
      <c r="KZX700" s="1349"/>
      <c r="KZY700" s="1349"/>
      <c r="KZZ700" s="1349"/>
      <c r="LAA700" s="1349"/>
      <c r="LAB700" s="1349"/>
      <c r="LAC700" s="1349"/>
      <c r="LAD700" s="1349"/>
      <c r="LAE700" s="1349"/>
      <c r="LAF700" s="1349"/>
      <c r="LAG700" s="1349"/>
      <c r="LAH700" s="1349"/>
      <c r="LAI700" s="1349"/>
      <c r="LAJ700" s="1349"/>
      <c r="LAK700" s="1349"/>
      <c r="LAL700" s="1349"/>
      <c r="LAM700" s="1349"/>
      <c r="LAN700" s="1349"/>
      <c r="LAO700" s="1349"/>
      <c r="LAP700" s="1349"/>
      <c r="LAQ700" s="1349"/>
      <c r="LAR700" s="1349"/>
      <c r="LAS700" s="1349"/>
      <c r="LAT700" s="1349"/>
      <c r="LAU700" s="1349"/>
      <c r="LAV700" s="1349"/>
      <c r="LAW700" s="1349"/>
      <c r="LAX700" s="1349"/>
      <c r="LAY700" s="1349"/>
      <c r="LAZ700" s="1349"/>
      <c r="LBA700" s="1349"/>
      <c r="LBB700" s="1349"/>
      <c r="LBC700" s="1349"/>
      <c r="LBD700" s="1349"/>
      <c r="LBE700" s="1349"/>
      <c r="LBF700" s="1349"/>
      <c r="LBG700" s="1349"/>
      <c r="LBH700" s="1349"/>
      <c r="LBI700" s="1349"/>
      <c r="LBJ700" s="1349"/>
      <c r="LBK700" s="1349"/>
      <c r="LBL700" s="1349"/>
      <c r="LBM700" s="1349"/>
      <c r="LBN700" s="1349"/>
      <c r="LBO700" s="1349"/>
      <c r="LBP700" s="1349"/>
      <c r="LBQ700" s="1349"/>
      <c r="LBR700" s="1349"/>
      <c r="LBS700" s="1349"/>
      <c r="LBT700" s="1349"/>
      <c r="LBU700" s="1349"/>
      <c r="LBV700" s="1349"/>
      <c r="LBW700" s="1349"/>
      <c r="LBX700" s="1349"/>
      <c r="LBY700" s="1349"/>
      <c r="LBZ700" s="1349"/>
      <c r="LCA700" s="1349"/>
      <c r="LCB700" s="1349"/>
      <c r="LCC700" s="1349"/>
      <c r="LCD700" s="1349"/>
      <c r="LCE700" s="1349"/>
      <c r="LCF700" s="1349"/>
      <c r="LCG700" s="1349"/>
      <c r="LCH700" s="1349"/>
      <c r="LCI700" s="1349"/>
      <c r="LCJ700" s="1349"/>
      <c r="LCK700" s="1349"/>
      <c r="LCL700" s="1349"/>
      <c r="LCM700" s="1349"/>
      <c r="LCN700" s="1349"/>
      <c r="LCO700" s="1349"/>
      <c r="LCP700" s="1349"/>
      <c r="LCQ700" s="1349"/>
      <c r="LCR700" s="1349"/>
      <c r="LCS700" s="1349"/>
      <c r="LCT700" s="1349"/>
      <c r="LCU700" s="1349"/>
      <c r="LCV700" s="1349"/>
      <c r="LCW700" s="1349"/>
      <c r="LCX700" s="1349"/>
      <c r="LCY700" s="1349"/>
      <c r="LCZ700" s="1349"/>
      <c r="LDA700" s="1349"/>
      <c r="LDB700" s="1349"/>
      <c r="LDC700" s="1349"/>
      <c r="LDD700" s="1349"/>
      <c r="LDE700" s="1349"/>
      <c r="LDF700" s="1349"/>
      <c r="LDG700" s="1349"/>
      <c r="LDH700" s="1349"/>
      <c r="LDI700" s="1349"/>
      <c r="LDJ700" s="1349"/>
      <c r="LDK700" s="1349"/>
      <c r="LDL700" s="1349"/>
      <c r="LDM700" s="1349"/>
      <c r="LDN700" s="1349"/>
      <c r="LDO700" s="1349"/>
      <c r="LDP700" s="1349"/>
      <c r="LDQ700" s="1349"/>
      <c r="LDR700" s="1349"/>
      <c r="LDS700" s="1349"/>
      <c r="LDT700" s="1349"/>
      <c r="LDU700" s="1349"/>
      <c r="LDV700" s="1349"/>
      <c r="LDW700" s="1349"/>
      <c r="LDX700" s="1349"/>
      <c r="LDY700" s="1349"/>
      <c r="LDZ700" s="1349"/>
      <c r="LEA700" s="1349"/>
      <c r="LEB700" s="1349"/>
      <c r="LEC700" s="1349"/>
      <c r="LED700" s="1349"/>
      <c r="LEE700" s="1349"/>
      <c r="LEF700" s="1349"/>
      <c r="LEG700" s="1349"/>
      <c r="LEH700" s="1349"/>
      <c r="LEI700" s="1349"/>
      <c r="LEJ700" s="1349"/>
      <c r="LEK700" s="1349"/>
      <c r="LEL700" s="1349"/>
      <c r="LEM700" s="1349"/>
      <c r="LEN700" s="1349"/>
      <c r="LEO700" s="1349"/>
      <c r="LEP700" s="1349"/>
      <c r="LEQ700" s="1349"/>
      <c r="LER700" s="1349"/>
      <c r="LES700" s="1349"/>
      <c r="LET700" s="1349"/>
      <c r="LEU700" s="1349"/>
      <c r="LEV700" s="1349"/>
      <c r="LEW700" s="1349"/>
      <c r="LEX700" s="1349"/>
      <c r="LEY700" s="1349"/>
      <c r="LEZ700" s="1349"/>
      <c r="LFA700" s="1349"/>
      <c r="LFB700" s="1349"/>
      <c r="LFC700" s="1349"/>
      <c r="LFD700" s="1349"/>
      <c r="LFE700" s="1349"/>
      <c r="LFF700" s="1349"/>
      <c r="LFG700" s="1349"/>
      <c r="LFH700" s="1349"/>
      <c r="LFI700" s="1349"/>
      <c r="LFJ700" s="1349"/>
      <c r="LFK700" s="1349"/>
      <c r="LFL700" s="1349"/>
      <c r="LFM700" s="1349"/>
      <c r="LFN700" s="1349"/>
      <c r="LFO700" s="1349"/>
      <c r="LFP700" s="1349"/>
      <c r="LFQ700" s="1349"/>
      <c r="LFR700" s="1349"/>
      <c r="LFS700" s="1349"/>
      <c r="LFT700" s="1349"/>
      <c r="LFU700" s="1349"/>
      <c r="LFV700" s="1349"/>
      <c r="LFW700" s="1349"/>
      <c r="LFX700" s="1349"/>
      <c r="LFY700" s="1349"/>
      <c r="LFZ700" s="1349"/>
      <c r="LGA700" s="1349"/>
      <c r="LGB700" s="1349"/>
      <c r="LGC700" s="1349"/>
      <c r="LGD700" s="1349"/>
      <c r="LGE700" s="1349"/>
      <c r="LGF700" s="1349"/>
      <c r="LGG700" s="1349"/>
      <c r="LGH700" s="1349"/>
      <c r="LGI700" s="1349"/>
      <c r="LGJ700" s="1349"/>
      <c r="LGK700" s="1349"/>
      <c r="LGL700" s="1349"/>
      <c r="LGM700" s="1349"/>
      <c r="LGN700" s="1349"/>
      <c r="LGO700" s="1349"/>
      <c r="LGP700" s="1349"/>
      <c r="LGQ700" s="1349"/>
      <c r="LGR700" s="1349"/>
      <c r="LGS700" s="1349"/>
      <c r="LGT700" s="1349"/>
      <c r="LGU700" s="1349"/>
      <c r="LGV700" s="1349"/>
      <c r="LGW700" s="1349"/>
      <c r="LGX700" s="1349"/>
      <c r="LGY700" s="1349"/>
      <c r="LGZ700" s="1349"/>
      <c r="LHA700" s="1349"/>
      <c r="LHB700" s="1349"/>
      <c r="LHC700" s="1349"/>
      <c r="LHD700" s="1349"/>
      <c r="LHE700" s="1349"/>
      <c r="LHF700" s="1349"/>
      <c r="LHG700" s="1349"/>
      <c r="LHH700" s="1349"/>
      <c r="LHI700" s="1349"/>
      <c r="LHJ700" s="1349"/>
      <c r="LHK700" s="1349"/>
      <c r="LHL700" s="1349"/>
      <c r="LHM700" s="1349"/>
      <c r="LHN700" s="1349"/>
      <c r="LHO700" s="1349"/>
      <c r="LHP700" s="1349"/>
      <c r="LHQ700" s="1349"/>
      <c r="LHR700" s="1349"/>
      <c r="LHS700" s="1349"/>
      <c r="LHT700" s="1349"/>
      <c r="LHU700" s="1349"/>
      <c r="LHV700" s="1349"/>
      <c r="LHW700" s="1349"/>
      <c r="LHX700" s="1349"/>
      <c r="LHY700" s="1349"/>
      <c r="LHZ700" s="1349"/>
      <c r="LIA700" s="1349"/>
      <c r="LIB700" s="1349"/>
      <c r="LIC700" s="1349"/>
      <c r="LID700" s="1349"/>
      <c r="LIE700" s="1349"/>
      <c r="LIF700" s="1349"/>
      <c r="LIG700" s="1349"/>
      <c r="LIH700" s="1349"/>
      <c r="LII700" s="1349"/>
      <c r="LIJ700" s="1349"/>
      <c r="LIK700" s="1349"/>
      <c r="LIL700" s="1349"/>
      <c r="LIM700" s="1349"/>
      <c r="LIN700" s="1349"/>
      <c r="LIO700" s="1349"/>
      <c r="LIP700" s="1349"/>
      <c r="LIQ700" s="1349"/>
      <c r="LIR700" s="1349"/>
      <c r="LIS700" s="1349"/>
      <c r="LIT700" s="1349"/>
      <c r="LIU700" s="1349"/>
      <c r="LIV700" s="1349"/>
      <c r="LIW700" s="1349"/>
      <c r="LIX700" s="1349"/>
      <c r="LIY700" s="1349"/>
      <c r="LIZ700" s="1349"/>
      <c r="LJA700" s="1349"/>
      <c r="LJB700" s="1349"/>
      <c r="LJC700" s="1349"/>
      <c r="LJD700" s="1349"/>
      <c r="LJE700" s="1349"/>
      <c r="LJF700" s="1349"/>
      <c r="LJG700" s="1349"/>
      <c r="LJH700" s="1349"/>
      <c r="LJI700" s="1349"/>
      <c r="LJJ700" s="1349"/>
      <c r="LJK700" s="1349"/>
      <c r="LJL700" s="1349"/>
      <c r="LJM700" s="1349"/>
      <c r="LJN700" s="1349"/>
      <c r="LJO700" s="1349"/>
      <c r="LJP700" s="1349"/>
      <c r="LJQ700" s="1349"/>
      <c r="LJR700" s="1349"/>
      <c r="LJS700" s="1349"/>
      <c r="LJT700" s="1349"/>
      <c r="LJU700" s="1349"/>
      <c r="LJV700" s="1349"/>
      <c r="LJW700" s="1349"/>
      <c r="LJX700" s="1349"/>
      <c r="LJY700" s="1349"/>
      <c r="LJZ700" s="1349"/>
      <c r="LKA700" s="1349"/>
      <c r="LKB700" s="1349"/>
      <c r="LKC700" s="1349"/>
      <c r="LKD700" s="1349"/>
      <c r="LKE700" s="1349"/>
      <c r="LKF700" s="1349"/>
      <c r="LKG700" s="1349"/>
      <c r="LKH700" s="1349"/>
      <c r="LKI700" s="1349"/>
      <c r="LKJ700" s="1349"/>
      <c r="LKK700" s="1349"/>
      <c r="LKL700" s="1349"/>
      <c r="LKM700" s="1349"/>
      <c r="LKN700" s="1349"/>
      <c r="LKO700" s="1349"/>
      <c r="LKP700" s="1349"/>
      <c r="LKQ700" s="1349"/>
      <c r="LKR700" s="1349"/>
      <c r="LKS700" s="1349"/>
      <c r="LKT700" s="1349"/>
      <c r="LKU700" s="1349"/>
      <c r="LKV700" s="1349"/>
      <c r="LKW700" s="1349"/>
      <c r="LKX700" s="1349"/>
      <c r="LKY700" s="1349"/>
      <c r="LKZ700" s="1349"/>
      <c r="LLA700" s="1349"/>
      <c r="LLB700" s="1349"/>
      <c r="LLC700" s="1349"/>
      <c r="LLD700" s="1349"/>
      <c r="LLE700" s="1349"/>
      <c r="LLF700" s="1349"/>
      <c r="LLG700" s="1349"/>
      <c r="LLH700" s="1349"/>
      <c r="LLI700" s="1349"/>
      <c r="LLJ700" s="1349"/>
      <c r="LLK700" s="1349"/>
      <c r="LLL700" s="1349"/>
      <c r="LLM700" s="1349"/>
      <c r="LLN700" s="1349"/>
      <c r="LLO700" s="1349"/>
      <c r="LLP700" s="1349"/>
      <c r="LLQ700" s="1349"/>
      <c r="LLR700" s="1349"/>
      <c r="LLS700" s="1349"/>
      <c r="LLT700" s="1349"/>
      <c r="LLU700" s="1349"/>
      <c r="LLV700" s="1349"/>
      <c r="LLW700" s="1349"/>
      <c r="LLX700" s="1349"/>
      <c r="LLY700" s="1349"/>
      <c r="LLZ700" s="1349"/>
      <c r="LMA700" s="1349"/>
      <c r="LMB700" s="1349"/>
      <c r="LMC700" s="1349"/>
      <c r="LMD700" s="1349"/>
      <c r="LME700" s="1349"/>
      <c r="LMF700" s="1349"/>
      <c r="LMG700" s="1349"/>
      <c r="LMH700" s="1349"/>
      <c r="LMI700" s="1349"/>
      <c r="LMJ700" s="1349"/>
      <c r="LMK700" s="1349"/>
      <c r="LML700" s="1349"/>
      <c r="LMM700" s="1349"/>
      <c r="LMN700" s="1349"/>
      <c r="LMO700" s="1349"/>
      <c r="LMP700" s="1349"/>
      <c r="LMQ700" s="1349"/>
      <c r="LMR700" s="1349"/>
      <c r="LMS700" s="1349"/>
      <c r="LMT700" s="1349"/>
      <c r="LMU700" s="1349"/>
      <c r="LMV700" s="1349"/>
      <c r="LMW700" s="1349"/>
      <c r="LMX700" s="1349"/>
      <c r="LMY700" s="1349"/>
      <c r="LMZ700" s="1349"/>
      <c r="LNA700" s="1349"/>
      <c r="LNB700" s="1349"/>
      <c r="LNC700" s="1349"/>
      <c r="LND700" s="1349"/>
      <c r="LNE700" s="1349"/>
      <c r="LNF700" s="1349"/>
      <c r="LNG700" s="1349"/>
      <c r="LNH700" s="1349"/>
      <c r="LNI700" s="1349"/>
      <c r="LNJ700" s="1349"/>
      <c r="LNK700" s="1349"/>
      <c r="LNL700" s="1349"/>
      <c r="LNM700" s="1349"/>
      <c r="LNN700" s="1349"/>
      <c r="LNO700" s="1349"/>
      <c r="LNP700" s="1349"/>
      <c r="LNQ700" s="1349"/>
      <c r="LNR700" s="1349"/>
      <c r="LNS700" s="1349"/>
      <c r="LNT700" s="1349"/>
      <c r="LNU700" s="1349"/>
      <c r="LNV700" s="1349"/>
      <c r="LNW700" s="1349"/>
      <c r="LNX700" s="1349"/>
      <c r="LNY700" s="1349"/>
      <c r="LNZ700" s="1349"/>
      <c r="LOA700" s="1349"/>
      <c r="LOB700" s="1349"/>
      <c r="LOC700" s="1349"/>
      <c r="LOD700" s="1349"/>
      <c r="LOE700" s="1349"/>
      <c r="LOF700" s="1349"/>
      <c r="LOG700" s="1349"/>
      <c r="LOH700" s="1349"/>
      <c r="LOI700" s="1349"/>
      <c r="LOJ700" s="1349"/>
      <c r="LOK700" s="1349"/>
      <c r="LOL700" s="1349"/>
      <c r="LOM700" s="1349"/>
      <c r="LON700" s="1349"/>
      <c r="LOO700" s="1349"/>
      <c r="LOP700" s="1349"/>
      <c r="LOQ700" s="1349"/>
      <c r="LOR700" s="1349"/>
      <c r="LOS700" s="1349"/>
      <c r="LOT700" s="1349"/>
      <c r="LOU700" s="1349"/>
      <c r="LOV700" s="1349"/>
      <c r="LOW700" s="1349"/>
      <c r="LOX700" s="1349"/>
      <c r="LOY700" s="1349"/>
      <c r="LOZ700" s="1349"/>
      <c r="LPA700" s="1349"/>
      <c r="LPB700" s="1349"/>
      <c r="LPC700" s="1349"/>
      <c r="LPD700" s="1349"/>
      <c r="LPE700" s="1349"/>
      <c r="LPF700" s="1349"/>
      <c r="LPG700" s="1349"/>
      <c r="LPH700" s="1349"/>
      <c r="LPI700" s="1349"/>
      <c r="LPJ700" s="1349"/>
      <c r="LPK700" s="1349"/>
      <c r="LPL700" s="1349"/>
      <c r="LPM700" s="1349"/>
      <c r="LPN700" s="1349"/>
      <c r="LPO700" s="1349"/>
      <c r="LPP700" s="1349"/>
      <c r="LPQ700" s="1349"/>
      <c r="LPR700" s="1349"/>
      <c r="LPS700" s="1349"/>
      <c r="LPT700" s="1349"/>
      <c r="LPU700" s="1349"/>
      <c r="LPV700" s="1349"/>
      <c r="LPW700" s="1349"/>
      <c r="LPX700" s="1349"/>
      <c r="LPY700" s="1349"/>
      <c r="LPZ700" s="1349"/>
      <c r="LQA700" s="1349"/>
      <c r="LQB700" s="1349"/>
      <c r="LQC700" s="1349"/>
      <c r="LQD700" s="1349"/>
      <c r="LQE700" s="1349"/>
      <c r="LQF700" s="1349"/>
      <c r="LQG700" s="1349"/>
      <c r="LQH700" s="1349"/>
      <c r="LQI700" s="1349"/>
      <c r="LQJ700" s="1349"/>
      <c r="LQK700" s="1349"/>
      <c r="LQL700" s="1349"/>
      <c r="LQM700" s="1349"/>
      <c r="LQN700" s="1349"/>
      <c r="LQO700" s="1349"/>
      <c r="LQP700" s="1349"/>
      <c r="LQQ700" s="1349"/>
      <c r="LQR700" s="1349"/>
      <c r="LQS700" s="1349"/>
      <c r="LQT700" s="1349"/>
      <c r="LQU700" s="1349"/>
      <c r="LQV700" s="1349"/>
      <c r="LQW700" s="1349"/>
      <c r="LQX700" s="1349"/>
      <c r="LQY700" s="1349"/>
      <c r="LQZ700" s="1349"/>
      <c r="LRA700" s="1349"/>
      <c r="LRB700" s="1349"/>
      <c r="LRC700" s="1349"/>
      <c r="LRD700" s="1349"/>
      <c r="LRE700" s="1349"/>
      <c r="LRF700" s="1349"/>
      <c r="LRG700" s="1349"/>
      <c r="LRH700" s="1349"/>
      <c r="LRI700" s="1349"/>
      <c r="LRJ700" s="1349"/>
      <c r="LRK700" s="1349"/>
      <c r="LRL700" s="1349"/>
      <c r="LRM700" s="1349"/>
      <c r="LRN700" s="1349"/>
      <c r="LRO700" s="1349"/>
      <c r="LRP700" s="1349"/>
      <c r="LRQ700" s="1349"/>
      <c r="LRR700" s="1349"/>
      <c r="LRS700" s="1349"/>
      <c r="LRT700" s="1349"/>
      <c r="LRU700" s="1349"/>
      <c r="LRV700" s="1349"/>
      <c r="LRW700" s="1349"/>
      <c r="LRX700" s="1349"/>
      <c r="LRY700" s="1349"/>
      <c r="LRZ700" s="1349"/>
      <c r="LSA700" s="1349"/>
      <c r="LSB700" s="1349"/>
      <c r="LSC700" s="1349"/>
      <c r="LSD700" s="1349"/>
      <c r="LSE700" s="1349"/>
      <c r="LSF700" s="1349"/>
      <c r="LSG700" s="1349"/>
      <c r="LSH700" s="1349"/>
      <c r="LSI700" s="1349"/>
      <c r="LSJ700" s="1349"/>
      <c r="LSK700" s="1349"/>
      <c r="LSL700" s="1349"/>
      <c r="LSM700" s="1349"/>
      <c r="LSN700" s="1349"/>
      <c r="LSO700" s="1349"/>
      <c r="LSP700" s="1349"/>
      <c r="LSQ700" s="1349"/>
      <c r="LSR700" s="1349"/>
      <c r="LSS700" s="1349"/>
      <c r="LST700" s="1349"/>
      <c r="LSU700" s="1349"/>
      <c r="LSV700" s="1349"/>
      <c r="LSW700" s="1349"/>
      <c r="LSX700" s="1349"/>
      <c r="LSY700" s="1349"/>
      <c r="LSZ700" s="1349"/>
      <c r="LTA700" s="1349"/>
      <c r="LTB700" s="1349"/>
      <c r="LTC700" s="1349"/>
      <c r="LTD700" s="1349"/>
      <c r="LTE700" s="1349"/>
      <c r="LTF700" s="1349"/>
      <c r="LTG700" s="1349"/>
      <c r="LTH700" s="1349"/>
      <c r="LTI700" s="1349"/>
      <c r="LTJ700" s="1349"/>
      <c r="LTK700" s="1349"/>
      <c r="LTL700" s="1349"/>
      <c r="LTM700" s="1349"/>
      <c r="LTN700" s="1349"/>
      <c r="LTO700" s="1349"/>
      <c r="LTP700" s="1349"/>
      <c r="LTQ700" s="1349"/>
      <c r="LTR700" s="1349"/>
      <c r="LTS700" s="1349"/>
      <c r="LTT700" s="1349"/>
      <c r="LTU700" s="1349"/>
      <c r="LTV700" s="1349"/>
      <c r="LTW700" s="1349"/>
      <c r="LTX700" s="1349"/>
      <c r="LTY700" s="1349"/>
      <c r="LTZ700" s="1349"/>
      <c r="LUA700" s="1349"/>
      <c r="LUB700" s="1349"/>
      <c r="LUC700" s="1349"/>
      <c r="LUD700" s="1349"/>
      <c r="LUE700" s="1349"/>
      <c r="LUF700" s="1349"/>
      <c r="LUG700" s="1349"/>
      <c r="LUH700" s="1349"/>
      <c r="LUI700" s="1349"/>
      <c r="LUJ700" s="1349"/>
      <c r="LUK700" s="1349"/>
      <c r="LUL700" s="1349"/>
      <c r="LUM700" s="1349"/>
      <c r="LUN700" s="1349"/>
      <c r="LUO700" s="1349"/>
      <c r="LUP700" s="1349"/>
      <c r="LUQ700" s="1349"/>
      <c r="LUR700" s="1349"/>
      <c r="LUS700" s="1349"/>
      <c r="LUT700" s="1349"/>
      <c r="LUU700" s="1349"/>
      <c r="LUV700" s="1349"/>
      <c r="LUW700" s="1349"/>
      <c r="LUX700" s="1349"/>
      <c r="LUY700" s="1349"/>
      <c r="LUZ700" s="1349"/>
      <c r="LVA700" s="1349"/>
      <c r="LVB700" s="1349"/>
      <c r="LVC700" s="1349"/>
      <c r="LVD700" s="1349"/>
      <c r="LVE700" s="1349"/>
      <c r="LVF700" s="1349"/>
      <c r="LVG700" s="1349"/>
      <c r="LVH700" s="1349"/>
      <c r="LVI700" s="1349"/>
      <c r="LVJ700" s="1349"/>
      <c r="LVK700" s="1349"/>
      <c r="LVL700" s="1349"/>
      <c r="LVM700" s="1349"/>
      <c r="LVN700" s="1349"/>
      <c r="LVO700" s="1349"/>
      <c r="LVP700" s="1349"/>
      <c r="LVQ700" s="1349"/>
      <c r="LVR700" s="1349"/>
      <c r="LVS700" s="1349"/>
      <c r="LVT700" s="1349"/>
      <c r="LVU700" s="1349"/>
      <c r="LVV700" s="1349"/>
      <c r="LVW700" s="1349"/>
      <c r="LVX700" s="1349"/>
      <c r="LVY700" s="1349"/>
      <c r="LVZ700" s="1349"/>
      <c r="LWA700" s="1349"/>
      <c r="LWB700" s="1349"/>
      <c r="LWC700" s="1349"/>
      <c r="LWD700" s="1349"/>
      <c r="LWE700" s="1349"/>
      <c r="LWF700" s="1349"/>
      <c r="LWG700" s="1349"/>
      <c r="LWH700" s="1349"/>
      <c r="LWI700" s="1349"/>
      <c r="LWJ700" s="1349"/>
      <c r="LWK700" s="1349"/>
      <c r="LWL700" s="1349"/>
      <c r="LWM700" s="1349"/>
      <c r="LWN700" s="1349"/>
      <c r="LWO700" s="1349"/>
      <c r="LWP700" s="1349"/>
      <c r="LWQ700" s="1349"/>
      <c r="LWR700" s="1349"/>
      <c r="LWS700" s="1349"/>
      <c r="LWT700" s="1349"/>
      <c r="LWU700" s="1349"/>
      <c r="LWV700" s="1349"/>
      <c r="LWW700" s="1349"/>
      <c r="LWX700" s="1349"/>
      <c r="LWY700" s="1349"/>
      <c r="LWZ700" s="1349"/>
      <c r="LXA700" s="1349"/>
      <c r="LXB700" s="1349"/>
      <c r="LXC700" s="1349"/>
      <c r="LXD700" s="1349"/>
      <c r="LXE700" s="1349"/>
      <c r="LXF700" s="1349"/>
      <c r="LXG700" s="1349"/>
      <c r="LXH700" s="1349"/>
      <c r="LXI700" s="1349"/>
      <c r="LXJ700" s="1349"/>
      <c r="LXK700" s="1349"/>
      <c r="LXL700" s="1349"/>
      <c r="LXM700" s="1349"/>
      <c r="LXN700" s="1349"/>
      <c r="LXO700" s="1349"/>
      <c r="LXP700" s="1349"/>
      <c r="LXQ700" s="1349"/>
      <c r="LXR700" s="1349"/>
      <c r="LXS700" s="1349"/>
      <c r="LXT700" s="1349"/>
      <c r="LXU700" s="1349"/>
      <c r="LXV700" s="1349"/>
      <c r="LXW700" s="1349"/>
      <c r="LXX700" s="1349"/>
      <c r="LXY700" s="1349"/>
      <c r="LXZ700" s="1349"/>
      <c r="LYA700" s="1349"/>
      <c r="LYB700" s="1349"/>
      <c r="LYC700" s="1349"/>
      <c r="LYD700" s="1349"/>
      <c r="LYE700" s="1349"/>
      <c r="LYF700" s="1349"/>
      <c r="LYG700" s="1349"/>
      <c r="LYH700" s="1349"/>
      <c r="LYI700" s="1349"/>
      <c r="LYJ700" s="1349"/>
      <c r="LYK700" s="1349"/>
      <c r="LYL700" s="1349"/>
      <c r="LYM700" s="1349"/>
      <c r="LYN700" s="1349"/>
      <c r="LYO700" s="1349"/>
      <c r="LYP700" s="1349"/>
      <c r="LYQ700" s="1349"/>
      <c r="LYR700" s="1349"/>
      <c r="LYS700" s="1349"/>
      <c r="LYT700" s="1349"/>
      <c r="LYU700" s="1349"/>
      <c r="LYV700" s="1349"/>
      <c r="LYW700" s="1349"/>
      <c r="LYX700" s="1349"/>
      <c r="LYY700" s="1349"/>
      <c r="LYZ700" s="1349"/>
      <c r="LZA700" s="1349"/>
      <c r="LZB700" s="1349"/>
      <c r="LZC700" s="1349"/>
      <c r="LZD700" s="1349"/>
      <c r="LZE700" s="1349"/>
      <c r="LZF700" s="1349"/>
      <c r="LZG700" s="1349"/>
      <c r="LZH700" s="1349"/>
      <c r="LZI700" s="1349"/>
      <c r="LZJ700" s="1349"/>
      <c r="LZK700" s="1349"/>
      <c r="LZL700" s="1349"/>
      <c r="LZM700" s="1349"/>
      <c r="LZN700" s="1349"/>
      <c r="LZO700" s="1349"/>
      <c r="LZP700" s="1349"/>
      <c r="LZQ700" s="1349"/>
      <c r="LZR700" s="1349"/>
      <c r="LZS700" s="1349"/>
      <c r="LZT700" s="1349"/>
      <c r="LZU700" s="1349"/>
      <c r="LZV700" s="1349"/>
      <c r="LZW700" s="1349"/>
      <c r="LZX700" s="1349"/>
      <c r="LZY700" s="1349"/>
      <c r="LZZ700" s="1349"/>
      <c r="MAA700" s="1349"/>
      <c r="MAB700" s="1349"/>
      <c r="MAC700" s="1349"/>
      <c r="MAD700" s="1349"/>
      <c r="MAE700" s="1349"/>
      <c r="MAF700" s="1349"/>
      <c r="MAG700" s="1349"/>
      <c r="MAH700" s="1349"/>
      <c r="MAI700" s="1349"/>
      <c r="MAJ700" s="1349"/>
      <c r="MAK700" s="1349"/>
      <c r="MAL700" s="1349"/>
      <c r="MAM700" s="1349"/>
      <c r="MAN700" s="1349"/>
      <c r="MAO700" s="1349"/>
      <c r="MAP700" s="1349"/>
      <c r="MAQ700" s="1349"/>
      <c r="MAR700" s="1349"/>
      <c r="MAS700" s="1349"/>
      <c r="MAT700" s="1349"/>
      <c r="MAU700" s="1349"/>
      <c r="MAV700" s="1349"/>
      <c r="MAW700" s="1349"/>
      <c r="MAX700" s="1349"/>
      <c r="MAY700" s="1349"/>
      <c r="MAZ700" s="1349"/>
      <c r="MBA700" s="1349"/>
      <c r="MBB700" s="1349"/>
      <c r="MBC700" s="1349"/>
      <c r="MBD700" s="1349"/>
      <c r="MBE700" s="1349"/>
      <c r="MBF700" s="1349"/>
      <c r="MBG700" s="1349"/>
      <c r="MBH700" s="1349"/>
      <c r="MBI700" s="1349"/>
      <c r="MBJ700" s="1349"/>
      <c r="MBK700" s="1349"/>
      <c r="MBL700" s="1349"/>
      <c r="MBM700" s="1349"/>
      <c r="MBN700" s="1349"/>
      <c r="MBO700" s="1349"/>
      <c r="MBP700" s="1349"/>
      <c r="MBQ700" s="1349"/>
      <c r="MBR700" s="1349"/>
      <c r="MBS700" s="1349"/>
      <c r="MBT700" s="1349"/>
      <c r="MBU700" s="1349"/>
      <c r="MBV700" s="1349"/>
      <c r="MBW700" s="1349"/>
      <c r="MBX700" s="1349"/>
      <c r="MBY700" s="1349"/>
      <c r="MBZ700" s="1349"/>
      <c r="MCA700" s="1349"/>
      <c r="MCB700" s="1349"/>
      <c r="MCC700" s="1349"/>
      <c r="MCD700" s="1349"/>
      <c r="MCE700" s="1349"/>
      <c r="MCF700" s="1349"/>
      <c r="MCG700" s="1349"/>
      <c r="MCH700" s="1349"/>
      <c r="MCI700" s="1349"/>
      <c r="MCJ700" s="1349"/>
      <c r="MCK700" s="1349"/>
      <c r="MCL700" s="1349"/>
      <c r="MCM700" s="1349"/>
      <c r="MCN700" s="1349"/>
      <c r="MCO700" s="1349"/>
      <c r="MCP700" s="1349"/>
      <c r="MCQ700" s="1349"/>
      <c r="MCR700" s="1349"/>
      <c r="MCS700" s="1349"/>
      <c r="MCT700" s="1349"/>
      <c r="MCU700" s="1349"/>
      <c r="MCV700" s="1349"/>
      <c r="MCW700" s="1349"/>
      <c r="MCX700" s="1349"/>
      <c r="MCY700" s="1349"/>
      <c r="MCZ700" s="1349"/>
      <c r="MDA700" s="1349"/>
      <c r="MDB700" s="1349"/>
      <c r="MDC700" s="1349"/>
      <c r="MDD700" s="1349"/>
      <c r="MDE700" s="1349"/>
      <c r="MDF700" s="1349"/>
      <c r="MDG700" s="1349"/>
      <c r="MDH700" s="1349"/>
      <c r="MDI700" s="1349"/>
      <c r="MDJ700" s="1349"/>
      <c r="MDK700" s="1349"/>
      <c r="MDL700" s="1349"/>
      <c r="MDM700" s="1349"/>
      <c r="MDN700" s="1349"/>
      <c r="MDO700" s="1349"/>
      <c r="MDP700" s="1349"/>
      <c r="MDQ700" s="1349"/>
      <c r="MDR700" s="1349"/>
      <c r="MDS700" s="1349"/>
      <c r="MDT700" s="1349"/>
      <c r="MDU700" s="1349"/>
      <c r="MDV700" s="1349"/>
      <c r="MDW700" s="1349"/>
      <c r="MDX700" s="1349"/>
      <c r="MDY700" s="1349"/>
      <c r="MDZ700" s="1349"/>
      <c r="MEA700" s="1349"/>
      <c r="MEB700" s="1349"/>
      <c r="MEC700" s="1349"/>
      <c r="MED700" s="1349"/>
      <c r="MEE700" s="1349"/>
      <c r="MEF700" s="1349"/>
      <c r="MEG700" s="1349"/>
      <c r="MEH700" s="1349"/>
      <c r="MEI700" s="1349"/>
      <c r="MEJ700" s="1349"/>
      <c r="MEK700" s="1349"/>
      <c r="MEL700" s="1349"/>
      <c r="MEM700" s="1349"/>
      <c r="MEN700" s="1349"/>
      <c r="MEO700" s="1349"/>
      <c r="MEP700" s="1349"/>
      <c r="MEQ700" s="1349"/>
      <c r="MER700" s="1349"/>
      <c r="MES700" s="1349"/>
      <c r="MET700" s="1349"/>
      <c r="MEU700" s="1349"/>
      <c r="MEV700" s="1349"/>
      <c r="MEW700" s="1349"/>
      <c r="MEX700" s="1349"/>
      <c r="MEY700" s="1349"/>
      <c r="MEZ700" s="1349"/>
      <c r="MFA700" s="1349"/>
      <c r="MFB700" s="1349"/>
      <c r="MFC700" s="1349"/>
      <c r="MFD700" s="1349"/>
      <c r="MFE700" s="1349"/>
      <c r="MFF700" s="1349"/>
      <c r="MFG700" s="1349"/>
      <c r="MFH700" s="1349"/>
      <c r="MFI700" s="1349"/>
      <c r="MFJ700" s="1349"/>
      <c r="MFK700" s="1349"/>
      <c r="MFL700" s="1349"/>
      <c r="MFM700" s="1349"/>
      <c r="MFN700" s="1349"/>
      <c r="MFO700" s="1349"/>
      <c r="MFP700" s="1349"/>
      <c r="MFQ700" s="1349"/>
      <c r="MFR700" s="1349"/>
      <c r="MFS700" s="1349"/>
      <c r="MFT700" s="1349"/>
      <c r="MFU700" s="1349"/>
      <c r="MFV700" s="1349"/>
      <c r="MFW700" s="1349"/>
      <c r="MFX700" s="1349"/>
      <c r="MFY700" s="1349"/>
      <c r="MFZ700" s="1349"/>
      <c r="MGA700" s="1349"/>
      <c r="MGB700" s="1349"/>
      <c r="MGC700" s="1349"/>
      <c r="MGD700" s="1349"/>
      <c r="MGE700" s="1349"/>
      <c r="MGF700" s="1349"/>
      <c r="MGG700" s="1349"/>
      <c r="MGH700" s="1349"/>
      <c r="MGI700" s="1349"/>
      <c r="MGJ700" s="1349"/>
      <c r="MGK700" s="1349"/>
      <c r="MGL700" s="1349"/>
      <c r="MGM700" s="1349"/>
      <c r="MGN700" s="1349"/>
      <c r="MGO700" s="1349"/>
      <c r="MGP700" s="1349"/>
      <c r="MGQ700" s="1349"/>
      <c r="MGR700" s="1349"/>
      <c r="MGS700" s="1349"/>
      <c r="MGT700" s="1349"/>
      <c r="MGU700" s="1349"/>
      <c r="MGV700" s="1349"/>
      <c r="MGW700" s="1349"/>
      <c r="MGX700" s="1349"/>
      <c r="MGY700" s="1349"/>
      <c r="MGZ700" s="1349"/>
      <c r="MHA700" s="1349"/>
      <c r="MHB700" s="1349"/>
      <c r="MHC700" s="1349"/>
      <c r="MHD700" s="1349"/>
      <c r="MHE700" s="1349"/>
      <c r="MHF700" s="1349"/>
      <c r="MHG700" s="1349"/>
      <c r="MHH700" s="1349"/>
      <c r="MHI700" s="1349"/>
      <c r="MHJ700" s="1349"/>
      <c r="MHK700" s="1349"/>
      <c r="MHL700" s="1349"/>
      <c r="MHM700" s="1349"/>
      <c r="MHN700" s="1349"/>
      <c r="MHO700" s="1349"/>
      <c r="MHP700" s="1349"/>
      <c r="MHQ700" s="1349"/>
      <c r="MHR700" s="1349"/>
      <c r="MHS700" s="1349"/>
      <c r="MHT700" s="1349"/>
      <c r="MHU700" s="1349"/>
      <c r="MHV700" s="1349"/>
      <c r="MHW700" s="1349"/>
      <c r="MHX700" s="1349"/>
      <c r="MHY700" s="1349"/>
      <c r="MHZ700" s="1349"/>
      <c r="MIA700" s="1349"/>
      <c r="MIB700" s="1349"/>
      <c r="MIC700" s="1349"/>
      <c r="MID700" s="1349"/>
      <c r="MIE700" s="1349"/>
      <c r="MIF700" s="1349"/>
      <c r="MIG700" s="1349"/>
      <c r="MIH700" s="1349"/>
      <c r="MII700" s="1349"/>
      <c r="MIJ700" s="1349"/>
      <c r="MIK700" s="1349"/>
      <c r="MIL700" s="1349"/>
      <c r="MIM700" s="1349"/>
      <c r="MIN700" s="1349"/>
      <c r="MIO700" s="1349"/>
      <c r="MIP700" s="1349"/>
      <c r="MIQ700" s="1349"/>
      <c r="MIR700" s="1349"/>
      <c r="MIS700" s="1349"/>
      <c r="MIT700" s="1349"/>
      <c r="MIU700" s="1349"/>
      <c r="MIV700" s="1349"/>
      <c r="MIW700" s="1349"/>
      <c r="MIX700" s="1349"/>
      <c r="MIY700" s="1349"/>
      <c r="MIZ700" s="1349"/>
      <c r="MJA700" s="1349"/>
      <c r="MJB700" s="1349"/>
      <c r="MJC700" s="1349"/>
      <c r="MJD700" s="1349"/>
      <c r="MJE700" s="1349"/>
      <c r="MJF700" s="1349"/>
      <c r="MJG700" s="1349"/>
      <c r="MJH700" s="1349"/>
      <c r="MJI700" s="1349"/>
      <c r="MJJ700" s="1349"/>
      <c r="MJK700" s="1349"/>
      <c r="MJL700" s="1349"/>
      <c r="MJM700" s="1349"/>
      <c r="MJN700" s="1349"/>
      <c r="MJO700" s="1349"/>
      <c r="MJP700" s="1349"/>
      <c r="MJQ700" s="1349"/>
      <c r="MJR700" s="1349"/>
      <c r="MJS700" s="1349"/>
      <c r="MJT700" s="1349"/>
      <c r="MJU700" s="1349"/>
      <c r="MJV700" s="1349"/>
      <c r="MJW700" s="1349"/>
      <c r="MJX700" s="1349"/>
      <c r="MJY700" s="1349"/>
      <c r="MJZ700" s="1349"/>
      <c r="MKA700" s="1349"/>
      <c r="MKB700" s="1349"/>
      <c r="MKC700" s="1349"/>
      <c r="MKD700" s="1349"/>
      <c r="MKE700" s="1349"/>
      <c r="MKF700" s="1349"/>
      <c r="MKG700" s="1349"/>
      <c r="MKH700" s="1349"/>
      <c r="MKI700" s="1349"/>
      <c r="MKJ700" s="1349"/>
      <c r="MKK700" s="1349"/>
      <c r="MKL700" s="1349"/>
      <c r="MKM700" s="1349"/>
      <c r="MKN700" s="1349"/>
      <c r="MKO700" s="1349"/>
      <c r="MKP700" s="1349"/>
      <c r="MKQ700" s="1349"/>
      <c r="MKR700" s="1349"/>
      <c r="MKS700" s="1349"/>
      <c r="MKT700" s="1349"/>
      <c r="MKU700" s="1349"/>
      <c r="MKV700" s="1349"/>
      <c r="MKW700" s="1349"/>
      <c r="MKX700" s="1349"/>
      <c r="MKY700" s="1349"/>
      <c r="MKZ700" s="1349"/>
      <c r="MLA700" s="1349"/>
      <c r="MLB700" s="1349"/>
      <c r="MLC700" s="1349"/>
      <c r="MLD700" s="1349"/>
      <c r="MLE700" s="1349"/>
      <c r="MLF700" s="1349"/>
      <c r="MLG700" s="1349"/>
      <c r="MLH700" s="1349"/>
      <c r="MLI700" s="1349"/>
      <c r="MLJ700" s="1349"/>
      <c r="MLK700" s="1349"/>
      <c r="MLL700" s="1349"/>
      <c r="MLM700" s="1349"/>
      <c r="MLN700" s="1349"/>
      <c r="MLO700" s="1349"/>
      <c r="MLP700" s="1349"/>
      <c r="MLQ700" s="1349"/>
      <c r="MLR700" s="1349"/>
      <c r="MLS700" s="1349"/>
      <c r="MLT700" s="1349"/>
      <c r="MLU700" s="1349"/>
      <c r="MLV700" s="1349"/>
      <c r="MLW700" s="1349"/>
      <c r="MLX700" s="1349"/>
      <c r="MLY700" s="1349"/>
      <c r="MLZ700" s="1349"/>
      <c r="MMA700" s="1349"/>
      <c r="MMB700" s="1349"/>
      <c r="MMC700" s="1349"/>
      <c r="MMD700" s="1349"/>
      <c r="MME700" s="1349"/>
      <c r="MMF700" s="1349"/>
      <c r="MMG700" s="1349"/>
      <c r="MMH700" s="1349"/>
      <c r="MMI700" s="1349"/>
      <c r="MMJ700" s="1349"/>
      <c r="MMK700" s="1349"/>
      <c r="MML700" s="1349"/>
      <c r="MMM700" s="1349"/>
      <c r="MMN700" s="1349"/>
      <c r="MMO700" s="1349"/>
      <c r="MMP700" s="1349"/>
      <c r="MMQ700" s="1349"/>
      <c r="MMR700" s="1349"/>
      <c r="MMS700" s="1349"/>
      <c r="MMT700" s="1349"/>
      <c r="MMU700" s="1349"/>
      <c r="MMV700" s="1349"/>
      <c r="MMW700" s="1349"/>
      <c r="MMX700" s="1349"/>
      <c r="MMY700" s="1349"/>
      <c r="MMZ700" s="1349"/>
      <c r="MNA700" s="1349"/>
      <c r="MNB700" s="1349"/>
      <c r="MNC700" s="1349"/>
      <c r="MND700" s="1349"/>
      <c r="MNE700" s="1349"/>
      <c r="MNF700" s="1349"/>
      <c r="MNG700" s="1349"/>
      <c r="MNH700" s="1349"/>
      <c r="MNI700" s="1349"/>
      <c r="MNJ700" s="1349"/>
      <c r="MNK700" s="1349"/>
      <c r="MNL700" s="1349"/>
      <c r="MNM700" s="1349"/>
      <c r="MNN700" s="1349"/>
      <c r="MNO700" s="1349"/>
      <c r="MNP700" s="1349"/>
      <c r="MNQ700" s="1349"/>
      <c r="MNR700" s="1349"/>
      <c r="MNS700" s="1349"/>
      <c r="MNT700" s="1349"/>
      <c r="MNU700" s="1349"/>
      <c r="MNV700" s="1349"/>
      <c r="MNW700" s="1349"/>
      <c r="MNX700" s="1349"/>
      <c r="MNY700" s="1349"/>
      <c r="MNZ700" s="1349"/>
      <c r="MOA700" s="1349"/>
      <c r="MOB700" s="1349"/>
      <c r="MOC700" s="1349"/>
      <c r="MOD700" s="1349"/>
      <c r="MOE700" s="1349"/>
      <c r="MOF700" s="1349"/>
      <c r="MOG700" s="1349"/>
      <c r="MOH700" s="1349"/>
      <c r="MOI700" s="1349"/>
      <c r="MOJ700" s="1349"/>
      <c r="MOK700" s="1349"/>
      <c r="MOL700" s="1349"/>
      <c r="MOM700" s="1349"/>
      <c r="MON700" s="1349"/>
      <c r="MOO700" s="1349"/>
      <c r="MOP700" s="1349"/>
      <c r="MOQ700" s="1349"/>
      <c r="MOR700" s="1349"/>
      <c r="MOS700" s="1349"/>
      <c r="MOT700" s="1349"/>
      <c r="MOU700" s="1349"/>
      <c r="MOV700" s="1349"/>
      <c r="MOW700" s="1349"/>
      <c r="MOX700" s="1349"/>
      <c r="MOY700" s="1349"/>
      <c r="MOZ700" s="1349"/>
      <c r="MPA700" s="1349"/>
      <c r="MPB700" s="1349"/>
      <c r="MPC700" s="1349"/>
      <c r="MPD700" s="1349"/>
      <c r="MPE700" s="1349"/>
      <c r="MPF700" s="1349"/>
      <c r="MPG700" s="1349"/>
      <c r="MPH700" s="1349"/>
      <c r="MPI700" s="1349"/>
      <c r="MPJ700" s="1349"/>
      <c r="MPK700" s="1349"/>
      <c r="MPL700" s="1349"/>
      <c r="MPM700" s="1349"/>
      <c r="MPN700" s="1349"/>
      <c r="MPO700" s="1349"/>
      <c r="MPP700" s="1349"/>
      <c r="MPQ700" s="1349"/>
      <c r="MPR700" s="1349"/>
      <c r="MPS700" s="1349"/>
      <c r="MPT700" s="1349"/>
      <c r="MPU700" s="1349"/>
      <c r="MPV700" s="1349"/>
      <c r="MPW700" s="1349"/>
      <c r="MPX700" s="1349"/>
      <c r="MPY700" s="1349"/>
      <c r="MPZ700" s="1349"/>
      <c r="MQA700" s="1349"/>
      <c r="MQB700" s="1349"/>
      <c r="MQC700" s="1349"/>
      <c r="MQD700" s="1349"/>
      <c r="MQE700" s="1349"/>
      <c r="MQF700" s="1349"/>
      <c r="MQG700" s="1349"/>
      <c r="MQH700" s="1349"/>
      <c r="MQI700" s="1349"/>
      <c r="MQJ700" s="1349"/>
      <c r="MQK700" s="1349"/>
      <c r="MQL700" s="1349"/>
      <c r="MQM700" s="1349"/>
      <c r="MQN700" s="1349"/>
      <c r="MQO700" s="1349"/>
      <c r="MQP700" s="1349"/>
      <c r="MQQ700" s="1349"/>
      <c r="MQR700" s="1349"/>
      <c r="MQS700" s="1349"/>
      <c r="MQT700" s="1349"/>
      <c r="MQU700" s="1349"/>
      <c r="MQV700" s="1349"/>
      <c r="MQW700" s="1349"/>
      <c r="MQX700" s="1349"/>
      <c r="MQY700" s="1349"/>
      <c r="MQZ700" s="1349"/>
      <c r="MRA700" s="1349"/>
      <c r="MRB700" s="1349"/>
      <c r="MRC700" s="1349"/>
      <c r="MRD700" s="1349"/>
      <c r="MRE700" s="1349"/>
      <c r="MRF700" s="1349"/>
      <c r="MRG700" s="1349"/>
      <c r="MRH700" s="1349"/>
      <c r="MRI700" s="1349"/>
      <c r="MRJ700" s="1349"/>
      <c r="MRK700" s="1349"/>
      <c r="MRL700" s="1349"/>
      <c r="MRM700" s="1349"/>
      <c r="MRN700" s="1349"/>
      <c r="MRO700" s="1349"/>
      <c r="MRP700" s="1349"/>
      <c r="MRQ700" s="1349"/>
      <c r="MRR700" s="1349"/>
      <c r="MRS700" s="1349"/>
      <c r="MRT700" s="1349"/>
      <c r="MRU700" s="1349"/>
      <c r="MRV700" s="1349"/>
      <c r="MRW700" s="1349"/>
      <c r="MRX700" s="1349"/>
      <c r="MRY700" s="1349"/>
      <c r="MRZ700" s="1349"/>
      <c r="MSA700" s="1349"/>
      <c r="MSB700" s="1349"/>
      <c r="MSC700" s="1349"/>
      <c r="MSD700" s="1349"/>
      <c r="MSE700" s="1349"/>
      <c r="MSF700" s="1349"/>
      <c r="MSG700" s="1349"/>
      <c r="MSH700" s="1349"/>
      <c r="MSI700" s="1349"/>
      <c r="MSJ700" s="1349"/>
      <c r="MSK700" s="1349"/>
      <c r="MSL700" s="1349"/>
      <c r="MSM700" s="1349"/>
      <c r="MSN700" s="1349"/>
      <c r="MSO700" s="1349"/>
      <c r="MSP700" s="1349"/>
      <c r="MSQ700" s="1349"/>
      <c r="MSR700" s="1349"/>
      <c r="MSS700" s="1349"/>
      <c r="MST700" s="1349"/>
      <c r="MSU700" s="1349"/>
      <c r="MSV700" s="1349"/>
      <c r="MSW700" s="1349"/>
      <c r="MSX700" s="1349"/>
      <c r="MSY700" s="1349"/>
      <c r="MSZ700" s="1349"/>
      <c r="MTA700" s="1349"/>
      <c r="MTB700" s="1349"/>
      <c r="MTC700" s="1349"/>
      <c r="MTD700" s="1349"/>
      <c r="MTE700" s="1349"/>
      <c r="MTF700" s="1349"/>
      <c r="MTG700" s="1349"/>
      <c r="MTH700" s="1349"/>
      <c r="MTI700" s="1349"/>
      <c r="MTJ700" s="1349"/>
      <c r="MTK700" s="1349"/>
      <c r="MTL700" s="1349"/>
      <c r="MTM700" s="1349"/>
      <c r="MTN700" s="1349"/>
      <c r="MTO700" s="1349"/>
      <c r="MTP700" s="1349"/>
      <c r="MTQ700" s="1349"/>
      <c r="MTR700" s="1349"/>
      <c r="MTS700" s="1349"/>
      <c r="MTT700" s="1349"/>
      <c r="MTU700" s="1349"/>
      <c r="MTV700" s="1349"/>
      <c r="MTW700" s="1349"/>
      <c r="MTX700" s="1349"/>
      <c r="MTY700" s="1349"/>
      <c r="MTZ700" s="1349"/>
      <c r="MUA700" s="1349"/>
      <c r="MUB700" s="1349"/>
      <c r="MUC700" s="1349"/>
      <c r="MUD700" s="1349"/>
      <c r="MUE700" s="1349"/>
      <c r="MUF700" s="1349"/>
      <c r="MUG700" s="1349"/>
      <c r="MUH700" s="1349"/>
      <c r="MUI700" s="1349"/>
      <c r="MUJ700" s="1349"/>
      <c r="MUK700" s="1349"/>
      <c r="MUL700" s="1349"/>
      <c r="MUM700" s="1349"/>
      <c r="MUN700" s="1349"/>
      <c r="MUO700" s="1349"/>
      <c r="MUP700" s="1349"/>
      <c r="MUQ700" s="1349"/>
      <c r="MUR700" s="1349"/>
      <c r="MUS700" s="1349"/>
      <c r="MUT700" s="1349"/>
      <c r="MUU700" s="1349"/>
      <c r="MUV700" s="1349"/>
      <c r="MUW700" s="1349"/>
      <c r="MUX700" s="1349"/>
      <c r="MUY700" s="1349"/>
      <c r="MUZ700" s="1349"/>
      <c r="MVA700" s="1349"/>
      <c r="MVB700" s="1349"/>
      <c r="MVC700" s="1349"/>
      <c r="MVD700" s="1349"/>
      <c r="MVE700" s="1349"/>
      <c r="MVF700" s="1349"/>
      <c r="MVG700" s="1349"/>
      <c r="MVH700" s="1349"/>
      <c r="MVI700" s="1349"/>
      <c r="MVJ700" s="1349"/>
      <c r="MVK700" s="1349"/>
      <c r="MVL700" s="1349"/>
      <c r="MVM700" s="1349"/>
      <c r="MVN700" s="1349"/>
      <c r="MVO700" s="1349"/>
      <c r="MVP700" s="1349"/>
      <c r="MVQ700" s="1349"/>
      <c r="MVR700" s="1349"/>
      <c r="MVS700" s="1349"/>
      <c r="MVT700" s="1349"/>
      <c r="MVU700" s="1349"/>
      <c r="MVV700" s="1349"/>
      <c r="MVW700" s="1349"/>
      <c r="MVX700" s="1349"/>
      <c r="MVY700" s="1349"/>
      <c r="MVZ700" s="1349"/>
      <c r="MWA700" s="1349"/>
      <c r="MWB700" s="1349"/>
      <c r="MWC700" s="1349"/>
      <c r="MWD700" s="1349"/>
      <c r="MWE700" s="1349"/>
      <c r="MWF700" s="1349"/>
      <c r="MWG700" s="1349"/>
      <c r="MWH700" s="1349"/>
      <c r="MWI700" s="1349"/>
      <c r="MWJ700" s="1349"/>
      <c r="MWK700" s="1349"/>
      <c r="MWL700" s="1349"/>
      <c r="MWM700" s="1349"/>
      <c r="MWN700" s="1349"/>
      <c r="MWO700" s="1349"/>
      <c r="MWP700" s="1349"/>
      <c r="MWQ700" s="1349"/>
      <c r="MWR700" s="1349"/>
      <c r="MWS700" s="1349"/>
      <c r="MWT700" s="1349"/>
      <c r="MWU700" s="1349"/>
      <c r="MWV700" s="1349"/>
      <c r="MWW700" s="1349"/>
      <c r="MWX700" s="1349"/>
      <c r="MWY700" s="1349"/>
      <c r="MWZ700" s="1349"/>
      <c r="MXA700" s="1349"/>
      <c r="MXB700" s="1349"/>
      <c r="MXC700" s="1349"/>
      <c r="MXD700" s="1349"/>
      <c r="MXE700" s="1349"/>
      <c r="MXF700" s="1349"/>
      <c r="MXG700" s="1349"/>
      <c r="MXH700" s="1349"/>
      <c r="MXI700" s="1349"/>
      <c r="MXJ700" s="1349"/>
      <c r="MXK700" s="1349"/>
      <c r="MXL700" s="1349"/>
      <c r="MXM700" s="1349"/>
      <c r="MXN700" s="1349"/>
      <c r="MXO700" s="1349"/>
      <c r="MXP700" s="1349"/>
      <c r="MXQ700" s="1349"/>
      <c r="MXR700" s="1349"/>
      <c r="MXS700" s="1349"/>
      <c r="MXT700" s="1349"/>
      <c r="MXU700" s="1349"/>
      <c r="MXV700" s="1349"/>
      <c r="MXW700" s="1349"/>
      <c r="MXX700" s="1349"/>
      <c r="MXY700" s="1349"/>
      <c r="MXZ700" s="1349"/>
      <c r="MYA700" s="1349"/>
      <c r="MYB700" s="1349"/>
      <c r="MYC700" s="1349"/>
      <c r="MYD700" s="1349"/>
      <c r="MYE700" s="1349"/>
      <c r="MYF700" s="1349"/>
      <c r="MYG700" s="1349"/>
      <c r="MYH700" s="1349"/>
      <c r="MYI700" s="1349"/>
      <c r="MYJ700" s="1349"/>
      <c r="MYK700" s="1349"/>
      <c r="MYL700" s="1349"/>
      <c r="MYM700" s="1349"/>
      <c r="MYN700" s="1349"/>
      <c r="MYO700" s="1349"/>
      <c r="MYP700" s="1349"/>
      <c r="MYQ700" s="1349"/>
      <c r="MYR700" s="1349"/>
      <c r="MYS700" s="1349"/>
      <c r="MYT700" s="1349"/>
      <c r="MYU700" s="1349"/>
      <c r="MYV700" s="1349"/>
      <c r="MYW700" s="1349"/>
      <c r="MYX700" s="1349"/>
      <c r="MYY700" s="1349"/>
      <c r="MYZ700" s="1349"/>
      <c r="MZA700" s="1349"/>
      <c r="MZB700" s="1349"/>
      <c r="MZC700" s="1349"/>
      <c r="MZD700" s="1349"/>
      <c r="MZE700" s="1349"/>
      <c r="MZF700" s="1349"/>
      <c r="MZG700" s="1349"/>
      <c r="MZH700" s="1349"/>
      <c r="MZI700" s="1349"/>
      <c r="MZJ700" s="1349"/>
      <c r="MZK700" s="1349"/>
      <c r="MZL700" s="1349"/>
      <c r="MZM700" s="1349"/>
      <c r="MZN700" s="1349"/>
      <c r="MZO700" s="1349"/>
      <c r="MZP700" s="1349"/>
      <c r="MZQ700" s="1349"/>
      <c r="MZR700" s="1349"/>
      <c r="MZS700" s="1349"/>
      <c r="MZT700" s="1349"/>
      <c r="MZU700" s="1349"/>
      <c r="MZV700" s="1349"/>
      <c r="MZW700" s="1349"/>
      <c r="MZX700" s="1349"/>
      <c r="MZY700" s="1349"/>
      <c r="MZZ700" s="1349"/>
      <c r="NAA700" s="1349"/>
      <c r="NAB700" s="1349"/>
      <c r="NAC700" s="1349"/>
      <c r="NAD700" s="1349"/>
      <c r="NAE700" s="1349"/>
      <c r="NAF700" s="1349"/>
      <c r="NAG700" s="1349"/>
      <c r="NAH700" s="1349"/>
      <c r="NAI700" s="1349"/>
      <c r="NAJ700" s="1349"/>
      <c r="NAK700" s="1349"/>
      <c r="NAL700" s="1349"/>
      <c r="NAM700" s="1349"/>
      <c r="NAN700" s="1349"/>
      <c r="NAO700" s="1349"/>
      <c r="NAP700" s="1349"/>
      <c r="NAQ700" s="1349"/>
      <c r="NAR700" s="1349"/>
      <c r="NAS700" s="1349"/>
      <c r="NAT700" s="1349"/>
      <c r="NAU700" s="1349"/>
      <c r="NAV700" s="1349"/>
      <c r="NAW700" s="1349"/>
      <c r="NAX700" s="1349"/>
      <c r="NAY700" s="1349"/>
      <c r="NAZ700" s="1349"/>
      <c r="NBA700" s="1349"/>
      <c r="NBB700" s="1349"/>
      <c r="NBC700" s="1349"/>
      <c r="NBD700" s="1349"/>
      <c r="NBE700" s="1349"/>
      <c r="NBF700" s="1349"/>
      <c r="NBG700" s="1349"/>
      <c r="NBH700" s="1349"/>
      <c r="NBI700" s="1349"/>
      <c r="NBJ700" s="1349"/>
      <c r="NBK700" s="1349"/>
      <c r="NBL700" s="1349"/>
      <c r="NBM700" s="1349"/>
      <c r="NBN700" s="1349"/>
      <c r="NBO700" s="1349"/>
      <c r="NBP700" s="1349"/>
      <c r="NBQ700" s="1349"/>
      <c r="NBR700" s="1349"/>
      <c r="NBS700" s="1349"/>
      <c r="NBT700" s="1349"/>
      <c r="NBU700" s="1349"/>
      <c r="NBV700" s="1349"/>
      <c r="NBW700" s="1349"/>
      <c r="NBX700" s="1349"/>
      <c r="NBY700" s="1349"/>
      <c r="NBZ700" s="1349"/>
      <c r="NCA700" s="1349"/>
      <c r="NCB700" s="1349"/>
      <c r="NCC700" s="1349"/>
      <c r="NCD700" s="1349"/>
      <c r="NCE700" s="1349"/>
      <c r="NCF700" s="1349"/>
      <c r="NCG700" s="1349"/>
      <c r="NCH700" s="1349"/>
      <c r="NCI700" s="1349"/>
      <c r="NCJ700" s="1349"/>
      <c r="NCK700" s="1349"/>
      <c r="NCL700" s="1349"/>
      <c r="NCM700" s="1349"/>
      <c r="NCN700" s="1349"/>
      <c r="NCO700" s="1349"/>
      <c r="NCP700" s="1349"/>
      <c r="NCQ700" s="1349"/>
      <c r="NCR700" s="1349"/>
      <c r="NCS700" s="1349"/>
      <c r="NCT700" s="1349"/>
      <c r="NCU700" s="1349"/>
      <c r="NCV700" s="1349"/>
      <c r="NCW700" s="1349"/>
      <c r="NCX700" s="1349"/>
      <c r="NCY700" s="1349"/>
      <c r="NCZ700" s="1349"/>
      <c r="NDA700" s="1349"/>
      <c r="NDB700" s="1349"/>
      <c r="NDC700" s="1349"/>
      <c r="NDD700" s="1349"/>
      <c r="NDE700" s="1349"/>
      <c r="NDF700" s="1349"/>
      <c r="NDG700" s="1349"/>
      <c r="NDH700" s="1349"/>
      <c r="NDI700" s="1349"/>
      <c r="NDJ700" s="1349"/>
      <c r="NDK700" s="1349"/>
      <c r="NDL700" s="1349"/>
      <c r="NDM700" s="1349"/>
      <c r="NDN700" s="1349"/>
      <c r="NDO700" s="1349"/>
      <c r="NDP700" s="1349"/>
      <c r="NDQ700" s="1349"/>
      <c r="NDR700" s="1349"/>
      <c r="NDS700" s="1349"/>
      <c r="NDT700" s="1349"/>
      <c r="NDU700" s="1349"/>
      <c r="NDV700" s="1349"/>
      <c r="NDW700" s="1349"/>
      <c r="NDX700" s="1349"/>
      <c r="NDY700" s="1349"/>
      <c r="NDZ700" s="1349"/>
      <c r="NEA700" s="1349"/>
      <c r="NEB700" s="1349"/>
      <c r="NEC700" s="1349"/>
      <c r="NED700" s="1349"/>
      <c r="NEE700" s="1349"/>
      <c r="NEF700" s="1349"/>
      <c r="NEG700" s="1349"/>
      <c r="NEH700" s="1349"/>
      <c r="NEI700" s="1349"/>
      <c r="NEJ700" s="1349"/>
      <c r="NEK700" s="1349"/>
      <c r="NEL700" s="1349"/>
      <c r="NEM700" s="1349"/>
      <c r="NEN700" s="1349"/>
      <c r="NEO700" s="1349"/>
      <c r="NEP700" s="1349"/>
      <c r="NEQ700" s="1349"/>
      <c r="NER700" s="1349"/>
      <c r="NES700" s="1349"/>
      <c r="NET700" s="1349"/>
      <c r="NEU700" s="1349"/>
      <c r="NEV700" s="1349"/>
      <c r="NEW700" s="1349"/>
      <c r="NEX700" s="1349"/>
      <c r="NEY700" s="1349"/>
      <c r="NEZ700" s="1349"/>
      <c r="NFA700" s="1349"/>
      <c r="NFB700" s="1349"/>
      <c r="NFC700" s="1349"/>
      <c r="NFD700" s="1349"/>
      <c r="NFE700" s="1349"/>
      <c r="NFF700" s="1349"/>
      <c r="NFG700" s="1349"/>
      <c r="NFH700" s="1349"/>
      <c r="NFI700" s="1349"/>
      <c r="NFJ700" s="1349"/>
      <c r="NFK700" s="1349"/>
      <c r="NFL700" s="1349"/>
      <c r="NFM700" s="1349"/>
      <c r="NFN700" s="1349"/>
      <c r="NFO700" s="1349"/>
      <c r="NFP700" s="1349"/>
      <c r="NFQ700" s="1349"/>
      <c r="NFR700" s="1349"/>
      <c r="NFS700" s="1349"/>
      <c r="NFT700" s="1349"/>
      <c r="NFU700" s="1349"/>
      <c r="NFV700" s="1349"/>
      <c r="NFW700" s="1349"/>
      <c r="NFX700" s="1349"/>
      <c r="NFY700" s="1349"/>
      <c r="NFZ700" s="1349"/>
      <c r="NGA700" s="1349"/>
      <c r="NGB700" s="1349"/>
      <c r="NGC700" s="1349"/>
      <c r="NGD700" s="1349"/>
      <c r="NGE700" s="1349"/>
      <c r="NGF700" s="1349"/>
      <c r="NGG700" s="1349"/>
      <c r="NGH700" s="1349"/>
      <c r="NGI700" s="1349"/>
      <c r="NGJ700" s="1349"/>
      <c r="NGK700" s="1349"/>
      <c r="NGL700" s="1349"/>
      <c r="NGM700" s="1349"/>
      <c r="NGN700" s="1349"/>
      <c r="NGO700" s="1349"/>
      <c r="NGP700" s="1349"/>
      <c r="NGQ700" s="1349"/>
      <c r="NGR700" s="1349"/>
      <c r="NGS700" s="1349"/>
      <c r="NGT700" s="1349"/>
      <c r="NGU700" s="1349"/>
      <c r="NGV700" s="1349"/>
      <c r="NGW700" s="1349"/>
      <c r="NGX700" s="1349"/>
      <c r="NGY700" s="1349"/>
      <c r="NGZ700" s="1349"/>
      <c r="NHA700" s="1349"/>
      <c r="NHB700" s="1349"/>
      <c r="NHC700" s="1349"/>
      <c r="NHD700" s="1349"/>
      <c r="NHE700" s="1349"/>
      <c r="NHF700" s="1349"/>
      <c r="NHG700" s="1349"/>
      <c r="NHH700" s="1349"/>
      <c r="NHI700" s="1349"/>
      <c r="NHJ700" s="1349"/>
      <c r="NHK700" s="1349"/>
      <c r="NHL700" s="1349"/>
      <c r="NHM700" s="1349"/>
      <c r="NHN700" s="1349"/>
      <c r="NHO700" s="1349"/>
      <c r="NHP700" s="1349"/>
      <c r="NHQ700" s="1349"/>
      <c r="NHR700" s="1349"/>
      <c r="NHS700" s="1349"/>
      <c r="NHT700" s="1349"/>
      <c r="NHU700" s="1349"/>
      <c r="NHV700" s="1349"/>
      <c r="NHW700" s="1349"/>
      <c r="NHX700" s="1349"/>
      <c r="NHY700" s="1349"/>
      <c r="NHZ700" s="1349"/>
      <c r="NIA700" s="1349"/>
      <c r="NIB700" s="1349"/>
      <c r="NIC700" s="1349"/>
      <c r="NID700" s="1349"/>
      <c r="NIE700" s="1349"/>
      <c r="NIF700" s="1349"/>
      <c r="NIG700" s="1349"/>
      <c r="NIH700" s="1349"/>
      <c r="NII700" s="1349"/>
      <c r="NIJ700" s="1349"/>
      <c r="NIK700" s="1349"/>
      <c r="NIL700" s="1349"/>
      <c r="NIM700" s="1349"/>
      <c r="NIN700" s="1349"/>
      <c r="NIO700" s="1349"/>
      <c r="NIP700" s="1349"/>
      <c r="NIQ700" s="1349"/>
      <c r="NIR700" s="1349"/>
      <c r="NIS700" s="1349"/>
      <c r="NIT700" s="1349"/>
      <c r="NIU700" s="1349"/>
      <c r="NIV700" s="1349"/>
      <c r="NIW700" s="1349"/>
      <c r="NIX700" s="1349"/>
      <c r="NIY700" s="1349"/>
      <c r="NIZ700" s="1349"/>
      <c r="NJA700" s="1349"/>
      <c r="NJB700" s="1349"/>
      <c r="NJC700" s="1349"/>
      <c r="NJD700" s="1349"/>
      <c r="NJE700" s="1349"/>
      <c r="NJF700" s="1349"/>
      <c r="NJG700" s="1349"/>
      <c r="NJH700" s="1349"/>
      <c r="NJI700" s="1349"/>
      <c r="NJJ700" s="1349"/>
      <c r="NJK700" s="1349"/>
      <c r="NJL700" s="1349"/>
      <c r="NJM700" s="1349"/>
      <c r="NJN700" s="1349"/>
      <c r="NJO700" s="1349"/>
      <c r="NJP700" s="1349"/>
      <c r="NJQ700" s="1349"/>
      <c r="NJR700" s="1349"/>
      <c r="NJS700" s="1349"/>
      <c r="NJT700" s="1349"/>
      <c r="NJU700" s="1349"/>
      <c r="NJV700" s="1349"/>
      <c r="NJW700" s="1349"/>
      <c r="NJX700" s="1349"/>
      <c r="NJY700" s="1349"/>
      <c r="NJZ700" s="1349"/>
      <c r="NKA700" s="1349"/>
      <c r="NKB700" s="1349"/>
      <c r="NKC700" s="1349"/>
      <c r="NKD700" s="1349"/>
      <c r="NKE700" s="1349"/>
      <c r="NKF700" s="1349"/>
      <c r="NKG700" s="1349"/>
      <c r="NKH700" s="1349"/>
      <c r="NKI700" s="1349"/>
      <c r="NKJ700" s="1349"/>
      <c r="NKK700" s="1349"/>
      <c r="NKL700" s="1349"/>
      <c r="NKM700" s="1349"/>
      <c r="NKN700" s="1349"/>
      <c r="NKO700" s="1349"/>
      <c r="NKP700" s="1349"/>
      <c r="NKQ700" s="1349"/>
      <c r="NKR700" s="1349"/>
      <c r="NKS700" s="1349"/>
      <c r="NKT700" s="1349"/>
      <c r="NKU700" s="1349"/>
      <c r="NKV700" s="1349"/>
      <c r="NKW700" s="1349"/>
      <c r="NKX700" s="1349"/>
      <c r="NKY700" s="1349"/>
      <c r="NKZ700" s="1349"/>
      <c r="NLA700" s="1349"/>
      <c r="NLB700" s="1349"/>
      <c r="NLC700" s="1349"/>
      <c r="NLD700" s="1349"/>
      <c r="NLE700" s="1349"/>
      <c r="NLF700" s="1349"/>
      <c r="NLG700" s="1349"/>
      <c r="NLH700" s="1349"/>
      <c r="NLI700" s="1349"/>
      <c r="NLJ700" s="1349"/>
      <c r="NLK700" s="1349"/>
      <c r="NLL700" s="1349"/>
      <c r="NLM700" s="1349"/>
      <c r="NLN700" s="1349"/>
      <c r="NLO700" s="1349"/>
      <c r="NLP700" s="1349"/>
      <c r="NLQ700" s="1349"/>
      <c r="NLR700" s="1349"/>
      <c r="NLS700" s="1349"/>
      <c r="NLT700" s="1349"/>
      <c r="NLU700" s="1349"/>
      <c r="NLV700" s="1349"/>
      <c r="NLW700" s="1349"/>
      <c r="NLX700" s="1349"/>
      <c r="NLY700" s="1349"/>
      <c r="NLZ700" s="1349"/>
      <c r="NMA700" s="1349"/>
      <c r="NMB700" s="1349"/>
      <c r="NMC700" s="1349"/>
      <c r="NMD700" s="1349"/>
      <c r="NME700" s="1349"/>
      <c r="NMF700" s="1349"/>
      <c r="NMG700" s="1349"/>
      <c r="NMH700" s="1349"/>
      <c r="NMI700" s="1349"/>
      <c r="NMJ700" s="1349"/>
      <c r="NMK700" s="1349"/>
      <c r="NML700" s="1349"/>
      <c r="NMM700" s="1349"/>
      <c r="NMN700" s="1349"/>
      <c r="NMO700" s="1349"/>
      <c r="NMP700" s="1349"/>
      <c r="NMQ700" s="1349"/>
      <c r="NMR700" s="1349"/>
      <c r="NMS700" s="1349"/>
      <c r="NMT700" s="1349"/>
      <c r="NMU700" s="1349"/>
      <c r="NMV700" s="1349"/>
      <c r="NMW700" s="1349"/>
      <c r="NMX700" s="1349"/>
      <c r="NMY700" s="1349"/>
      <c r="NMZ700" s="1349"/>
      <c r="NNA700" s="1349"/>
      <c r="NNB700" s="1349"/>
      <c r="NNC700" s="1349"/>
      <c r="NND700" s="1349"/>
      <c r="NNE700" s="1349"/>
      <c r="NNF700" s="1349"/>
      <c r="NNG700" s="1349"/>
      <c r="NNH700" s="1349"/>
      <c r="NNI700" s="1349"/>
      <c r="NNJ700" s="1349"/>
      <c r="NNK700" s="1349"/>
      <c r="NNL700" s="1349"/>
      <c r="NNM700" s="1349"/>
      <c r="NNN700" s="1349"/>
      <c r="NNO700" s="1349"/>
      <c r="NNP700" s="1349"/>
      <c r="NNQ700" s="1349"/>
      <c r="NNR700" s="1349"/>
      <c r="NNS700" s="1349"/>
      <c r="NNT700" s="1349"/>
      <c r="NNU700" s="1349"/>
      <c r="NNV700" s="1349"/>
      <c r="NNW700" s="1349"/>
      <c r="NNX700" s="1349"/>
      <c r="NNY700" s="1349"/>
      <c r="NNZ700" s="1349"/>
      <c r="NOA700" s="1349"/>
      <c r="NOB700" s="1349"/>
      <c r="NOC700" s="1349"/>
      <c r="NOD700" s="1349"/>
      <c r="NOE700" s="1349"/>
      <c r="NOF700" s="1349"/>
      <c r="NOG700" s="1349"/>
      <c r="NOH700" s="1349"/>
      <c r="NOI700" s="1349"/>
      <c r="NOJ700" s="1349"/>
      <c r="NOK700" s="1349"/>
      <c r="NOL700" s="1349"/>
      <c r="NOM700" s="1349"/>
      <c r="NON700" s="1349"/>
      <c r="NOO700" s="1349"/>
      <c r="NOP700" s="1349"/>
      <c r="NOQ700" s="1349"/>
      <c r="NOR700" s="1349"/>
      <c r="NOS700" s="1349"/>
      <c r="NOT700" s="1349"/>
      <c r="NOU700" s="1349"/>
      <c r="NOV700" s="1349"/>
      <c r="NOW700" s="1349"/>
      <c r="NOX700" s="1349"/>
      <c r="NOY700" s="1349"/>
      <c r="NOZ700" s="1349"/>
      <c r="NPA700" s="1349"/>
      <c r="NPB700" s="1349"/>
      <c r="NPC700" s="1349"/>
      <c r="NPD700" s="1349"/>
      <c r="NPE700" s="1349"/>
      <c r="NPF700" s="1349"/>
      <c r="NPG700" s="1349"/>
      <c r="NPH700" s="1349"/>
      <c r="NPI700" s="1349"/>
      <c r="NPJ700" s="1349"/>
      <c r="NPK700" s="1349"/>
      <c r="NPL700" s="1349"/>
      <c r="NPM700" s="1349"/>
      <c r="NPN700" s="1349"/>
      <c r="NPO700" s="1349"/>
      <c r="NPP700" s="1349"/>
      <c r="NPQ700" s="1349"/>
      <c r="NPR700" s="1349"/>
      <c r="NPS700" s="1349"/>
      <c r="NPT700" s="1349"/>
      <c r="NPU700" s="1349"/>
      <c r="NPV700" s="1349"/>
      <c r="NPW700" s="1349"/>
      <c r="NPX700" s="1349"/>
      <c r="NPY700" s="1349"/>
      <c r="NPZ700" s="1349"/>
      <c r="NQA700" s="1349"/>
      <c r="NQB700" s="1349"/>
      <c r="NQC700" s="1349"/>
      <c r="NQD700" s="1349"/>
      <c r="NQE700" s="1349"/>
      <c r="NQF700" s="1349"/>
      <c r="NQG700" s="1349"/>
      <c r="NQH700" s="1349"/>
      <c r="NQI700" s="1349"/>
      <c r="NQJ700" s="1349"/>
      <c r="NQK700" s="1349"/>
      <c r="NQL700" s="1349"/>
      <c r="NQM700" s="1349"/>
      <c r="NQN700" s="1349"/>
      <c r="NQO700" s="1349"/>
      <c r="NQP700" s="1349"/>
      <c r="NQQ700" s="1349"/>
      <c r="NQR700" s="1349"/>
      <c r="NQS700" s="1349"/>
      <c r="NQT700" s="1349"/>
      <c r="NQU700" s="1349"/>
      <c r="NQV700" s="1349"/>
      <c r="NQW700" s="1349"/>
      <c r="NQX700" s="1349"/>
      <c r="NQY700" s="1349"/>
      <c r="NQZ700" s="1349"/>
      <c r="NRA700" s="1349"/>
      <c r="NRB700" s="1349"/>
      <c r="NRC700" s="1349"/>
      <c r="NRD700" s="1349"/>
      <c r="NRE700" s="1349"/>
      <c r="NRF700" s="1349"/>
      <c r="NRG700" s="1349"/>
      <c r="NRH700" s="1349"/>
      <c r="NRI700" s="1349"/>
      <c r="NRJ700" s="1349"/>
      <c r="NRK700" s="1349"/>
      <c r="NRL700" s="1349"/>
      <c r="NRM700" s="1349"/>
      <c r="NRN700" s="1349"/>
      <c r="NRO700" s="1349"/>
      <c r="NRP700" s="1349"/>
      <c r="NRQ700" s="1349"/>
      <c r="NRR700" s="1349"/>
      <c r="NRS700" s="1349"/>
      <c r="NRT700" s="1349"/>
      <c r="NRU700" s="1349"/>
      <c r="NRV700" s="1349"/>
      <c r="NRW700" s="1349"/>
      <c r="NRX700" s="1349"/>
      <c r="NRY700" s="1349"/>
      <c r="NRZ700" s="1349"/>
      <c r="NSA700" s="1349"/>
      <c r="NSB700" s="1349"/>
      <c r="NSC700" s="1349"/>
      <c r="NSD700" s="1349"/>
      <c r="NSE700" s="1349"/>
      <c r="NSF700" s="1349"/>
      <c r="NSG700" s="1349"/>
      <c r="NSH700" s="1349"/>
      <c r="NSI700" s="1349"/>
      <c r="NSJ700" s="1349"/>
      <c r="NSK700" s="1349"/>
      <c r="NSL700" s="1349"/>
      <c r="NSM700" s="1349"/>
      <c r="NSN700" s="1349"/>
      <c r="NSO700" s="1349"/>
      <c r="NSP700" s="1349"/>
      <c r="NSQ700" s="1349"/>
      <c r="NSR700" s="1349"/>
      <c r="NSS700" s="1349"/>
      <c r="NST700" s="1349"/>
      <c r="NSU700" s="1349"/>
      <c r="NSV700" s="1349"/>
      <c r="NSW700" s="1349"/>
      <c r="NSX700" s="1349"/>
      <c r="NSY700" s="1349"/>
      <c r="NSZ700" s="1349"/>
      <c r="NTA700" s="1349"/>
      <c r="NTB700" s="1349"/>
      <c r="NTC700" s="1349"/>
      <c r="NTD700" s="1349"/>
      <c r="NTE700" s="1349"/>
      <c r="NTF700" s="1349"/>
      <c r="NTG700" s="1349"/>
      <c r="NTH700" s="1349"/>
      <c r="NTI700" s="1349"/>
      <c r="NTJ700" s="1349"/>
      <c r="NTK700" s="1349"/>
      <c r="NTL700" s="1349"/>
      <c r="NTM700" s="1349"/>
      <c r="NTN700" s="1349"/>
      <c r="NTO700" s="1349"/>
      <c r="NTP700" s="1349"/>
      <c r="NTQ700" s="1349"/>
      <c r="NTR700" s="1349"/>
      <c r="NTS700" s="1349"/>
      <c r="NTT700" s="1349"/>
      <c r="NTU700" s="1349"/>
      <c r="NTV700" s="1349"/>
      <c r="NTW700" s="1349"/>
      <c r="NTX700" s="1349"/>
      <c r="NTY700" s="1349"/>
      <c r="NTZ700" s="1349"/>
      <c r="NUA700" s="1349"/>
      <c r="NUB700" s="1349"/>
      <c r="NUC700" s="1349"/>
      <c r="NUD700" s="1349"/>
      <c r="NUE700" s="1349"/>
      <c r="NUF700" s="1349"/>
      <c r="NUG700" s="1349"/>
      <c r="NUH700" s="1349"/>
      <c r="NUI700" s="1349"/>
      <c r="NUJ700" s="1349"/>
      <c r="NUK700" s="1349"/>
      <c r="NUL700" s="1349"/>
      <c r="NUM700" s="1349"/>
      <c r="NUN700" s="1349"/>
      <c r="NUO700" s="1349"/>
      <c r="NUP700" s="1349"/>
      <c r="NUQ700" s="1349"/>
      <c r="NUR700" s="1349"/>
      <c r="NUS700" s="1349"/>
      <c r="NUT700" s="1349"/>
      <c r="NUU700" s="1349"/>
      <c r="NUV700" s="1349"/>
      <c r="NUW700" s="1349"/>
      <c r="NUX700" s="1349"/>
      <c r="NUY700" s="1349"/>
      <c r="NUZ700" s="1349"/>
      <c r="NVA700" s="1349"/>
      <c r="NVB700" s="1349"/>
      <c r="NVC700" s="1349"/>
      <c r="NVD700" s="1349"/>
      <c r="NVE700" s="1349"/>
      <c r="NVF700" s="1349"/>
      <c r="NVG700" s="1349"/>
      <c r="NVH700" s="1349"/>
      <c r="NVI700" s="1349"/>
      <c r="NVJ700" s="1349"/>
      <c r="NVK700" s="1349"/>
      <c r="NVL700" s="1349"/>
      <c r="NVM700" s="1349"/>
      <c r="NVN700" s="1349"/>
      <c r="NVO700" s="1349"/>
      <c r="NVP700" s="1349"/>
      <c r="NVQ700" s="1349"/>
      <c r="NVR700" s="1349"/>
      <c r="NVS700" s="1349"/>
      <c r="NVT700" s="1349"/>
      <c r="NVU700" s="1349"/>
      <c r="NVV700" s="1349"/>
      <c r="NVW700" s="1349"/>
      <c r="NVX700" s="1349"/>
      <c r="NVY700" s="1349"/>
      <c r="NVZ700" s="1349"/>
      <c r="NWA700" s="1349"/>
      <c r="NWB700" s="1349"/>
      <c r="NWC700" s="1349"/>
      <c r="NWD700" s="1349"/>
      <c r="NWE700" s="1349"/>
      <c r="NWF700" s="1349"/>
      <c r="NWG700" s="1349"/>
      <c r="NWH700" s="1349"/>
      <c r="NWI700" s="1349"/>
      <c r="NWJ700" s="1349"/>
      <c r="NWK700" s="1349"/>
      <c r="NWL700" s="1349"/>
      <c r="NWM700" s="1349"/>
      <c r="NWN700" s="1349"/>
      <c r="NWO700" s="1349"/>
      <c r="NWP700" s="1349"/>
      <c r="NWQ700" s="1349"/>
      <c r="NWR700" s="1349"/>
      <c r="NWS700" s="1349"/>
      <c r="NWT700" s="1349"/>
      <c r="NWU700" s="1349"/>
      <c r="NWV700" s="1349"/>
      <c r="NWW700" s="1349"/>
      <c r="NWX700" s="1349"/>
      <c r="NWY700" s="1349"/>
      <c r="NWZ700" s="1349"/>
      <c r="NXA700" s="1349"/>
      <c r="NXB700" s="1349"/>
      <c r="NXC700" s="1349"/>
      <c r="NXD700" s="1349"/>
      <c r="NXE700" s="1349"/>
      <c r="NXF700" s="1349"/>
      <c r="NXG700" s="1349"/>
      <c r="NXH700" s="1349"/>
      <c r="NXI700" s="1349"/>
      <c r="NXJ700" s="1349"/>
      <c r="NXK700" s="1349"/>
      <c r="NXL700" s="1349"/>
      <c r="NXM700" s="1349"/>
      <c r="NXN700" s="1349"/>
      <c r="NXO700" s="1349"/>
      <c r="NXP700" s="1349"/>
      <c r="NXQ700" s="1349"/>
      <c r="NXR700" s="1349"/>
      <c r="NXS700" s="1349"/>
      <c r="NXT700" s="1349"/>
      <c r="NXU700" s="1349"/>
      <c r="NXV700" s="1349"/>
      <c r="NXW700" s="1349"/>
      <c r="NXX700" s="1349"/>
      <c r="NXY700" s="1349"/>
      <c r="NXZ700" s="1349"/>
      <c r="NYA700" s="1349"/>
      <c r="NYB700" s="1349"/>
      <c r="NYC700" s="1349"/>
      <c r="NYD700" s="1349"/>
      <c r="NYE700" s="1349"/>
      <c r="NYF700" s="1349"/>
      <c r="NYG700" s="1349"/>
      <c r="NYH700" s="1349"/>
      <c r="NYI700" s="1349"/>
      <c r="NYJ700" s="1349"/>
      <c r="NYK700" s="1349"/>
      <c r="NYL700" s="1349"/>
      <c r="NYM700" s="1349"/>
      <c r="NYN700" s="1349"/>
      <c r="NYO700" s="1349"/>
      <c r="NYP700" s="1349"/>
      <c r="NYQ700" s="1349"/>
      <c r="NYR700" s="1349"/>
      <c r="NYS700" s="1349"/>
      <c r="NYT700" s="1349"/>
      <c r="NYU700" s="1349"/>
      <c r="NYV700" s="1349"/>
      <c r="NYW700" s="1349"/>
      <c r="NYX700" s="1349"/>
      <c r="NYY700" s="1349"/>
      <c r="NYZ700" s="1349"/>
      <c r="NZA700" s="1349"/>
      <c r="NZB700" s="1349"/>
      <c r="NZC700" s="1349"/>
      <c r="NZD700" s="1349"/>
      <c r="NZE700" s="1349"/>
      <c r="NZF700" s="1349"/>
      <c r="NZG700" s="1349"/>
      <c r="NZH700" s="1349"/>
      <c r="NZI700" s="1349"/>
      <c r="NZJ700" s="1349"/>
      <c r="NZK700" s="1349"/>
      <c r="NZL700" s="1349"/>
      <c r="NZM700" s="1349"/>
      <c r="NZN700" s="1349"/>
      <c r="NZO700" s="1349"/>
      <c r="NZP700" s="1349"/>
      <c r="NZQ700" s="1349"/>
      <c r="NZR700" s="1349"/>
      <c r="NZS700" s="1349"/>
      <c r="NZT700" s="1349"/>
      <c r="NZU700" s="1349"/>
      <c r="NZV700" s="1349"/>
      <c r="NZW700" s="1349"/>
      <c r="NZX700" s="1349"/>
      <c r="NZY700" s="1349"/>
      <c r="NZZ700" s="1349"/>
      <c r="OAA700" s="1349"/>
      <c r="OAB700" s="1349"/>
      <c r="OAC700" s="1349"/>
      <c r="OAD700" s="1349"/>
      <c r="OAE700" s="1349"/>
      <c r="OAF700" s="1349"/>
      <c r="OAG700" s="1349"/>
      <c r="OAH700" s="1349"/>
      <c r="OAI700" s="1349"/>
      <c r="OAJ700" s="1349"/>
      <c r="OAK700" s="1349"/>
      <c r="OAL700" s="1349"/>
      <c r="OAM700" s="1349"/>
      <c r="OAN700" s="1349"/>
      <c r="OAO700" s="1349"/>
      <c r="OAP700" s="1349"/>
      <c r="OAQ700" s="1349"/>
      <c r="OAR700" s="1349"/>
      <c r="OAS700" s="1349"/>
      <c r="OAT700" s="1349"/>
      <c r="OAU700" s="1349"/>
      <c r="OAV700" s="1349"/>
      <c r="OAW700" s="1349"/>
      <c r="OAX700" s="1349"/>
      <c r="OAY700" s="1349"/>
      <c r="OAZ700" s="1349"/>
      <c r="OBA700" s="1349"/>
      <c r="OBB700" s="1349"/>
      <c r="OBC700" s="1349"/>
      <c r="OBD700" s="1349"/>
      <c r="OBE700" s="1349"/>
      <c r="OBF700" s="1349"/>
      <c r="OBG700" s="1349"/>
      <c r="OBH700" s="1349"/>
      <c r="OBI700" s="1349"/>
      <c r="OBJ700" s="1349"/>
      <c r="OBK700" s="1349"/>
      <c r="OBL700" s="1349"/>
      <c r="OBM700" s="1349"/>
      <c r="OBN700" s="1349"/>
      <c r="OBO700" s="1349"/>
      <c r="OBP700" s="1349"/>
      <c r="OBQ700" s="1349"/>
      <c r="OBR700" s="1349"/>
      <c r="OBS700" s="1349"/>
      <c r="OBT700" s="1349"/>
      <c r="OBU700" s="1349"/>
      <c r="OBV700" s="1349"/>
      <c r="OBW700" s="1349"/>
      <c r="OBX700" s="1349"/>
      <c r="OBY700" s="1349"/>
      <c r="OBZ700" s="1349"/>
      <c r="OCA700" s="1349"/>
      <c r="OCB700" s="1349"/>
      <c r="OCC700" s="1349"/>
      <c r="OCD700" s="1349"/>
      <c r="OCE700" s="1349"/>
      <c r="OCF700" s="1349"/>
      <c r="OCG700" s="1349"/>
      <c r="OCH700" s="1349"/>
      <c r="OCI700" s="1349"/>
      <c r="OCJ700" s="1349"/>
      <c r="OCK700" s="1349"/>
      <c r="OCL700" s="1349"/>
      <c r="OCM700" s="1349"/>
      <c r="OCN700" s="1349"/>
      <c r="OCO700" s="1349"/>
      <c r="OCP700" s="1349"/>
      <c r="OCQ700" s="1349"/>
      <c r="OCR700" s="1349"/>
      <c r="OCS700" s="1349"/>
      <c r="OCT700" s="1349"/>
      <c r="OCU700" s="1349"/>
      <c r="OCV700" s="1349"/>
      <c r="OCW700" s="1349"/>
      <c r="OCX700" s="1349"/>
      <c r="OCY700" s="1349"/>
      <c r="OCZ700" s="1349"/>
      <c r="ODA700" s="1349"/>
      <c r="ODB700" s="1349"/>
      <c r="ODC700" s="1349"/>
      <c r="ODD700" s="1349"/>
      <c r="ODE700" s="1349"/>
      <c r="ODF700" s="1349"/>
      <c r="ODG700" s="1349"/>
      <c r="ODH700" s="1349"/>
      <c r="ODI700" s="1349"/>
      <c r="ODJ700" s="1349"/>
      <c r="ODK700" s="1349"/>
      <c r="ODL700" s="1349"/>
      <c r="ODM700" s="1349"/>
      <c r="ODN700" s="1349"/>
      <c r="ODO700" s="1349"/>
      <c r="ODP700" s="1349"/>
      <c r="ODQ700" s="1349"/>
      <c r="ODR700" s="1349"/>
      <c r="ODS700" s="1349"/>
      <c r="ODT700" s="1349"/>
      <c r="ODU700" s="1349"/>
      <c r="ODV700" s="1349"/>
      <c r="ODW700" s="1349"/>
      <c r="ODX700" s="1349"/>
      <c r="ODY700" s="1349"/>
      <c r="ODZ700" s="1349"/>
      <c r="OEA700" s="1349"/>
      <c r="OEB700" s="1349"/>
      <c r="OEC700" s="1349"/>
      <c r="OED700" s="1349"/>
      <c r="OEE700" s="1349"/>
      <c r="OEF700" s="1349"/>
      <c r="OEG700" s="1349"/>
      <c r="OEH700" s="1349"/>
      <c r="OEI700" s="1349"/>
      <c r="OEJ700" s="1349"/>
      <c r="OEK700" s="1349"/>
      <c r="OEL700" s="1349"/>
      <c r="OEM700" s="1349"/>
      <c r="OEN700" s="1349"/>
      <c r="OEO700" s="1349"/>
      <c r="OEP700" s="1349"/>
      <c r="OEQ700" s="1349"/>
      <c r="OER700" s="1349"/>
      <c r="OES700" s="1349"/>
      <c r="OET700" s="1349"/>
      <c r="OEU700" s="1349"/>
      <c r="OEV700" s="1349"/>
      <c r="OEW700" s="1349"/>
      <c r="OEX700" s="1349"/>
      <c r="OEY700" s="1349"/>
      <c r="OEZ700" s="1349"/>
      <c r="OFA700" s="1349"/>
      <c r="OFB700" s="1349"/>
      <c r="OFC700" s="1349"/>
      <c r="OFD700" s="1349"/>
      <c r="OFE700" s="1349"/>
      <c r="OFF700" s="1349"/>
      <c r="OFG700" s="1349"/>
      <c r="OFH700" s="1349"/>
      <c r="OFI700" s="1349"/>
      <c r="OFJ700" s="1349"/>
      <c r="OFK700" s="1349"/>
      <c r="OFL700" s="1349"/>
      <c r="OFM700" s="1349"/>
      <c r="OFN700" s="1349"/>
      <c r="OFO700" s="1349"/>
      <c r="OFP700" s="1349"/>
      <c r="OFQ700" s="1349"/>
      <c r="OFR700" s="1349"/>
      <c r="OFS700" s="1349"/>
      <c r="OFT700" s="1349"/>
      <c r="OFU700" s="1349"/>
      <c r="OFV700" s="1349"/>
      <c r="OFW700" s="1349"/>
      <c r="OFX700" s="1349"/>
      <c r="OFY700" s="1349"/>
      <c r="OFZ700" s="1349"/>
      <c r="OGA700" s="1349"/>
      <c r="OGB700" s="1349"/>
      <c r="OGC700" s="1349"/>
      <c r="OGD700" s="1349"/>
      <c r="OGE700" s="1349"/>
      <c r="OGF700" s="1349"/>
      <c r="OGG700" s="1349"/>
      <c r="OGH700" s="1349"/>
      <c r="OGI700" s="1349"/>
      <c r="OGJ700" s="1349"/>
      <c r="OGK700" s="1349"/>
      <c r="OGL700" s="1349"/>
      <c r="OGM700" s="1349"/>
      <c r="OGN700" s="1349"/>
      <c r="OGO700" s="1349"/>
      <c r="OGP700" s="1349"/>
      <c r="OGQ700" s="1349"/>
      <c r="OGR700" s="1349"/>
      <c r="OGS700" s="1349"/>
      <c r="OGT700" s="1349"/>
      <c r="OGU700" s="1349"/>
      <c r="OGV700" s="1349"/>
      <c r="OGW700" s="1349"/>
      <c r="OGX700" s="1349"/>
      <c r="OGY700" s="1349"/>
      <c r="OGZ700" s="1349"/>
      <c r="OHA700" s="1349"/>
      <c r="OHB700" s="1349"/>
      <c r="OHC700" s="1349"/>
      <c r="OHD700" s="1349"/>
      <c r="OHE700" s="1349"/>
      <c r="OHF700" s="1349"/>
      <c r="OHG700" s="1349"/>
      <c r="OHH700" s="1349"/>
      <c r="OHI700" s="1349"/>
      <c r="OHJ700" s="1349"/>
      <c r="OHK700" s="1349"/>
      <c r="OHL700" s="1349"/>
      <c r="OHM700" s="1349"/>
      <c r="OHN700" s="1349"/>
      <c r="OHO700" s="1349"/>
      <c r="OHP700" s="1349"/>
      <c r="OHQ700" s="1349"/>
      <c r="OHR700" s="1349"/>
      <c r="OHS700" s="1349"/>
      <c r="OHT700" s="1349"/>
      <c r="OHU700" s="1349"/>
      <c r="OHV700" s="1349"/>
      <c r="OHW700" s="1349"/>
      <c r="OHX700" s="1349"/>
      <c r="OHY700" s="1349"/>
      <c r="OHZ700" s="1349"/>
      <c r="OIA700" s="1349"/>
      <c r="OIB700" s="1349"/>
      <c r="OIC700" s="1349"/>
      <c r="OID700" s="1349"/>
      <c r="OIE700" s="1349"/>
      <c r="OIF700" s="1349"/>
      <c r="OIG700" s="1349"/>
      <c r="OIH700" s="1349"/>
      <c r="OII700" s="1349"/>
      <c r="OIJ700" s="1349"/>
      <c r="OIK700" s="1349"/>
      <c r="OIL700" s="1349"/>
      <c r="OIM700" s="1349"/>
      <c r="OIN700" s="1349"/>
      <c r="OIO700" s="1349"/>
      <c r="OIP700" s="1349"/>
      <c r="OIQ700" s="1349"/>
      <c r="OIR700" s="1349"/>
      <c r="OIS700" s="1349"/>
      <c r="OIT700" s="1349"/>
      <c r="OIU700" s="1349"/>
      <c r="OIV700" s="1349"/>
      <c r="OIW700" s="1349"/>
      <c r="OIX700" s="1349"/>
      <c r="OIY700" s="1349"/>
      <c r="OIZ700" s="1349"/>
      <c r="OJA700" s="1349"/>
      <c r="OJB700" s="1349"/>
      <c r="OJC700" s="1349"/>
      <c r="OJD700" s="1349"/>
      <c r="OJE700" s="1349"/>
      <c r="OJF700" s="1349"/>
      <c r="OJG700" s="1349"/>
      <c r="OJH700" s="1349"/>
      <c r="OJI700" s="1349"/>
      <c r="OJJ700" s="1349"/>
      <c r="OJK700" s="1349"/>
      <c r="OJL700" s="1349"/>
      <c r="OJM700" s="1349"/>
      <c r="OJN700" s="1349"/>
      <c r="OJO700" s="1349"/>
      <c r="OJP700" s="1349"/>
      <c r="OJQ700" s="1349"/>
      <c r="OJR700" s="1349"/>
      <c r="OJS700" s="1349"/>
      <c r="OJT700" s="1349"/>
      <c r="OJU700" s="1349"/>
      <c r="OJV700" s="1349"/>
      <c r="OJW700" s="1349"/>
      <c r="OJX700" s="1349"/>
      <c r="OJY700" s="1349"/>
      <c r="OJZ700" s="1349"/>
      <c r="OKA700" s="1349"/>
      <c r="OKB700" s="1349"/>
      <c r="OKC700" s="1349"/>
      <c r="OKD700" s="1349"/>
      <c r="OKE700" s="1349"/>
      <c r="OKF700" s="1349"/>
      <c r="OKG700" s="1349"/>
      <c r="OKH700" s="1349"/>
      <c r="OKI700" s="1349"/>
      <c r="OKJ700" s="1349"/>
      <c r="OKK700" s="1349"/>
      <c r="OKL700" s="1349"/>
      <c r="OKM700" s="1349"/>
      <c r="OKN700" s="1349"/>
      <c r="OKO700" s="1349"/>
      <c r="OKP700" s="1349"/>
      <c r="OKQ700" s="1349"/>
      <c r="OKR700" s="1349"/>
      <c r="OKS700" s="1349"/>
      <c r="OKT700" s="1349"/>
      <c r="OKU700" s="1349"/>
      <c r="OKV700" s="1349"/>
      <c r="OKW700" s="1349"/>
      <c r="OKX700" s="1349"/>
      <c r="OKY700" s="1349"/>
      <c r="OKZ700" s="1349"/>
      <c r="OLA700" s="1349"/>
      <c r="OLB700" s="1349"/>
      <c r="OLC700" s="1349"/>
      <c r="OLD700" s="1349"/>
      <c r="OLE700" s="1349"/>
      <c r="OLF700" s="1349"/>
      <c r="OLG700" s="1349"/>
      <c r="OLH700" s="1349"/>
      <c r="OLI700" s="1349"/>
      <c r="OLJ700" s="1349"/>
      <c r="OLK700" s="1349"/>
      <c r="OLL700" s="1349"/>
      <c r="OLM700" s="1349"/>
      <c r="OLN700" s="1349"/>
      <c r="OLO700" s="1349"/>
      <c r="OLP700" s="1349"/>
      <c r="OLQ700" s="1349"/>
      <c r="OLR700" s="1349"/>
      <c r="OLS700" s="1349"/>
      <c r="OLT700" s="1349"/>
      <c r="OLU700" s="1349"/>
      <c r="OLV700" s="1349"/>
      <c r="OLW700" s="1349"/>
      <c r="OLX700" s="1349"/>
      <c r="OLY700" s="1349"/>
      <c r="OLZ700" s="1349"/>
      <c r="OMA700" s="1349"/>
      <c r="OMB700" s="1349"/>
      <c r="OMC700" s="1349"/>
      <c r="OMD700" s="1349"/>
      <c r="OME700" s="1349"/>
      <c r="OMF700" s="1349"/>
      <c r="OMG700" s="1349"/>
      <c r="OMH700" s="1349"/>
      <c r="OMI700" s="1349"/>
      <c r="OMJ700" s="1349"/>
      <c r="OMK700" s="1349"/>
      <c r="OML700" s="1349"/>
      <c r="OMM700" s="1349"/>
      <c r="OMN700" s="1349"/>
      <c r="OMO700" s="1349"/>
      <c r="OMP700" s="1349"/>
      <c r="OMQ700" s="1349"/>
      <c r="OMR700" s="1349"/>
      <c r="OMS700" s="1349"/>
      <c r="OMT700" s="1349"/>
      <c r="OMU700" s="1349"/>
      <c r="OMV700" s="1349"/>
      <c r="OMW700" s="1349"/>
      <c r="OMX700" s="1349"/>
      <c r="OMY700" s="1349"/>
      <c r="OMZ700" s="1349"/>
      <c r="ONA700" s="1349"/>
      <c r="ONB700" s="1349"/>
      <c r="ONC700" s="1349"/>
      <c r="OND700" s="1349"/>
      <c r="ONE700" s="1349"/>
      <c r="ONF700" s="1349"/>
      <c r="ONG700" s="1349"/>
      <c r="ONH700" s="1349"/>
      <c r="ONI700" s="1349"/>
      <c r="ONJ700" s="1349"/>
      <c r="ONK700" s="1349"/>
      <c r="ONL700" s="1349"/>
      <c r="ONM700" s="1349"/>
      <c r="ONN700" s="1349"/>
      <c r="ONO700" s="1349"/>
      <c r="ONP700" s="1349"/>
      <c r="ONQ700" s="1349"/>
      <c r="ONR700" s="1349"/>
      <c r="ONS700" s="1349"/>
      <c r="ONT700" s="1349"/>
      <c r="ONU700" s="1349"/>
      <c r="ONV700" s="1349"/>
      <c r="ONW700" s="1349"/>
      <c r="ONX700" s="1349"/>
      <c r="ONY700" s="1349"/>
      <c r="ONZ700" s="1349"/>
      <c r="OOA700" s="1349"/>
      <c r="OOB700" s="1349"/>
      <c r="OOC700" s="1349"/>
      <c r="OOD700" s="1349"/>
      <c r="OOE700" s="1349"/>
      <c r="OOF700" s="1349"/>
      <c r="OOG700" s="1349"/>
      <c r="OOH700" s="1349"/>
      <c r="OOI700" s="1349"/>
      <c r="OOJ700" s="1349"/>
      <c r="OOK700" s="1349"/>
      <c r="OOL700" s="1349"/>
      <c r="OOM700" s="1349"/>
      <c r="OON700" s="1349"/>
      <c r="OOO700" s="1349"/>
      <c r="OOP700" s="1349"/>
      <c r="OOQ700" s="1349"/>
      <c r="OOR700" s="1349"/>
      <c r="OOS700" s="1349"/>
      <c r="OOT700" s="1349"/>
      <c r="OOU700" s="1349"/>
      <c r="OOV700" s="1349"/>
      <c r="OOW700" s="1349"/>
      <c r="OOX700" s="1349"/>
      <c r="OOY700" s="1349"/>
      <c r="OOZ700" s="1349"/>
      <c r="OPA700" s="1349"/>
      <c r="OPB700" s="1349"/>
      <c r="OPC700" s="1349"/>
      <c r="OPD700" s="1349"/>
      <c r="OPE700" s="1349"/>
      <c r="OPF700" s="1349"/>
      <c r="OPG700" s="1349"/>
      <c r="OPH700" s="1349"/>
      <c r="OPI700" s="1349"/>
      <c r="OPJ700" s="1349"/>
      <c r="OPK700" s="1349"/>
      <c r="OPL700" s="1349"/>
      <c r="OPM700" s="1349"/>
      <c r="OPN700" s="1349"/>
      <c r="OPO700" s="1349"/>
      <c r="OPP700" s="1349"/>
      <c r="OPQ700" s="1349"/>
      <c r="OPR700" s="1349"/>
      <c r="OPS700" s="1349"/>
      <c r="OPT700" s="1349"/>
      <c r="OPU700" s="1349"/>
      <c r="OPV700" s="1349"/>
      <c r="OPW700" s="1349"/>
      <c r="OPX700" s="1349"/>
      <c r="OPY700" s="1349"/>
      <c r="OPZ700" s="1349"/>
      <c r="OQA700" s="1349"/>
      <c r="OQB700" s="1349"/>
      <c r="OQC700" s="1349"/>
      <c r="OQD700" s="1349"/>
      <c r="OQE700" s="1349"/>
      <c r="OQF700" s="1349"/>
      <c r="OQG700" s="1349"/>
      <c r="OQH700" s="1349"/>
      <c r="OQI700" s="1349"/>
      <c r="OQJ700" s="1349"/>
      <c r="OQK700" s="1349"/>
      <c r="OQL700" s="1349"/>
      <c r="OQM700" s="1349"/>
      <c r="OQN700" s="1349"/>
      <c r="OQO700" s="1349"/>
      <c r="OQP700" s="1349"/>
      <c r="OQQ700" s="1349"/>
      <c r="OQR700" s="1349"/>
      <c r="OQS700" s="1349"/>
      <c r="OQT700" s="1349"/>
      <c r="OQU700" s="1349"/>
      <c r="OQV700" s="1349"/>
      <c r="OQW700" s="1349"/>
      <c r="OQX700" s="1349"/>
      <c r="OQY700" s="1349"/>
      <c r="OQZ700" s="1349"/>
      <c r="ORA700" s="1349"/>
      <c r="ORB700" s="1349"/>
      <c r="ORC700" s="1349"/>
      <c r="ORD700" s="1349"/>
      <c r="ORE700" s="1349"/>
      <c r="ORF700" s="1349"/>
      <c r="ORG700" s="1349"/>
      <c r="ORH700" s="1349"/>
      <c r="ORI700" s="1349"/>
      <c r="ORJ700" s="1349"/>
      <c r="ORK700" s="1349"/>
      <c r="ORL700" s="1349"/>
      <c r="ORM700" s="1349"/>
      <c r="ORN700" s="1349"/>
      <c r="ORO700" s="1349"/>
      <c r="ORP700" s="1349"/>
      <c r="ORQ700" s="1349"/>
      <c r="ORR700" s="1349"/>
      <c r="ORS700" s="1349"/>
      <c r="ORT700" s="1349"/>
      <c r="ORU700" s="1349"/>
      <c r="ORV700" s="1349"/>
      <c r="ORW700" s="1349"/>
      <c r="ORX700" s="1349"/>
      <c r="ORY700" s="1349"/>
      <c r="ORZ700" s="1349"/>
      <c r="OSA700" s="1349"/>
      <c r="OSB700" s="1349"/>
      <c r="OSC700" s="1349"/>
      <c r="OSD700" s="1349"/>
      <c r="OSE700" s="1349"/>
      <c r="OSF700" s="1349"/>
      <c r="OSG700" s="1349"/>
      <c r="OSH700" s="1349"/>
      <c r="OSI700" s="1349"/>
      <c r="OSJ700" s="1349"/>
      <c r="OSK700" s="1349"/>
      <c r="OSL700" s="1349"/>
      <c r="OSM700" s="1349"/>
      <c r="OSN700" s="1349"/>
      <c r="OSO700" s="1349"/>
      <c r="OSP700" s="1349"/>
      <c r="OSQ700" s="1349"/>
      <c r="OSR700" s="1349"/>
      <c r="OSS700" s="1349"/>
      <c r="OST700" s="1349"/>
      <c r="OSU700" s="1349"/>
      <c r="OSV700" s="1349"/>
      <c r="OSW700" s="1349"/>
      <c r="OSX700" s="1349"/>
      <c r="OSY700" s="1349"/>
      <c r="OSZ700" s="1349"/>
      <c r="OTA700" s="1349"/>
      <c r="OTB700" s="1349"/>
      <c r="OTC700" s="1349"/>
      <c r="OTD700" s="1349"/>
      <c r="OTE700" s="1349"/>
      <c r="OTF700" s="1349"/>
      <c r="OTG700" s="1349"/>
      <c r="OTH700" s="1349"/>
      <c r="OTI700" s="1349"/>
      <c r="OTJ700" s="1349"/>
      <c r="OTK700" s="1349"/>
      <c r="OTL700" s="1349"/>
      <c r="OTM700" s="1349"/>
      <c r="OTN700" s="1349"/>
      <c r="OTO700" s="1349"/>
      <c r="OTP700" s="1349"/>
      <c r="OTQ700" s="1349"/>
      <c r="OTR700" s="1349"/>
      <c r="OTS700" s="1349"/>
      <c r="OTT700" s="1349"/>
      <c r="OTU700" s="1349"/>
      <c r="OTV700" s="1349"/>
      <c r="OTW700" s="1349"/>
      <c r="OTX700" s="1349"/>
      <c r="OTY700" s="1349"/>
      <c r="OTZ700" s="1349"/>
      <c r="OUA700" s="1349"/>
      <c r="OUB700" s="1349"/>
      <c r="OUC700" s="1349"/>
      <c r="OUD700" s="1349"/>
      <c r="OUE700" s="1349"/>
      <c r="OUF700" s="1349"/>
      <c r="OUG700" s="1349"/>
      <c r="OUH700" s="1349"/>
      <c r="OUI700" s="1349"/>
      <c r="OUJ700" s="1349"/>
      <c r="OUK700" s="1349"/>
      <c r="OUL700" s="1349"/>
      <c r="OUM700" s="1349"/>
      <c r="OUN700" s="1349"/>
      <c r="OUO700" s="1349"/>
      <c r="OUP700" s="1349"/>
      <c r="OUQ700" s="1349"/>
      <c r="OUR700" s="1349"/>
      <c r="OUS700" s="1349"/>
      <c r="OUT700" s="1349"/>
      <c r="OUU700" s="1349"/>
      <c r="OUV700" s="1349"/>
      <c r="OUW700" s="1349"/>
      <c r="OUX700" s="1349"/>
      <c r="OUY700" s="1349"/>
      <c r="OUZ700" s="1349"/>
      <c r="OVA700" s="1349"/>
      <c r="OVB700" s="1349"/>
      <c r="OVC700" s="1349"/>
      <c r="OVD700" s="1349"/>
      <c r="OVE700" s="1349"/>
      <c r="OVF700" s="1349"/>
      <c r="OVG700" s="1349"/>
      <c r="OVH700" s="1349"/>
      <c r="OVI700" s="1349"/>
      <c r="OVJ700" s="1349"/>
      <c r="OVK700" s="1349"/>
      <c r="OVL700" s="1349"/>
      <c r="OVM700" s="1349"/>
      <c r="OVN700" s="1349"/>
      <c r="OVO700" s="1349"/>
      <c r="OVP700" s="1349"/>
      <c r="OVQ700" s="1349"/>
      <c r="OVR700" s="1349"/>
      <c r="OVS700" s="1349"/>
      <c r="OVT700" s="1349"/>
      <c r="OVU700" s="1349"/>
      <c r="OVV700" s="1349"/>
      <c r="OVW700" s="1349"/>
      <c r="OVX700" s="1349"/>
      <c r="OVY700" s="1349"/>
      <c r="OVZ700" s="1349"/>
      <c r="OWA700" s="1349"/>
      <c r="OWB700" s="1349"/>
      <c r="OWC700" s="1349"/>
      <c r="OWD700" s="1349"/>
      <c r="OWE700" s="1349"/>
      <c r="OWF700" s="1349"/>
      <c r="OWG700" s="1349"/>
      <c r="OWH700" s="1349"/>
      <c r="OWI700" s="1349"/>
      <c r="OWJ700" s="1349"/>
      <c r="OWK700" s="1349"/>
      <c r="OWL700" s="1349"/>
      <c r="OWM700" s="1349"/>
      <c r="OWN700" s="1349"/>
      <c r="OWO700" s="1349"/>
      <c r="OWP700" s="1349"/>
      <c r="OWQ700" s="1349"/>
      <c r="OWR700" s="1349"/>
      <c r="OWS700" s="1349"/>
      <c r="OWT700" s="1349"/>
      <c r="OWU700" s="1349"/>
      <c r="OWV700" s="1349"/>
      <c r="OWW700" s="1349"/>
      <c r="OWX700" s="1349"/>
      <c r="OWY700" s="1349"/>
      <c r="OWZ700" s="1349"/>
      <c r="OXA700" s="1349"/>
      <c r="OXB700" s="1349"/>
      <c r="OXC700" s="1349"/>
      <c r="OXD700" s="1349"/>
      <c r="OXE700" s="1349"/>
      <c r="OXF700" s="1349"/>
      <c r="OXG700" s="1349"/>
      <c r="OXH700" s="1349"/>
      <c r="OXI700" s="1349"/>
      <c r="OXJ700" s="1349"/>
      <c r="OXK700" s="1349"/>
      <c r="OXL700" s="1349"/>
      <c r="OXM700" s="1349"/>
      <c r="OXN700" s="1349"/>
      <c r="OXO700" s="1349"/>
      <c r="OXP700" s="1349"/>
      <c r="OXQ700" s="1349"/>
      <c r="OXR700" s="1349"/>
      <c r="OXS700" s="1349"/>
      <c r="OXT700" s="1349"/>
      <c r="OXU700" s="1349"/>
      <c r="OXV700" s="1349"/>
      <c r="OXW700" s="1349"/>
      <c r="OXX700" s="1349"/>
      <c r="OXY700" s="1349"/>
      <c r="OXZ700" s="1349"/>
      <c r="OYA700" s="1349"/>
      <c r="OYB700" s="1349"/>
      <c r="OYC700" s="1349"/>
      <c r="OYD700" s="1349"/>
      <c r="OYE700" s="1349"/>
      <c r="OYF700" s="1349"/>
      <c r="OYG700" s="1349"/>
      <c r="OYH700" s="1349"/>
      <c r="OYI700" s="1349"/>
      <c r="OYJ700" s="1349"/>
      <c r="OYK700" s="1349"/>
      <c r="OYL700" s="1349"/>
      <c r="OYM700" s="1349"/>
      <c r="OYN700" s="1349"/>
      <c r="OYO700" s="1349"/>
      <c r="OYP700" s="1349"/>
      <c r="OYQ700" s="1349"/>
      <c r="OYR700" s="1349"/>
      <c r="OYS700" s="1349"/>
      <c r="OYT700" s="1349"/>
      <c r="OYU700" s="1349"/>
      <c r="OYV700" s="1349"/>
      <c r="OYW700" s="1349"/>
      <c r="OYX700" s="1349"/>
      <c r="OYY700" s="1349"/>
      <c r="OYZ700" s="1349"/>
      <c r="OZA700" s="1349"/>
      <c r="OZB700" s="1349"/>
      <c r="OZC700" s="1349"/>
      <c r="OZD700" s="1349"/>
      <c r="OZE700" s="1349"/>
      <c r="OZF700" s="1349"/>
      <c r="OZG700" s="1349"/>
      <c r="OZH700" s="1349"/>
      <c r="OZI700" s="1349"/>
      <c r="OZJ700" s="1349"/>
      <c r="OZK700" s="1349"/>
      <c r="OZL700" s="1349"/>
      <c r="OZM700" s="1349"/>
      <c r="OZN700" s="1349"/>
      <c r="OZO700" s="1349"/>
      <c r="OZP700" s="1349"/>
      <c r="OZQ700" s="1349"/>
      <c r="OZR700" s="1349"/>
      <c r="OZS700" s="1349"/>
      <c r="OZT700" s="1349"/>
      <c r="OZU700" s="1349"/>
      <c r="OZV700" s="1349"/>
      <c r="OZW700" s="1349"/>
      <c r="OZX700" s="1349"/>
      <c r="OZY700" s="1349"/>
      <c r="OZZ700" s="1349"/>
      <c r="PAA700" s="1349"/>
      <c r="PAB700" s="1349"/>
      <c r="PAC700" s="1349"/>
      <c r="PAD700" s="1349"/>
      <c r="PAE700" s="1349"/>
      <c r="PAF700" s="1349"/>
      <c r="PAG700" s="1349"/>
      <c r="PAH700" s="1349"/>
      <c r="PAI700" s="1349"/>
      <c r="PAJ700" s="1349"/>
      <c r="PAK700" s="1349"/>
      <c r="PAL700" s="1349"/>
      <c r="PAM700" s="1349"/>
      <c r="PAN700" s="1349"/>
      <c r="PAO700" s="1349"/>
      <c r="PAP700" s="1349"/>
      <c r="PAQ700" s="1349"/>
      <c r="PAR700" s="1349"/>
      <c r="PAS700" s="1349"/>
      <c r="PAT700" s="1349"/>
      <c r="PAU700" s="1349"/>
      <c r="PAV700" s="1349"/>
      <c r="PAW700" s="1349"/>
      <c r="PAX700" s="1349"/>
      <c r="PAY700" s="1349"/>
      <c r="PAZ700" s="1349"/>
      <c r="PBA700" s="1349"/>
      <c r="PBB700" s="1349"/>
      <c r="PBC700" s="1349"/>
      <c r="PBD700" s="1349"/>
      <c r="PBE700" s="1349"/>
      <c r="PBF700" s="1349"/>
      <c r="PBG700" s="1349"/>
      <c r="PBH700" s="1349"/>
      <c r="PBI700" s="1349"/>
      <c r="PBJ700" s="1349"/>
      <c r="PBK700" s="1349"/>
      <c r="PBL700" s="1349"/>
      <c r="PBM700" s="1349"/>
      <c r="PBN700" s="1349"/>
      <c r="PBO700" s="1349"/>
      <c r="PBP700" s="1349"/>
      <c r="PBQ700" s="1349"/>
      <c r="PBR700" s="1349"/>
      <c r="PBS700" s="1349"/>
      <c r="PBT700" s="1349"/>
      <c r="PBU700" s="1349"/>
      <c r="PBV700" s="1349"/>
      <c r="PBW700" s="1349"/>
      <c r="PBX700" s="1349"/>
      <c r="PBY700" s="1349"/>
      <c r="PBZ700" s="1349"/>
      <c r="PCA700" s="1349"/>
      <c r="PCB700" s="1349"/>
      <c r="PCC700" s="1349"/>
      <c r="PCD700" s="1349"/>
      <c r="PCE700" s="1349"/>
      <c r="PCF700" s="1349"/>
      <c r="PCG700" s="1349"/>
      <c r="PCH700" s="1349"/>
      <c r="PCI700" s="1349"/>
      <c r="PCJ700" s="1349"/>
      <c r="PCK700" s="1349"/>
      <c r="PCL700" s="1349"/>
      <c r="PCM700" s="1349"/>
      <c r="PCN700" s="1349"/>
      <c r="PCO700" s="1349"/>
      <c r="PCP700" s="1349"/>
      <c r="PCQ700" s="1349"/>
      <c r="PCR700" s="1349"/>
      <c r="PCS700" s="1349"/>
      <c r="PCT700" s="1349"/>
      <c r="PCU700" s="1349"/>
      <c r="PCV700" s="1349"/>
      <c r="PCW700" s="1349"/>
      <c r="PCX700" s="1349"/>
      <c r="PCY700" s="1349"/>
      <c r="PCZ700" s="1349"/>
      <c r="PDA700" s="1349"/>
      <c r="PDB700" s="1349"/>
      <c r="PDC700" s="1349"/>
      <c r="PDD700" s="1349"/>
      <c r="PDE700" s="1349"/>
      <c r="PDF700" s="1349"/>
      <c r="PDG700" s="1349"/>
      <c r="PDH700" s="1349"/>
      <c r="PDI700" s="1349"/>
      <c r="PDJ700" s="1349"/>
      <c r="PDK700" s="1349"/>
      <c r="PDL700" s="1349"/>
      <c r="PDM700" s="1349"/>
      <c r="PDN700" s="1349"/>
      <c r="PDO700" s="1349"/>
      <c r="PDP700" s="1349"/>
      <c r="PDQ700" s="1349"/>
      <c r="PDR700" s="1349"/>
      <c r="PDS700" s="1349"/>
      <c r="PDT700" s="1349"/>
      <c r="PDU700" s="1349"/>
      <c r="PDV700" s="1349"/>
      <c r="PDW700" s="1349"/>
      <c r="PDX700" s="1349"/>
      <c r="PDY700" s="1349"/>
      <c r="PDZ700" s="1349"/>
      <c r="PEA700" s="1349"/>
      <c r="PEB700" s="1349"/>
      <c r="PEC700" s="1349"/>
      <c r="PED700" s="1349"/>
      <c r="PEE700" s="1349"/>
      <c r="PEF700" s="1349"/>
      <c r="PEG700" s="1349"/>
      <c r="PEH700" s="1349"/>
      <c r="PEI700" s="1349"/>
      <c r="PEJ700" s="1349"/>
      <c r="PEK700" s="1349"/>
      <c r="PEL700" s="1349"/>
      <c r="PEM700" s="1349"/>
      <c r="PEN700" s="1349"/>
      <c r="PEO700" s="1349"/>
      <c r="PEP700" s="1349"/>
      <c r="PEQ700" s="1349"/>
      <c r="PER700" s="1349"/>
      <c r="PES700" s="1349"/>
      <c r="PET700" s="1349"/>
      <c r="PEU700" s="1349"/>
      <c r="PEV700" s="1349"/>
      <c r="PEW700" s="1349"/>
      <c r="PEX700" s="1349"/>
      <c r="PEY700" s="1349"/>
      <c r="PEZ700" s="1349"/>
      <c r="PFA700" s="1349"/>
      <c r="PFB700" s="1349"/>
      <c r="PFC700" s="1349"/>
      <c r="PFD700" s="1349"/>
      <c r="PFE700" s="1349"/>
      <c r="PFF700" s="1349"/>
      <c r="PFG700" s="1349"/>
      <c r="PFH700" s="1349"/>
      <c r="PFI700" s="1349"/>
      <c r="PFJ700" s="1349"/>
      <c r="PFK700" s="1349"/>
      <c r="PFL700" s="1349"/>
      <c r="PFM700" s="1349"/>
      <c r="PFN700" s="1349"/>
      <c r="PFO700" s="1349"/>
      <c r="PFP700" s="1349"/>
      <c r="PFQ700" s="1349"/>
      <c r="PFR700" s="1349"/>
      <c r="PFS700" s="1349"/>
      <c r="PFT700" s="1349"/>
      <c r="PFU700" s="1349"/>
      <c r="PFV700" s="1349"/>
      <c r="PFW700" s="1349"/>
      <c r="PFX700" s="1349"/>
      <c r="PFY700" s="1349"/>
      <c r="PFZ700" s="1349"/>
      <c r="PGA700" s="1349"/>
      <c r="PGB700" s="1349"/>
      <c r="PGC700" s="1349"/>
      <c r="PGD700" s="1349"/>
      <c r="PGE700" s="1349"/>
      <c r="PGF700" s="1349"/>
      <c r="PGG700" s="1349"/>
      <c r="PGH700" s="1349"/>
      <c r="PGI700" s="1349"/>
      <c r="PGJ700" s="1349"/>
      <c r="PGK700" s="1349"/>
      <c r="PGL700" s="1349"/>
      <c r="PGM700" s="1349"/>
      <c r="PGN700" s="1349"/>
      <c r="PGO700" s="1349"/>
      <c r="PGP700" s="1349"/>
      <c r="PGQ700" s="1349"/>
      <c r="PGR700" s="1349"/>
      <c r="PGS700" s="1349"/>
      <c r="PGT700" s="1349"/>
      <c r="PGU700" s="1349"/>
      <c r="PGV700" s="1349"/>
      <c r="PGW700" s="1349"/>
      <c r="PGX700" s="1349"/>
      <c r="PGY700" s="1349"/>
      <c r="PGZ700" s="1349"/>
      <c r="PHA700" s="1349"/>
      <c r="PHB700" s="1349"/>
      <c r="PHC700" s="1349"/>
      <c r="PHD700" s="1349"/>
      <c r="PHE700" s="1349"/>
      <c r="PHF700" s="1349"/>
      <c r="PHG700" s="1349"/>
      <c r="PHH700" s="1349"/>
      <c r="PHI700" s="1349"/>
      <c r="PHJ700" s="1349"/>
      <c r="PHK700" s="1349"/>
      <c r="PHL700" s="1349"/>
      <c r="PHM700" s="1349"/>
      <c r="PHN700" s="1349"/>
      <c r="PHO700" s="1349"/>
      <c r="PHP700" s="1349"/>
      <c r="PHQ700" s="1349"/>
      <c r="PHR700" s="1349"/>
      <c r="PHS700" s="1349"/>
      <c r="PHT700" s="1349"/>
      <c r="PHU700" s="1349"/>
      <c r="PHV700" s="1349"/>
      <c r="PHW700" s="1349"/>
      <c r="PHX700" s="1349"/>
      <c r="PHY700" s="1349"/>
      <c r="PHZ700" s="1349"/>
      <c r="PIA700" s="1349"/>
      <c r="PIB700" s="1349"/>
      <c r="PIC700" s="1349"/>
      <c r="PID700" s="1349"/>
      <c r="PIE700" s="1349"/>
      <c r="PIF700" s="1349"/>
      <c r="PIG700" s="1349"/>
      <c r="PIH700" s="1349"/>
      <c r="PII700" s="1349"/>
      <c r="PIJ700" s="1349"/>
      <c r="PIK700" s="1349"/>
      <c r="PIL700" s="1349"/>
      <c r="PIM700" s="1349"/>
      <c r="PIN700" s="1349"/>
      <c r="PIO700" s="1349"/>
      <c r="PIP700" s="1349"/>
      <c r="PIQ700" s="1349"/>
      <c r="PIR700" s="1349"/>
      <c r="PIS700" s="1349"/>
      <c r="PIT700" s="1349"/>
      <c r="PIU700" s="1349"/>
      <c r="PIV700" s="1349"/>
      <c r="PIW700" s="1349"/>
      <c r="PIX700" s="1349"/>
      <c r="PIY700" s="1349"/>
      <c r="PIZ700" s="1349"/>
      <c r="PJA700" s="1349"/>
      <c r="PJB700" s="1349"/>
      <c r="PJC700" s="1349"/>
      <c r="PJD700" s="1349"/>
      <c r="PJE700" s="1349"/>
      <c r="PJF700" s="1349"/>
      <c r="PJG700" s="1349"/>
      <c r="PJH700" s="1349"/>
      <c r="PJI700" s="1349"/>
      <c r="PJJ700" s="1349"/>
      <c r="PJK700" s="1349"/>
      <c r="PJL700" s="1349"/>
      <c r="PJM700" s="1349"/>
      <c r="PJN700" s="1349"/>
      <c r="PJO700" s="1349"/>
      <c r="PJP700" s="1349"/>
      <c r="PJQ700" s="1349"/>
      <c r="PJR700" s="1349"/>
      <c r="PJS700" s="1349"/>
      <c r="PJT700" s="1349"/>
      <c r="PJU700" s="1349"/>
      <c r="PJV700" s="1349"/>
      <c r="PJW700" s="1349"/>
      <c r="PJX700" s="1349"/>
      <c r="PJY700" s="1349"/>
      <c r="PJZ700" s="1349"/>
      <c r="PKA700" s="1349"/>
      <c r="PKB700" s="1349"/>
      <c r="PKC700" s="1349"/>
      <c r="PKD700" s="1349"/>
      <c r="PKE700" s="1349"/>
      <c r="PKF700" s="1349"/>
      <c r="PKG700" s="1349"/>
      <c r="PKH700" s="1349"/>
      <c r="PKI700" s="1349"/>
      <c r="PKJ700" s="1349"/>
      <c r="PKK700" s="1349"/>
      <c r="PKL700" s="1349"/>
      <c r="PKM700" s="1349"/>
      <c r="PKN700" s="1349"/>
      <c r="PKO700" s="1349"/>
      <c r="PKP700" s="1349"/>
      <c r="PKQ700" s="1349"/>
      <c r="PKR700" s="1349"/>
      <c r="PKS700" s="1349"/>
      <c r="PKT700" s="1349"/>
      <c r="PKU700" s="1349"/>
      <c r="PKV700" s="1349"/>
      <c r="PKW700" s="1349"/>
      <c r="PKX700" s="1349"/>
      <c r="PKY700" s="1349"/>
      <c r="PKZ700" s="1349"/>
      <c r="PLA700" s="1349"/>
      <c r="PLB700" s="1349"/>
      <c r="PLC700" s="1349"/>
      <c r="PLD700" s="1349"/>
      <c r="PLE700" s="1349"/>
      <c r="PLF700" s="1349"/>
      <c r="PLG700" s="1349"/>
      <c r="PLH700" s="1349"/>
      <c r="PLI700" s="1349"/>
      <c r="PLJ700" s="1349"/>
      <c r="PLK700" s="1349"/>
      <c r="PLL700" s="1349"/>
      <c r="PLM700" s="1349"/>
      <c r="PLN700" s="1349"/>
      <c r="PLO700" s="1349"/>
      <c r="PLP700" s="1349"/>
      <c r="PLQ700" s="1349"/>
      <c r="PLR700" s="1349"/>
      <c r="PLS700" s="1349"/>
      <c r="PLT700" s="1349"/>
      <c r="PLU700" s="1349"/>
      <c r="PLV700" s="1349"/>
      <c r="PLW700" s="1349"/>
      <c r="PLX700" s="1349"/>
      <c r="PLY700" s="1349"/>
      <c r="PLZ700" s="1349"/>
      <c r="PMA700" s="1349"/>
      <c r="PMB700" s="1349"/>
      <c r="PMC700" s="1349"/>
      <c r="PMD700" s="1349"/>
      <c r="PME700" s="1349"/>
      <c r="PMF700" s="1349"/>
      <c r="PMG700" s="1349"/>
      <c r="PMH700" s="1349"/>
      <c r="PMI700" s="1349"/>
      <c r="PMJ700" s="1349"/>
      <c r="PMK700" s="1349"/>
      <c r="PML700" s="1349"/>
      <c r="PMM700" s="1349"/>
      <c r="PMN700" s="1349"/>
      <c r="PMO700" s="1349"/>
      <c r="PMP700" s="1349"/>
      <c r="PMQ700" s="1349"/>
      <c r="PMR700" s="1349"/>
      <c r="PMS700" s="1349"/>
      <c r="PMT700" s="1349"/>
      <c r="PMU700" s="1349"/>
      <c r="PMV700" s="1349"/>
      <c r="PMW700" s="1349"/>
      <c r="PMX700" s="1349"/>
      <c r="PMY700" s="1349"/>
      <c r="PMZ700" s="1349"/>
      <c r="PNA700" s="1349"/>
      <c r="PNB700" s="1349"/>
      <c r="PNC700" s="1349"/>
      <c r="PND700" s="1349"/>
      <c r="PNE700" s="1349"/>
      <c r="PNF700" s="1349"/>
      <c r="PNG700" s="1349"/>
      <c r="PNH700" s="1349"/>
      <c r="PNI700" s="1349"/>
      <c r="PNJ700" s="1349"/>
      <c r="PNK700" s="1349"/>
      <c r="PNL700" s="1349"/>
      <c r="PNM700" s="1349"/>
      <c r="PNN700" s="1349"/>
      <c r="PNO700" s="1349"/>
      <c r="PNP700" s="1349"/>
      <c r="PNQ700" s="1349"/>
      <c r="PNR700" s="1349"/>
      <c r="PNS700" s="1349"/>
      <c r="PNT700" s="1349"/>
      <c r="PNU700" s="1349"/>
      <c r="PNV700" s="1349"/>
      <c r="PNW700" s="1349"/>
      <c r="PNX700" s="1349"/>
      <c r="PNY700" s="1349"/>
      <c r="PNZ700" s="1349"/>
      <c r="POA700" s="1349"/>
      <c r="POB700" s="1349"/>
      <c r="POC700" s="1349"/>
      <c r="POD700" s="1349"/>
      <c r="POE700" s="1349"/>
      <c r="POF700" s="1349"/>
      <c r="POG700" s="1349"/>
      <c r="POH700" s="1349"/>
      <c r="POI700" s="1349"/>
      <c r="POJ700" s="1349"/>
      <c r="POK700" s="1349"/>
      <c r="POL700" s="1349"/>
      <c r="POM700" s="1349"/>
      <c r="PON700" s="1349"/>
      <c r="POO700" s="1349"/>
      <c r="POP700" s="1349"/>
      <c r="POQ700" s="1349"/>
      <c r="POR700" s="1349"/>
      <c r="POS700" s="1349"/>
      <c r="POT700" s="1349"/>
      <c r="POU700" s="1349"/>
      <c r="POV700" s="1349"/>
      <c r="POW700" s="1349"/>
      <c r="POX700" s="1349"/>
      <c r="POY700" s="1349"/>
      <c r="POZ700" s="1349"/>
      <c r="PPA700" s="1349"/>
      <c r="PPB700" s="1349"/>
      <c r="PPC700" s="1349"/>
      <c r="PPD700" s="1349"/>
      <c r="PPE700" s="1349"/>
      <c r="PPF700" s="1349"/>
      <c r="PPG700" s="1349"/>
      <c r="PPH700" s="1349"/>
      <c r="PPI700" s="1349"/>
      <c r="PPJ700" s="1349"/>
      <c r="PPK700" s="1349"/>
      <c r="PPL700" s="1349"/>
      <c r="PPM700" s="1349"/>
      <c r="PPN700" s="1349"/>
      <c r="PPO700" s="1349"/>
      <c r="PPP700" s="1349"/>
      <c r="PPQ700" s="1349"/>
      <c r="PPR700" s="1349"/>
      <c r="PPS700" s="1349"/>
      <c r="PPT700" s="1349"/>
      <c r="PPU700" s="1349"/>
      <c r="PPV700" s="1349"/>
      <c r="PPW700" s="1349"/>
      <c r="PPX700" s="1349"/>
      <c r="PPY700" s="1349"/>
      <c r="PPZ700" s="1349"/>
      <c r="PQA700" s="1349"/>
      <c r="PQB700" s="1349"/>
      <c r="PQC700" s="1349"/>
      <c r="PQD700" s="1349"/>
      <c r="PQE700" s="1349"/>
      <c r="PQF700" s="1349"/>
      <c r="PQG700" s="1349"/>
      <c r="PQH700" s="1349"/>
      <c r="PQI700" s="1349"/>
      <c r="PQJ700" s="1349"/>
      <c r="PQK700" s="1349"/>
      <c r="PQL700" s="1349"/>
      <c r="PQM700" s="1349"/>
      <c r="PQN700" s="1349"/>
      <c r="PQO700" s="1349"/>
      <c r="PQP700" s="1349"/>
      <c r="PQQ700" s="1349"/>
      <c r="PQR700" s="1349"/>
      <c r="PQS700" s="1349"/>
      <c r="PQT700" s="1349"/>
      <c r="PQU700" s="1349"/>
      <c r="PQV700" s="1349"/>
      <c r="PQW700" s="1349"/>
      <c r="PQX700" s="1349"/>
      <c r="PQY700" s="1349"/>
      <c r="PQZ700" s="1349"/>
      <c r="PRA700" s="1349"/>
      <c r="PRB700" s="1349"/>
      <c r="PRC700" s="1349"/>
      <c r="PRD700" s="1349"/>
      <c r="PRE700" s="1349"/>
      <c r="PRF700" s="1349"/>
      <c r="PRG700" s="1349"/>
      <c r="PRH700" s="1349"/>
      <c r="PRI700" s="1349"/>
      <c r="PRJ700" s="1349"/>
      <c r="PRK700" s="1349"/>
      <c r="PRL700" s="1349"/>
      <c r="PRM700" s="1349"/>
      <c r="PRN700" s="1349"/>
      <c r="PRO700" s="1349"/>
      <c r="PRP700" s="1349"/>
      <c r="PRQ700" s="1349"/>
      <c r="PRR700" s="1349"/>
      <c r="PRS700" s="1349"/>
      <c r="PRT700" s="1349"/>
      <c r="PRU700" s="1349"/>
      <c r="PRV700" s="1349"/>
      <c r="PRW700" s="1349"/>
      <c r="PRX700" s="1349"/>
      <c r="PRY700" s="1349"/>
      <c r="PRZ700" s="1349"/>
      <c r="PSA700" s="1349"/>
      <c r="PSB700" s="1349"/>
      <c r="PSC700" s="1349"/>
      <c r="PSD700" s="1349"/>
      <c r="PSE700" s="1349"/>
      <c r="PSF700" s="1349"/>
      <c r="PSG700" s="1349"/>
      <c r="PSH700" s="1349"/>
      <c r="PSI700" s="1349"/>
      <c r="PSJ700" s="1349"/>
      <c r="PSK700" s="1349"/>
      <c r="PSL700" s="1349"/>
      <c r="PSM700" s="1349"/>
      <c r="PSN700" s="1349"/>
      <c r="PSO700" s="1349"/>
      <c r="PSP700" s="1349"/>
      <c r="PSQ700" s="1349"/>
      <c r="PSR700" s="1349"/>
      <c r="PSS700" s="1349"/>
      <c r="PST700" s="1349"/>
      <c r="PSU700" s="1349"/>
      <c r="PSV700" s="1349"/>
      <c r="PSW700" s="1349"/>
      <c r="PSX700" s="1349"/>
      <c r="PSY700" s="1349"/>
      <c r="PSZ700" s="1349"/>
      <c r="PTA700" s="1349"/>
      <c r="PTB700" s="1349"/>
      <c r="PTC700" s="1349"/>
      <c r="PTD700" s="1349"/>
      <c r="PTE700" s="1349"/>
      <c r="PTF700" s="1349"/>
      <c r="PTG700" s="1349"/>
      <c r="PTH700" s="1349"/>
      <c r="PTI700" s="1349"/>
      <c r="PTJ700" s="1349"/>
      <c r="PTK700" s="1349"/>
      <c r="PTL700" s="1349"/>
      <c r="PTM700" s="1349"/>
      <c r="PTN700" s="1349"/>
      <c r="PTO700" s="1349"/>
      <c r="PTP700" s="1349"/>
      <c r="PTQ700" s="1349"/>
      <c r="PTR700" s="1349"/>
      <c r="PTS700" s="1349"/>
      <c r="PTT700" s="1349"/>
      <c r="PTU700" s="1349"/>
      <c r="PTV700" s="1349"/>
      <c r="PTW700" s="1349"/>
      <c r="PTX700" s="1349"/>
      <c r="PTY700" s="1349"/>
      <c r="PTZ700" s="1349"/>
      <c r="PUA700" s="1349"/>
      <c r="PUB700" s="1349"/>
      <c r="PUC700" s="1349"/>
      <c r="PUD700" s="1349"/>
      <c r="PUE700" s="1349"/>
      <c r="PUF700" s="1349"/>
      <c r="PUG700" s="1349"/>
      <c r="PUH700" s="1349"/>
      <c r="PUI700" s="1349"/>
      <c r="PUJ700" s="1349"/>
      <c r="PUK700" s="1349"/>
      <c r="PUL700" s="1349"/>
      <c r="PUM700" s="1349"/>
      <c r="PUN700" s="1349"/>
      <c r="PUO700" s="1349"/>
      <c r="PUP700" s="1349"/>
      <c r="PUQ700" s="1349"/>
      <c r="PUR700" s="1349"/>
      <c r="PUS700" s="1349"/>
      <c r="PUT700" s="1349"/>
      <c r="PUU700" s="1349"/>
      <c r="PUV700" s="1349"/>
      <c r="PUW700" s="1349"/>
      <c r="PUX700" s="1349"/>
      <c r="PUY700" s="1349"/>
      <c r="PUZ700" s="1349"/>
      <c r="PVA700" s="1349"/>
      <c r="PVB700" s="1349"/>
      <c r="PVC700" s="1349"/>
      <c r="PVD700" s="1349"/>
      <c r="PVE700" s="1349"/>
      <c r="PVF700" s="1349"/>
      <c r="PVG700" s="1349"/>
      <c r="PVH700" s="1349"/>
      <c r="PVI700" s="1349"/>
      <c r="PVJ700" s="1349"/>
      <c r="PVK700" s="1349"/>
      <c r="PVL700" s="1349"/>
      <c r="PVM700" s="1349"/>
      <c r="PVN700" s="1349"/>
      <c r="PVO700" s="1349"/>
      <c r="PVP700" s="1349"/>
      <c r="PVQ700" s="1349"/>
      <c r="PVR700" s="1349"/>
      <c r="PVS700" s="1349"/>
      <c r="PVT700" s="1349"/>
      <c r="PVU700" s="1349"/>
      <c r="PVV700" s="1349"/>
      <c r="PVW700" s="1349"/>
      <c r="PVX700" s="1349"/>
      <c r="PVY700" s="1349"/>
      <c r="PVZ700" s="1349"/>
      <c r="PWA700" s="1349"/>
      <c r="PWB700" s="1349"/>
      <c r="PWC700" s="1349"/>
      <c r="PWD700" s="1349"/>
      <c r="PWE700" s="1349"/>
      <c r="PWF700" s="1349"/>
      <c r="PWG700" s="1349"/>
      <c r="PWH700" s="1349"/>
      <c r="PWI700" s="1349"/>
      <c r="PWJ700" s="1349"/>
      <c r="PWK700" s="1349"/>
      <c r="PWL700" s="1349"/>
      <c r="PWM700" s="1349"/>
      <c r="PWN700" s="1349"/>
      <c r="PWO700" s="1349"/>
      <c r="PWP700" s="1349"/>
      <c r="PWQ700" s="1349"/>
      <c r="PWR700" s="1349"/>
      <c r="PWS700" s="1349"/>
      <c r="PWT700" s="1349"/>
      <c r="PWU700" s="1349"/>
      <c r="PWV700" s="1349"/>
      <c r="PWW700" s="1349"/>
      <c r="PWX700" s="1349"/>
      <c r="PWY700" s="1349"/>
      <c r="PWZ700" s="1349"/>
      <c r="PXA700" s="1349"/>
      <c r="PXB700" s="1349"/>
      <c r="PXC700" s="1349"/>
      <c r="PXD700" s="1349"/>
      <c r="PXE700" s="1349"/>
      <c r="PXF700" s="1349"/>
      <c r="PXG700" s="1349"/>
      <c r="PXH700" s="1349"/>
      <c r="PXI700" s="1349"/>
      <c r="PXJ700" s="1349"/>
      <c r="PXK700" s="1349"/>
      <c r="PXL700" s="1349"/>
      <c r="PXM700" s="1349"/>
      <c r="PXN700" s="1349"/>
      <c r="PXO700" s="1349"/>
      <c r="PXP700" s="1349"/>
      <c r="PXQ700" s="1349"/>
      <c r="PXR700" s="1349"/>
      <c r="PXS700" s="1349"/>
      <c r="PXT700" s="1349"/>
      <c r="PXU700" s="1349"/>
      <c r="PXV700" s="1349"/>
      <c r="PXW700" s="1349"/>
      <c r="PXX700" s="1349"/>
      <c r="PXY700" s="1349"/>
      <c r="PXZ700" s="1349"/>
      <c r="PYA700" s="1349"/>
      <c r="PYB700" s="1349"/>
      <c r="PYC700" s="1349"/>
      <c r="PYD700" s="1349"/>
      <c r="PYE700" s="1349"/>
      <c r="PYF700" s="1349"/>
      <c r="PYG700" s="1349"/>
      <c r="PYH700" s="1349"/>
      <c r="PYI700" s="1349"/>
      <c r="PYJ700" s="1349"/>
      <c r="PYK700" s="1349"/>
      <c r="PYL700" s="1349"/>
      <c r="PYM700" s="1349"/>
      <c r="PYN700" s="1349"/>
      <c r="PYO700" s="1349"/>
      <c r="PYP700" s="1349"/>
      <c r="PYQ700" s="1349"/>
      <c r="PYR700" s="1349"/>
      <c r="PYS700" s="1349"/>
      <c r="PYT700" s="1349"/>
      <c r="PYU700" s="1349"/>
      <c r="PYV700" s="1349"/>
      <c r="PYW700" s="1349"/>
      <c r="PYX700" s="1349"/>
      <c r="PYY700" s="1349"/>
      <c r="PYZ700" s="1349"/>
      <c r="PZA700" s="1349"/>
      <c r="PZB700" s="1349"/>
      <c r="PZC700" s="1349"/>
      <c r="PZD700" s="1349"/>
      <c r="PZE700" s="1349"/>
      <c r="PZF700" s="1349"/>
      <c r="PZG700" s="1349"/>
      <c r="PZH700" s="1349"/>
      <c r="PZI700" s="1349"/>
      <c r="PZJ700" s="1349"/>
      <c r="PZK700" s="1349"/>
      <c r="PZL700" s="1349"/>
      <c r="PZM700" s="1349"/>
      <c r="PZN700" s="1349"/>
      <c r="PZO700" s="1349"/>
      <c r="PZP700" s="1349"/>
      <c r="PZQ700" s="1349"/>
      <c r="PZR700" s="1349"/>
      <c r="PZS700" s="1349"/>
      <c r="PZT700" s="1349"/>
      <c r="PZU700" s="1349"/>
      <c r="PZV700" s="1349"/>
      <c r="PZW700" s="1349"/>
      <c r="PZX700" s="1349"/>
      <c r="PZY700" s="1349"/>
      <c r="PZZ700" s="1349"/>
      <c r="QAA700" s="1349"/>
      <c r="QAB700" s="1349"/>
      <c r="QAC700" s="1349"/>
      <c r="QAD700" s="1349"/>
      <c r="QAE700" s="1349"/>
      <c r="QAF700" s="1349"/>
      <c r="QAG700" s="1349"/>
      <c r="QAH700" s="1349"/>
      <c r="QAI700" s="1349"/>
      <c r="QAJ700" s="1349"/>
      <c r="QAK700" s="1349"/>
      <c r="QAL700" s="1349"/>
      <c r="QAM700" s="1349"/>
      <c r="QAN700" s="1349"/>
      <c r="QAO700" s="1349"/>
      <c r="QAP700" s="1349"/>
      <c r="QAQ700" s="1349"/>
      <c r="QAR700" s="1349"/>
      <c r="QAS700" s="1349"/>
      <c r="QAT700" s="1349"/>
      <c r="QAU700" s="1349"/>
      <c r="QAV700" s="1349"/>
      <c r="QAW700" s="1349"/>
      <c r="QAX700" s="1349"/>
      <c r="QAY700" s="1349"/>
      <c r="QAZ700" s="1349"/>
      <c r="QBA700" s="1349"/>
      <c r="QBB700" s="1349"/>
      <c r="QBC700" s="1349"/>
      <c r="QBD700" s="1349"/>
      <c r="QBE700" s="1349"/>
      <c r="QBF700" s="1349"/>
      <c r="QBG700" s="1349"/>
      <c r="QBH700" s="1349"/>
      <c r="QBI700" s="1349"/>
      <c r="QBJ700" s="1349"/>
      <c r="QBK700" s="1349"/>
      <c r="QBL700" s="1349"/>
      <c r="QBM700" s="1349"/>
      <c r="QBN700" s="1349"/>
      <c r="QBO700" s="1349"/>
      <c r="QBP700" s="1349"/>
      <c r="QBQ700" s="1349"/>
      <c r="QBR700" s="1349"/>
      <c r="QBS700" s="1349"/>
      <c r="QBT700" s="1349"/>
      <c r="QBU700" s="1349"/>
      <c r="QBV700" s="1349"/>
      <c r="QBW700" s="1349"/>
      <c r="QBX700" s="1349"/>
      <c r="QBY700" s="1349"/>
      <c r="QBZ700" s="1349"/>
      <c r="QCA700" s="1349"/>
      <c r="QCB700" s="1349"/>
      <c r="QCC700" s="1349"/>
      <c r="QCD700" s="1349"/>
      <c r="QCE700" s="1349"/>
      <c r="QCF700" s="1349"/>
      <c r="QCG700" s="1349"/>
      <c r="QCH700" s="1349"/>
      <c r="QCI700" s="1349"/>
      <c r="QCJ700" s="1349"/>
      <c r="QCK700" s="1349"/>
      <c r="QCL700" s="1349"/>
      <c r="QCM700" s="1349"/>
      <c r="QCN700" s="1349"/>
      <c r="QCO700" s="1349"/>
      <c r="QCP700" s="1349"/>
      <c r="QCQ700" s="1349"/>
      <c r="QCR700" s="1349"/>
      <c r="QCS700" s="1349"/>
      <c r="QCT700" s="1349"/>
      <c r="QCU700" s="1349"/>
      <c r="QCV700" s="1349"/>
      <c r="QCW700" s="1349"/>
      <c r="QCX700" s="1349"/>
      <c r="QCY700" s="1349"/>
      <c r="QCZ700" s="1349"/>
      <c r="QDA700" s="1349"/>
      <c r="QDB700" s="1349"/>
      <c r="QDC700" s="1349"/>
      <c r="QDD700" s="1349"/>
      <c r="QDE700" s="1349"/>
      <c r="QDF700" s="1349"/>
      <c r="QDG700" s="1349"/>
      <c r="QDH700" s="1349"/>
      <c r="QDI700" s="1349"/>
      <c r="QDJ700" s="1349"/>
      <c r="QDK700" s="1349"/>
      <c r="QDL700" s="1349"/>
      <c r="QDM700" s="1349"/>
      <c r="QDN700" s="1349"/>
      <c r="QDO700" s="1349"/>
      <c r="QDP700" s="1349"/>
      <c r="QDQ700" s="1349"/>
      <c r="QDR700" s="1349"/>
      <c r="QDS700" s="1349"/>
      <c r="QDT700" s="1349"/>
      <c r="QDU700" s="1349"/>
      <c r="QDV700" s="1349"/>
      <c r="QDW700" s="1349"/>
      <c r="QDX700" s="1349"/>
      <c r="QDY700" s="1349"/>
      <c r="QDZ700" s="1349"/>
      <c r="QEA700" s="1349"/>
      <c r="QEB700" s="1349"/>
      <c r="QEC700" s="1349"/>
      <c r="QED700" s="1349"/>
      <c r="QEE700" s="1349"/>
      <c r="QEF700" s="1349"/>
      <c r="QEG700" s="1349"/>
      <c r="QEH700" s="1349"/>
      <c r="QEI700" s="1349"/>
      <c r="QEJ700" s="1349"/>
      <c r="QEK700" s="1349"/>
      <c r="QEL700" s="1349"/>
      <c r="QEM700" s="1349"/>
      <c r="QEN700" s="1349"/>
      <c r="QEO700" s="1349"/>
      <c r="QEP700" s="1349"/>
      <c r="QEQ700" s="1349"/>
      <c r="QER700" s="1349"/>
      <c r="QES700" s="1349"/>
      <c r="QET700" s="1349"/>
      <c r="QEU700" s="1349"/>
      <c r="QEV700" s="1349"/>
      <c r="QEW700" s="1349"/>
      <c r="QEX700" s="1349"/>
      <c r="QEY700" s="1349"/>
      <c r="QEZ700" s="1349"/>
      <c r="QFA700" s="1349"/>
      <c r="QFB700" s="1349"/>
      <c r="QFC700" s="1349"/>
      <c r="QFD700" s="1349"/>
      <c r="QFE700" s="1349"/>
      <c r="QFF700" s="1349"/>
      <c r="QFG700" s="1349"/>
      <c r="QFH700" s="1349"/>
      <c r="QFI700" s="1349"/>
      <c r="QFJ700" s="1349"/>
      <c r="QFK700" s="1349"/>
      <c r="QFL700" s="1349"/>
      <c r="QFM700" s="1349"/>
      <c r="QFN700" s="1349"/>
      <c r="QFO700" s="1349"/>
      <c r="QFP700" s="1349"/>
      <c r="QFQ700" s="1349"/>
      <c r="QFR700" s="1349"/>
      <c r="QFS700" s="1349"/>
      <c r="QFT700" s="1349"/>
      <c r="QFU700" s="1349"/>
      <c r="QFV700" s="1349"/>
      <c r="QFW700" s="1349"/>
      <c r="QFX700" s="1349"/>
      <c r="QFY700" s="1349"/>
      <c r="QFZ700" s="1349"/>
      <c r="QGA700" s="1349"/>
      <c r="QGB700" s="1349"/>
      <c r="QGC700" s="1349"/>
      <c r="QGD700" s="1349"/>
      <c r="QGE700" s="1349"/>
      <c r="QGF700" s="1349"/>
      <c r="QGG700" s="1349"/>
      <c r="QGH700" s="1349"/>
      <c r="QGI700" s="1349"/>
      <c r="QGJ700" s="1349"/>
      <c r="QGK700" s="1349"/>
      <c r="QGL700" s="1349"/>
      <c r="QGM700" s="1349"/>
      <c r="QGN700" s="1349"/>
      <c r="QGO700" s="1349"/>
      <c r="QGP700" s="1349"/>
      <c r="QGQ700" s="1349"/>
      <c r="QGR700" s="1349"/>
      <c r="QGS700" s="1349"/>
      <c r="QGT700" s="1349"/>
      <c r="QGU700" s="1349"/>
      <c r="QGV700" s="1349"/>
      <c r="QGW700" s="1349"/>
      <c r="QGX700" s="1349"/>
      <c r="QGY700" s="1349"/>
      <c r="QGZ700" s="1349"/>
      <c r="QHA700" s="1349"/>
      <c r="QHB700" s="1349"/>
      <c r="QHC700" s="1349"/>
      <c r="QHD700" s="1349"/>
      <c r="QHE700" s="1349"/>
      <c r="QHF700" s="1349"/>
      <c r="QHG700" s="1349"/>
      <c r="QHH700" s="1349"/>
      <c r="QHI700" s="1349"/>
      <c r="QHJ700" s="1349"/>
      <c r="QHK700" s="1349"/>
      <c r="QHL700" s="1349"/>
      <c r="QHM700" s="1349"/>
      <c r="QHN700" s="1349"/>
      <c r="QHO700" s="1349"/>
      <c r="QHP700" s="1349"/>
      <c r="QHQ700" s="1349"/>
      <c r="QHR700" s="1349"/>
      <c r="QHS700" s="1349"/>
      <c r="QHT700" s="1349"/>
      <c r="QHU700" s="1349"/>
      <c r="QHV700" s="1349"/>
      <c r="QHW700" s="1349"/>
      <c r="QHX700" s="1349"/>
      <c r="QHY700" s="1349"/>
      <c r="QHZ700" s="1349"/>
      <c r="QIA700" s="1349"/>
      <c r="QIB700" s="1349"/>
      <c r="QIC700" s="1349"/>
      <c r="QID700" s="1349"/>
      <c r="QIE700" s="1349"/>
      <c r="QIF700" s="1349"/>
      <c r="QIG700" s="1349"/>
      <c r="QIH700" s="1349"/>
      <c r="QII700" s="1349"/>
      <c r="QIJ700" s="1349"/>
      <c r="QIK700" s="1349"/>
      <c r="QIL700" s="1349"/>
      <c r="QIM700" s="1349"/>
      <c r="QIN700" s="1349"/>
      <c r="QIO700" s="1349"/>
      <c r="QIP700" s="1349"/>
      <c r="QIQ700" s="1349"/>
      <c r="QIR700" s="1349"/>
      <c r="QIS700" s="1349"/>
      <c r="QIT700" s="1349"/>
      <c r="QIU700" s="1349"/>
      <c r="QIV700" s="1349"/>
      <c r="QIW700" s="1349"/>
      <c r="QIX700" s="1349"/>
      <c r="QIY700" s="1349"/>
      <c r="QIZ700" s="1349"/>
      <c r="QJA700" s="1349"/>
      <c r="QJB700" s="1349"/>
      <c r="QJC700" s="1349"/>
      <c r="QJD700" s="1349"/>
      <c r="QJE700" s="1349"/>
      <c r="QJF700" s="1349"/>
      <c r="QJG700" s="1349"/>
      <c r="QJH700" s="1349"/>
      <c r="QJI700" s="1349"/>
      <c r="QJJ700" s="1349"/>
      <c r="QJK700" s="1349"/>
      <c r="QJL700" s="1349"/>
      <c r="QJM700" s="1349"/>
      <c r="QJN700" s="1349"/>
      <c r="QJO700" s="1349"/>
      <c r="QJP700" s="1349"/>
      <c r="QJQ700" s="1349"/>
      <c r="QJR700" s="1349"/>
      <c r="QJS700" s="1349"/>
      <c r="QJT700" s="1349"/>
      <c r="QJU700" s="1349"/>
      <c r="QJV700" s="1349"/>
      <c r="QJW700" s="1349"/>
      <c r="QJX700" s="1349"/>
      <c r="QJY700" s="1349"/>
      <c r="QJZ700" s="1349"/>
      <c r="QKA700" s="1349"/>
      <c r="QKB700" s="1349"/>
      <c r="QKC700" s="1349"/>
      <c r="QKD700" s="1349"/>
      <c r="QKE700" s="1349"/>
      <c r="QKF700" s="1349"/>
      <c r="QKG700" s="1349"/>
      <c r="QKH700" s="1349"/>
      <c r="QKI700" s="1349"/>
      <c r="QKJ700" s="1349"/>
      <c r="QKK700" s="1349"/>
      <c r="QKL700" s="1349"/>
      <c r="QKM700" s="1349"/>
      <c r="QKN700" s="1349"/>
      <c r="QKO700" s="1349"/>
      <c r="QKP700" s="1349"/>
      <c r="QKQ700" s="1349"/>
      <c r="QKR700" s="1349"/>
      <c r="QKS700" s="1349"/>
      <c r="QKT700" s="1349"/>
      <c r="QKU700" s="1349"/>
      <c r="QKV700" s="1349"/>
      <c r="QKW700" s="1349"/>
      <c r="QKX700" s="1349"/>
      <c r="QKY700" s="1349"/>
      <c r="QKZ700" s="1349"/>
      <c r="QLA700" s="1349"/>
      <c r="QLB700" s="1349"/>
      <c r="QLC700" s="1349"/>
      <c r="QLD700" s="1349"/>
      <c r="QLE700" s="1349"/>
      <c r="QLF700" s="1349"/>
      <c r="QLG700" s="1349"/>
      <c r="QLH700" s="1349"/>
      <c r="QLI700" s="1349"/>
      <c r="QLJ700" s="1349"/>
      <c r="QLK700" s="1349"/>
      <c r="QLL700" s="1349"/>
      <c r="QLM700" s="1349"/>
      <c r="QLN700" s="1349"/>
      <c r="QLO700" s="1349"/>
      <c r="QLP700" s="1349"/>
      <c r="QLQ700" s="1349"/>
      <c r="QLR700" s="1349"/>
      <c r="QLS700" s="1349"/>
      <c r="QLT700" s="1349"/>
      <c r="QLU700" s="1349"/>
      <c r="QLV700" s="1349"/>
      <c r="QLW700" s="1349"/>
      <c r="QLX700" s="1349"/>
      <c r="QLY700" s="1349"/>
      <c r="QLZ700" s="1349"/>
      <c r="QMA700" s="1349"/>
      <c r="QMB700" s="1349"/>
      <c r="QMC700" s="1349"/>
      <c r="QMD700" s="1349"/>
      <c r="QME700" s="1349"/>
      <c r="QMF700" s="1349"/>
      <c r="QMG700" s="1349"/>
      <c r="QMH700" s="1349"/>
      <c r="QMI700" s="1349"/>
      <c r="QMJ700" s="1349"/>
      <c r="QMK700" s="1349"/>
      <c r="QML700" s="1349"/>
      <c r="QMM700" s="1349"/>
      <c r="QMN700" s="1349"/>
      <c r="QMO700" s="1349"/>
      <c r="QMP700" s="1349"/>
      <c r="QMQ700" s="1349"/>
      <c r="QMR700" s="1349"/>
      <c r="QMS700" s="1349"/>
      <c r="QMT700" s="1349"/>
      <c r="QMU700" s="1349"/>
      <c r="QMV700" s="1349"/>
      <c r="QMW700" s="1349"/>
      <c r="QMX700" s="1349"/>
      <c r="QMY700" s="1349"/>
      <c r="QMZ700" s="1349"/>
      <c r="QNA700" s="1349"/>
      <c r="QNB700" s="1349"/>
      <c r="QNC700" s="1349"/>
      <c r="QND700" s="1349"/>
      <c r="QNE700" s="1349"/>
      <c r="QNF700" s="1349"/>
      <c r="QNG700" s="1349"/>
      <c r="QNH700" s="1349"/>
      <c r="QNI700" s="1349"/>
      <c r="QNJ700" s="1349"/>
      <c r="QNK700" s="1349"/>
      <c r="QNL700" s="1349"/>
      <c r="QNM700" s="1349"/>
      <c r="QNN700" s="1349"/>
      <c r="QNO700" s="1349"/>
      <c r="QNP700" s="1349"/>
      <c r="QNQ700" s="1349"/>
      <c r="QNR700" s="1349"/>
      <c r="QNS700" s="1349"/>
      <c r="QNT700" s="1349"/>
      <c r="QNU700" s="1349"/>
      <c r="QNV700" s="1349"/>
      <c r="QNW700" s="1349"/>
      <c r="QNX700" s="1349"/>
      <c r="QNY700" s="1349"/>
      <c r="QNZ700" s="1349"/>
      <c r="QOA700" s="1349"/>
      <c r="QOB700" s="1349"/>
      <c r="QOC700" s="1349"/>
      <c r="QOD700" s="1349"/>
      <c r="QOE700" s="1349"/>
      <c r="QOF700" s="1349"/>
      <c r="QOG700" s="1349"/>
      <c r="QOH700" s="1349"/>
      <c r="QOI700" s="1349"/>
      <c r="QOJ700" s="1349"/>
      <c r="QOK700" s="1349"/>
      <c r="QOL700" s="1349"/>
      <c r="QOM700" s="1349"/>
      <c r="QON700" s="1349"/>
      <c r="QOO700" s="1349"/>
      <c r="QOP700" s="1349"/>
      <c r="QOQ700" s="1349"/>
      <c r="QOR700" s="1349"/>
      <c r="QOS700" s="1349"/>
      <c r="QOT700" s="1349"/>
      <c r="QOU700" s="1349"/>
      <c r="QOV700" s="1349"/>
      <c r="QOW700" s="1349"/>
      <c r="QOX700" s="1349"/>
      <c r="QOY700" s="1349"/>
      <c r="QOZ700" s="1349"/>
      <c r="QPA700" s="1349"/>
      <c r="QPB700" s="1349"/>
      <c r="QPC700" s="1349"/>
      <c r="QPD700" s="1349"/>
      <c r="QPE700" s="1349"/>
      <c r="QPF700" s="1349"/>
      <c r="QPG700" s="1349"/>
      <c r="QPH700" s="1349"/>
      <c r="QPI700" s="1349"/>
      <c r="QPJ700" s="1349"/>
      <c r="QPK700" s="1349"/>
      <c r="QPL700" s="1349"/>
      <c r="QPM700" s="1349"/>
      <c r="QPN700" s="1349"/>
      <c r="QPO700" s="1349"/>
      <c r="QPP700" s="1349"/>
      <c r="QPQ700" s="1349"/>
      <c r="QPR700" s="1349"/>
      <c r="QPS700" s="1349"/>
      <c r="QPT700" s="1349"/>
      <c r="QPU700" s="1349"/>
      <c r="QPV700" s="1349"/>
      <c r="QPW700" s="1349"/>
      <c r="QPX700" s="1349"/>
      <c r="QPY700" s="1349"/>
      <c r="QPZ700" s="1349"/>
      <c r="QQA700" s="1349"/>
      <c r="QQB700" s="1349"/>
      <c r="QQC700" s="1349"/>
      <c r="QQD700" s="1349"/>
      <c r="QQE700" s="1349"/>
      <c r="QQF700" s="1349"/>
      <c r="QQG700" s="1349"/>
      <c r="QQH700" s="1349"/>
      <c r="QQI700" s="1349"/>
      <c r="QQJ700" s="1349"/>
      <c r="QQK700" s="1349"/>
      <c r="QQL700" s="1349"/>
      <c r="QQM700" s="1349"/>
      <c r="QQN700" s="1349"/>
      <c r="QQO700" s="1349"/>
      <c r="QQP700" s="1349"/>
      <c r="QQQ700" s="1349"/>
      <c r="QQR700" s="1349"/>
      <c r="QQS700" s="1349"/>
      <c r="QQT700" s="1349"/>
      <c r="QQU700" s="1349"/>
      <c r="QQV700" s="1349"/>
      <c r="QQW700" s="1349"/>
      <c r="QQX700" s="1349"/>
      <c r="QQY700" s="1349"/>
      <c r="QQZ700" s="1349"/>
      <c r="QRA700" s="1349"/>
      <c r="QRB700" s="1349"/>
      <c r="QRC700" s="1349"/>
      <c r="QRD700" s="1349"/>
      <c r="QRE700" s="1349"/>
      <c r="QRF700" s="1349"/>
      <c r="QRG700" s="1349"/>
      <c r="QRH700" s="1349"/>
      <c r="QRI700" s="1349"/>
      <c r="QRJ700" s="1349"/>
      <c r="QRK700" s="1349"/>
      <c r="QRL700" s="1349"/>
      <c r="QRM700" s="1349"/>
      <c r="QRN700" s="1349"/>
      <c r="QRO700" s="1349"/>
      <c r="QRP700" s="1349"/>
      <c r="QRQ700" s="1349"/>
      <c r="QRR700" s="1349"/>
      <c r="QRS700" s="1349"/>
      <c r="QRT700" s="1349"/>
      <c r="QRU700" s="1349"/>
      <c r="QRV700" s="1349"/>
      <c r="QRW700" s="1349"/>
      <c r="QRX700" s="1349"/>
      <c r="QRY700" s="1349"/>
      <c r="QRZ700" s="1349"/>
      <c r="QSA700" s="1349"/>
      <c r="QSB700" s="1349"/>
      <c r="QSC700" s="1349"/>
      <c r="QSD700" s="1349"/>
      <c r="QSE700" s="1349"/>
      <c r="QSF700" s="1349"/>
      <c r="QSG700" s="1349"/>
      <c r="QSH700" s="1349"/>
      <c r="QSI700" s="1349"/>
      <c r="QSJ700" s="1349"/>
      <c r="QSK700" s="1349"/>
      <c r="QSL700" s="1349"/>
      <c r="QSM700" s="1349"/>
      <c r="QSN700" s="1349"/>
      <c r="QSO700" s="1349"/>
      <c r="QSP700" s="1349"/>
      <c r="QSQ700" s="1349"/>
      <c r="QSR700" s="1349"/>
      <c r="QSS700" s="1349"/>
      <c r="QST700" s="1349"/>
      <c r="QSU700" s="1349"/>
      <c r="QSV700" s="1349"/>
      <c r="QSW700" s="1349"/>
      <c r="QSX700" s="1349"/>
      <c r="QSY700" s="1349"/>
      <c r="QSZ700" s="1349"/>
      <c r="QTA700" s="1349"/>
      <c r="QTB700" s="1349"/>
      <c r="QTC700" s="1349"/>
      <c r="QTD700" s="1349"/>
      <c r="QTE700" s="1349"/>
      <c r="QTF700" s="1349"/>
      <c r="QTG700" s="1349"/>
      <c r="QTH700" s="1349"/>
      <c r="QTI700" s="1349"/>
      <c r="QTJ700" s="1349"/>
      <c r="QTK700" s="1349"/>
      <c r="QTL700" s="1349"/>
      <c r="QTM700" s="1349"/>
      <c r="QTN700" s="1349"/>
      <c r="QTO700" s="1349"/>
      <c r="QTP700" s="1349"/>
      <c r="QTQ700" s="1349"/>
      <c r="QTR700" s="1349"/>
      <c r="QTS700" s="1349"/>
      <c r="QTT700" s="1349"/>
      <c r="QTU700" s="1349"/>
      <c r="QTV700" s="1349"/>
      <c r="QTW700" s="1349"/>
      <c r="QTX700" s="1349"/>
      <c r="QTY700" s="1349"/>
      <c r="QTZ700" s="1349"/>
      <c r="QUA700" s="1349"/>
      <c r="QUB700" s="1349"/>
      <c r="QUC700" s="1349"/>
      <c r="QUD700" s="1349"/>
      <c r="QUE700" s="1349"/>
      <c r="QUF700" s="1349"/>
      <c r="QUG700" s="1349"/>
      <c r="QUH700" s="1349"/>
      <c r="QUI700" s="1349"/>
      <c r="QUJ700" s="1349"/>
      <c r="QUK700" s="1349"/>
      <c r="QUL700" s="1349"/>
      <c r="QUM700" s="1349"/>
      <c r="QUN700" s="1349"/>
      <c r="QUO700" s="1349"/>
      <c r="QUP700" s="1349"/>
      <c r="QUQ700" s="1349"/>
      <c r="QUR700" s="1349"/>
      <c r="QUS700" s="1349"/>
      <c r="QUT700" s="1349"/>
      <c r="QUU700" s="1349"/>
      <c r="QUV700" s="1349"/>
      <c r="QUW700" s="1349"/>
      <c r="QUX700" s="1349"/>
      <c r="QUY700" s="1349"/>
      <c r="QUZ700" s="1349"/>
      <c r="QVA700" s="1349"/>
      <c r="QVB700" s="1349"/>
      <c r="QVC700" s="1349"/>
      <c r="QVD700" s="1349"/>
      <c r="QVE700" s="1349"/>
      <c r="QVF700" s="1349"/>
      <c r="QVG700" s="1349"/>
      <c r="QVH700" s="1349"/>
      <c r="QVI700" s="1349"/>
      <c r="QVJ700" s="1349"/>
      <c r="QVK700" s="1349"/>
      <c r="QVL700" s="1349"/>
      <c r="QVM700" s="1349"/>
      <c r="QVN700" s="1349"/>
      <c r="QVO700" s="1349"/>
      <c r="QVP700" s="1349"/>
      <c r="QVQ700" s="1349"/>
      <c r="QVR700" s="1349"/>
      <c r="QVS700" s="1349"/>
      <c r="QVT700" s="1349"/>
      <c r="QVU700" s="1349"/>
      <c r="QVV700" s="1349"/>
      <c r="QVW700" s="1349"/>
      <c r="QVX700" s="1349"/>
      <c r="QVY700" s="1349"/>
      <c r="QVZ700" s="1349"/>
      <c r="QWA700" s="1349"/>
      <c r="QWB700" s="1349"/>
      <c r="QWC700" s="1349"/>
      <c r="QWD700" s="1349"/>
      <c r="QWE700" s="1349"/>
      <c r="QWF700" s="1349"/>
      <c r="QWG700" s="1349"/>
      <c r="QWH700" s="1349"/>
      <c r="QWI700" s="1349"/>
      <c r="QWJ700" s="1349"/>
      <c r="QWK700" s="1349"/>
      <c r="QWL700" s="1349"/>
      <c r="QWM700" s="1349"/>
      <c r="QWN700" s="1349"/>
      <c r="QWO700" s="1349"/>
      <c r="QWP700" s="1349"/>
      <c r="QWQ700" s="1349"/>
      <c r="QWR700" s="1349"/>
      <c r="QWS700" s="1349"/>
      <c r="QWT700" s="1349"/>
      <c r="QWU700" s="1349"/>
      <c r="QWV700" s="1349"/>
      <c r="QWW700" s="1349"/>
      <c r="QWX700" s="1349"/>
      <c r="QWY700" s="1349"/>
      <c r="QWZ700" s="1349"/>
      <c r="QXA700" s="1349"/>
      <c r="QXB700" s="1349"/>
      <c r="QXC700" s="1349"/>
      <c r="QXD700" s="1349"/>
      <c r="QXE700" s="1349"/>
      <c r="QXF700" s="1349"/>
      <c r="QXG700" s="1349"/>
      <c r="QXH700" s="1349"/>
      <c r="QXI700" s="1349"/>
      <c r="QXJ700" s="1349"/>
      <c r="QXK700" s="1349"/>
      <c r="QXL700" s="1349"/>
      <c r="QXM700" s="1349"/>
      <c r="QXN700" s="1349"/>
      <c r="QXO700" s="1349"/>
      <c r="QXP700" s="1349"/>
      <c r="QXQ700" s="1349"/>
      <c r="QXR700" s="1349"/>
      <c r="QXS700" s="1349"/>
      <c r="QXT700" s="1349"/>
      <c r="QXU700" s="1349"/>
      <c r="QXV700" s="1349"/>
      <c r="QXW700" s="1349"/>
      <c r="QXX700" s="1349"/>
      <c r="QXY700" s="1349"/>
      <c r="QXZ700" s="1349"/>
      <c r="QYA700" s="1349"/>
      <c r="QYB700" s="1349"/>
      <c r="QYC700" s="1349"/>
      <c r="QYD700" s="1349"/>
      <c r="QYE700" s="1349"/>
      <c r="QYF700" s="1349"/>
      <c r="QYG700" s="1349"/>
      <c r="QYH700" s="1349"/>
      <c r="QYI700" s="1349"/>
      <c r="QYJ700" s="1349"/>
      <c r="QYK700" s="1349"/>
      <c r="QYL700" s="1349"/>
      <c r="QYM700" s="1349"/>
      <c r="QYN700" s="1349"/>
      <c r="QYO700" s="1349"/>
      <c r="QYP700" s="1349"/>
      <c r="QYQ700" s="1349"/>
      <c r="QYR700" s="1349"/>
      <c r="QYS700" s="1349"/>
      <c r="QYT700" s="1349"/>
      <c r="QYU700" s="1349"/>
      <c r="QYV700" s="1349"/>
      <c r="QYW700" s="1349"/>
      <c r="QYX700" s="1349"/>
      <c r="QYY700" s="1349"/>
      <c r="QYZ700" s="1349"/>
      <c r="QZA700" s="1349"/>
      <c r="QZB700" s="1349"/>
      <c r="QZC700" s="1349"/>
      <c r="QZD700" s="1349"/>
      <c r="QZE700" s="1349"/>
      <c r="QZF700" s="1349"/>
      <c r="QZG700" s="1349"/>
      <c r="QZH700" s="1349"/>
      <c r="QZI700" s="1349"/>
      <c r="QZJ700" s="1349"/>
      <c r="QZK700" s="1349"/>
      <c r="QZL700" s="1349"/>
      <c r="QZM700" s="1349"/>
      <c r="QZN700" s="1349"/>
      <c r="QZO700" s="1349"/>
      <c r="QZP700" s="1349"/>
      <c r="QZQ700" s="1349"/>
      <c r="QZR700" s="1349"/>
      <c r="QZS700" s="1349"/>
      <c r="QZT700" s="1349"/>
      <c r="QZU700" s="1349"/>
      <c r="QZV700" s="1349"/>
      <c r="QZW700" s="1349"/>
      <c r="QZX700" s="1349"/>
      <c r="QZY700" s="1349"/>
      <c r="QZZ700" s="1349"/>
      <c r="RAA700" s="1349"/>
      <c r="RAB700" s="1349"/>
      <c r="RAC700" s="1349"/>
      <c r="RAD700" s="1349"/>
      <c r="RAE700" s="1349"/>
      <c r="RAF700" s="1349"/>
      <c r="RAG700" s="1349"/>
      <c r="RAH700" s="1349"/>
      <c r="RAI700" s="1349"/>
      <c r="RAJ700" s="1349"/>
      <c r="RAK700" s="1349"/>
      <c r="RAL700" s="1349"/>
      <c r="RAM700" s="1349"/>
      <c r="RAN700" s="1349"/>
      <c r="RAO700" s="1349"/>
      <c r="RAP700" s="1349"/>
      <c r="RAQ700" s="1349"/>
      <c r="RAR700" s="1349"/>
      <c r="RAS700" s="1349"/>
      <c r="RAT700" s="1349"/>
      <c r="RAU700" s="1349"/>
      <c r="RAV700" s="1349"/>
      <c r="RAW700" s="1349"/>
      <c r="RAX700" s="1349"/>
      <c r="RAY700" s="1349"/>
      <c r="RAZ700" s="1349"/>
      <c r="RBA700" s="1349"/>
      <c r="RBB700" s="1349"/>
      <c r="RBC700" s="1349"/>
      <c r="RBD700" s="1349"/>
      <c r="RBE700" s="1349"/>
      <c r="RBF700" s="1349"/>
      <c r="RBG700" s="1349"/>
      <c r="RBH700" s="1349"/>
      <c r="RBI700" s="1349"/>
      <c r="RBJ700" s="1349"/>
      <c r="RBK700" s="1349"/>
      <c r="RBL700" s="1349"/>
      <c r="RBM700" s="1349"/>
      <c r="RBN700" s="1349"/>
      <c r="RBO700" s="1349"/>
      <c r="RBP700" s="1349"/>
      <c r="RBQ700" s="1349"/>
      <c r="RBR700" s="1349"/>
      <c r="RBS700" s="1349"/>
      <c r="RBT700" s="1349"/>
      <c r="RBU700" s="1349"/>
      <c r="RBV700" s="1349"/>
      <c r="RBW700" s="1349"/>
      <c r="RBX700" s="1349"/>
      <c r="RBY700" s="1349"/>
      <c r="RBZ700" s="1349"/>
      <c r="RCA700" s="1349"/>
      <c r="RCB700" s="1349"/>
      <c r="RCC700" s="1349"/>
      <c r="RCD700" s="1349"/>
      <c r="RCE700" s="1349"/>
      <c r="RCF700" s="1349"/>
      <c r="RCG700" s="1349"/>
      <c r="RCH700" s="1349"/>
      <c r="RCI700" s="1349"/>
      <c r="RCJ700" s="1349"/>
      <c r="RCK700" s="1349"/>
      <c r="RCL700" s="1349"/>
      <c r="RCM700" s="1349"/>
      <c r="RCN700" s="1349"/>
      <c r="RCO700" s="1349"/>
      <c r="RCP700" s="1349"/>
      <c r="RCQ700" s="1349"/>
      <c r="RCR700" s="1349"/>
      <c r="RCS700" s="1349"/>
      <c r="RCT700" s="1349"/>
      <c r="RCU700" s="1349"/>
      <c r="RCV700" s="1349"/>
      <c r="RCW700" s="1349"/>
      <c r="RCX700" s="1349"/>
      <c r="RCY700" s="1349"/>
      <c r="RCZ700" s="1349"/>
      <c r="RDA700" s="1349"/>
      <c r="RDB700" s="1349"/>
      <c r="RDC700" s="1349"/>
      <c r="RDD700" s="1349"/>
      <c r="RDE700" s="1349"/>
      <c r="RDF700" s="1349"/>
      <c r="RDG700" s="1349"/>
      <c r="RDH700" s="1349"/>
      <c r="RDI700" s="1349"/>
      <c r="RDJ700" s="1349"/>
      <c r="RDK700" s="1349"/>
      <c r="RDL700" s="1349"/>
      <c r="RDM700" s="1349"/>
      <c r="RDN700" s="1349"/>
      <c r="RDO700" s="1349"/>
      <c r="RDP700" s="1349"/>
      <c r="RDQ700" s="1349"/>
      <c r="RDR700" s="1349"/>
      <c r="RDS700" s="1349"/>
      <c r="RDT700" s="1349"/>
      <c r="RDU700" s="1349"/>
      <c r="RDV700" s="1349"/>
      <c r="RDW700" s="1349"/>
      <c r="RDX700" s="1349"/>
      <c r="RDY700" s="1349"/>
      <c r="RDZ700" s="1349"/>
      <c r="REA700" s="1349"/>
      <c r="REB700" s="1349"/>
      <c r="REC700" s="1349"/>
      <c r="RED700" s="1349"/>
      <c r="REE700" s="1349"/>
      <c r="REF700" s="1349"/>
      <c r="REG700" s="1349"/>
      <c r="REH700" s="1349"/>
      <c r="REI700" s="1349"/>
      <c r="REJ700" s="1349"/>
      <c r="REK700" s="1349"/>
      <c r="REL700" s="1349"/>
      <c r="REM700" s="1349"/>
      <c r="REN700" s="1349"/>
      <c r="REO700" s="1349"/>
      <c r="REP700" s="1349"/>
      <c r="REQ700" s="1349"/>
      <c r="RER700" s="1349"/>
      <c r="RES700" s="1349"/>
      <c r="RET700" s="1349"/>
      <c r="REU700" s="1349"/>
      <c r="REV700" s="1349"/>
      <c r="REW700" s="1349"/>
      <c r="REX700" s="1349"/>
      <c r="REY700" s="1349"/>
      <c r="REZ700" s="1349"/>
      <c r="RFA700" s="1349"/>
      <c r="RFB700" s="1349"/>
      <c r="RFC700" s="1349"/>
      <c r="RFD700" s="1349"/>
      <c r="RFE700" s="1349"/>
      <c r="RFF700" s="1349"/>
      <c r="RFG700" s="1349"/>
      <c r="RFH700" s="1349"/>
      <c r="RFI700" s="1349"/>
      <c r="RFJ700" s="1349"/>
      <c r="RFK700" s="1349"/>
      <c r="RFL700" s="1349"/>
      <c r="RFM700" s="1349"/>
      <c r="RFN700" s="1349"/>
      <c r="RFO700" s="1349"/>
      <c r="RFP700" s="1349"/>
      <c r="RFQ700" s="1349"/>
      <c r="RFR700" s="1349"/>
      <c r="RFS700" s="1349"/>
      <c r="RFT700" s="1349"/>
      <c r="RFU700" s="1349"/>
      <c r="RFV700" s="1349"/>
      <c r="RFW700" s="1349"/>
      <c r="RFX700" s="1349"/>
      <c r="RFY700" s="1349"/>
      <c r="RFZ700" s="1349"/>
      <c r="RGA700" s="1349"/>
      <c r="RGB700" s="1349"/>
      <c r="RGC700" s="1349"/>
      <c r="RGD700" s="1349"/>
      <c r="RGE700" s="1349"/>
      <c r="RGF700" s="1349"/>
      <c r="RGG700" s="1349"/>
      <c r="RGH700" s="1349"/>
      <c r="RGI700" s="1349"/>
      <c r="RGJ700" s="1349"/>
      <c r="RGK700" s="1349"/>
      <c r="RGL700" s="1349"/>
      <c r="RGM700" s="1349"/>
      <c r="RGN700" s="1349"/>
      <c r="RGO700" s="1349"/>
      <c r="RGP700" s="1349"/>
      <c r="RGQ700" s="1349"/>
      <c r="RGR700" s="1349"/>
      <c r="RGS700" s="1349"/>
      <c r="RGT700" s="1349"/>
      <c r="RGU700" s="1349"/>
      <c r="RGV700" s="1349"/>
      <c r="RGW700" s="1349"/>
      <c r="RGX700" s="1349"/>
      <c r="RGY700" s="1349"/>
      <c r="RGZ700" s="1349"/>
      <c r="RHA700" s="1349"/>
      <c r="RHB700" s="1349"/>
      <c r="RHC700" s="1349"/>
      <c r="RHD700" s="1349"/>
      <c r="RHE700" s="1349"/>
      <c r="RHF700" s="1349"/>
      <c r="RHG700" s="1349"/>
      <c r="RHH700" s="1349"/>
      <c r="RHI700" s="1349"/>
      <c r="RHJ700" s="1349"/>
      <c r="RHK700" s="1349"/>
      <c r="RHL700" s="1349"/>
      <c r="RHM700" s="1349"/>
      <c r="RHN700" s="1349"/>
      <c r="RHO700" s="1349"/>
      <c r="RHP700" s="1349"/>
      <c r="RHQ700" s="1349"/>
      <c r="RHR700" s="1349"/>
      <c r="RHS700" s="1349"/>
      <c r="RHT700" s="1349"/>
      <c r="RHU700" s="1349"/>
      <c r="RHV700" s="1349"/>
      <c r="RHW700" s="1349"/>
      <c r="RHX700" s="1349"/>
      <c r="RHY700" s="1349"/>
      <c r="RHZ700" s="1349"/>
      <c r="RIA700" s="1349"/>
      <c r="RIB700" s="1349"/>
      <c r="RIC700" s="1349"/>
      <c r="RID700" s="1349"/>
      <c r="RIE700" s="1349"/>
      <c r="RIF700" s="1349"/>
      <c r="RIG700" s="1349"/>
      <c r="RIH700" s="1349"/>
      <c r="RII700" s="1349"/>
      <c r="RIJ700" s="1349"/>
      <c r="RIK700" s="1349"/>
      <c r="RIL700" s="1349"/>
      <c r="RIM700" s="1349"/>
      <c r="RIN700" s="1349"/>
      <c r="RIO700" s="1349"/>
      <c r="RIP700" s="1349"/>
      <c r="RIQ700" s="1349"/>
      <c r="RIR700" s="1349"/>
      <c r="RIS700" s="1349"/>
      <c r="RIT700" s="1349"/>
      <c r="RIU700" s="1349"/>
      <c r="RIV700" s="1349"/>
      <c r="RIW700" s="1349"/>
      <c r="RIX700" s="1349"/>
      <c r="RIY700" s="1349"/>
      <c r="RIZ700" s="1349"/>
      <c r="RJA700" s="1349"/>
      <c r="RJB700" s="1349"/>
      <c r="RJC700" s="1349"/>
      <c r="RJD700" s="1349"/>
      <c r="RJE700" s="1349"/>
      <c r="RJF700" s="1349"/>
      <c r="RJG700" s="1349"/>
      <c r="RJH700" s="1349"/>
      <c r="RJI700" s="1349"/>
      <c r="RJJ700" s="1349"/>
      <c r="RJK700" s="1349"/>
      <c r="RJL700" s="1349"/>
      <c r="RJM700" s="1349"/>
      <c r="RJN700" s="1349"/>
      <c r="RJO700" s="1349"/>
      <c r="RJP700" s="1349"/>
      <c r="RJQ700" s="1349"/>
      <c r="RJR700" s="1349"/>
      <c r="RJS700" s="1349"/>
      <c r="RJT700" s="1349"/>
      <c r="RJU700" s="1349"/>
      <c r="RJV700" s="1349"/>
      <c r="RJW700" s="1349"/>
      <c r="RJX700" s="1349"/>
      <c r="RJY700" s="1349"/>
      <c r="RJZ700" s="1349"/>
      <c r="RKA700" s="1349"/>
      <c r="RKB700" s="1349"/>
      <c r="RKC700" s="1349"/>
      <c r="RKD700" s="1349"/>
      <c r="RKE700" s="1349"/>
      <c r="RKF700" s="1349"/>
      <c r="RKG700" s="1349"/>
      <c r="RKH700" s="1349"/>
      <c r="RKI700" s="1349"/>
      <c r="RKJ700" s="1349"/>
      <c r="RKK700" s="1349"/>
      <c r="RKL700" s="1349"/>
      <c r="RKM700" s="1349"/>
      <c r="RKN700" s="1349"/>
      <c r="RKO700" s="1349"/>
      <c r="RKP700" s="1349"/>
      <c r="RKQ700" s="1349"/>
      <c r="RKR700" s="1349"/>
      <c r="RKS700" s="1349"/>
      <c r="RKT700" s="1349"/>
      <c r="RKU700" s="1349"/>
      <c r="RKV700" s="1349"/>
      <c r="RKW700" s="1349"/>
      <c r="RKX700" s="1349"/>
      <c r="RKY700" s="1349"/>
      <c r="RKZ700" s="1349"/>
      <c r="RLA700" s="1349"/>
      <c r="RLB700" s="1349"/>
      <c r="RLC700" s="1349"/>
      <c r="RLD700" s="1349"/>
      <c r="RLE700" s="1349"/>
      <c r="RLF700" s="1349"/>
      <c r="RLG700" s="1349"/>
      <c r="RLH700" s="1349"/>
      <c r="RLI700" s="1349"/>
      <c r="RLJ700" s="1349"/>
      <c r="RLK700" s="1349"/>
      <c r="RLL700" s="1349"/>
      <c r="RLM700" s="1349"/>
      <c r="RLN700" s="1349"/>
      <c r="RLO700" s="1349"/>
      <c r="RLP700" s="1349"/>
      <c r="RLQ700" s="1349"/>
      <c r="RLR700" s="1349"/>
      <c r="RLS700" s="1349"/>
      <c r="RLT700" s="1349"/>
      <c r="RLU700" s="1349"/>
      <c r="RLV700" s="1349"/>
      <c r="RLW700" s="1349"/>
      <c r="RLX700" s="1349"/>
      <c r="RLY700" s="1349"/>
      <c r="RLZ700" s="1349"/>
      <c r="RMA700" s="1349"/>
      <c r="RMB700" s="1349"/>
      <c r="RMC700" s="1349"/>
      <c r="RMD700" s="1349"/>
      <c r="RME700" s="1349"/>
      <c r="RMF700" s="1349"/>
      <c r="RMG700" s="1349"/>
      <c r="RMH700" s="1349"/>
      <c r="RMI700" s="1349"/>
      <c r="RMJ700" s="1349"/>
      <c r="RMK700" s="1349"/>
      <c r="RML700" s="1349"/>
      <c r="RMM700" s="1349"/>
      <c r="RMN700" s="1349"/>
      <c r="RMO700" s="1349"/>
      <c r="RMP700" s="1349"/>
      <c r="RMQ700" s="1349"/>
      <c r="RMR700" s="1349"/>
      <c r="RMS700" s="1349"/>
      <c r="RMT700" s="1349"/>
      <c r="RMU700" s="1349"/>
      <c r="RMV700" s="1349"/>
      <c r="RMW700" s="1349"/>
      <c r="RMX700" s="1349"/>
      <c r="RMY700" s="1349"/>
      <c r="RMZ700" s="1349"/>
      <c r="RNA700" s="1349"/>
      <c r="RNB700" s="1349"/>
      <c r="RNC700" s="1349"/>
      <c r="RND700" s="1349"/>
      <c r="RNE700" s="1349"/>
      <c r="RNF700" s="1349"/>
      <c r="RNG700" s="1349"/>
      <c r="RNH700" s="1349"/>
      <c r="RNI700" s="1349"/>
      <c r="RNJ700" s="1349"/>
      <c r="RNK700" s="1349"/>
      <c r="RNL700" s="1349"/>
      <c r="RNM700" s="1349"/>
      <c r="RNN700" s="1349"/>
      <c r="RNO700" s="1349"/>
      <c r="RNP700" s="1349"/>
      <c r="RNQ700" s="1349"/>
      <c r="RNR700" s="1349"/>
      <c r="RNS700" s="1349"/>
      <c r="RNT700" s="1349"/>
      <c r="RNU700" s="1349"/>
      <c r="RNV700" s="1349"/>
      <c r="RNW700" s="1349"/>
      <c r="RNX700" s="1349"/>
      <c r="RNY700" s="1349"/>
      <c r="RNZ700" s="1349"/>
      <c r="ROA700" s="1349"/>
      <c r="ROB700" s="1349"/>
      <c r="ROC700" s="1349"/>
      <c r="ROD700" s="1349"/>
      <c r="ROE700" s="1349"/>
      <c r="ROF700" s="1349"/>
      <c r="ROG700" s="1349"/>
      <c r="ROH700" s="1349"/>
      <c r="ROI700" s="1349"/>
      <c r="ROJ700" s="1349"/>
      <c r="ROK700" s="1349"/>
      <c r="ROL700" s="1349"/>
      <c r="ROM700" s="1349"/>
      <c r="RON700" s="1349"/>
      <c r="ROO700" s="1349"/>
      <c r="ROP700" s="1349"/>
      <c r="ROQ700" s="1349"/>
      <c r="ROR700" s="1349"/>
      <c r="ROS700" s="1349"/>
      <c r="ROT700" s="1349"/>
      <c r="ROU700" s="1349"/>
      <c r="ROV700" s="1349"/>
      <c r="ROW700" s="1349"/>
      <c r="ROX700" s="1349"/>
      <c r="ROY700" s="1349"/>
      <c r="ROZ700" s="1349"/>
      <c r="RPA700" s="1349"/>
      <c r="RPB700" s="1349"/>
      <c r="RPC700" s="1349"/>
      <c r="RPD700" s="1349"/>
      <c r="RPE700" s="1349"/>
      <c r="RPF700" s="1349"/>
      <c r="RPG700" s="1349"/>
      <c r="RPH700" s="1349"/>
      <c r="RPI700" s="1349"/>
      <c r="RPJ700" s="1349"/>
      <c r="RPK700" s="1349"/>
      <c r="RPL700" s="1349"/>
      <c r="RPM700" s="1349"/>
      <c r="RPN700" s="1349"/>
      <c r="RPO700" s="1349"/>
      <c r="RPP700" s="1349"/>
      <c r="RPQ700" s="1349"/>
      <c r="RPR700" s="1349"/>
      <c r="RPS700" s="1349"/>
      <c r="RPT700" s="1349"/>
      <c r="RPU700" s="1349"/>
      <c r="RPV700" s="1349"/>
      <c r="RPW700" s="1349"/>
      <c r="RPX700" s="1349"/>
      <c r="RPY700" s="1349"/>
      <c r="RPZ700" s="1349"/>
      <c r="RQA700" s="1349"/>
      <c r="RQB700" s="1349"/>
      <c r="RQC700" s="1349"/>
      <c r="RQD700" s="1349"/>
      <c r="RQE700" s="1349"/>
      <c r="RQF700" s="1349"/>
      <c r="RQG700" s="1349"/>
      <c r="RQH700" s="1349"/>
      <c r="RQI700" s="1349"/>
      <c r="RQJ700" s="1349"/>
      <c r="RQK700" s="1349"/>
      <c r="RQL700" s="1349"/>
      <c r="RQM700" s="1349"/>
      <c r="RQN700" s="1349"/>
      <c r="RQO700" s="1349"/>
      <c r="RQP700" s="1349"/>
      <c r="RQQ700" s="1349"/>
      <c r="RQR700" s="1349"/>
      <c r="RQS700" s="1349"/>
      <c r="RQT700" s="1349"/>
      <c r="RQU700" s="1349"/>
      <c r="RQV700" s="1349"/>
      <c r="RQW700" s="1349"/>
      <c r="RQX700" s="1349"/>
      <c r="RQY700" s="1349"/>
      <c r="RQZ700" s="1349"/>
      <c r="RRA700" s="1349"/>
      <c r="RRB700" s="1349"/>
      <c r="RRC700" s="1349"/>
      <c r="RRD700" s="1349"/>
      <c r="RRE700" s="1349"/>
      <c r="RRF700" s="1349"/>
      <c r="RRG700" s="1349"/>
      <c r="RRH700" s="1349"/>
      <c r="RRI700" s="1349"/>
      <c r="RRJ700" s="1349"/>
      <c r="RRK700" s="1349"/>
      <c r="RRL700" s="1349"/>
      <c r="RRM700" s="1349"/>
      <c r="RRN700" s="1349"/>
      <c r="RRO700" s="1349"/>
      <c r="RRP700" s="1349"/>
      <c r="RRQ700" s="1349"/>
      <c r="RRR700" s="1349"/>
      <c r="RRS700" s="1349"/>
      <c r="RRT700" s="1349"/>
      <c r="RRU700" s="1349"/>
      <c r="RRV700" s="1349"/>
      <c r="RRW700" s="1349"/>
      <c r="RRX700" s="1349"/>
      <c r="RRY700" s="1349"/>
      <c r="RRZ700" s="1349"/>
      <c r="RSA700" s="1349"/>
      <c r="RSB700" s="1349"/>
      <c r="RSC700" s="1349"/>
      <c r="RSD700" s="1349"/>
      <c r="RSE700" s="1349"/>
      <c r="RSF700" s="1349"/>
      <c r="RSG700" s="1349"/>
      <c r="RSH700" s="1349"/>
      <c r="RSI700" s="1349"/>
      <c r="RSJ700" s="1349"/>
      <c r="RSK700" s="1349"/>
      <c r="RSL700" s="1349"/>
      <c r="RSM700" s="1349"/>
      <c r="RSN700" s="1349"/>
      <c r="RSO700" s="1349"/>
      <c r="RSP700" s="1349"/>
      <c r="RSQ700" s="1349"/>
      <c r="RSR700" s="1349"/>
      <c r="RSS700" s="1349"/>
      <c r="RST700" s="1349"/>
      <c r="RSU700" s="1349"/>
      <c r="RSV700" s="1349"/>
      <c r="RSW700" s="1349"/>
      <c r="RSX700" s="1349"/>
      <c r="RSY700" s="1349"/>
      <c r="RSZ700" s="1349"/>
      <c r="RTA700" s="1349"/>
      <c r="RTB700" s="1349"/>
      <c r="RTC700" s="1349"/>
      <c r="RTD700" s="1349"/>
      <c r="RTE700" s="1349"/>
      <c r="RTF700" s="1349"/>
      <c r="RTG700" s="1349"/>
      <c r="RTH700" s="1349"/>
      <c r="RTI700" s="1349"/>
      <c r="RTJ700" s="1349"/>
      <c r="RTK700" s="1349"/>
      <c r="RTL700" s="1349"/>
      <c r="RTM700" s="1349"/>
      <c r="RTN700" s="1349"/>
      <c r="RTO700" s="1349"/>
      <c r="RTP700" s="1349"/>
      <c r="RTQ700" s="1349"/>
      <c r="RTR700" s="1349"/>
      <c r="RTS700" s="1349"/>
      <c r="RTT700" s="1349"/>
      <c r="RTU700" s="1349"/>
      <c r="RTV700" s="1349"/>
      <c r="RTW700" s="1349"/>
      <c r="RTX700" s="1349"/>
      <c r="RTY700" s="1349"/>
      <c r="RTZ700" s="1349"/>
      <c r="RUA700" s="1349"/>
      <c r="RUB700" s="1349"/>
      <c r="RUC700" s="1349"/>
      <c r="RUD700" s="1349"/>
      <c r="RUE700" s="1349"/>
      <c r="RUF700" s="1349"/>
      <c r="RUG700" s="1349"/>
      <c r="RUH700" s="1349"/>
      <c r="RUI700" s="1349"/>
      <c r="RUJ700" s="1349"/>
      <c r="RUK700" s="1349"/>
      <c r="RUL700" s="1349"/>
      <c r="RUM700" s="1349"/>
      <c r="RUN700" s="1349"/>
      <c r="RUO700" s="1349"/>
      <c r="RUP700" s="1349"/>
      <c r="RUQ700" s="1349"/>
      <c r="RUR700" s="1349"/>
      <c r="RUS700" s="1349"/>
      <c r="RUT700" s="1349"/>
      <c r="RUU700" s="1349"/>
      <c r="RUV700" s="1349"/>
      <c r="RUW700" s="1349"/>
      <c r="RUX700" s="1349"/>
      <c r="RUY700" s="1349"/>
      <c r="RUZ700" s="1349"/>
      <c r="RVA700" s="1349"/>
      <c r="RVB700" s="1349"/>
      <c r="RVC700" s="1349"/>
      <c r="RVD700" s="1349"/>
      <c r="RVE700" s="1349"/>
      <c r="RVF700" s="1349"/>
      <c r="RVG700" s="1349"/>
      <c r="RVH700" s="1349"/>
      <c r="RVI700" s="1349"/>
      <c r="RVJ700" s="1349"/>
      <c r="RVK700" s="1349"/>
      <c r="RVL700" s="1349"/>
      <c r="RVM700" s="1349"/>
      <c r="RVN700" s="1349"/>
      <c r="RVO700" s="1349"/>
      <c r="RVP700" s="1349"/>
      <c r="RVQ700" s="1349"/>
      <c r="RVR700" s="1349"/>
      <c r="RVS700" s="1349"/>
      <c r="RVT700" s="1349"/>
      <c r="RVU700" s="1349"/>
      <c r="RVV700" s="1349"/>
      <c r="RVW700" s="1349"/>
      <c r="RVX700" s="1349"/>
      <c r="RVY700" s="1349"/>
      <c r="RVZ700" s="1349"/>
      <c r="RWA700" s="1349"/>
      <c r="RWB700" s="1349"/>
      <c r="RWC700" s="1349"/>
      <c r="RWD700" s="1349"/>
      <c r="RWE700" s="1349"/>
      <c r="RWF700" s="1349"/>
      <c r="RWG700" s="1349"/>
      <c r="RWH700" s="1349"/>
      <c r="RWI700" s="1349"/>
      <c r="RWJ700" s="1349"/>
      <c r="RWK700" s="1349"/>
      <c r="RWL700" s="1349"/>
      <c r="RWM700" s="1349"/>
      <c r="RWN700" s="1349"/>
      <c r="RWO700" s="1349"/>
      <c r="RWP700" s="1349"/>
      <c r="RWQ700" s="1349"/>
      <c r="RWR700" s="1349"/>
      <c r="RWS700" s="1349"/>
      <c r="RWT700" s="1349"/>
      <c r="RWU700" s="1349"/>
      <c r="RWV700" s="1349"/>
      <c r="RWW700" s="1349"/>
      <c r="RWX700" s="1349"/>
      <c r="RWY700" s="1349"/>
      <c r="RWZ700" s="1349"/>
      <c r="RXA700" s="1349"/>
      <c r="RXB700" s="1349"/>
      <c r="RXC700" s="1349"/>
      <c r="RXD700" s="1349"/>
      <c r="RXE700" s="1349"/>
      <c r="RXF700" s="1349"/>
      <c r="RXG700" s="1349"/>
      <c r="RXH700" s="1349"/>
      <c r="RXI700" s="1349"/>
      <c r="RXJ700" s="1349"/>
      <c r="RXK700" s="1349"/>
      <c r="RXL700" s="1349"/>
      <c r="RXM700" s="1349"/>
      <c r="RXN700" s="1349"/>
      <c r="RXO700" s="1349"/>
      <c r="RXP700" s="1349"/>
      <c r="RXQ700" s="1349"/>
      <c r="RXR700" s="1349"/>
      <c r="RXS700" s="1349"/>
      <c r="RXT700" s="1349"/>
      <c r="RXU700" s="1349"/>
      <c r="RXV700" s="1349"/>
      <c r="RXW700" s="1349"/>
      <c r="RXX700" s="1349"/>
      <c r="RXY700" s="1349"/>
      <c r="RXZ700" s="1349"/>
      <c r="RYA700" s="1349"/>
      <c r="RYB700" s="1349"/>
      <c r="RYC700" s="1349"/>
      <c r="RYD700" s="1349"/>
      <c r="RYE700" s="1349"/>
      <c r="RYF700" s="1349"/>
      <c r="RYG700" s="1349"/>
      <c r="RYH700" s="1349"/>
      <c r="RYI700" s="1349"/>
      <c r="RYJ700" s="1349"/>
      <c r="RYK700" s="1349"/>
      <c r="RYL700" s="1349"/>
      <c r="RYM700" s="1349"/>
      <c r="RYN700" s="1349"/>
      <c r="RYO700" s="1349"/>
      <c r="RYP700" s="1349"/>
      <c r="RYQ700" s="1349"/>
      <c r="RYR700" s="1349"/>
      <c r="RYS700" s="1349"/>
      <c r="RYT700" s="1349"/>
      <c r="RYU700" s="1349"/>
      <c r="RYV700" s="1349"/>
      <c r="RYW700" s="1349"/>
      <c r="RYX700" s="1349"/>
      <c r="RYY700" s="1349"/>
      <c r="RYZ700" s="1349"/>
      <c r="RZA700" s="1349"/>
      <c r="RZB700" s="1349"/>
      <c r="RZC700" s="1349"/>
      <c r="RZD700" s="1349"/>
      <c r="RZE700" s="1349"/>
      <c r="RZF700" s="1349"/>
      <c r="RZG700" s="1349"/>
      <c r="RZH700" s="1349"/>
      <c r="RZI700" s="1349"/>
      <c r="RZJ700" s="1349"/>
      <c r="RZK700" s="1349"/>
      <c r="RZL700" s="1349"/>
      <c r="RZM700" s="1349"/>
      <c r="RZN700" s="1349"/>
      <c r="RZO700" s="1349"/>
      <c r="RZP700" s="1349"/>
      <c r="RZQ700" s="1349"/>
      <c r="RZR700" s="1349"/>
      <c r="RZS700" s="1349"/>
      <c r="RZT700" s="1349"/>
      <c r="RZU700" s="1349"/>
      <c r="RZV700" s="1349"/>
      <c r="RZW700" s="1349"/>
      <c r="RZX700" s="1349"/>
      <c r="RZY700" s="1349"/>
      <c r="RZZ700" s="1349"/>
      <c r="SAA700" s="1349"/>
      <c r="SAB700" s="1349"/>
      <c r="SAC700" s="1349"/>
      <c r="SAD700" s="1349"/>
      <c r="SAE700" s="1349"/>
      <c r="SAF700" s="1349"/>
      <c r="SAG700" s="1349"/>
      <c r="SAH700" s="1349"/>
      <c r="SAI700" s="1349"/>
      <c r="SAJ700" s="1349"/>
      <c r="SAK700" s="1349"/>
      <c r="SAL700" s="1349"/>
      <c r="SAM700" s="1349"/>
      <c r="SAN700" s="1349"/>
      <c r="SAO700" s="1349"/>
      <c r="SAP700" s="1349"/>
      <c r="SAQ700" s="1349"/>
      <c r="SAR700" s="1349"/>
      <c r="SAS700" s="1349"/>
      <c r="SAT700" s="1349"/>
      <c r="SAU700" s="1349"/>
      <c r="SAV700" s="1349"/>
      <c r="SAW700" s="1349"/>
      <c r="SAX700" s="1349"/>
      <c r="SAY700" s="1349"/>
      <c r="SAZ700" s="1349"/>
      <c r="SBA700" s="1349"/>
      <c r="SBB700" s="1349"/>
      <c r="SBC700" s="1349"/>
      <c r="SBD700" s="1349"/>
      <c r="SBE700" s="1349"/>
      <c r="SBF700" s="1349"/>
      <c r="SBG700" s="1349"/>
      <c r="SBH700" s="1349"/>
      <c r="SBI700" s="1349"/>
      <c r="SBJ700" s="1349"/>
      <c r="SBK700" s="1349"/>
      <c r="SBL700" s="1349"/>
      <c r="SBM700" s="1349"/>
      <c r="SBN700" s="1349"/>
      <c r="SBO700" s="1349"/>
      <c r="SBP700" s="1349"/>
      <c r="SBQ700" s="1349"/>
      <c r="SBR700" s="1349"/>
      <c r="SBS700" s="1349"/>
      <c r="SBT700" s="1349"/>
      <c r="SBU700" s="1349"/>
      <c r="SBV700" s="1349"/>
      <c r="SBW700" s="1349"/>
      <c r="SBX700" s="1349"/>
      <c r="SBY700" s="1349"/>
      <c r="SBZ700" s="1349"/>
      <c r="SCA700" s="1349"/>
      <c r="SCB700" s="1349"/>
      <c r="SCC700" s="1349"/>
      <c r="SCD700" s="1349"/>
      <c r="SCE700" s="1349"/>
      <c r="SCF700" s="1349"/>
      <c r="SCG700" s="1349"/>
      <c r="SCH700" s="1349"/>
      <c r="SCI700" s="1349"/>
      <c r="SCJ700" s="1349"/>
      <c r="SCK700" s="1349"/>
      <c r="SCL700" s="1349"/>
      <c r="SCM700" s="1349"/>
      <c r="SCN700" s="1349"/>
      <c r="SCO700" s="1349"/>
      <c r="SCP700" s="1349"/>
      <c r="SCQ700" s="1349"/>
      <c r="SCR700" s="1349"/>
      <c r="SCS700" s="1349"/>
      <c r="SCT700" s="1349"/>
      <c r="SCU700" s="1349"/>
      <c r="SCV700" s="1349"/>
      <c r="SCW700" s="1349"/>
      <c r="SCX700" s="1349"/>
      <c r="SCY700" s="1349"/>
      <c r="SCZ700" s="1349"/>
      <c r="SDA700" s="1349"/>
      <c r="SDB700" s="1349"/>
      <c r="SDC700" s="1349"/>
      <c r="SDD700" s="1349"/>
      <c r="SDE700" s="1349"/>
      <c r="SDF700" s="1349"/>
      <c r="SDG700" s="1349"/>
      <c r="SDH700" s="1349"/>
      <c r="SDI700" s="1349"/>
      <c r="SDJ700" s="1349"/>
      <c r="SDK700" s="1349"/>
      <c r="SDL700" s="1349"/>
      <c r="SDM700" s="1349"/>
      <c r="SDN700" s="1349"/>
      <c r="SDO700" s="1349"/>
      <c r="SDP700" s="1349"/>
      <c r="SDQ700" s="1349"/>
      <c r="SDR700" s="1349"/>
      <c r="SDS700" s="1349"/>
      <c r="SDT700" s="1349"/>
      <c r="SDU700" s="1349"/>
      <c r="SDV700" s="1349"/>
      <c r="SDW700" s="1349"/>
      <c r="SDX700" s="1349"/>
      <c r="SDY700" s="1349"/>
      <c r="SDZ700" s="1349"/>
      <c r="SEA700" s="1349"/>
      <c r="SEB700" s="1349"/>
      <c r="SEC700" s="1349"/>
      <c r="SED700" s="1349"/>
      <c r="SEE700" s="1349"/>
      <c r="SEF700" s="1349"/>
      <c r="SEG700" s="1349"/>
      <c r="SEH700" s="1349"/>
      <c r="SEI700" s="1349"/>
      <c r="SEJ700" s="1349"/>
      <c r="SEK700" s="1349"/>
      <c r="SEL700" s="1349"/>
      <c r="SEM700" s="1349"/>
      <c r="SEN700" s="1349"/>
      <c r="SEO700" s="1349"/>
      <c r="SEP700" s="1349"/>
      <c r="SEQ700" s="1349"/>
      <c r="SER700" s="1349"/>
      <c r="SES700" s="1349"/>
      <c r="SET700" s="1349"/>
      <c r="SEU700" s="1349"/>
      <c r="SEV700" s="1349"/>
      <c r="SEW700" s="1349"/>
      <c r="SEX700" s="1349"/>
      <c r="SEY700" s="1349"/>
      <c r="SEZ700" s="1349"/>
      <c r="SFA700" s="1349"/>
      <c r="SFB700" s="1349"/>
      <c r="SFC700" s="1349"/>
      <c r="SFD700" s="1349"/>
      <c r="SFE700" s="1349"/>
      <c r="SFF700" s="1349"/>
      <c r="SFG700" s="1349"/>
      <c r="SFH700" s="1349"/>
      <c r="SFI700" s="1349"/>
      <c r="SFJ700" s="1349"/>
      <c r="SFK700" s="1349"/>
      <c r="SFL700" s="1349"/>
      <c r="SFM700" s="1349"/>
      <c r="SFN700" s="1349"/>
      <c r="SFO700" s="1349"/>
      <c r="SFP700" s="1349"/>
      <c r="SFQ700" s="1349"/>
      <c r="SFR700" s="1349"/>
      <c r="SFS700" s="1349"/>
      <c r="SFT700" s="1349"/>
      <c r="SFU700" s="1349"/>
      <c r="SFV700" s="1349"/>
      <c r="SFW700" s="1349"/>
      <c r="SFX700" s="1349"/>
      <c r="SFY700" s="1349"/>
      <c r="SFZ700" s="1349"/>
      <c r="SGA700" s="1349"/>
      <c r="SGB700" s="1349"/>
      <c r="SGC700" s="1349"/>
      <c r="SGD700" s="1349"/>
      <c r="SGE700" s="1349"/>
      <c r="SGF700" s="1349"/>
      <c r="SGG700" s="1349"/>
      <c r="SGH700" s="1349"/>
      <c r="SGI700" s="1349"/>
      <c r="SGJ700" s="1349"/>
      <c r="SGK700" s="1349"/>
      <c r="SGL700" s="1349"/>
      <c r="SGM700" s="1349"/>
      <c r="SGN700" s="1349"/>
      <c r="SGO700" s="1349"/>
      <c r="SGP700" s="1349"/>
      <c r="SGQ700" s="1349"/>
      <c r="SGR700" s="1349"/>
      <c r="SGS700" s="1349"/>
      <c r="SGT700" s="1349"/>
      <c r="SGU700" s="1349"/>
      <c r="SGV700" s="1349"/>
      <c r="SGW700" s="1349"/>
      <c r="SGX700" s="1349"/>
      <c r="SGY700" s="1349"/>
      <c r="SGZ700" s="1349"/>
      <c r="SHA700" s="1349"/>
      <c r="SHB700" s="1349"/>
      <c r="SHC700" s="1349"/>
      <c r="SHD700" s="1349"/>
      <c r="SHE700" s="1349"/>
      <c r="SHF700" s="1349"/>
      <c r="SHG700" s="1349"/>
      <c r="SHH700" s="1349"/>
      <c r="SHI700" s="1349"/>
      <c r="SHJ700" s="1349"/>
      <c r="SHK700" s="1349"/>
      <c r="SHL700" s="1349"/>
      <c r="SHM700" s="1349"/>
      <c r="SHN700" s="1349"/>
      <c r="SHO700" s="1349"/>
      <c r="SHP700" s="1349"/>
      <c r="SHQ700" s="1349"/>
      <c r="SHR700" s="1349"/>
      <c r="SHS700" s="1349"/>
      <c r="SHT700" s="1349"/>
      <c r="SHU700" s="1349"/>
      <c r="SHV700" s="1349"/>
      <c r="SHW700" s="1349"/>
      <c r="SHX700" s="1349"/>
      <c r="SHY700" s="1349"/>
      <c r="SHZ700" s="1349"/>
      <c r="SIA700" s="1349"/>
      <c r="SIB700" s="1349"/>
      <c r="SIC700" s="1349"/>
      <c r="SID700" s="1349"/>
      <c r="SIE700" s="1349"/>
      <c r="SIF700" s="1349"/>
      <c r="SIG700" s="1349"/>
      <c r="SIH700" s="1349"/>
      <c r="SII700" s="1349"/>
      <c r="SIJ700" s="1349"/>
      <c r="SIK700" s="1349"/>
      <c r="SIL700" s="1349"/>
      <c r="SIM700" s="1349"/>
      <c r="SIN700" s="1349"/>
      <c r="SIO700" s="1349"/>
      <c r="SIP700" s="1349"/>
      <c r="SIQ700" s="1349"/>
      <c r="SIR700" s="1349"/>
      <c r="SIS700" s="1349"/>
      <c r="SIT700" s="1349"/>
      <c r="SIU700" s="1349"/>
      <c r="SIV700" s="1349"/>
      <c r="SIW700" s="1349"/>
      <c r="SIX700" s="1349"/>
      <c r="SIY700" s="1349"/>
      <c r="SIZ700" s="1349"/>
      <c r="SJA700" s="1349"/>
      <c r="SJB700" s="1349"/>
      <c r="SJC700" s="1349"/>
      <c r="SJD700" s="1349"/>
      <c r="SJE700" s="1349"/>
      <c r="SJF700" s="1349"/>
      <c r="SJG700" s="1349"/>
      <c r="SJH700" s="1349"/>
      <c r="SJI700" s="1349"/>
      <c r="SJJ700" s="1349"/>
      <c r="SJK700" s="1349"/>
      <c r="SJL700" s="1349"/>
      <c r="SJM700" s="1349"/>
      <c r="SJN700" s="1349"/>
      <c r="SJO700" s="1349"/>
      <c r="SJP700" s="1349"/>
      <c r="SJQ700" s="1349"/>
      <c r="SJR700" s="1349"/>
      <c r="SJS700" s="1349"/>
      <c r="SJT700" s="1349"/>
      <c r="SJU700" s="1349"/>
      <c r="SJV700" s="1349"/>
      <c r="SJW700" s="1349"/>
      <c r="SJX700" s="1349"/>
      <c r="SJY700" s="1349"/>
      <c r="SJZ700" s="1349"/>
      <c r="SKA700" s="1349"/>
      <c r="SKB700" s="1349"/>
      <c r="SKC700" s="1349"/>
      <c r="SKD700" s="1349"/>
      <c r="SKE700" s="1349"/>
      <c r="SKF700" s="1349"/>
      <c r="SKG700" s="1349"/>
      <c r="SKH700" s="1349"/>
      <c r="SKI700" s="1349"/>
      <c r="SKJ700" s="1349"/>
      <c r="SKK700" s="1349"/>
      <c r="SKL700" s="1349"/>
      <c r="SKM700" s="1349"/>
      <c r="SKN700" s="1349"/>
      <c r="SKO700" s="1349"/>
      <c r="SKP700" s="1349"/>
      <c r="SKQ700" s="1349"/>
      <c r="SKR700" s="1349"/>
      <c r="SKS700" s="1349"/>
      <c r="SKT700" s="1349"/>
      <c r="SKU700" s="1349"/>
      <c r="SKV700" s="1349"/>
      <c r="SKW700" s="1349"/>
      <c r="SKX700" s="1349"/>
      <c r="SKY700" s="1349"/>
      <c r="SKZ700" s="1349"/>
      <c r="SLA700" s="1349"/>
      <c r="SLB700" s="1349"/>
      <c r="SLC700" s="1349"/>
      <c r="SLD700" s="1349"/>
      <c r="SLE700" s="1349"/>
      <c r="SLF700" s="1349"/>
      <c r="SLG700" s="1349"/>
      <c r="SLH700" s="1349"/>
      <c r="SLI700" s="1349"/>
      <c r="SLJ700" s="1349"/>
      <c r="SLK700" s="1349"/>
      <c r="SLL700" s="1349"/>
      <c r="SLM700" s="1349"/>
      <c r="SLN700" s="1349"/>
      <c r="SLO700" s="1349"/>
      <c r="SLP700" s="1349"/>
      <c r="SLQ700" s="1349"/>
      <c r="SLR700" s="1349"/>
      <c r="SLS700" s="1349"/>
      <c r="SLT700" s="1349"/>
      <c r="SLU700" s="1349"/>
      <c r="SLV700" s="1349"/>
      <c r="SLW700" s="1349"/>
      <c r="SLX700" s="1349"/>
      <c r="SLY700" s="1349"/>
      <c r="SLZ700" s="1349"/>
      <c r="SMA700" s="1349"/>
      <c r="SMB700" s="1349"/>
      <c r="SMC700" s="1349"/>
      <c r="SMD700" s="1349"/>
      <c r="SME700" s="1349"/>
      <c r="SMF700" s="1349"/>
      <c r="SMG700" s="1349"/>
      <c r="SMH700" s="1349"/>
      <c r="SMI700" s="1349"/>
      <c r="SMJ700" s="1349"/>
      <c r="SMK700" s="1349"/>
      <c r="SML700" s="1349"/>
      <c r="SMM700" s="1349"/>
      <c r="SMN700" s="1349"/>
      <c r="SMO700" s="1349"/>
      <c r="SMP700" s="1349"/>
      <c r="SMQ700" s="1349"/>
      <c r="SMR700" s="1349"/>
      <c r="SMS700" s="1349"/>
      <c r="SMT700" s="1349"/>
      <c r="SMU700" s="1349"/>
      <c r="SMV700" s="1349"/>
      <c r="SMW700" s="1349"/>
      <c r="SMX700" s="1349"/>
      <c r="SMY700" s="1349"/>
      <c r="SMZ700" s="1349"/>
      <c r="SNA700" s="1349"/>
      <c r="SNB700" s="1349"/>
      <c r="SNC700" s="1349"/>
      <c r="SND700" s="1349"/>
      <c r="SNE700" s="1349"/>
      <c r="SNF700" s="1349"/>
      <c r="SNG700" s="1349"/>
      <c r="SNH700" s="1349"/>
      <c r="SNI700" s="1349"/>
      <c r="SNJ700" s="1349"/>
      <c r="SNK700" s="1349"/>
      <c r="SNL700" s="1349"/>
      <c r="SNM700" s="1349"/>
      <c r="SNN700" s="1349"/>
      <c r="SNO700" s="1349"/>
      <c r="SNP700" s="1349"/>
      <c r="SNQ700" s="1349"/>
      <c r="SNR700" s="1349"/>
      <c r="SNS700" s="1349"/>
      <c r="SNT700" s="1349"/>
      <c r="SNU700" s="1349"/>
      <c r="SNV700" s="1349"/>
      <c r="SNW700" s="1349"/>
      <c r="SNX700" s="1349"/>
      <c r="SNY700" s="1349"/>
      <c r="SNZ700" s="1349"/>
      <c r="SOA700" s="1349"/>
      <c r="SOB700" s="1349"/>
      <c r="SOC700" s="1349"/>
      <c r="SOD700" s="1349"/>
      <c r="SOE700" s="1349"/>
      <c r="SOF700" s="1349"/>
      <c r="SOG700" s="1349"/>
      <c r="SOH700" s="1349"/>
      <c r="SOI700" s="1349"/>
      <c r="SOJ700" s="1349"/>
      <c r="SOK700" s="1349"/>
      <c r="SOL700" s="1349"/>
      <c r="SOM700" s="1349"/>
      <c r="SON700" s="1349"/>
      <c r="SOO700" s="1349"/>
      <c r="SOP700" s="1349"/>
      <c r="SOQ700" s="1349"/>
      <c r="SOR700" s="1349"/>
      <c r="SOS700" s="1349"/>
      <c r="SOT700" s="1349"/>
      <c r="SOU700" s="1349"/>
      <c r="SOV700" s="1349"/>
      <c r="SOW700" s="1349"/>
      <c r="SOX700" s="1349"/>
      <c r="SOY700" s="1349"/>
      <c r="SOZ700" s="1349"/>
      <c r="SPA700" s="1349"/>
      <c r="SPB700" s="1349"/>
      <c r="SPC700" s="1349"/>
      <c r="SPD700" s="1349"/>
      <c r="SPE700" s="1349"/>
      <c r="SPF700" s="1349"/>
      <c r="SPG700" s="1349"/>
      <c r="SPH700" s="1349"/>
      <c r="SPI700" s="1349"/>
      <c r="SPJ700" s="1349"/>
      <c r="SPK700" s="1349"/>
      <c r="SPL700" s="1349"/>
      <c r="SPM700" s="1349"/>
      <c r="SPN700" s="1349"/>
      <c r="SPO700" s="1349"/>
      <c r="SPP700" s="1349"/>
      <c r="SPQ700" s="1349"/>
      <c r="SPR700" s="1349"/>
      <c r="SPS700" s="1349"/>
      <c r="SPT700" s="1349"/>
      <c r="SPU700" s="1349"/>
      <c r="SPV700" s="1349"/>
      <c r="SPW700" s="1349"/>
      <c r="SPX700" s="1349"/>
      <c r="SPY700" s="1349"/>
      <c r="SPZ700" s="1349"/>
      <c r="SQA700" s="1349"/>
      <c r="SQB700" s="1349"/>
      <c r="SQC700" s="1349"/>
      <c r="SQD700" s="1349"/>
      <c r="SQE700" s="1349"/>
      <c r="SQF700" s="1349"/>
      <c r="SQG700" s="1349"/>
      <c r="SQH700" s="1349"/>
      <c r="SQI700" s="1349"/>
      <c r="SQJ700" s="1349"/>
      <c r="SQK700" s="1349"/>
      <c r="SQL700" s="1349"/>
      <c r="SQM700" s="1349"/>
      <c r="SQN700" s="1349"/>
      <c r="SQO700" s="1349"/>
      <c r="SQP700" s="1349"/>
      <c r="SQQ700" s="1349"/>
      <c r="SQR700" s="1349"/>
      <c r="SQS700" s="1349"/>
      <c r="SQT700" s="1349"/>
      <c r="SQU700" s="1349"/>
      <c r="SQV700" s="1349"/>
      <c r="SQW700" s="1349"/>
      <c r="SQX700" s="1349"/>
      <c r="SQY700" s="1349"/>
      <c r="SQZ700" s="1349"/>
      <c r="SRA700" s="1349"/>
      <c r="SRB700" s="1349"/>
      <c r="SRC700" s="1349"/>
      <c r="SRD700" s="1349"/>
      <c r="SRE700" s="1349"/>
      <c r="SRF700" s="1349"/>
      <c r="SRG700" s="1349"/>
      <c r="SRH700" s="1349"/>
      <c r="SRI700" s="1349"/>
      <c r="SRJ700" s="1349"/>
      <c r="SRK700" s="1349"/>
      <c r="SRL700" s="1349"/>
      <c r="SRM700" s="1349"/>
      <c r="SRN700" s="1349"/>
      <c r="SRO700" s="1349"/>
      <c r="SRP700" s="1349"/>
      <c r="SRQ700" s="1349"/>
      <c r="SRR700" s="1349"/>
      <c r="SRS700" s="1349"/>
      <c r="SRT700" s="1349"/>
      <c r="SRU700" s="1349"/>
      <c r="SRV700" s="1349"/>
      <c r="SRW700" s="1349"/>
      <c r="SRX700" s="1349"/>
      <c r="SRY700" s="1349"/>
      <c r="SRZ700" s="1349"/>
      <c r="SSA700" s="1349"/>
      <c r="SSB700" s="1349"/>
      <c r="SSC700" s="1349"/>
      <c r="SSD700" s="1349"/>
      <c r="SSE700" s="1349"/>
      <c r="SSF700" s="1349"/>
      <c r="SSG700" s="1349"/>
      <c r="SSH700" s="1349"/>
      <c r="SSI700" s="1349"/>
      <c r="SSJ700" s="1349"/>
      <c r="SSK700" s="1349"/>
      <c r="SSL700" s="1349"/>
      <c r="SSM700" s="1349"/>
      <c r="SSN700" s="1349"/>
      <c r="SSO700" s="1349"/>
      <c r="SSP700" s="1349"/>
      <c r="SSQ700" s="1349"/>
      <c r="SSR700" s="1349"/>
      <c r="SSS700" s="1349"/>
      <c r="SST700" s="1349"/>
      <c r="SSU700" s="1349"/>
      <c r="SSV700" s="1349"/>
      <c r="SSW700" s="1349"/>
      <c r="SSX700" s="1349"/>
      <c r="SSY700" s="1349"/>
      <c r="SSZ700" s="1349"/>
      <c r="STA700" s="1349"/>
      <c r="STB700" s="1349"/>
      <c r="STC700" s="1349"/>
      <c r="STD700" s="1349"/>
      <c r="STE700" s="1349"/>
      <c r="STF700" s="1349"/>
      <c r="STG700" s="1349"/>
      <c r="STH700" s="1349"/>
      <c r="STI700" s="1349"/>
      <c r="STJ700" s="1349"/>
      <c r="STK700" s="1349"/>
      <c r="STL700" s="1349"/>
      <c r="STM700" s="1349"/>
      <c r="STN700" s="1349"/>
      <c r="STO700" s="1349"/>
      <c r="STP700" s="1349"/>
      <c r="STQ700" s="1349"/>
      <c r="STR700" s="1349"/>
      <c r="STS700" s="1349"/>
      <c r="STT700" s="1349"/>
      <c r="STU700" s="1349"/>
      <c r="STV700" s="1349"/>
      <c r="STW700" s="1349"/>
      <c r="STX700" s="1349"/>
      <c r="STY700" s="1349"/>
      <c r="STZ700" s="1349"/>
      <c r="SUA700" s="1349"/>
      <c r="SUB700" s="1349"/>
      <c r="SUC700" s="1349"/>
      <c r="SUD700" s="1349"/>
      <c r="SUE700" s="1349"/>
      <c r="SUF700" s="1349"/>
      <c r="SUG700" s="1349"/>
      <c r="SUH700" s="1349"/>
      <c r="SUI700" s="1349"/>
      <c r="SUJ700" s="1349"/>
      <c r="SUK700" s="1349"/>
      <c r="SUL700" s="1349"/>
      <c r="SUM700" s="1349"/>
      <c r="SUN700" s="1349"/>
      <c r="SUO700" s="1349"/>
      <c r="SUP700" s="1349"/>
      <c r="SUQ700" s="1349"/>
      <c r="SUR700" s="1349"/>
      <c r="SUS700" s="1349"/>
      <c r="SUT700" s="1349"/>
      <c r="SUU700" s="1349"/>
      <c r="SUV700" s="1349"/>
      <c r="SUW700" s="1349"/>
      <c r="SUX700" s="1349"/>
      <c r="SUY700" s="1349"/>
      <c r="SUZ700" s="1349"/>
      <c r="SVA700" s="1349"/>
      <c r="SVB700" s="1349"/>
      <c r="SVC700" s="1349"/>
      <c r="SVD700" s="1349"/>
      <c r="SVE700" s="1349"/>
      <c r="SVF700" s="1349"/>
      <c r="SVG700" s="1349"/>
      <c r="SVH700" s="1349"/>
      <c r="SVI700" s="1349"/>
      <c r="SVJ700" s="1349"/>
      <c r="SVK700" s="1349"/>
      <c r="SVL700" s="1349"/>
      <c r="SVM700" s="1349"/>
      <c r="SVN700" s="1349"/>
      <c r="SVO700" s="1349"/>
      <c r="SVP700" s="1349"/>
      <c r="SVQ700" s="1349"/>
      <c r="SVR700" s="1349"/>
      <c r="SVS700" s="1349"/>
      <c r="SVT700" s="1349"/>
      <c r="SVU700" s="1349"/>
      <c r="SVV700" s="1349"/>
      <c r="SVW700" s="1349"/>
      <c r="SVX700" s="1349"/>
      <c r="SVY700" s="1349"/>
      <c r="SVZ700" s="1349"/>
      <c r="SWA700" s="1349"/>
      <c r="SWB700" s="1349"/>
      <c r="SWC700" s="1349"/>
      <c r="SWD700" s="1349"/>
      <c r="SWE700" s="1349"/>
      <c r="SWF700" s="1349"/>
      <c r="SWG700" s="1349"/>
      <c r="SWH700" s="1349"/>
      <c r="SWI700" s="1349"/>
      <c r="SWJ700" s="1349"/>
      <c r="SWK700" s="1349"/>
      <c r="SWL700" s="1349"/>
      <c r="SWM700" s="1349"/>
      <c r="SWN700" s="1349"/>
      <c r="SWO700" s="1349"/>
      <c r="SWP700" s="1349"/>
      <c r="SWQ700" s="1349"/>
      <c r="SWR700" s="1349"/>
      <c r="SWS700" s="1349"/>
      <c r="SWT700" s="1349"/>
      <c r="SWU700" s="1349"/>
      <c r="SWV700" s="1349"/>
      <c r="SWW700" s="1349"/>
      <c r="SWX700" s="1349"/>
      <c r="SWY700" s="1349"/>
      <c r="SWZ700" s="1349"/>
      <c r="SXA700" s="1349"/>
      <c r="SXB700" s="1349"/>
      <c r="SXC700" s="1349"/>
      <c r="SXD700" s="1349"/>
      <c r="SXE700" s="1349"/>
      <c r="SXF700" s="1349"/>
      <c r="SXG700" s="1349"/>
      <c r="SXH700" s="1349"/>
      <c r="SXI700" s="1349"/>
      <c r="SXJ700" s="1349"/>
      <c r="SXK700" s="1349"/>
      <c r="SXL700" s="1349"/>
      <c r="SXM700" s="1349"/>
      <c r="SXN700" s="1349"/>
      <c r="SXO700" s="1349"/>
      <c r="SXP700" s="1349"/>
      <c r="SXQ700" s="1349"/>
      <c r="SXR700" s="1349"/>
      <c r="SXS700" s="1349"/>
      <c r="SXT700" s="1349"/>
      <c r="SXU700" s="1349"/>
      <c r="SXV700" s="1349"/>
      <c r="SXW700" s="1349"/>
      <c r="SXX700" s="1349"/>
      <c r="SXY700" s="1349"/>
      <c r="SXZ700" s="1349"/>
      <c r="SYA700" s="1349"/>
      <c r="SYB700" s="1349"/>
      <c r="SYC700" s="1349"/>
      <c r="SYD700" s="1349"/>
      <c r="SYE700" s="1349"/>
      <c r="SYF700" s="1349"/>
      <c r="SYG700" s="1349"/>
      <c r="SYH700" s="1349"/>
      <c r="SYI700" s="1349"/>
      <c r="SYJ700" s="1349"/>
      <c r="SYK700" s="1349"/>
      <c r="SYL700" s="1349"/>
      <c r="SYM700" s="1349"/>
      <c r="SYN700" s="1349"/>
      <c r="SYO700" s="1349"/>
      <c r="SYP700" s="1349"/>
      <c r="SYQ700" s="1349"/>
      <c r="SYR700" s="1349"/>
      <c r="SYS700" s="1349"/>
      <c r="SYT700" s="1349"/>
      <c r="SYU700" s="1349"/>
      <c r="SYV700" s="1349"/>
      <c r="SYW700" s="1349"/>
      <c r="SYX700" s="1349"/>
      <c r="SYY700" s="1349"/>
      <c r="SYZ700" s="1349"/>
      <c r="SZA700" s="1349"/>
      <c r="SZB700" s="1349"/>
      <c r="SZC700" s="1349"/>
      <c r="SZD700" s="1349"/>
      <c r="SZE700" s="1349"/>
      <c r="SZF700" s="1349"/>
      <c r="SZG700" s="1349"/>
      <c r="SZH700" s="1349"/>
      <c r="SZI700" s="1349"/>
      <c r="SZJ700" s="1349"/>
      <c r="SZK700" s="1349"/>
      <c r="SZL700" s="1349"/>
      <c r="SZM700" s="1349"/>
      <c r="SZN700" s="1349"/>
      <c r="SZO700" s="1349"/>
      <c r="SZP700" s="1349"/>
      <c r="SZQ700" s="1349"/>
      <c r="SZR700" s="1349"/>
      <c r="SZS700" s="1349"/>
      <c r="SZT700" s="1349"/>
      <c r="SZU700" s="1349"/>
      <c r="SZV700" s="1349"/>
      <c r="SZW700" s="1349"/>
      <c r="SZX700" s="1349"/>
      <c r="SZY700" s="1349"/>
      <c r="SZZ700" s="1349"/>
      <c r="TAA700" s="1349"/>
      <c r="TAB700" s="1349"/>
      <c r="TAC700" s="1349"/>
      <c r="TAD700" s="1349"/>
      <c r="TAE700" s="1349"/>
      <c r="TAF700" s="1349"/>
      <c r="TAG700" s="1349"/>
      <c r="TAH700" s="1349"/>
      <c r="TAI700" s="1349"/>
      <c r="TAJ700" s="1349"/>
      <c r="TAK700" s="1349"/>
      <c r="TAL700" s="1349"/>
      <c r="TAM700" s="1349"/>
      <c r="TAN700" s="1349"/>
      <c r="TAO700" s="1349"/>
      <c r="TAP700" s="1349"/>
      <c r="TAQ700" s="1349"/>
      <c r="TAR700" s="1349"/>
      <c r="TAS700" s="1349"/>
      <c r="TAT700" s="1349"/>
      <c r="TAU700" s="1349"/>
      <c r="TAV700" s="1349"/>
      <c r="TAW700" s="1349"/>
      <c r="TAX700" s="1349"/>
      <c r="TAY700" s="1349"/>
      <c r="TAZ700" s="1349"/>
      <c r="TBA700" s="1349"/>
      <c r="TBB700" s="1349"/>
      <c r="TBC700" s="1349"/>
      <c r="TBD700" s="1349"/>
      <c r="TBE700" s="1349"/>
      <c r="TBF700" s="1349"/>
      <c r="TBG700" s="1349"/>
      <c r="TBH700" s="1349"/>
      <c r="TBI700" s="1349"/>
      <c r="TBJ700" s="1349"/>
      <c r="TBK700" s="1349"/>
      <c r="TBL700" s="1349"/>
      <c r="TBM700" s="1349"/>
      <c r="TBN700" s="1349"/>
      <c r="TBO700" s="1349"/>
      <c r="TBP700" s="1349"/>
      <c r="TBQ700" s="1349"/>
      <c r="TBR700" s="1349"/>
      <c r="TBS700" s="1349"/>
      <c r="TBT700" s="1349"/>
      <c r="TBU700" s="1349"/>
      <c r="TBV700" s="1349"/>
      <c r="TBW700" s="1349"/>
      <c r="TBX700" s="1349"/>
      <c r="TBY700" s="1349"/>
      <c r="TBZ700" s="1349"/>
      <c r="TCA700" s="1349"/>
      <c r="TCB700" s="1349"/>
      <c r="TCC700" s="1349"/>
      <c r="TCD700" s="1349"/>
      <c r="TCE700" s="1349"/>
      <c r="TCF700" s="1349"/>
      <c r="TCG700" s="1349"/>
      <c r="TCH700" s="1349"/>
      <c r="TCI700" s="1349"/>
      <c r="TCJ700" s="1349"/>
      <c r="TCK700" s="1349"/>
      <c r="TCL700" s="1349"/>
      <c r="TCM700" s="1349"/>
      <c r="TCN700" s="1349"/>
      <c r="TCO700" s="1349"/>
      <c r="TCP700" s="1349"/>
      <c r="TCQ700" s="1349"/>
      <c r="TCR700" s="1349"/>
      <c r="TCS700" s="1349"/>
      <c r="TCT700" s="1349"/>
      <c r="TCU700" s="1349"/>
      <c r="TCV700" s="1349"/>
      <c r="TCW700" s="1349"/>
      <c r="TCX700" s="1349"/>
      <c r="TCY700" s="1349"/>
      <c r="TCZ700" s="1349"/>
      <c r="TDA700" s="1349"/>
      <c r="TDB700" s="1349"/>
      <c r="TDC700" s="1349"/>
      <c r="TDD700" s="1349"/>
      <c r="TDE700" s="1349"/>
      <c r="TDF700" s="1349"/>
      <c r="TDG700" s="1349"/>
      <c r="TDH700" s="1349"/>
      <c r="TDI700" s="1349"/>
      <c r="TDJ700" s="1349"/>
      <c r="TDK700" s="1349"/>
      <c r="TDL700" s="1349"/>
      <c r="TDM700" s="1349"/>
      <c r="TDN700" s="1349"/>
      <c r="TDO700" s="1349"/>
      <c r="TDP700" s="1349"/>
      <c r="TDQ700" s="1349"/>
      <c r="TDR700" s="1349"/>
      <c r="TDS700" s="1349"/>
      <c r="TDT700" s="1349"/>
      <c r="TDU700" s="1349"/>
      <c r="TDV700" s="1349"/>
      <c r="TDW700" s="1349"/>
      <c r="TDX700" s="1349"/>
      <c r="TDY700" s="1349"/>
      <c r="TDZ700" s="1349"/>
      <c r="TEA700" s="1349"/>
      <c r="TEB700" s="1349"/>
      <c r="TEC700" s="1349"/>
      <c r="TED700" s="1349"/>
      <c r="TEE700" s="1349"/>
      <c r="TEF700" s="1349"/>
      <c r="TEG700" s="1349"/>
      <c r="TEH700" s="1349"/>
      <c r="TEI700" s="1349"/>
      <c r="TEJ700" s="1349"/>
      <c r="TEK700" s="1349"/>
      <c r="TEL700" s="1349"/>
      <c r="TEM700" s="1349"/>
      <c r="TEN700" s="1349"/>
      <c r="TEO700" s="1349"/>
      <c r="TEP700" s="1349"/>
      <c r="TEQ700" s="1349"/>
      <c r="TER700" s="1349"/>
      <c r="TES700" s="1349"/>
      <c r="TET700" s="1349"/>
      <c r="TEU700" s="1349"/>
      <c r="TEV700" s="1349"/>
      <c r="TEW700" s="1349"/>
      <c r="TEX700" s="1349"/>
      <c r="TEY700" s="1349"/>
      <c r="TEZ700" s="1349"/>
      <c r="TFA700" s="1349"/>
      <c r="TFB700" s="1349"/>
      <c r="TFC700" s="1349"/>
      <c r="TFD700" s="1349"/>
      <c r="TFE700" s="1349"/>
      <c r="TFF700" s="1349"/>
      <c r="TFG700" s="1349"/>
      <c r="TFH700" s="1349"/>
      <c r="TFI700" s="1349"/>
      <c r="TFJ700" s="1349"/>
      <c r="TFK700" s="1349"/>
      <c r="TFL700" s="1349"/>
      <c r="TFM700" s="1349"/>
      <c r="TFN700" s="1349"/>
      <c r="TFO700" s="1349"/>
      <c r="TFP700" s="1349"/>
      <c r="TFQ700" s="1349"/>
      <c r="TFR700" s="1349"/>
      <c r="TFS700" s="1349"/>
      <c r="TFT700" s="1349"/>
      <c r="TFU700" s="1349"/>
      <c r="TFV700" s="1349"/>
      <c r="TFW700" s="1349"/>
      <c r="TFX700" s="1349"/>
      <c r="TFY700" s="1349"/>
      <c r="TFZ700" s="1349"/>
      <c r="TGA700" s="1349"/>
      <c r="TGB700" s="1349"/>
      <c r="TGC700" s="1349"/>
      <c r="TGD700" s="1349"/>
      <c r="TGE700" s="1349"/>
      <c r="TGF700" s="1349"/>
      <c r="TGG700" s="1349"/>
      <c r="TGH700" s="1349"/>
      <c r="TGI700" s="1349"/>
      <c r="TGJ700" s="1349"/>
      <c r="TGK700" s="1349"/>
      <c r="TGL700" s="1349"/>
      <c r="TGM700" s="1349"/>
      <c r="TGN700" s="1349"/>
      <c r="TGO700" s="1349"/>
      <c r="TGP700" s="1349"/>
      <c r="TGQ700" s="1349"/>
      <c r="TGR700" s="1349"/>
      <c r="TGS700" s="1349"/>
      <c r="TGT700" s="1349"/>
      <c r="TGU700" s="1349"/>
      <c r="TGV700" s="1349"/>
      <c r="TGW700" s="1349"/>
      <c r="TGX700" s="1349"/>
      <c r="TGY700" s="1349"/>
      <c r="TGZ700" s="1349"/>
      <c r="THA700" s="1349"/>
      <c r="THB700" s="1349"/>
      <c r="THC700" s="1349"/>
      <c r="THD700" s="1349"/>
      <c r="THE700" s="1349"/>
      <c r="THF700" s="1349"/>
      <c r="THG700" s="1349"/>
      <c r="THH700" s="1349"/>
      <c r="THI700" s="1349"/>
      <c r="THJ700" s="1349"/>
      <c r="THK700" s="1349"/>
      <c r="THL700" s="1349"/>
      <c r="THM700" s="1349"/>
      <c r="THN700" s="1349"/>
      <c r="THO700" s="1349"/>
      <c r="THP700" s="1349"/>
      <c r="THQ700" s="1349"/>
      <c r="THR700" s="1349"/>
      <c r="THS700" s="1349"/>
      <c r="THT700" s="1349"/>
      <c r="THU700" s="1349"/>
      <c r="THV700" s="1349"/>
      <c r="THW700" s="1349"/>
      <c r="THX700" s="1349"/>
      <c r="THY700" s="1349"/>
      <c r="THZ700" s="1349"/>
      <c r="TIA700" s="1349"/>
      <c r="TIB700" s="1349"/>
      <c r="TIC700" s="1349"/>
      <c r="TID700" s="1349"/>
      <c r="TIE700" s="1349"/>
      <c r="TIF700" s="1349"/>
      <c r="TIG700" s="1349"/>
      <c r="TIH700" s="1349"/>
      <c r="TII700" s="1349"/>
      <c r="TIJ700" s="1349"/>
      <c r="TIK700" s="1349"/>
      <c r="TIL700" s="1349"/>
      <c r="TIM700" s="1349"/>
      <c r="TIN700" s="1349"/>
      <c r="TIO700" s="1349"/>
      <c r="TIP700" s="1349"/>
      <c r="TIQ700" s="1349"/>
      <c r="TIR700" s="1349"/>
      <c r="TIS700" s="1349"/>
      <c r="TIT700" s="1349"/>
      <c r="TIU700" s="1349"/>
      <c r="TIV700" s="1349"/>
      <c r="TIW700" s="1349"/>
      <c r="TIX700" s="1349"/>
      <c r="TIY700" s="1349"/>
      <c r="TIZ700" s="1349"/>
      <c r="TJA700" s="1349"/>
      <c r="TJB700" s="1349"/>
      <c r="TJC700" s="1349"/>
      <c r="TJD700" s="1349"/>
      <c r="TJE700" s="1349"/>
      <c r="TJF700" s="1349"/>
      <c r="TJG700" s="1349"/>
      <c r="TJH700" s="1349"/>
      <c r="TJI700" s="1349"/>
      <c r="TJJ700" s="1349"/>
      <c r="TJK700" s="1349"/>
      <c r="TJL700" s="1349"/>
      <c r="TJM700" s="1349"/>
      <c r="TJN700" s="1349"/>
      <c r="TJO700" s="1349"/>
      <c r="TJP700" s="1349"/>
      <c r="TJQ700" s="1349"/>
      <c r="TJR700" s="1349"/>
      <c r="TJS700" s="1349"/>
      <c r="TJT700" s="1349"/>
      <c r="TJU700" s="1349"/>
      <c r="TJV700" s="1349"/>
      <c r="TJW700" s="1349"/>
      <c r="TJX700" s="1349"/>
      <c r="TJY700" s="1349"/>
      <c r="TJZ700" s="1349"/>
      <c r="TKA700" s="1349"/>
      <c r="TKB700" s="1349"/>
      <c r="TKC700" s="1349"/>
      <c r="TKD700" s="1349"/>
      <c r="TKE700" s="1349"/>
      <c r="TKF700" s="1349"/>
      <c r="TKG700" s="1349"/>
      <c r="TKH700" s="1349"/>
      <c r="TKI700" s="1349"/>
      <c r="TKJ700" s="1349"/>
      <c r="TKK700" s="1349"/>
      <c r="TKL700" s="1349"/>
      <c r="TKM700" s="1349"/>
      <c r="TKN700" s="1349"/>
      <c r="TKO700" s="1349"/>
      <c r="TKP700" s="1349"/>
      <c r="TKQ700" s="1349"/>
      <c r="TKR700" s="1349"/>
      <c r="TKS700" s="1349"/>
      <c r="TKT700" s="1349"/>
      <c r="TKU700" s="1349"/>
      <c r="TKV700" s="1349"/>
      <c r="TKW700" s="1349"/>
      <c r="TKX700" s="1349"/>
      <c r="TKY700" s="1349"/>
      <c r="TKZ700" s="1349"/>
      <c r="TLA700" s="1349"/>
      <c r="TLB700" s="1349"/>
      <c r="TLC700" s="1349"/>
      <c r="TLD700" s="1349"/>
      <c r="TLE700" s="1349"/>
      <c r="TLF700" s="1349"/>
      <c r="TLG700" s="1349"/>
      <c r="TLH700" s="1349"/>
      <c r="TLI700" s="1349"/>
      <c r="TLJ700" s="1349"/>
      <c r="TLK700" s="1349"/>
      <c r="TLL700" s="1349"/>
      <c r="TLM700" s="1349"/>
      <c r="TLN700" s="1349"/>
      <c r="TLO700" s="1349"/>
      <c r="TLP700" s="1349"/>
      <c r="TLQ700" s="1349"/>
      <c r="TLR700" s="1349"/>
      <c r="TLS700" s="1349"/>
      <c r="TLT700" s="1349"/>
      <c r="TLU700" s="1349"/>
      <c r="TLV700" s="1349"/>
      <c r="TLW700" s="1349"/>
      <c r="TLX700" s="1349"/>
      <c r="TLY700" s="1349"/>
      <c r="TLZ700" s="1349"/>
      <c r="TMA700" s="1349"/>
      <c r="TMB700" s="1349"/>
      <c r="TMC700" s="1349"/>
      <c r="TMD700" s="1349"/>
      <c r="TME700" s="1349"/>
      <c r="TMF700" s="1349"/>
      <c r="TMG700" s="1349"/>
      <c r="TMH700" s="1349"/>
      <c r="TMI700" s="1349"/>
      <c r="TMJ700" s="1349"/>
      <c r="TMK700" s="1349"/>
      <c r="TML700" s="1349"/>
      <c r="TMM700" s="1349"/>
      <c r="TMN700" s="1349"/>
      <c r="TMO700" s="1349"/>
      <c r="TMP700" s="1349"/>
      <c r="TMQ700" s="1349"/>
      <c r="TMR700" s="1349"/>
      <c r="TMS700" s="1349"/>
      <c r="TMT700" s="1349"/>
      <c r="TMU700" s="1349"/>
      <c r="TMV700" s="1349"/>
      <c r="TMW700" s="1349"/>
      <c r="TMX700" s="1349"/>
      <c r="TMY700" s="1349"/>
      <c r="TMZ700" s="1349"/>
      <c r="TNA700" s="1349"/>
      <c r="TNB700" s="1349"/>
      <c r="TNC700" s="1349"/>
      <c r="TND700" s="1349"/>
      <c r="TNE700" s="1349"/>
      <c r="TNF700" s="1349"/>
      <c r="TNG700" s="1349"/>
      <c r="TNH700" s="1349"/>
      <c r="TNI700" s="1349"/>
      <c r="TNJ700" s="1349"/>
      <c r="TNK700" s="1349"/>
      <c r="TNL700" s="1349"/>
      <c r="TNM700" s="1349"/>
      <c r="TNN700" s="1349"/>
      <c r="TNO700" s="1349"/>
      <c r="TNP700" s="1349"/>
      <c r="TNQ700" s="1349"/>
      <c r="TNR700" s="1349"/>
      <c r="TNS700" s="1349"/>
      <c r="TNT700" s="1349"/>
      <c r="TNU700" s="1349"/>
      <c r="TNV700" s="1349"/>
      <c r="TNW700" s="1349"/>
      <c r="TNX700" s="1349"/>
      <c r="TNY700" s="1349"/>
      <c r="TNZ700" s="1349"/>
      <c r="TOA700" s="1349"/>
      <c r="TOB700" s="1349"/>
      <c r="TOC700" s="1349"/>
      <c r="TOD700" s="1349"/>
      <c r="TOE700" s="1349"/>
      <c r="TOF700" s="1349"/>
      <c r="TOG700" s="1349"/>
      <c r="TOH700" s="1349"/>
      <c r="TOI700" s="1349"/>
      <c r="TOJ700" s="1349"/>
      <c r="TOK700" s="1349"/>
      <c r="TOL700" s="1349"/>
      <c r="TOM700" s="1349"/>
      <c r="TON700" s="1349"/>
      <c r="TOO700" s="1349"/>
      <c r="TOP700" s="1349"/>
      <c r="TOQ700" s="1349"/>
      <c r="TOR700" s="1349"/>
      <c r="TOS700" s="1349"/>
      <c r="TOT700" s="1349"/>
      <c r="TOU700" s="1349"/>
      <c r="TOV700" s="1349"/>
      <c r="TOW700" s="1349"/>
      <c r="TOX700" s="1349"/>
      <c r="TOY700" s="1349"/>
      <c r="TOZ700" s="1349"/>
      <c r="TPA700" s="1349"/>
      <c r="TPB700" s="1349"/>
      <c r="TPC700" s="1349"/>
      <c r="TPD700" s="1349"/>
      <c r="TPE700" s="1349"/>
      <c r="TPF700" s="1349"/>
      <c r="TPG700" s="1349"/>
      <c r="TPH700" s="1349"/>
      <c r="TPI700" s="1349"/>
      <c r="TPJ700" s="1349"/>
      <c r="TPK700" s="1349"/>
      <c r="TPL700" s="1349"/>
      <c r="TPM700" s="1349"/>
      <c r="TPN700" s="1349"/>
      <c r="TPO700" s="1349"/>
      <c r="TPP700" s="1349"/>
      <c r="TPQ700" s="1349"/>
      <c r="TPR700" s="1349"/>
      <c r="TPS700" s="1349"/>
      <c r="TPT700" s="1349"/>
      <c r="TPU700" s="1349"/>
      <c r="TPV700" s="1349"/>
      <c r="TPW700" s="1349"/>
      <c r="TPX700" s="1349"/>
      <c r="TPY700" s="1349"/>
      <c r="TPZ700" s="1349"/>
      <c r="TQA700" s="1349"/>
      <c r="TQB700" s="1349"/>
      <c r="TQC700" s="1349"/>
      <c r="TQD700" s="1349"/>
      <c r="TQE700" s="1349"/>
      <c r="TQF700" s="1349"/>
      <c r="TQG700" s="1349"/>
      <c r="TQH700" s="1349"/>
      <c r="TQI700" s="1349"/>
      <c r="TQJ700" s="1349"/>
      <c r="TQK700" s="1349"/>
      <c r="TQL700" s="1349"/>
      <c r="TQM700" s="1349"/>
      <c r="TQN700" s="1349"/>
      <c r="TQO700" s="1349"/>
      <c r="TQP700" s="1349"/>
      <c r="TQQ700" s="1349"/>
      <c r="TQR700" s="1349"/>
      <c r="TQS700" s="1349"/>
      <c r="TQT700" s="1349"/>
      <c r="TQU700" s="1349"/>
      <c r="TQV700" s="1349"/>
      <c r="TQW700" s="1349"/>
      <c r="TQX700" s="1349"/>
      <c r="TQY700" s="1349"/>
      <c r="TQZ700" s="1349"/>
      <c r="TRA700" s="1349"/>
      <c r="TRB700" s="1349"/>
      <c r="TRC700" s="1349"/>
      <c r="TRD700" s="1349"/>
      <c r="TRE700" s="1349"/>
      <c r="TRF700" s="1349"/>
      <c r="TRG700" s="1349"/>
      <c r="TRH700" s="1349"/>
      <c r="TRI700" s="1349"/>
      <c r="TRJ700" s="1349"/>
      <c r="TRK700" s="1349"/>
      <c r="TRL700" s="1349"/>
      <c r="TRM700" s="1349"/>
      <c r="TRN700" s="1349"/>
      <c r="TRO700" s="1349"/>
      <c r="TRP700" s="1349"/>
      <c r="TRQ700" s="1349"/>
      <c r="TRR700" s="1349"/>
      <c r="TRS700" s="1349"/>
      <c r="TRT700" s="1349"/>
      <c r="TRU700" s="1349"/>
      <c r="TRV700" s="1349"/>
      <c r="TRW700" s="1349"/>
      <c r="TRX700" s="1349"/>
      <c r="TRY700" s="1349"/>
      <c r="TRZ700" s="1349"/>
      <c r="TSA700" s="1349"/>
      <c r="TSB700" s="1349"/>
      <c r="TSC700" s="1349"/>
      <c r="TSD700" s="1349"/>
      <c r="TSE700" s="1349"/>
      <c r="TSF700" s="1349"/>
      <c r="TSG700" s="1349"/>
      <c r="TSH700" s="1349"/>
      <c r="TSI700" s="1349"/>
      <c r="TSJ700" s="1349"/>
      <c r="TSK700" s="1349"/>
      <c r="TSL700" s="1349"/>
      <c r="TSM700" s="1349"/>
      <c r="TSN700" s="1349"/>
      <c r="TSO700" s="1349"/>
      <c r="TSP700" s="1349"/>
      <c r="TSQ700" s="1349"/>
      <c r="TSR700" s="1349"/>
      <c r="TSS700" s="1349"/>
      <c r="TST700" s="1349"/>
      <c r="TSU700" s="1349"/>
      <c r="TSV700" s="1349"/>
      <c r="TSW700" s="1349"/>
      <c r="TSX700" s="1349"/>
      <c r="TSY700" s="1349"/>
      <c r="TSZ700" s="1349"/>
      <c r="TTA700" s="1349"/>
      <c r="TTB700" s="1349"/>
      <c r="TTC700" s="1349"/>
      <c r="TTD700" s="1349"/>
      <c r="TTE700" s="1349"/>
      <c r="TTF700" s="1349"/>
      <c r="TTG700" s="1349"/>
      <c r="TTH700" s="1349"/>
      <c r="TTI700" s="1349"/>
      <c r="TTJ700" s="1349"/>
      <c r="TTK700" s="1349"/>
      <c r="TTL700" s="1349"/>
      <c r="TTM700" s="1349"/>
      <c r="TTN700" s="1349"/>
      <c r="TTO700" s="1349"/>
      <c r="TTP700" s="1349"/>
      <c r="TTQ700" s="1349"/>
      <c r="TTR700" s="1349"/>
      <c r="TTS700" s="1349"/>
      <c r="TTT700" s="1349"/>
      <c r="TTU700" s="1349"/>
      <c r="TTV700" s="1349"/>
      <c r="TTW700" s="1349"/>
      <c r="TTX700" s="1349"/>
      <c r="TTY700" s="1349"/>
      <c r="TTZ700" s="1349"/>
      <c r="TUA700" s="1349"/>
      <c r="TUB700" s="1349"/>
      <c r="TUC700" s="1349"/>
      <c r="TUD700" s="1349"/>
      <c r="TUE700" s="1349"/>
      <c r="TUF700" s="1349"/>
      <c r="TUG700" s="1349"/>
      <c r="TUH700" s="1349"/>
      <c r="TUI700" s="1349"/>
      <c r="TUJ700" s="1349"/>
      <c r="TUK700" s="1349"/>
      <c r="TUL700" s="1349"/>
      <c r="TUM700" s="1349"/>
      <c r="TUN700" s="1349"/>
      <c r="TUO700" s="1349"/>
      <c r="TUP700" s="1349"/>
      <c r="TUQ700" s="1349"/>
      <c r="TUR700" s="1349"/>
      <c r="TUS700" s="1349"/>
      <c r="TUT700" s="1349"/>
      <c r="TUU700" s="1349"/>
      <c r="TUV700" s="1349"/>
      <c r="TUW700" s="1349"/>
      <c r="TUX700" s="1349"/>
      <c r="TUY700" s="1349"/>
      <c r="TUZ700" s="1349"/>
      <c r="TVA700" s="1349"/>
      <c r="TVB700" s="1349"/>
      <c r="TVC700" s="1349"/>
      <c r="TVD700" s="1349"/>
      <c r="TVE700" s="1349"/>
      <c r="TVF700" s="1349"/>
      <c r="TVG700" s="1349"/>
      <c r="TVH700" s="1349"/>
      <c r="TVI700" s="1349"/>
      <c r="TVJ700" s="1349"/>
      <c r="TVK700" s="1349"/>
      <c r="TVL700" s="1349"/>
      <c r="TVM700" s="1349"/>
      <c r="TVN700" s="1349"/>
      <c r="TVO700" s="1349"/>
      <c r="TVP700" s="1349"/>
      <c r="TVQ700" s="1349"/>
      <c r="TVR700" s="1349"/>
      <c r="TVS700" s="1349"/>
      <c r="TVT700" s="1349"/>
      <c r="TVU700" s="1349"/>
      <c r="TVV700" s="1349"/>
      <c r="TVW700" s="1349"/>
      <c r="TVX700" s="1349"/>
      <c r="TVY700" s="1349"/>
      <c r="TVZ700" s="1349"/>
      <c r="TWA700" s="1349"/>
      <c r="TWB700" s="1349"/>
      <c r="TWC700" s="1349"/>
      <c r="TWD700" s="1349"/>
      <c r="TWE700" s="1349"/>
      <c r="TWF700" s="1349"/>
      <c r="TWG700" s="1349"/>
      <c r="TWH700" s="1349"/>
      <c r="TWI700" s="1349"/>
      <c r="TWJ700" s="1349"/>
      <c r="TWK700" s="1349"/>
      <c r="TWL700" s="1349"/>
      <c r="TWM700" s="1349"/>
      <c r="TWN700" s="1349"/>
      <c r="TWO700" s="1349"/>
      <c r="TWP700" s="1349"/>
      <c r="TWQ700" s="1349"/>
      <c r="TWR700" s="1349"/>
      <c r="TWS700" s="1349"/>
      <c r="TWT700" s="1349"/>
      <c r="TWU700" s="1349"/>
      <c r="TWV700" s="1349"/>
      <c r="TWW700" s="1349"/>
      <c r="TWX700" s="1349"/>
      <c r="TWY700" s="1349"/>
      <c r="TWZ700" s="1349"/>
      <c r="TXA700" s="1349"/>
      <c r="TXB700" s="1349"/>
      <c r="TXC700" s="1349"/>
      <c r="TXD700" s="1349"/>
      <c r="TXE700" s="1349"/>
      <c r="TXF700" s="1349"/>
      <c r="TXG700" s="1349"/>
      <c r="TXH700" s="1349"/>
      <c r="TXI700" s="1349"/>
      <c r="TXJ700" s="1349"/>
      <c r="TXK700" s="1349"/>
      <c r="TXL700" s="1349"/>
      <c r="TXM700" s="1349"/>
      <c r="TXN700" s="1349"/>
      <c r="TXO700" s="1349"/>
      <c r="TXP700" s="1349"/>
      <c r="TXQ700" s="1349"/>
      <c r="TXR700" s="1349"/>
      <c r="TXS700" s="1349"/>
      <c r="TXT700" s="1349"/>
      <c r="TXU700" s="1349"/>
      <c r="TXV700" s="1349"/>
      <c r="TXW700" s="1349"/>
      <c r="TXX700" s="1349"/>
      <c r="TXY700" s="1349"/>
      <c r="TXZ700" s="1349"/>
      <c r="TYA700" s="1349"/>
      <c r="TYB700" s="1349"/>
      <c r="TYC700" s="1349"/>
      <c r="TYD700" s="1349"/>
      <c r="TYE700" s="1349"/>
      <c r="TYF700" s="1349"/>
      <c r="TYG700" s="1349"/>
      <c r="TYH700" s="1349"/>
      <c r="TYI700" s="1349"/>
      <c r="TYJ700" s="1349"/>
      <c r="TYK700" s="1349"/>
      <c r="TYL700" s="1349"/>
      <c r="TYM700" s="1349"/>
      <c r="TYN700" s="1349"/>
      <c r="TYO700" s="1349"/>
      <c r="TYP700" s="1349"/>
      <c r="TYQ700" s="1349"/>
      <c r="TYR700" s="1349"/>
      <c r="TYS700" s="1349"/>
      <c r="TYT700" s="1349"/>
      <c r="TYU700" s="1349"/>
      <c r="TYV700" s="1349"/>
      <c r="TYW700" s="1349"/>
      <c r="TYX700" s="1349"/>
      <c r="TYY700" s="1349"/>
      <c r="TYZ700" s="1349"/>
      <c r="TZA700" s="1349"/>
      <c r="TZB700" s="1349"/>
      <c r="TZC700" s="1349"/>
      <c r="TZD700" s="1349"/>
      <c r="TZE700" s="1349"/>
      <c r="TZF700" s="1349"/>
      <c r="TZG700" s="1349"/>
      <c r="TZH700" s="1349"/>
      <c r="TZI700" s="1349"/>
      <c r="TZJ700" s="1349"/>
      <c r="TZK700" s="1349"/>
      <c r="TZL700" s="1349"/>
      <c r="TZM700" s="1349"/>
      <c r="TZN700" s="1349"/>
      <c r="TZO700" s="1349"/>
      <c r="TZP700" s="1349"/>
      <c r="TZQ700" s="1349"/>
      <c r="TZR700" s="1349"/>
      <c r="TZS700" s="1349"/>
      <c r="TZT700" s="1349"/>
      <c r="TZU700" s="1349"/>
      <c r="TZV700" s="1349"/>
      <c r="TZW700" s="1349"/>
      <c r="TZX700" s="1349"/>
      <c r="TZY700" s="1349"/>
      <c r="TZZ700" s="1349"/>
      <c r="UAA700" s="1349"/>
      <c r="UAB700" s="1349"/>
      <c r="UAC700" s="1349"/>
      <c r="UAD700" s="1349"/>
      <c r="UAE700" s="1349"/>
      <c r="UAF700" s="1349"/>
      <c r="UAG700" s="1349"/>
      <c r="UAH700" s="1349"/>
      <c r="UAI700" s="1349"/>
      <c r="UAJ700" s="1349"/>
      <c r="UAK700" s="1349"/>
      <c r="UAL700" s="1349"/>
      <c r="UAM700" s="1349"/>
      <c r="UAN700" s="1349"/>
      <c r="UAO700" s="1349"/>
      <c r="UAP700" s="1349"/>
      <c r="UAQ700" s="1349"/>
      <c r="UAR700" s="1349"/>
      <c r="UAS700" s="1349"/>
      <c r="UAT700" s="1349"/>
      <c r="UAU700" s="1349"/>
      <c r="UAV700" s="1349"/>
      <c r="UAW700" s="1349"/>
      <c r="UAX700" s="1349"/>
      <c r="UAY700" s="1349"/>
      <c r="UAZ700" s="1349"/>
      <c r="UBA700" s="1349"/>
      <c r="UBB700" s="1349"/>
      <c r="UBC700" s="1349"/>
      <c r="UBD700" s="1349"/>
      <c r="UBE700" s="1349"/>
      <c r="UBF700" s="1349"/>
      <c r="UBG700" s="1349"/>
      <c r="UBH700" s="1349"/>
      <c r="UBI700" s="1349"/>
      <c r="UBJ700" s="1349"/>
      <c r="UBK700" s="1349"/>
      <c r="UBL700" s="1349"/>
      <c r="UBM700" s="1349"/>
      <c r="UBN700" s="1349"/>
      <c r="UBO700" s="1349"/>
      <c r="UBP700" s="1349"/>
      <c r="UBQ700" s="1349"/>
      <c r="UBR700" s="1349"/>
      <c r="UBS700" s="1349"/>
      <c r="UBT700" s="1349"/>
      <c r="UBU700" s="1349"/>
      <c r="UBV700" s="1349"/>
      <c r="UBW700" s="1349"/>
      <c r="UBX700" s="1349"/>
      <c r="UBY700" s="1349"/>
      <c r="UBZ700" s="1349"/>
      <c r="UCA700" s="1349"/>
      <c r="UCB700" s="1349"/>
      <c r="UCC700" s="1349"/>
      <c r="UCD700" s="1349"/>
      <c r="UCE700" s="1349"/>
      <c r="UCF700" s="1349"/>
      <c r="UCG700" s="1349"/>
      <c r="UCH700" s="1349"/>
      <c r="UCI700" s="1349"/>
      <c r="UCJ700" s="1349"/>
      <c r="UCK700" s="1349"/>
      <c r="UCL700" s="1349"/>
      <c r="UCM700" s="1349"/>
      <c r="UCN700" s="1349"/>
      <c r="UCO700" s="1349"/>
      <c r="UCP700" s="1349"/>
      <c r="UCQ700" s="1349"/>
      <c r="UCR700" s="1349"/>
      <c r="UCS700" s="1349"/>
      <c r="UCT700" s="1349"/>
      <c r="UCU700" s="1349"/>
      <c r="UCV700" s="1349"/>
      <c r="UCW700" s="1349"/>
      <c r="UCX700" s="1349"/>
      <c r="UCY700" s="1349"/>
      <c r="UCZ700" s="1349"/>
      <c r="UDA700" s="1349"/>
      <c r="UDB700" s="1349"/>
      <c r="UDC700" s="1349"/>
      <c r="UDD700" s="1349"/>
      <c r="UDE700" s="1349"/>
      <c r="UDF700" s="1349"/>
      <c r="UDG700" s="1349"/>
      <c r="UDH700" s="1349"/>
      <c r="UDI700" s="1349"/>
      <c r="UDJ700" s="1349"/>
      <c r="UDK700" s="1349"/>
      <c r="UDL700" s="1349"/>
      <c r="UDM700" s="1349"/>
      <c r="UDN700" s="1349"/>
      <c r="UDO700" s="1349"/>
      <c r="UDP700" s="1349"/>
      <c r="UDQ700" s="1349"/>
      <c r="UDR700" s="1349"/>
      <c r="UDS700" s="1349"/>
      <c r="UDT700" s="1349"/>
      <c r="UDU700" s="1349"/>
      <c r="UDV700" s="1349"/>
      <c r="UDW700" s="1349"/>
      <c r="UDX700" s="1349"/>
      <c r="UDY700" s="1349"/>
      <c r="UDZ700" s="1349"/>
      <c r="UEA700" s="1349"/>
      <c r="UEB700" s="1349"/>
      <c r="UEC700" s="1349"/>
      <c r="UED700" s="1349"/>
      <c r="UEE700" s="1349"/>
      <c r="UEF700" s="1349"/>
      <c r="UEG700" s="1349"/>
      <c r="UEH700" s="1349"/>
      <c r="UEI700" s="1349"/>
      <c r="UEJ700" s="1349"/>
      <c r="UEK700" s="1349"/>
      <c r="UEL700" s="1349"/>
      <c r="UEM700" s="1349"/>
      <c r="UEN700" s="1349"/>
      <c r="UEO700" s="1349"/>
      <c r="UEP700" s="1349"/>
      <c r="UEQ700" s="1349"/>
      <c r="UER700" s="1349"/>
      <c r="UES700" s="1349"/>
      <c r="UET700" s="1349"/>
      <c r="UEU700" s="1349"/>
      <c r="UEV700" s="1349"/>
      <c r="UEW700" s="1349"/>
      <c r="UEX700" s="1349"/>
      <c r="UEY700" s="1349"/>
      <c r="UEZ700" s="1349"/>
      <c r="UFA700" s="1349"/>
      <c r="UFB700" s="1349"/>
      <c r="UFC700" s="1349"/>
      <c r="UFD700" s="1349"/>
      <c r="UFE700" s="1349"/>
      <c r="UFF700" s="1349"/>
      <c r="UFG700" s="1349"/>
      <c r="UFH700" s="1349"/>
      <c r="UFI700" s="1349"/>
      <c r="UFJ700" s="1349"/>
      <c r="UFK700" s="1349"/>
      <c r="UFL700" s="1349"/>
      <c r="UFM700" s="1349"/>
      <c r="UFN700" s="1349"/>
      <c r="UFO700" s="1349"/>
      <c r="UFP700" s="1349"/>
      <c r="UFQ700" s="1349"/>
      <c r="UFR700" s="1349"/>
      <c r="UFS700" s="1349"/>
      <c r="UFT700" s="1349"/>
      <c r="UFU700" s="1349"/>
      <c r="UFV700" s="1349"/>
      <c r="UFW700" s="1349"/>
      <c r="UFX700" s="1349"/>
      <c r="UFY700" s="1349"/>
      <c r="UFZ700" s="1349"/>
      <c r="UGA700" s="1349"/>
      <c r="UGB700" s="1349"/>
      <c r="UGC700" s="1349"/>
      <c r="UGD700" s="1349"/>
      <c r="UGE700" s="1349"/>
      <c r="UGF700" s="1349"/>
      <c r="UGG700" s="1349"/>
      <c r="UGH700" s="1349"/>
      <c r="UGI700" s="1349"/>
      <c r="UGJ700" s="1349"/>
      <c r="UGK700" s="1349"/>
      <c r="UGL700" s="1349"/>
      <c r="UGM700" s="1349"/>
      <c r="UGN700" s="1349"/>
      <c r="UGO700" s="1349"/>
      <c r="UGP700" s="1349"/>
      <c r="UGQ700" s="1349"/>
      <c r="UGR700" s="1349"/>
      <c r="UGS700" s="1349"/>
      <c r="UGT700" s="1349"/>
      <c r="UGU700" s="1349"/>
      <c r="UGV700" s="1349"/>
      <c r="UGW700" s="1349"/>
      <c r="UGX700" s="1349"/>
      <c r="UGY700" s="1349"/>
      <c r="UGZ700" s="1349"/>
      <c r="UHA700" s="1349"/>
      <c r="UHB700" s="1349"/>
      <c r="UHC700" s="1349"/>
      <c r="UHD700" s="1349"/>
      <c r="UHE700" s="1349"/>
      <c r="UHF700" s="1349"/>
      <c r="UHG700" s="1349"/>
      <c r="UHH700" s="1349"/>
      <c r="UHI700" s="1349"/>
      <c r="UHJ700" s="1349"/>
      <c r="UHK700" s="1349"/>
      <c r="UHL700" s="1349"/>
      <c r="UHM700" s="1349"/>
      <c r="UHN700" s="1349"/>
      <c r="UHO700" s="1349"/>
      <c r="UHP700" s="1349"/>
      <c r="UHQ700" s="1349"/>
      <c r="UHR700" s="1349"/>
      <c r="UHS700" s="1349"/>
      <c r="UHT700" s="1349"/>
      <c r="UHU700" s="1349"/>
      <c r="UHV700" s="1349"/>
      <c r="UHW700" s="1349"/>
      <c r="UHX700" s="1349"/>
      <c r="UHY700" s="1349"/>
      <c r="UHZ700" s="1349"/>
      <c r="UIA700" s="1349"/>
      <c r="UIB700" s="1349"/>
      <c r="UIC700" s="1349"/>
      <c r="UID700" s="1349"/>
      <c r="UIE700" s="1349"/>
      <c r="UIF700" s="1349"/>
      <c r="UIG700" s="1349"/>
      <c r="UIH700" s="1349"/>
      <c r="UII700" s="1349"/>
      <c r="UIJ700" s="1349"/>
      <c r="UIK700" s="1349"/>
      <c r="UIL700" s="1349"/>
      <c r="UIM700" s="1349"/>
      <c r="UIN700" s="1349"/>
      <c r="UIO700" s="1349"/>
      <c r="UIP700" s="1349"/>
      <c r="UIQ700" s="1349"/>
      <c r="UIR700" s="1349"/>
      <c r="UIS700" s="1349"/>
      <c r="UIT700" s="1349"/>
      <c r="UIU700" s="1349"/>
      <c r="UIV700" s="1349"/>
      <c r="UIW700" s="1349"/>
      <c r="UIX700" s="1349"/>
      <c r="UIY700" s="1349"/>
      <c r="UIZ700" s="1349"/>
      <c r="UJA700" s="1349"/>
      <c r="UJB700" s="1349"/>
      <c r="UJC700" s="1349"/>
      <c r="UJD700" s="1349"/>
      <c r="UJE700" s="1349"/>
      <c r="UJF700" s="1349"/>
      <c r="UJG700" s="1349"/>
      <c r="UJH700" s="1349"/>
      <c r="UJI700" s="1349"/>
      <c r="UJJ700" s="1349"/>
      <c r="UJK700" s="1349"/>
      <c r="UJL700" s="1349"/>
      <c r="UJM700" s="1349"/>
      <c r="UJN700" s="1349"/>
      <c r="UJO700" s="1349"/>
      <c r="UJP700" s="1349"/>
      <c r="UJQ700" s="1349"/>
      <c r="UJR700" s="1349"/>
      <c r="UJS700" s="1349"/>
      <c r="UJT700" s="1349"/>
      <c r="UJU700" s="1349"/>
      <c r="UJV700" s="1349"/>
      <c r="UJW700" s="1349"/>
      <c r="UJX700" s="1349"/>
      <c r="UJY700" s="1349"/>
      <c r="UJZ700" s="1349"/>
      <c r="UKA700" s="1349"/>
      <c r="UKB700" s="1349"/>
      <c r="UKC700" s="1349"/>
      <c r="UKD700" s="1349"/>
      <c r="UKE700" s="1349"/>
      <c r="UKF700" s="1349"/>
      <c r="UKG700" s="1349"/>
      <c r="UKH700" s="1349"/>
      <c r="UKI700" s="1349"/>
      <c r="UKJ700" s="1349"/>
      <c r="UKK700" s="1349"/>
      <c r="UKL700" s="1349"/>
      <c r="UKM700" s="1349"/>
      <c r="UKN700" s="1349"/>
      <c r="UKO700" s="1349"/>
      <c r="UKP700" s="1349"/>
      <c r="UKQ700" s="1349"/>
      <c r="UKR700" s="1349"/>
      <c r="UKS700" s="1349"/>
      <c r="UKT700" s="1349"/>
      <c r="UKU700" s="1349"/>
      <c r="UKV700" s="1349"/>
      <c r="UKW700" s="1349"/>
      <c r="UKX700" s="1349"/>
      <c r="UKY700" s="1349"/>
      <c r="UKZ700" s="1349"/>
      <c r="ULA700" s="1349"/>
      <c r="ULB700" s="1349"/>
      <c r="ULC700" s="1349"/>
      <c r="ULD700" s="1349"/>
      <c r="ULE700" s="1349"/>
      <c r="ULF700" s="1349"/>
      <c r="ULG700" s="1349"/>
      <c r="ULH700" s="1349"/>
      <c r="ULI700" s="1349"/>
      <c r="ULJ700" s="1349"/>
      <c r="ULK700" s="1349"/>
      <c r="ULL700" s="1349"/>
      <c r="ULM700" s="1349"/>
      <c r="ULN700" s="1349"/>
      <c r="ULO700" s="1349"/>
      <c r="ULP700" s="1349"/>
      <c r="ULQ700" s="1349"/>
      <c r="ULR700" s="1349"/>
      <c r="ULS700" s="1349"/>
      <c r="ULT700" s="1349"/>
      <c r="ULU700" s="1349"/>
      <c r="ULV700" s="1349"/>
      <c r="ULW700" s="1349"/>
      <c r="ULX700" s="1349"/>
      <c r="ULY700" s="1349"/>
      <c r="ULZ700" s="1349"/>
      <c r="UMA700" s="1349"/>
      <c r="UMB700" s="1349"/>
      <c r="UMC700" s="1349"/>
      <c r="UMD700" s="1349"/>
      <c r="UME700" s="1349"/>
      <c r="UMF700" s="1349"/>
      <c r="UMG700" s="1349"/>
      <c r="UMH700" s="1349"/>
      <c r="UMI700" s="1349"/>
      <c r="UMJ700" s="1349"/>
      <c r="UMK700" s="1349"/>
      <c r="UML700" s="1349"/>
      <c r="UMM700" s="1349"/>
      <c r="UMN700" s="1349"/>
      <c r="UMO700" s="1349"/>
      <c r="UMP700" s="1349"/>
      <c r="UMQ700" s="1349"/>
      <c r="UMR700" s="1349"/>
      <c r="UMS700" s="1349"/>
      <c r="UMT700" s="1349"/>
      <c r="UMU700" s="1349"/>
      <c r="UMV700" s="1349"/>
      <c r="UMW700" s="1349"/>
      <c r="UMX700" s="1349"/>
      <c r="UMY700" s="1349"/>
      <c r="UMZ700" s="1349"/>
      <c r="UNA700" s="1349"/>
      <c r="UNB700" s="1349"/>
      <c r="UNC700" s="1349"/>
      <c r="UND700" s="1349"/>
      <c r="UNE700" s="1349"/>
      <c r="UNF700" s="1349"/>
      <c r="UNG700" s="1349"/>
      <c r="UNH700" s="1349"/>
      <c r="UNI700" s="1349"/>
      <c r="UNJ700" s="1349"/>
      <c r="UNK700" s="1349"/>
      <c r="UNL700" s="1349"/>
      <c r="UNM700" s="1349"/>
      <c r="UNN700" s="1349"/>
      <c r="UNO700" s="1349"/>
      <c r="UNP700" s="1349"/>
      <c r="UNQ700" s="1349"/>
      <c r="UNR700" s="1349"/>
      <c r="UNS700" s="1349"/>
      <c r="UNT700" s="1349"/>
      <c r="UNU700" s="1349"/>
      <c r="UNV700" s="1349"/>
      <c r="UNW700" s="1349"/>
      <c r="UNX700" s="1349"/>
      <c r="UNY700" s="1349"/>
      <c r="UNZ700" s="1349"/>
      <c r="UOA700" s="1349"/>
      <c r="UOB700" s="1349"/>
      <c r="UOC700" s="1349"/>
      <c r="UOD700" s="1349"/>
      <c r="UOE700" s="1349"/>
      <c r="UOF700" s="1349"/>
      <c r="UOG700" s="1349"/>
      <c r="UOH700" s="1349"/>
      <c r="UOI700" s="1349"/>
      <c r="UOJ700" s="1349"/>
      <c r="UOK700" s="1349"/>
      <c r="UOL700" s="1349"/>
      <c r="UOM700" s="1349"/>
      <c r="UON700" s="1349"/>
      <c r="UOO700" s="1349"/>
      <c r="UOP700" s="1349"/>
      <c r="UOQ700" s="1349"/>
      <c r="UOR700" s="1349"/>
      <c r="UOS700" s="1349"/>
      <c r="UOT700" s="1349"/>
      <c r="UOU700" s="1349"/>
      <c r="UOV700" s="1349"/>
      <c r="UOW700" s="1349"/>
      <c r="UOX700" s="1349"/>
      <c r="UOY700" s="1349"/>
      <c r="UOZ700" s="1349"/>
      <c r="UPA700" s="1349"/>
      <c r="UPB700" s="1349"/>
      <c r="UPC700" s="1349"/>
      <c r="UPD700" s="1349"/>
      <c r="UPE700" s="1349"/>
      <c r="UPF700" s="1349"/>
      <c r="UPG700" s="1349"/>
      <c r="UPH700" s="1349"/>
      <c r="UPI700" s="1349"/>
      <c r="UPJ700" s="1349"/>
      <c r="UPK700" s="1349"/>
      <c r="UPL700" s="1349"/>
      <c r="UPM700" s="1349"/>
      <c r="UPN700" s="1349"/>
      <c r="UPO700" s="1349"/>
      <c r="UPP700" s="1349"/>
      <c r="UPQ700" s="1349"/>
      <c r="UPR700" s="1349"/>
      <c r="UPS700" s="1349"/>
      <c r="UPT700" s="1349"/>
      <c r="UPU700" s="1349"/>
      <c r="UPV700" s="1349"/>
      <c r="UPW700" s="1349"/>
      <c r="UPX700" s="1349"/>
      <c r="UPY700" s="1349"/>
      <c r="UPZ700" s="1349"/>
      <c r="UQA700" s="1349"/>
      <c r="UQB700" s="1349"/>
      <c r="UQC700" s="1349"/>
      <c r="UQD700" s="1349"/>
      <c r="UQE700" s="1349"/>
      <c r="UQF700" s="1349"/>
      <c r="UQG700" s="1349"/>
      <c r="UQH700" s="1349"/>
      <c r="UQI700" s="1349"/>
      <c r="UQJ700" s="1349"/>
      <c r="UQK700" s="1349"/>
      <c r="UQL700" s="1349"/>
      <c r="UQM700" s="1349"/>
      <c r="UQN700" s="1349"/>
      <c r="UQO700" s="1349"/>
      <c r="UQP700" s="1349"/>
      <c r="UQQ700" s="1349"/>
      <c r="UQR700" s="1349"/>
      <c r="UQS700" s="1349"/>
      <c r="UQT700" s="1349"/>
      <c r="UQU700" s="1349"/>
      <c r="UQV700" s="1349"/>
      <c r="UQW700" s="1349"/>
      <c r="UQX700" s="1349"/>
      <c r="UQY700" s="1349"/>
      <c r="UQZ700" s="1349"/>
      <c r="URA700" s="1349"/>
      <c r="URB700" s="1349"/>
      <c r="URC700" s="1349"/>
      <c r="URD700" s="1349"/>
      <c r="URE700" s="1349"/>
      <c r="URF700" s="1349"/>
      <c r="URG700" s="1349"/>
      <c r="URH700" s="1349"/>
      <c r="URI700" s="1349"/>
      <c r="URJ700" s="1349"/>
      <c r="URK700" s="1349"/>
      <c r="URL700" s="1349"/>
      <c r="URM700" s="1349"/>
      <c r="URN700" s="1349"/>
      <c r="URO700" s="1349"/>
      <c r="URP700" s="1349"/>
      <c r="URQ700" s="1349"/>
      <c r="URR700" s="1349"/>
      <c r="URS700" s="1349"/>
      <c r="URT700" s="1349"/>
      <c r="URU700" s="1349"/>
      <c r="URV700" s="1349"/>
      <c r="URW700" s="1349"/>
      <c r="URX700" s="1349"/>
      <c r="URY700" s="1349"/>
      <c r="URZ700" s="1349"/>
      <c r="USA700" s="1349"/>
      <c r="USB700" s="1349"/>
      <c r="USC700" s="1349"/>
      <c r="USD700" s="1349"/>
      <c r="USE700" s="1349"/>
      <c r="USF700" s="1349"/>
      <c r="USG700" s="1349"/>
      <c r="USH700" s="1349"/>
      <c r="USI700" s="1349"/>
      <c r="USJ700" s="1349"/>
      <c r="USK700" s="1349"/>
      <c r="USL700" s="1349"/>
      <c r="USM700" s="1349"/>
      <c r="USN700" s="1349"/>
      <c r="USO700" s="1349"/>
      <c r="USP700" s="1349"/>
      <c r="USQ700" s="1349"/>
      <c r="USR700" s="1349"/>
      <c r="USS700" s="1349"/>
      <c r="UST700" s="1349"/>
      <c r="USU700" s="1349"/>
      <c r="USV700" s="1349"/>
      <c r="USW700" s="1349"/>
      <c r="USX700" s="1349"/>
      <c r="USY700" s="1349"/>
      <c r="USZ700" s="1349"/>
      <c r="UTA700" s="1349"/>
      <c r="UTB700" s="1349"/>
      <c r="UTC700" s="1349"/>
      <c r="UTD700" s="1349"/>
      <c r="UTE700" s="1349"/>
      <c r="UTF700" s="1349"/>
      <c r="UTG700" s="1349"/>
      <c r="UTH700" s="1349"/>
      <c r="UTI700" s="1349"/>
      <c r="UTJ700" s="1349"/>
      <c r="UTK700" s="1349"/>
      <c r="UTL700" s="1349"/>
      <c r="UTM700" s="1349"/>
      <c r="UTN700" s="1349"/>
      <c r="UTO700" s="1349"/>
      <c r="UTP700" s="1349"/>
      <c r="UTQ700" s="1349"/>
      <c r="UTR700" s="1349"/>
      <c r="UTS700" s="1349"/>
      <c r="UTT700" s="1349"/>
      <c r="UTU700" s="1349"/>
      <c r="UTV700" s="1349"/>
      <c r="UTW700" s="1349"/>
      <c r="UTX700" s="1349"/>
      <c r="UTY700" s="1349"/>
      <c r="UTZ700" s="1349"/>
      <c r="UUA700" s="1349"/>
      <c r="UUB700" s="1349"/>
      <c r="UUC700" s="1349"/>
      <c r="UUD700" s="1349"/>
      <c r="UUE700" s="1349"/>
      <c r="UUF700" s="1349"/>
      <c r="UUG700" s="1349"/>
      <c r="UUH700" s="1349"/>
      <c r="UUI700" s="1349"/>
      <c r="UUJ700" s="1349"/>
      <c r="UUK700" s="1349"/>
      <c r="UUL700" s="1349"/>
      <c r="UUM700" s="1349"/>
      <c r="UUN700" s="1349"/>
      <c r="UUO700" s="1349"/>
      <c r="UUP700" s="1349"/>
      <c r="UUQ700" s="1349"/>
      <c r="UUR700" s="1349"/>
      <c r="UUS700" s="1349"/>
      <c r="UUT700" s="1349"/>
      <c r="UUU700" s="1349"/>
      <c r="UUV700" s="1349"/>
      <c r="UUW700" s="1349"/>
      <c r="UUX700" s="1349"/>
      <c r="UUY700" s="1349"/>
      <c r="UUZ700" s="1349"/>
      <c r="UVA700" s="1349"/>
      <c r="UVB700" s="1349"/>
      <c r="UVC700" s="1349"/>
      <c r="UVD700" s="1349"/>
      <c r="UVE700" s="1349"/>
      <c r="UVF700" s="1349"/>
      <c r="UVG700" s="1349"/>
      <c r="UVH700" s="1349"/>
      <c r="UVI700" s="1349"/>
      <c r="UVJ700" s="1349"/>
      <c r="UVK700" s="1349"/>
      <c r="UVL700" s="1349"/>
      <c r="UVM700" s="1349"/>
      <c r="UVN700" s="1349"/>
      <c r="UVO700" s="1349"/>
      <c r="UVP700" s="1349"/>
      <c r="UVQ700" s="1349"/>
      <c r="UVR700" s="1349"/>
      <c r="UVS700" s="1349"/>
      <c r="UVT700" s="1349"/>
      <c r="UVU700" s="1349"/>
      <c r="UVV700" s="1349"/>
      <c r="UVW700" s="1349"/>
      <c r="UVX700" s="1349"/>
      <c r="UVY700" s="1349"/>
      <c r="UVZ700" s="1349"/>
      <c r="UWA700" s="1349"/>
      <c r="UWB700" s="1349"/>
      <c r="UWC700" s="1349"/>
      <c r="UWD700" s="1349"/>
      <c r="UWE700" s="1349"/>
      <c r="UWF700" s="1349"/>
      <c r="UWG700" s="1349"/>
      <c r="UWH700" s="1349"/>
      <c r="UWI700" s="1349"/>
      <c r="UWJ700" s="1349"/>
      <c r="UWK700" s="1349"/>
      <c r="UWL700" s="1349"/>
      <c r="UWM700" s="1349"/>
      <c r="UWN700" s="1349"/>
      <c r="UWO700" s="1349"/>
      <c r="UWP700" s="1349"/>
      <c r="UWQ700" s="1349"/>
      <c r="UWR700" s="1349"/>
      <c r="UWS700" s="1349"/>
      <c r="UWT700" s="1349"/>
      <c r="UWU700" s="1349"/>
      <c r="UWV700" s="1349"/>
      <c r="UWW700" s="1349"/>
      <c r="UWX700" s="1349"/>
      <c r="UWY700" s="1349"/>
      <c r="UWZ700" s="1349"/>
      <c r="UXA700" s="1349"/>
      <c r="UXB700" s="1349"/>
      <c r="UXC700" s="1349"/>
      <c r="UXD700" s="1349"/>
      <c r="UXE700" s="1349"/>
      <c r="UXF700" s="1349"/>
      <c r="UXG700" s="1349"/>
      <c r="UXH700" s="1349"/>
      <c r="UXI700" s="1349"/>
      <c r="UXJ700" s="1349"/>
      <c r="UXK700" s="1349"/>
      <c r="UXL700" s="1349"/>
      <c r="UXM700" s="1349"/>
      <c r="UXN700" s="1349"/>
      <c r="UXO700" s="1349"/>
      <c r="UXP700" s="1349"/>
      <c r="UXQ700" s="1349"/>
      <c r="UXR700" s="1349"/>
      <c r="UXS700" s="1349"/>
      <c r="UXT700" s="1349"/>
      <c r="UXU700" s="1349"/>
      <c r="UXV700" s="1349"/>
      <c r="UXW700" s="1349"/>
      <c r="UXX700" s="1349"/>
      <c r="UXY700" s="1349"/>
      <c r="UXZ700" s="1349"/>
      <c r="UYA700" s="1349"/>
      <c r="UYB700" s="1349"/>
      <c r="UYC700" s="1349"/>
      <c r="UYD700" s="1349"/>
      <c r="UYE700" s="1349"/>
      <c r="UYF700" s="1349"/>
      <c r="UYG700" s="1349"/>
      <c r="UYH700" s="1349"/>
      <c r="UYI700" s="1349"/>
      <c r="UYJ700" s="1349"/>
      <c r="UYK700" s="1349"/>
      <c r="UYL700" s="1349"/>
      <c r="UYM700" s="1349"/>
      <c r="UYN700" s="1349"/>
      <c r="UYO700" s="1349"/>
      <c r="UYP700" s="1349"/>
      <c r="UYQ700" s="1349"/>
      <c r="UYR700" s="1349"/>
      <c r="UYS700" s="1349"/>
      <c r="UYT700" s="1349"/>
      <c r="UYU700" s="1349"/>
      <c r="UYV700" s="1349"/>
      <c r="UYW700" s="1349"/>
      <c r="UYX700" s="1349"/>
      <c r="UYY700" s="1349"/>
      <c r="UYZ700" s="1349"/>
      <c r="UZA700" s="1349"/>
      <c r="UZB700" s="1349"/>
      <c r="UZC700" s="1349"/>
      <c r="UZD700" s="1349"/>
      <c r="UZE700" s="1349"/>
      <c r="UZF700" s="1349"/>
      <c r="UZG700" s="1349"/>
      <c r="UZH700" s="1349"/>
      <c r="UZI700" s="1349"/>
      <c r="UZJ700" s="1349"/>
      <c r="UZK700" s="1349"/>
      <c r="UZL700" s="1349"/>
      <c r="UZM700" s="1349"/>
      <c r="UZN700" s="1349"/>
      <c r="UZO700" s="1349"/>
      <c r="UZP700" s="1349"/>
      <c r="UZQ700" s="1349"/>
      <c r="UZR700" s="1349"/>
      <c r="UZS700" s="1349"/>
      <c r="UZT700" s="1349"/>
      <c r="UZU700" s="1349"/>
      <c r="UZV700" s="1349"/>
      <c r="UZW700" s="1349"/>
      <c r="UZX700" s="1349"/>
      <c r="UZY700" s="1349"/>
      <c r="UZZ700" s="1349"/>
      <c r="VAA700" s="1349"/>
      <c r="VAB700" s="1349"/>
      <c r="VAC700" s="1349"/>
      <c r="VAD700" s="1349"/>
      <c r="VAE700" s="1349"/>
      <c r="VAF700" s="1349"/>
      <c r="VAG700" s="1349"/>
      <c r="VAH700" s="1349"/>
      <c r="VAI700" s="1349"/>
      <c r="VAJ700" s="1349"/>
      <c r="VAK700" s="1349"/>
      <c r="VAL700" s="1349"/>
      <c r="VAM700" s="1349"/>
      <c r="VAN700" s="1349"/>
      <c r="VAO700" s="1349"/>
      <c r="VAP700" s="1349"/>
      <c r="VAQ700" s="1349"/>
      <c r="VAR700" s="1349"/>
      <c r="VAS700" s="1349"/>
      <c r="VAT700" s="1349"/>
      <c r="VAU700" s="1349"/>
      <c r="VAV700" s="1349"/>
      <c r="VAW700" s="1349"/>
      <c r="VAX700" s="1349"/>
      <c r="VAY700" s="1349"/>
      <c r="VAZ700" s="1349"/>
      <c r="VBA700" s="1349"/>
      <c r="VBB700" s="1349"/>
      <c r="VBC700" s="1349"/>
      <c r="VBD700" s="1349"/>
      <c r="VBE700" s="1349"/>
      <c r="VBF700" s="1349"/>
      <c r="VBG700" s="1349"/>
      <c r="VBH700" s="1349"/>
      <c r="VBI700" s="1349"/>
      <c r="VBJ700" s="1349"/>
      <c r="VBK700" s="1349"/>
      <c r="VBL700" s="1349"/>
      <c r="VBM700" s="1349"/>
      <c r="VBN700" s="1349"/>
      <c r="VBO700" s="1349"/>
      <c r="VBP700" s="1349"/>
      <c r="VBQ700" s="1349"/>
      <c r="VBR700" s="1349"/>
      <c r="VBS700" s="1349"/>
      <c r="VBT700" s="1349"/>
      <c r="VBU700" s="1349"/>
      <c r="VBV700" s="1349"/>
      <c r="VBW700" s="1349"/>
      <c r="VBX700" s="1349"/>
      <c r="VBY700" s="1349"/>
      <c r="VBZ700" s="1349"/>
      <c r="VCA700" s="1349"/>
      <c r="VCB700" s="1349"/>
      <c r="VCC700" s="1349"/>
      <c r="VCD700" s="1349"/>
      <c r="VCE700" s="1349"/>
      <c r="VCF700" s="1349"/>
      <c r="VCG700" s="1349"/>
      <c r="VCH700" s="1349"/>
      <c r="VCI700" s="1349"/>
      <c r="VCJ700" s="1349"/>
      <c r="VCK700" s="1349"/>
      <c r="VCL700" s="1349"/>
      <c r="VCM700" s="1349"/>
      <c r="VCN700" s="1349"/>
      <c r="VCO700" s="1349"/>
      <c r="VCP700" s="1349"/>
      <c r="VCQ700" s="1349"/>
      <c r="VCR700" s="1349"/>
      <c r="VCS700" s="1349"/>
      <c r="VCT700" s="1349"/>
      <c r="VCU700" s="1349"/>
      <c r="VCV700" s="1349"/>
      <c r="VCW700" s="1349"/>
      <c r="VCX700" s="1349"/>
      <c r="VCY700" s="1349"/>
      <c r="VCZ700" s="1349"/>
      <c r="VDA700" s="1349"/>
      <c r="VDB700" s="1349"/>
      <c r="VDC700" s="1349"/>
      <c r="VDD700" s="1349"/>
      <c r="VDE700" s="1349"/>
      <c r="VDF700" s="1349"/>
      <c r="VDG700" s="1349"/>
      <c r="VDH700" s="1349"/>
      <c r="VDI700" s="1349"/>
      <c r="VDJ700" s="1349"/>
      <c r="VDK700" s="1349"/>
      <c r="VDL700" s="1349"/>
      <c r="VDM700" s="1349"/>
      <c r="VDN700" s="1349"/>
      <c r="VDO700" s="1349"/>
      <c r="VDP700" s="1349"/>
      <c r="VDQ700" s="1349"/>
      <c r="VDR700" s="1349"/>
      <c r="VDS700" s="1349"/>
      <c r="VDT700" s="1349"/>
      <c r="VDU700" s="1349"/>
      <c r="VDV700" s="1349"/>
      <c r="VDW700" s="1349"/>
      <c r="VDX700" s="1349"/>
      <c r="VDY700" s="1349"/>
      <c r="VDZ700" s="1349"/>
      <c r="VEA700" s="1349"/>
      <c r="VEB700" s="1349"/>
      <c r="VEC700" s="1349"/>
      <c r="VED700" s="1349"/>
      <c r="VEE700" s="1349"/>
      <c r="VEF700" s="1349"/>
      <c r="VEG700" s="1349"/>
      <c r="VEH700" s="1349"/>
      <c r="VEI700" s="1349"/>
      <c r="VEJ700" s="1349"/>
      <c r="VEK700" s="1349"/>
      <c r="VEL700" s="1349"/>
      <c r="VEM700" s="1349"/>
      <c r="VEN700" s="1349"/>
      <c r="VEO700" s="1349"/>
      <c r="VEP700" s="1349"/>
      <c r="VEQ700" s="1349"/>
      <c r="VER700" s="1349"/>
      <c r="VES700" s="1349"/>
      <c r="VET700" s="1349"/>
      <c r="VEU700" s="1349"/>
      <c r="VEV700" s="1349"/>
      <c r="VEW700" s="1349"/>
      <c r="VEX700" s="1349"/>
      <c r="VEY700" s="1349"/>
      <c r="VEZ700" s="1349"/>
      <c r="VFA700" s="1349"/>
      <c r="VFB700" s="1349"/>
      <c r="VFC700" s="1349"/>
      <c r="VFD700" s="1349"/>
      <c r="VFE700" s="1349"/>
      <c r="VFF700" s="1349"/>
      <c r="VFG700" s="1349"/>
      <c r="VFH700" s="1349"/>
      <c r="VFI700" s="1349"/>
      <c r="VFJ700" s="1349"/>
      <c r="VFK700" s="1349"/>
      <c r="VFL700" s="1349"/>
      <c r="VFM700" s="1349"/>
      <c r="VFN700" s="1349"/>
      <c r="VFO700" s="1349"/>
      <c r="VFP700" s="1349"/>
      <c r="VFQ700" s="1349"/>
      <c r="VFR700" s="1349"/>
      <c r="VFS700" s="1349"/>
      <c r="VFT700" s="1349"/>
      <c r="VFU700" s="1349"/>
      <c r="VFV700" s="1349"/>
      <c r="VFW700" s="1349"/>
      <c r="VFX700" s="1349"/>
      <c r="VFY700" s="1349"/>
      <c r="VFZ700" s="1349"/>
      <c r="VGA700" s="1349"/>
      <c r="VGB700" s="1349"/>
      <c r="VGC700" s="1349"/>
      <c r="VGD700" s="1349"/>
      <c r="VGE700" s="1349"/>
      <c r="VGF700" s="1349"/>
      <c r="VGG700" s="1349"/>
      <c r="VGH700" s="1349"/>
      <c r="VGI700" s="1349"/>
      <c r="VGJ700" s="1349"/>
      <c r="VGK700" s="1349"/>
      <c r="VGL700" s="1349"/>
      <c r="VGM700" s="1349"/>
      <c r="VGN700" s="1349"/>
      <c r="VGO700" s="1349"/>
      <c r="VGP700" s="1349"/>
      <c r="VGQ700" s="1349"/>
      <c r="VGR700" s="1349"/>
      <c r="VGS700" s="1349"/>
      <c r="VGT700" s="1349"/>
      <c r="VGU700" s="1349"/>
      <c r="VGV700" s="1349"/>
      <c r="VGW700" s="1349"/>
      <c r="VGX700" s="1349"/>
      <c r="VGY700" s="1349"/>
      <c r="VGZ700" s="1349"/>
      <c r="VHA700" s="1349"/>
      <c r="VHB700" s="1349"/>
      <c r="VHC700" s="1349"/>
      <c r="VHD700" s="1349"/>
      <c r="VHE700" s="1349"/>
      <c r="VHF700" s="1349"/>
      <c r="VHG700" s="1349"/>
      <c r="VHH700" s="1349"/>
      <c r="VHI700" s="1349"/>
      <c r="VHJ700" s="1349"/>
      <c r="VHK700" s="1349"/>
      <c r="VHL700" s="1349"/>
      <c r="VHM700" s="1349"/>
      <c r="VHN700" s="1349"/>
      <c r="VHO700" s="1349"/>
      <c r="VHP700" s="1349"/>
      <c r="VHQ700" s="1349"/>
      <c r="VHR700" s="1349"/>
      <c r="VHS700" s="1349"/>
      <c r="VHT700" s="1349"/>
      <c r="VHU700" s="1349"/>
      <c r="VHV700" s="1349"/>
      <c r="VHW700" s="1349"/>
      <c r="VHX700" s="1349"/>
      <c r="VHY700" s="1349"/>
      <c r="VHZ700" s="1349"/>
      <c r="VIA700" s="1349"/>
      <c r="VIB700" s="1349"/>
      <c r="VIC700" s="1349"/>
      <c r="VID700" s="1349"/>
      <c r="VIE700" s="1349"/>
      <c r="VIF700" s="1349"/>
      <c r="VIG700" s="1349"/>
      <c r="VIH700" s="1349"/>
      <c r="VII700" s="1349"/>
      <c r="VIJ700" s="1349"/>
      <c r="VIK700" s="1349"/>
      <c r="VIL700" s="1349"/>
      <c r="VIM700" s="1349"/>
      <c r="VIN700" s="1349"/>
      <c r="VIO700" s="1349"/>
      <c r="VIP700" s="1349"/>
      <c r="VIQ700" s="1349"/>
      <c r="VIR700" s="1349"/>
      <c r="VIS700" s="1349"/>
      <c r="VIT700" s="1349"/>
      <c r="VIU700" s="1349"/>
      <c r="VIV700" s="1349"/>
      <c r="VIW700" s="1349"/>
      <c r="VIX700" s="1349"/>
      <c r="VIY700" s="1349"/>
      <c r="VIZ700" s="1349"/>
      <c r="VJA700" s="1349"/>
      <c r="VJB700" s="1349"/>
      <c r="VJC700" s="1349"/>
      <c r="VJD700" s="1349"/>
      <c r="VJE700" s="1349"/>
      <c r="VJF700" s="1349"/>
      <c r="VJG700" s="1349"/>
      <c r="VJH700" s="1349"/>
      <c r="VJI700" s="1349"/>
      <c r="VJJ700" s="1349"/>
      <c r="VJK700" s="1349"/>
      <c r="VJL700" s="1349"/>
      <c r="VJM700" s="1349"/>
      <c r="VJN700" s="1349"/>
      <c r="VJO700" s="1349"/>
      <c r="VJP700" s="1349"/>
      <c r="VJQ700" s="1349"/>
      <c r="VJR700" s="1349"/>
      <c r="VJS700" s="1349"/>
      <c r="VJT700" s="1349"/>
      <c r="VJU700" s="1349"/>
      <c r="VJV700" s="1349"/>
      <c r="VJW700" s="1349"/>
      <c r="VJX700" s="1349"/>
      <c r="VJY700" s="1349"/>
      <c r="VJZ700" s="1349"/>
      <c r="VKA700" s="1349"/>
      <c r="VKB700" s="1349"/>
      <c r="VKC700" s="1349"/>
      <c r="VKD700" s="1349"/>
      <c r="VKE700" s="1349"/>
      <c r="VKF700" s="1349"/>
      <c r="VKG700" s="1349"/>
      <c r="VKH700" s="1349"/>
      <c r="VKI700" s="1349"/>
      <c r="VKJ700" s="1349"/>
      <c r="VKK700" s="1349"/>
      <c r="VKL700" s="1349"/>
      <c r="VKM700" s="1349"/>
      <c r="VKN700" s="1349"/>
      <c r="VKO700" s="1349"/>
      <c r="VKP700" s="1349"/>
      <c r="VKQ700" s="1349"/>
      <c r="VKR700" s="1349"/>
      <c r="VKS700" s="1349"/>
      <c r="VKT700" s="1349"/>
      <c r="VKU700" s="1349"/>
      <c r="VKV700" s="1349"/>
      <c r="VKW700" s="1349"/>
      <c r="VKX700" s="1349"/>
      <c r="VKY700" s="1349"/>
      <c r="VKZ700" s="1349"/>
      <c r="VLA700" s="1349"/>
      <c r="VLB700" s="1349"/>
      <c r="VLC700" s="1349"/>
      <c r="VLD700" s="1349"/>
      <c r="VLE700" s="1349"/>
      <c r="VLF700" s="1349"/>
      <c r="VLG700" s="1349"/>
      <c r="VLH700" s="1349"/>
      <c r="VLI700" s="1349"/>
      <c r="VLJ700" s="1349"/>
      <c r="VLK700" s="1349"/>
      <c r="VLL700" s="1349"/>
      <c r="VLM700" s="1349"/>
      <c r="VLN700" s="1349"/>
      <c r="VLO700" s="1349"/>
      <c r="VLP700" s="1349"/>
      <c r="VLQ700" s="1349"/>
      <c r="VLR700" s="1349"/>
      <c r="VLS700" s="1349"/>
      <c r="VLT700" s="1349"/>
      <c r="VLU700" s="1349"/>
      <c r="VLV700" s="1349"/>
      <c r="VLW700" s="1349"/>
      <c r="VLX700" s="1349"/>
      <c r="VLY700" s="1349"/>
      <c r="VLZ700" s="1349"/>
      <c r="VMA700" s="1349"/>
      <c r="VMB700" s="1349"/>
      <c r="VMC700" s="1349"/>
      <c r="VMD700" s="1349"/>
      <c r="VME700" s="1349"/>
      <c r="VMF700" s="1349"/>
      <c r="VMG700" s="1349"/>
      <c r="VMH700" s="1349"/>
      <c r="VMI700" s="1349"/>
      <c r="VMJ700" s="1349"/>
      <c r="VMK700" s="1349"/>
      <c r="VML700" s="1349"/>
      <c r="VMM700" s="1349"/>
      <c r="VMN700" s="1349"/>
      <c r="VMO700" s="1349"/>
      <c r="VMP700" s="1349"/>
      <c r="VMQ700" s="1349"/>
      <c r="VMR700" s="1349"/>
      <c r="VMS700" s="1349"/>
      <c r="VMT700" s="1349"/>
      <c r="VMU700" s="1349"/>
      <c r="VMV700" s="1349"/>
      <c r="VMW700" s="1349"/>
      <c r="VMX700" s="1349"/>
      <c r="VMY700" s="1349"/>
      <c r="VMZ700" s="1349"/>
      <c r="VNA700" s="1349"/>
      <c r="VNB700" s="1349"/>
      <c r="VNC700" s="1349"/>
      <c r="VND700" s="1349"/>
      <c r="VNE700" s="1349"/>
      <c r="VNF700" s="1349"/>
      <c r="VNG700" s="1349"/>
      <c r="VNH700" s="1349"/>
      <c r="VNI700" s="1349"/>
      <c r="VNJ700" s="1349"/>
      <c r="VNK700" s="1349"/>
      <c r="VNL700" s="1349"/>
      <c r="VNM700" s="1349"/>
      <c r="VNN700" s="1349"/>
      <c r="VNO700" s="1349"/>
      <c r="VNP700" s="1349"/>
      <c r="VNQ700" s="1349"/>
      <c r="VNR700" s="1349"/>
      <c r="VNS700" s="1349"/>
      <c r="VNT700" s="1349"/>
      <c r="VNU700" s="1349"/>
      <c r="VNV700" s="1349"/>
      <c r="VNW700" s="1349"/>
      <c r="VNX700" s="1349"/>
      <c r="VNY700" s="1349"/>
      <c r="VNZ700" s="1349"/>
      <c r="VOA700" s="1349"/>
      <c r="VOB700" s="1349"/>
      <c r="VOC700" s="1349"/>
      <c r="VOD700" s="1349"/>
      <c r="VOE700" s="1349"/>
      <c r="VOF700" s="1349"/>
      <c r="VOG700" s="1349"/>
      <c r="VOH700" s="1349"/>
      <c r="VOI700" s="1349"/>
      <c r="VOJ700" s="1349"/>
      <c r="VOK700" s="1349"/>
      <c r="VOL700" s="1349"/>
      <c r="VOM700" s="1349"/>
      <c r="VON700" s="1349"/>
      <c r="VOO700" s="1349"/>
      <c r="VOP700" s="1349"/>
      <c r="VOQ700" s="1349"/>
      <c r="VOR700" s="1349"/>
      <c r="VOS700" s="1349"/>
      <c r="VOT700" s="1349"/>
      <c r="VOU700" s="1349"/>
      <c r="VOV700" s="1349"/>
      <c r="VOW700" s="1349"/>
      <c r="VOX700" s="1349"/>
      <c r="VOY700" s="1349"/>
      <c r="VOZ700" s="1349"/>
      <c r="VPA700" s="1349"/>
      <c r="VPB700" s="1349"/>
      <c r="VPC700" s="1349"/>
      <c r="VPD700" s="1349"/>
      <c r="VPE700" s="1349"/>
      <c r="VPF700" s="1349"/>
      <c r="VPG700" s="1349"/>
      <c r="VPH700" s="1349"/>
      <c r="VPI700" s="1349"/>
      <c r="VPJ700" s="1349"/>
      <c r="VPK700" s="1349"/>
      <c r="VPL700" s="1349"/>
      <c r="VPM700" s="1349"/>
      <c r="VPN700" s="1349"/>
      <c r="VPO700" s="1349"/>
      <c r="VPP700" s="1349"/>
      <c r="VPQ700" s="1349"/>
      <c r="VPR700" s="1349"/>
      <c r="VPS700" s="1349"/>
      <c r="VPT700" s="1349"/>
      <c r="VPU700" s="1349"/>
      <c r="VPV700" s="1349"/>
      <c r="VPW700" s="1349"/>
      <c r="VPX700" s="1349"/>
      <c r="VPY700" s="1349"/>
      <c r="VPZ700" s="1349"/>
      <c r="VQA700" s="1349"/>
      <c r="VQB700" s="1349"/>
      <c r="VQC700" s="1349"/>
      <c r="VQD700" s="1349"/>
      <c r="VQE700" s="1349"/>
      <c r="VQF700" s="1349"/>
      <c r="VQG700" s="1349"/>
      <c r="VQH700" s="1349"/>
      <c r="VQI700" s="1349"/>
      <c r="VQJ700" s="1349"/>
      <c r="VQK700" s="1349"/>
      <c r="VQL700" s="1349"/>
      <c r="VQM700" s="1349"/>
      <c r="VQN700" s="1349"/>
      <c r="VQO700" s="1349"/>
      <c r="VQP700" s="1349"/>
      <c r="VQQ700" s="1349"/>
      <c r="VQR700" s="1349"/>
      <c r="VQS700" s="1349"/>
      <c r="VQT700" s="1349"/>
      <c r="VQU700" s="1349"/>
      <c r="VQV700" s="1349"/>
      <c r="VQW700" s="1349"/>
      <c r="VQX700" s="1349"/>
      <c r="VQY700" s="1349"/>
      <c r="VQZ700" s="1349"/>
      <c r="VRA700" s="1349"/>
      <c r="VRB700" s="1349"/>
      <c r="VRC700" s="1349"/>
      <c r="VRD700" s="1349"/>
      <c r="VRE700" s="1349"/>
      <c r="VRF700" s="1349"/>
      <c r="VRG700" s="1349"/>
      <c r="VRH700" s="1349"/>
      <c r="VRI700" s="1349"/>
      <c r="VRJ700" s="1349"/>
      <c r="VRK700" s="1349"/>
      <c r="VRL700" s="1349"/>
      <c r="VRM700" s="1349"/>
      <c r="VRN700" s="1349"/>
      <c r="VRO700" s="1349"/>
      <c r="VRP700" s="1349"/>
      <c r="VRQ700" s="1349"/>
      <c r="VRR700" s="1349"/>
      <c r="VRS700" s="1349"/>
      <c r="VRT700" s="1349"/>
      <c r="VRU700" s="1349"/>
      <c r="VRV700" s="1349"/>
      <c r="VRW700" s="1349"/>
      <c r="VRX700" s="1349"/>
      <c r="VRY700" s="1349"/>
      <c r="VRZ700" s="1349"/>
      <c r="VSA700" s="1349"/>
      <c r="VSB700" s="1349"/>
      <c r="VSC700" s="1349"/>
      <c r="VSD700" s="1349"/>
      <c r="VSE700" s="1349"/>
      <c r="VSF700" s="1349"/>
      <c r="VSG700" s="1349"/>
      <c r="VSH700" s="1349"/>
      <c r="VSI700" s="1349"/>
      <c r="VSJ700" s="1349"/>
      <c r="VSK700" s="1349"/>
      <c r="VSL700" s="1349"/>
      <c r="VSM700" s="1349"/>
      <c r="VSN700" s="1349"/>
      <c r="VSO700" s="1349"/>
      <c r="VSP700" s="1349"/>
      <c r="VSQ700" s="1349"/>
      <c r="VSR700" s="1349"/>
      <c r="VSS700" s="1349"/>
      <c r="VST700" s="1349"/>
      <c r="VSU700" s="1349"/>
      <c r="VSV700" s="1349"/>
      <c r="VSW700" s="1349"/>
      <c r="VSX700" s="1349"/>
      <c r="VSY700" s="1349"/>
      <c r="VSZ700" s="1349"/>
      <c r="VTA700" s="1349"/>
      <c r="VTB700" s="1349"/>
      <c r="VTC700" s="1349"/>
      <c r="VTD700" s="1349"/>
      <c r="VTE700" s="1349"/>
      <c r="VTF700" s="1349"/>
      <c r="VTG700" s="1349"/>
      <c r="VTH700" s="1349"/>
      <c r="VTI700" s="1349"/>
      <c r="VTJ700" s="1349"/>
      <c r="VTK700" s="1349"/>
      <c r="VTL700" s="1349"/>
      <c r="VTM700" s="1349"/>
      <c r="VTN700" s="1349"/>
      <c r="VTO700" s="1349"/>
      <c r="VTP700" s="1349"/>
      <c r="VTQ700" s="1349"/>
      <c r="VTR700" s="1349"/>
      <c r="VTS700" s="1349"/>
      <c r="VTT700" s="1349"/>
      <c r="VTU700" s="1349"/>
      <c r="VTV700" s="1349"/>
      <c r="VTW700" s="1349"/>
      <c r="VTX700" s="1349"/>
      <c r="VTY700" s="1349"/>
      <c r="VTZ700" s="1349"/>
      <c r="VUA700" s="1349"/>
      <c r="VUB700" s="1349"/>
      <c r="VUC700" s="1349"/>
      <c r="VUD700" s="1349"/>
      <c r="VUE700" s="1349"/>
      <c r="VUF700" s="1349"/>
      <c r="VUG700" s="1349"/>
      <c r="VUH700" s="1349"/>
      <c r="VUI700" s="1349"/>
      <c r="VUJ700" s="1349"/>
      <c r="VUK700" s="1349"/>
      <c r="VUL700" s="1349"/>
      <c r="VUM700" s="1349"/>
      <c r="VUN700" s="1349"/>
      <c r="VUO700" s="1349"/>
      <c r="VUP700" s="1349"/>
      <c r="VUQ700" s="1349"/>
      <c r="VUR700" s="1349"/>
      <c r="VUS700" s="1349"/>
      <c r="VUT700" s="1349"/>
      <c r="VUU700" s="1349"/>
      <c r="VUV700" s="1349"/>
      <c r="VUW700" s="1349"/>
      <c r="VUX700" s="1349"/>
      <c r="VUY700" s="1349"/>
      <c r="VUZ700" s="1349"/>
      <c r="VVA700" s="1349"/>
      <c r="VVB700" s="1349"/>
      <c r="VVC700" s="1349"/>
      <c r="VVD700" s="1349"/>
      <c r="VVE700" s="1349"/>
      <c r="VVF700" s="1349"/>
      <c r="VVG700" s="1349"/>
      <c r="VVH700" s="1349"/>
      <c r="VVI700" s="1349"/>
      <c r="VVJ700" s="1349"/>
      <c r="VVK700" s="1349"/>
      <c r="VVL700" s="1349"/>
      <c r="VVM700" s="1349"/>
      <c r="VVN700" s="1349"/>
      <c r="VVO700" s="1349"/>
      <c r="VVP700" s="1349"/>
      <c r="VVQ700" s="1349"/>
      <c r="VVR700" s="1349"/>
      <c r="VVS700" s="1349"/>
      <c r="VVT700" s="1349"/>
      <c r="VVU700" s="1349"/>
      <c r="VVV700" s="1349"/>
      <c r="VVW700" s="1349"/>
      <c r="VVX700" s="1349"/>
      <c r="VVY700" s="1349"/>
      <c r="VVZ700" s="1349"/>
      <c r="VWA700" s="1349"/>
      <c r="VWB700" s="1349"/>
      <c r="VWC700" s="1349"/>
      <c r="VWD700" s="1349"/>
      <c r="VWE700" s="1349"/>
      <c r="VWF700" s="1349"/>
      <c r="VWG700" s="1349"/>
      <c r="VWH700" s="1349"/>
      <c r="VWI700" s="1349"/>
      <c r="VWJ700" s="1349"/>
      <c r="VWK700" s="1349"/>
      <c r="VWL700" s="1349"/>
      <c r="VWM700" s="1349"/>
      <c r="VWN700" s="1349"/>
      <c r="VWO700" s="1349"/>
      <c r="VWP700" s="1349"/>
      <c r="VWQ700" s="1349"/>
      <c r="VWR700" s="1349"/>
      <c r="VWS700" s="1349"/>
      <c r="VWT700" s="1349"/>
      <c r="VWU700" s="1349"/>
      <c r="VWV700" s="1349"/>
      <c r="VWW700" s="1349"/>
      <c r="VWX700" s="1349"/>
      <c r="VWY700" s="1349"/>
      <c r="VWZ700" s="1349"/>
      <c r="VXA700" s="1349"/>
      <c r="VXB700" s="1349"/>
      <c r="VXC700" s="1349"/>
      <c r="VXD700" s="1349"/>
      <c r="VXE700" s="1349"/>
      <c r="VXF700" s="1349"/>
      <c r="VXG700" s="1349"/>
      <c r="VXH700" s="1349"/>
      <c r="VXI700" s="1349"/>
      <c r="VXJ700" s="1349"/>
      <c r="VXK700" s="1349"/>
      <c r="VXL700" s="1349"/>
      <c r="VXM700" s="1349"/>
      <c r="VXN700" s="1349"/>
      <c r="VXO700" s="1349"/>
      <c r="VXP700" s="1349"/>
      <c r="VXQ700" s="1349"/>
      <c r="VXR700" s="1349"/>
      <c r="VXS700" s="1349"/>
      <c r="VXT700" s="1349"/>
      <c r="VXU700" s="1349"/>
      <c r="VXV700" s="1349"/>
      <c r="VXW700" s="1349"/>
      <c r="VXX700" s="1349"/>
      <c r="VXY700" s="1349"/>
      <c r="VXZ700" s="1349"/>
      <c r="VYA700" s="1349"/>
      <c r="VYB700" s="1349"/>
      <c r="VYC700" s="1349"/>
      <c r="VYD700" s="1349"/>
      <c r="VYE700" s="1349"/>
      <c r="VYF700" s="1349"/>
      <c r="VYG700" s="1349"/>
      <c r="VYH700" s="1349"/>
      <c r="VYI700" s="1349"/>
      <c r="VYJ700" s="1349"/>
      <c r="VYK700" s="1349"/>
      <c r="VYL700" s="1349"/>
      <c r="VYM700" s="1349"/>
      <c r="VYN700" s="1349"/>
      <c r="VYO700" s="1349"/>
      <c r="VYP700" s="1349"/>
      <c r="VYQ700" s="1349"/>
      <c r="VYR700" s="1349"/>
      <c r="VYS700" s="1349"/>
      <c r="VYT700" s="1349"/>
      <c r="VYU700" s="1349"/>
      <c r="VYV700" s="1349"/>
      <c r="VYW700" s="1349"/>
      <c r="VYX700" s="1349"/>
      <c r="VYY700" s="1349"/>
      <c r="VYZ700" s="1349"/>
      <c r="VZA700" s="1349"/>
      <c r="VZB700" s="1349"/>
      <c r="VZC700" s="1349"/>
      <c r="VZD700" s="1349"/>
      <c r="VZE700" s="1349"/>
      <c r="VZF700" s="1349"/>
      <c r="VZG700" s="1349"/>
      <c r="VZH700" s="1349"/>
      <c r="VZI700" s="1349"/>
      <c r="VZJ700" s="1349"/>
      <c r="VZK700" s="1349"/>
      <c r="VZL700" s="1349"/>
      <c r="VZM700" s="1349"/>
      <c r="VZN700" s="1349"/>
      <c r="VZO700" s="1349"/>
      <c r="VZP700" s="1349"/>
      <c r="VZQ700" s="1349"/>
      <c r="VZR700" s="1349"/>
      <c r="VZS700" s="1349"/>
      <c r="VZT700" s="1349"/>
      <c r="VZU700" s="1349"/>
      <c r="VZV700" s="1349"/>
      <c r="VZW700" s="1349"/>
      <c r="VZX700" s="1349"/>
      <c r="VZY700" s="1349"/>
      <c r="VZZ700" s="1349"/>
      <c r="WAA700" s="1349"/>
      <c r="WAB700" s="1349"/>
      <c r="WAC700" s="1349"/>
      <c r="WAD700" s="1349"/>
      <c r="WAE700" s="1349"/>
      <c r="WAF700" s="1349"/>
      <c r="WAG700" s="1349"/>
      <c r="WAH700" s="1349"/>
      <c r="WAI700" s="1349"/>
      <c r="WAJ700" s="1349"/>
      <c r="WAK700" s="1349"/>
      <c r="WAL700" s="1349"/>
      <c r="WAM700" s="1349"/>
      <c r="WAN700" s="1349"/>
      <c r="WAO700" s="1349"/>
      <c r="WAP700" s="1349"/>
      <c r="WAQ700" s="1349"/>
      <c r="WAR700" s="1349"/>
      <c r="WAS700" s="1349"/>
      <c r="WAT700" s="1349"/>
      <c r="WAU700" s="1349"/>
      <c r="WAV700" s="1349"/>
      <c r="WAW700" s="1349"/>
      <c r="WAX700" s="1349"/>
      <c r="WAY700" s="1349"/>
      <c r="WAZ700" s="1349"/>
      <c r="WBA700" s="1349"/>
      <c r="WBB700" s="1349"/>
      <c r="WBC700" s="1349"/>
      <c r="WBD700" s="1349"/>
      <c r="WBE700" s="1349"/>
      <c r="WBF700" s="1349"/>
      <c r="WBG700" s="1349"/>
      <c r="WBH700" s="1349"/>
      <c r="WBI700" s="1349"/>
      <c r="WBJ700" s="1349"/>
      <c r="WBK700" s="1349"/>
      <c r="WBL700" s="1349"/>
      <c r="WBM700" s="1349"/>
      <c r="WBN700" s="1349"/>
      <c r="WBO700" s="1349"/>
      <c r="WBP700" s="1349"/>
      <c r="WBQ700" s="1349"/>
      <c r="WBR700" s="1349"/>
      <c r="WBS700" s="1349"/>
      <c r="WBT700" s="1349"/>
      <c r="WBU700" s="1349"/>
      <c r="WBV700" s="1349"/>
      <c r="WBW700" s="1349"/>
      <c r="WBX700" s="1349"/>
      <c r="WBY700" s="1349"/>
      <c r="WBZ700" s="1349"/>
      <c r="WCA700" s="1349"/>
      <c r="WCB700" s="1349"/>
      <c r="WCC700" s="1349"/>
      <c r="WCD700" s="1349"/>
      <c r="WCE700" s="1349"/>
      <c r="WCF700" s="1349"/>
      <c r="WCG700" s="1349"/>
      <c r="WCH700" s="1349"/>
      <c r="WCI700" s="1349"/>
      <c r="WCJ700" s="1349"/>
      <c r="WCK700" s="1349"/>
      <c r="WCL700" s="1349"/>
      <c r="WCM700" s="1349"/>
      <c r="WCN700" s="1349"/>
      <c r="WCO700" s="1349"/>
      <c r="WCP700" s="1349"/>
      <c r="WCQ700" s="1349"/>
      <c r="WCR700" s="1349"/>
      <c r="WCS700" s="1349"/>
      <c r="WCT700" s="1349"/>
      <c r="WCU700" s="1349"/>
      <c r="WCV700" s="1349"/>
      <c r="WCW700" s="1349"/>
      <c r="WCX700" s="1349"/>
      <c r="WCY700" s="1349"/>
      <c r="WCZ700" s="1349"/>
      <c r="WDA700" s="1349"/>
      <c r="WDB700" s="1349"/>
      <c r="WDC700" s="1349"/>
      <c r="WDD700" s="1349"/>
      <c r="WDE700" s="1349"/>
      <c r="WDF700" s="1349"/>
      <c r="WDG700" s="1349"/>
      <c r="WDH700" s="1349"/>
      <c r="WDI700" s="1349"/>
      <c r="WDJ700" s="1349"/>
      <c r="WDK700" s="1349"/>
      <c r="WDL700" s="1349"/>
      <c r="WDM700" s="1349"/>
      <c r="WDN700" s="1349"/>
      <c r="WDO700" s="1349"/>
      <c r="WDP700" s="1349"/>
      <c r="WDQ700" s="1349"/>
      <c r="WDR700" s="1349"/>
      <c r="WDS700" s="1349"/>
      <c r="WDT700" s="1349"/>
      <c r="WDU700" s="1349"/>
      <c r="WDV700" s="1349"/>
      <c r="WDW700" s="1349"/>
      <c r="WDX700" s="1349"/>
      <c r="WDY700" s="1349"/>
      <c r="WDZ700" s="1349"/>
      <c r="WEA700" s="1349"/>
      <c r="WEB700" s="1349"/>
      <c r="WEC700" s="1349"/>
      <c r="WED700" s="1349"/>
      <c r="WEE700" s="1349"/>
      <c r="WEF700" s="1349"/>
      <c r="WEG700" s="1349"/>
      <c r="WEH700" s="1349"/>
      <c r="WEI700" s="1349"/>
      <c r="WEJ700" s="1349"/>
      <c r="WEK700" s="1349"/>
      <c r="WEL700" s="1349"/>
      <c r="WEM700" s="1349"/>
      <c r="WEN700" s="1349"/>
      <c r="WEO700" s="1349"/>
      <c r="WEP700" s="1349"/>
      <c r="WEQ700" s="1349"/>
      <c r="WER700" s="1349"/>
      <c r="WES700" s="1349"/>
      <c r="WET700" s="1349"/>
      <c r="WEU700" s="1349"/>
      <c r="WEV700" s="1349"/>
      <c r="WEW700" s="1349"/>
      <c r="WEX700" s="1349"/>
      <c r="WEY700" s="1349"/>
      <c r="WEZ700" s="1349"/>
      <c r="WFA700" s="1349"/>
      <c r="WFB700" s="1349"/>
      <c r="WFC700" s="1349"/>
      <c r="WFD700" s="1349"/>
      <c r="WFE700" s="1349"/>
      <c r="WFF700" s="1349"/>
      <c r="WFG700" s="1349"/>
      <c r="WFH700" s="1349"/>
      <c r="WFI700" s="1349"/>
      <c r="WFJ700" s="1349"/>
      <c r="WFK700" s="1349"/>
      <c r="WFL700" s="1349"/>
      <c r="WFM700" s="1349"/>
      <c r="WFN700" s="1349"/>
      <c r="WFO700" s="1349"/>
      <c r="WFP700" s="1349"/>
      <c r="WFQ700" s="1349"/>
      <c r="WFR700" s="1349"/>
      <c r="WFS700" s="1349"/>
      <c r="WFT700" s="1349"/>
      <c r="WFU700" s="1349"/>
      <c r="WFV700" s="1349"/>
      <c r="WFW700" s="1349"/>
      <c r="WFX700" s="1349"/>
      <c r="WFY700" s="1349"/>
      <c r="WFZ700" s="1349"/>
      <c r="WGA700" s="1349"/>
      <c r="WGB700" s="1349"/>
      <c r="WGC700" s="1349"/>
      <c r="WGD700" s="1349"/>
      <c r="WGE700" s="1349"/>
      <c r="WGF700" s="1349"/>
      <c r="WGG700" s="1349"/>
      <c r="WGH700" s="1349"/>
      <c r="WGI700" s="1349"/>
      <c r="WGJ700" s="1349"/>
      <c r="WGK700" s="1349"/>
      <c r="WGL700" s="1349"/>
      <c r="WGM700" s="1349"/>
      <c r="WGN700" s="1349"/>
      <c r="WGO700" s="1349"/>
      <c r="WGP700" s="1349"/>
      <c r="WGQ700" s="1349"/>
      <c r="WGR700" s="1349"/>
      <c r="WGS700" s="1349"/>
      <c r="WGT700" s="1349"/>
      <c r="WGU700" s="1349"/>
      <c r="WGV700" s="1349"/>
      <c r="WGW700" s="1349"/>
      <c r="WGX700" s="1349"/>
      <c r="WGY700" s="1349"/>
      <c r="WGZ700" s="1349"/>
      <c r="WHA700" s="1349"/>
      <c r="WHB700" s="1349"/>
      <c r="WHC700" s="1349"/>
      <c r="WHD700" s="1349"/>
      <c r="WHE700" s="1349"/>
      <c r="WHF700" s="1349"/>
      <c r="WHG700" s="1349"/>
      <c r="WHH700" s="1349"/>
      <c r="WHI700" s="1349"/>
      <c r="WHJ700" s="1349"/>
      <c r="WHK700" s="1349"/>
      <c r="WHL700" s="1349"/>
      <c r="WHM700" s="1349"/>
      <c r="WHN700" s="1349"/>
      <c r="WHO700" s="1349"/>
      <c r="WHP700" s="1349"/>
      <c r="WHQ700" s="1349"/>
      <c r="WHR700" s="1349"/>
      <c r="WHS700" s="1349"/>
      <c r="WHT700" s="1349"/>
      <c r="WHU700" s="1349"/>
      <c r="WHV700" s="1349"/>
      <c r="WHW700" s="1349"/>
      <c r="WHX700" s="1349"/>
      <c r="WHY700" s="1349"/>
      <c r="WHZ700" s="1349"/>
      <c r="WIA700" s="1349"/>
      <c r="WIB700" s="1349"/>
      <c r="WIC700" s="1349"/>
      <c r="WID700" s="1349"/>
      <c r="WIE700" s="1349"/>
      <c r="WIF700" s="1349"/>
      <c r="WIG700" s="1349"/>
      <c r="WIH700" s="1349"/>
      <c r="WII700" s="1349"/>
      <c r="WIJ700" s="1349"/>
      <c r="WIK700" s="1349"/>
      <c r="WIL700" s="1349"/>
      <c r="WIM700" s="1349"/>
      <c r="WIN700" s="1349"/>
      <c r="WIO700" s="1349"/>
      <c r="WIP700" s="1349"/>
      <c r="WIQ700" s="1349"/>
      <c r="WIR700" s="1349"/>
      <c r="WIS700" s="1349"/>
      <c r="WIT700" s="1349"/>
      <c r="WIU700" s="1349"/>
      <c r="WIV700" s="1349"/>
      <c r="WIW700" s="1349"/>
      <c r="WIX700" s="1349"/>
      <c r="WIY700" s="1349"/>
      <c r="WIZ700" s="1349"/>
      <c r="WJA700" s="1349"/>
      <c r="WJB700" s="1349"/>
      <c r="WJC700" s="1349"/>
      <c r="WJD700" s="1349"/>
      <c r="WJE700" s="1349"/>
      <c r="WJF700" s="1349"/>
      <c r="WJG700" s="1349"/>
      <c r="WJH700" s="1349"/>
      <c r="WJI700" s="1349"/>
      <c r="WJJ700" s="1349"/>
      <c r="WJK700" s="1349"/>
      <c r="WJL700" s="1349"/>
      <c r="WJM700" s="1349"/>
      <c r="WJN700" s="1349"/>
      <c r="WJO700" s="1349"/>
      <c r="WJP700" s="1349"/>
      <c r="WJQ700" s="1349"/>
      <c r="WJR700" s="1349"/>
      <c r="WJS700" s="1349"/>
      <c r="WJT700" s="1349"/>
      <c r="WJU700" s="1349"/>
      <c r="WJV700" s="1349"/>
      <c r="WJW700" s="1349"/>
      <c r="WJX700" s="1349"/>
      <c r="WJY700" s="1349"/>
      <c r="WJZ700" s="1349"/>
      <c r="WKA700" s="1349"/>
      <c r="WKB700" s="1349"/>
      <c r="WKC700" s="1349"/>
      <c r="WKD700" s="1349"/>
      <c r="WKE700" s="1349"/>
      <c r="WKF700" s="1349"/>
      <c r="WKG700" s="1349"/>
      <c r="WKH700" s="1349"/>
      <c r="WKI700" s="1349"/>
      <c r="WKJ700" s="1349"/>
      <c r="WKK700" s="1349"/>
      <c r="WKL700" s="1349"/>
      <c r="WKM700" s="1349"/>
      <c r="WKN700" s="1349"/>
      <c r="WKO700" s="1349"/>
      <c r="WKP700" s="1349"/>
      <c r="WKQ700" s="1349"/>
      <c r="WKR700" s="1349"/>
      <c r="WKS700" s="1349"/>
      <c r="WKT700" s="1349"/>
      <c r="WKU700" s="1349"/>
      <c r="WKV700" s="1349"/>
      <c r="WKW700" s="1349"/>
      <c r="WKX700" s="1349"/>
      <c r="WKY700" s="1349"/>
      <c r="WKZ700" s="1349"/>
      <c r="WLA700" s="1349"/>
      <c r="WLB700" s="1349"/>
      <c r="WLC700" s="1349"/>
      <c r="WLD700" s="1349"/>
      <c r="WLE700" s="1349"/>
      <c r="WLF700" s="1349"/>
      <c r="WLG700" s="1349"/>
      <c r="WLH700" s="1349"/>
      <c r="WLI700" s="1349"/>
      <c r="WLJ700" s="1349"/>
      <c r="WLK700" s="1349"/>
      <c r="WLL700" s="1349"/>
      <c r="WLM700" s="1349"/>
      <c r="WLN700" s="1349"/>
      <c r="WLO700" s="1349"/>
      <c r="WLP700" s="1349"/>
      <c r="WLQ700" s="1349"/>
      <c r="WLR700" s="1349"/>
      <c r="WLS700" s="1349"/>
      <c r="WLT700" s="1349"/>
      <c r="WLU700" s="1349"/>
      <c r="WLV700" s="1349"/>
      <c r="WLW700" s="1349"/>
      <c r="WLX700" s="1349"/>
      <c r="WLY700" s="1349"/>
      <c r="WLZ700" s="1349"/>
      <c r="WMA700" s="1349"/>
      <c r="WMB700" s="1349"/>
      <c r="WMC700" s="1349"/>
      <c r="WMD700" s="1349"/>
      <c r="WME700" s="1349"/>
      <c r="WMF700" s="1349"/>
      <c r="WMG700" s="1349"/>
      <c r="WMH700" s="1349"/>
      <c r="WMI700" s="1349"/>
      <c r="WMJ700" s="1349"/>
      <c r="WMK700" s="1349"/>
      <c r="WML700" s="1349"/>
      <c r="WMM700" s="1349"/>
      <c r="WMN700" s="1349"/>
      <c r="WMO700" s="1349"/>
      <c r="WMP700" s="1349"/>
      <c r="WMQ700" s="1349"/>
      <c r="WMR700" s="1349"/>
      <c r="WMS700" s="1349"/>
      <c r="WMT700" s="1349"/>
      <c r="WMU700" s="1349"/>
      <c r="WMV700" s="1349"/>
      <c r="WMW700" s="1349"/>
      <c r="WMX700" s="1349"/>
      <c r="WMY700" s="1349"/>
      <c r="WMZ700" s="1349"/>
      <c r="WNA700" s="1349"/>
      <c r="WNB700" s="1349"/>
      <c r="WNC700" s="1349"/>
      <c r="WND700" s="1349"/>
      <c r="WNE700" s="1349"/>
      <c r="WNF700" s="1349"/>
      <c r="WNG700" s="1349"/>
      <c r="WNH700" s="1349"/>
      <c r="WNI700" s="1349"/>
      <c r="WNJ700" s="1349"/>
      <c r="WNK700" s="1349"/>
      <c r="WNL700" s="1349"/>
      <c r="WNM700" s="1349"/>
      <c r="WNN700" s="1349"/>
      <c r="WNO700" s="1349"/>
      <c r="WNP700" s="1349"/>
      <c r="WNQ700" s="1349"/>
      <c r="WNR700" s="1349"/>
      <c r="WNS700" s="1349"/>
      <c r="WNT700" s="1349"/>
      <c r="WNU700" s="1349"/>
      <c r="WNV700" s="1349"/>
      <c r="WNW700" s="1349"/>
      <c r="WNX700" s="1349"/>
      <c r="WNY700" s="1349"/>
      <c r="WNZ700" s="1349"/>
      <c r="WOA700" s="1349"/>
      <c r="WOB700" s="1349"/>
      <c r="WOC700" s="1349"/>
      <c r="WOD700" s="1349"/>
      <c r="WOE700" s="1349"/>
      <c r="WOF700" s="1349"/>
      <c r="WOG700" s="1349"/>
      <c r="WOH700" s="1349"/>
      <c r="WOI700" s="1349"/>
      <c r="WOJ700" s="1349"/>
      <c r="WOK700" s="1349"/>
      <c r="WOL700" s="1349"/>
      <c r="WOM700" s="1349"/>
      <c r="WON700" s="1349"/>
      <c r="WOO700" s="1349"/>
      <c r="WOP700" s="1349"/>
      <c r="WOQ700" s="1349"/>
      <c r="WOR700" s="1349"/>
      <c r="WOS700" s="1349"/>
      <c r="WOT700" s="1349"/>
      <c r="WOU700" s="1349"/>
      <c r="WOV700" s="1349"/>
      <c r="WOW700" s="1349"/>
      <c r="WOX700" s="1349"/>
      <c r="WOY700" s="1349"/>
      <c r="WOZ700" s="1349"/>
      <c r="WPA700" s="1349"/>
      <c r="WPB700" s="1349"/>
      <c r="WPC700" s="1349"/>
      <c r="WPD700" s="1349"/>
      <c r="WPE700" s="1349"/>
      <c r="WPF700" s="1349"/>
      <c r="WPG700" s="1349"/>
      <c r="WPH700" s="1349"/>
      <c r="WPI700" s="1349"/>
      <c r="WPJ700" s="1349"/>
      <c r="WPK700" s="1349"/>
      <c r="WPL700" s="1349"/>
      <c r="WPM700" s="1349"/>
      <c r="WPN700" s="1349"/>
      <c r="WPO700" s="1349"/>
      <c r="WPP700" s="1349"/>
      <c r="WPQ700" s="1349"/>
      <c r="WPR700" s="1349"/>
      <c r="WPS700" s="1349"/>
      <c r="WPT700" s="1349"/>
      <c r="WPU700" s="1349"/>
      <c r="WPV700" s="1349"/>
      <c r="WPW700" s="1349"/>
      <c r="WPX700" s="1349"/>
      <c r="WPY700" s="1349"/>
      <c r="WPZ700" s="1349"/>
      <c r="WQA700" s="1349"/>
      <c r="WQB700" s="1349"/>
      <c r="WQC700" s="1349"/>
      <c r="WQD700" s="1349"/>
      <c r="WQE700" s="1349"/>
      <c r="WQF700" s="1349"/>
      <c r="WQG700" s="1349"/>
      <c r="WQH700" s="1349"/>
      <c r="WQI700" s="1349"/>
      <c r="WQJ700" s="1349"/>
      <c r="WQK700" s="1349"/>
      <c r="WQL700" s="1349"/>
      <c r="WQM700" s="1349"/>
      <c r="WQN700" s="1349"/>
      <c r="WQO700" s="1349"/>
      <c r="WQP700" s="1349"/>
      <c r="WQQ700" s="1349"/>
      <c r="WQR700" s="1349"/>
      <c r="WQS700" s="1349"/>
      <c r="WQT700" s="1349"/>
      <c r="WQU700" s="1349"/>
      <c r="WQV700" s="1349"/>
      <c r="WQW700" s="1349"/>
      <c r="WQX700" s="1349"/>
      <c r="WQY700" s="1349"/>
      <c r="WQZ700" s="1349"/>
      <c r="WRA700" s="1349"/>
      <c r="WRB700" s="1349"/>
      <c r="WRC700" s="1349"/>
      <c r="WRD700" s="1349"/>
      <c r="WRE700" s="1349"/>
      <c r="WRF700" s="1349"/>
      <c r="WRG700" s="1349"/>
      <c r="WRH700" s="1349"/>
      <c r="WRI700" s="1349"/>
      <c r="WRJ700" s="1349"/>
      <c r="WRK700" s="1349"/>
      <c r="WRL700" s="1349"/>
      <c r="WRM700" s="1349"/>
      <c r="WRN700" s="1349"/>
      <c r="WRO700" s="1349"/>
      <c r="WRP700" s="1349"/>
      <c r="WRQ700" s="1349"/>
      <c r="WRR700" s="1349"/>
      <c r="WRS700" s="1349"/>
      <c r="WRT700" s="1349"/>
      <c r="WRU700" s="1349"/>
      <c r="WRV700" s="1349"/>
      <c r="WRW700" s="1349"/>
      <c r="WRX700" s="1349"/>
      <c r="WRY700" s="1349"/>
      <c r="WRZ700" s="1349"/>
      <c r="WSA700" s="1349"/>
      <c r="WSB700" s="1349"/>
      <c r="WSC700" s="1349"/>
      <c r="WSD700" s="1349"/>
      <c r="WSE700" s="1349"/>
      <c r="WSF700" s="1349"/>
      <c r="WSG700" s="1349"/>
      <c r="WSH700" s="1349"/>
      <c r="WSI700" s="1349"/>
      <c r="WSJ700" s="1349"/>
      <c r="WSK700" s="1349"/>
      <c r="WSL700" s="1349"/>
      <c r="WSM700" s="1349"/>
      <c r="WSN700" s="1349"/>
      <c r="WSO700" s="1349"/>
      <c r="WSP700" s="1349"/>
      <c r="WSQ700" s="1349"/>
      <c r="WSR700" s="1349"/>
      <c r="WSS700" s="1349"/>
      <c r="WST700" s="1349"/>
      <c r="WSU700" s="1349"/>
      <c r="WSV700" s="1349"/>
      <c r="WSW700" s="1349"/>
      <c r="WSX700" s="1349"/>
      <c r="WSY700" s="1349"/>
      <c r="WSZ700" s="1349"/>
      <c r="WTA700" s="1349"/>
      <c r="WTB700" s="1349"/>
      <c r="WTC700" s="1349"/>
      <c r="WTD700" s="1349"/>
      <c r="WTE700" s="1349"/>
      <c r="WTF700" s="1349"/>
      <c r="WTG700" s="1349"/>
      <c r="WTH700" s="1349"/>
      <c r="WTI700" s="1349"/>
      <c r="WTJ700" s="1349"/>
      <c r="WTK700" s="1349"/>
      <c r="WTL700" s="1349"/>
      <c r="WTM700" s="1349"/>
      <c r="WTN700" s="1349"/>
      <c r="WTO700" s="1349"/>
      <c r="WTP700" s="1349"/>
      <c r="WTQ700" s="1349"/>
      <c r="WTR700" s="1349"/>
      <c r="WTS700" s="1349"/>
      <c r="WTT700" s="1349"/>
      <c r="WTU700" s="1349"/>
      <c r="WTV700" s="1349"/>
      <c r="WTW700" s="1349"/>
      <c r="WTX700" s="1349"/>
      <c r="WTY700" s="1349"/>
      <c r="WTZ700" s="1349"/>
      <c r="WUA700" s="1349"/>
      <c r="WUB700" s="1349"/>
      <c r="WUC700" s="1349"/>
      <c r="WUD700" s="1349"/>
      <c r="WUE700" s="1349"/>
      <c r="WUF700" s="1349"/>
      <c r="WUG700" s="1349"/>
      <c r="WUH700" s="1349"/>
      <c r="WUI700" s="1349"/>
      <c r="WUJ700" s="1349"/>
      <c r="WUK700" s="1349"/>
      <c r="WUL700" s="1349"/>
      <c r="WUM700" s="1349"/>
      <c r="WUN700" s="1349"/>
      <c r="WUO700" s="1349"/>
      <c r="WUP700" s="1349"/>
      <c r="WUQ700" s="1349"/>
      <c r="WUR700" s="1349"/>
      <c r="WUS700" s="1349"/>
      <c r="WUT700" s="1349"/>
      <c r="WUU700" s="1349"/>
      <c r="WUV700" s="1349"/>
      <c r="WUW700" s="1349"/>
      <c r="WUX700" s="1349"/>
      <c r="WUY700" s="1349"/>
      <c r="WUZ700" s="1349"/>
      <c r="WVA700" s="1349"/>
      <c r="WVB700" s="1349"/>
      <c r="WVC700" s="1349"/>
      <c r="WVD700" s="1349"/>
      <c r="WVE700" s="1349"/>
      <c r="WVF700" s="1349"/>
      <c r="WVG700" s="1349"/>
      <c r="WVH700" s="1349"/>
      <c r="WVI700" s="1349"/>
      <c r="WVJ700" s="1349"/>
      <c r="WVK700" s="1349"/>
      <c r="WVL700" s="1349"/>
      <c r="WVM700" s="1349"/>
      <c r="WVN700" s="1349"/>
      <c r="WVO700" s="1349"/>
      <c r="WVP700" s="1349"/>
      <c r="WVQ700" s="1349"/>
      <c r="WVR700" s="1349"/>
      <c r="WVS700" s="1349"/>
      <c r="WVT700" s="1349"/>
      <c r="WVU700" s="1349"/>
      <c r="WVV700" s="1349"/>
      <c r="WVW700" s="1349"/>
      <c r="WVX700" s="1349"/>
      <c r="WVY700" s="1349"/>
      <c r="WVZ700" s="1349"/>
      <c r="WWA700" s="1349"/>
      <c r="WWB700" s="1349"/>
      <c r="WWC700" s="1349"/>
      <c r="WWD700" s="1349"/>
      <c r="WWE700" s="1349"/>
      <c r="WWF700" s="1349"/>
      <c r="WWG700" s="1349"/>
      <c r="WWH700" s="1349"/>
      <c r="WWI700" s="1349"/>
      <c r="WWJ700" s="1349"/>
      <c r="WWK700" s="1349"/>
      <c r="WWL700" s="1349"/>
      <c r="WWM700" s="1349"/>
      <c r="WWN700" s="1349"/>
      <c r="WWO700" s="1349"/>
      <c r="WWP700" s="1349"/>
      <c r="WWQ700" s="1349"/>
      <c r="WWR700" s="1349"/>
      <c r="WWS700" s="1349"/>
      <c r="WWT700" s="1349"/>
      <c r="WWU700" s="1349"/>
      <c r="WWV700" s="1349"/>
      <c r="WWW700" s="1349"/>
      <c r="WWX700" s="1349"/>
      <c r="WWY700" s="1349"/>
      <c r="WWZ700" s="1349"/>
      <c r="WXA700" s="1349"/>
      <c r="WXB700" s="1349"/>
      <c r="WXC700" s="1349"/>
      <c r="WXD700" s="1349"/>
      <c r="WXE700" s="1349"/>
      <c r="WXF700" s="1349"/>
      <c r="WXG700" s="1349"/>
      <c r="WXH700" s="1349"/>
      <c r="WXI700" s="1349"/>
      <c r="WXJ700" s="1349"/>
      <c r="WXK700" s="1349"/>
      <c r="WXL700" s="1349"/>
      <c r="WXM700" s="1349"/>
      <c r="WXN700" s="1349"/>
      <c r="WXO700" s="1349"/>
      <c r="WXP700" s="1349"/>
      <c r="WXQ700" s="1349"/>
      <c r="WXR700" s="1349"/>
      <c r="WXS700" s="1349"/>
      <c r="WXT700" s="1349"/>
      <c r="WXU700" s="1349"/>
      <c r="WXV700" s="1349"/>
      <c r="WXW700" s="1349"/>
      <c r="WXX700" s="1349"/>
      <c r="WXY700" s="1349"/>
      <c r="WXZ700" s="1349"/>
      <c r="WYA700" s="1349"/>
      <c r="WYB700" s="1349"/>
      <c r="WYC700" s="1349"/>
      <c r="WYD700" s="1349"/>
      <c r="WYE700" s="1349"/>
      <c r="WYF700" s="1349"/>
      <c r="WYG700" s="1349"/>
      <c r="WYH700" s="1349"/>
      <c r="WYI700" s="1349"/>
      <c r="WYJ700" s="1349"/>
      <c r="WYK700" s="1349"/>
      <c r="WYL700" s="1349"/>
      <c r="WYM700" s="1349"/>
      <c r="WYN700" s="1349"/>
      <c r="WYO700" s="1349"/>
      <c r="WYP700" s="1349"/>
      <c r="WYQ700" s="1349"/>
      <c r="WYR700" s="1349"/>
      <c r="WYS700" s="1349"/>
      <c r="WYT700" s="1349"/>
      <c r="WYU700" s="1349"/>
      <c r="WYV700" s="1349"/>
      <c r="WYW700" s="1349"/>
      <c r="WYX700" s="1349"/>
      <c r="WYY700" s="1349"/>
      <c r="WYZ700" s="1349"/>
      <c r="WZA700" s="1349"/>
      <c r="WZB700" s="1349"/>
      <c r="WZC700" s="1349"/>
      <c r="WZD700" s="1349"/>
      <c r="WZE700" s="1349"/>
      <c r="WZF700" s="1349"/>
      <c r="WZG700" s="1349"/>
      <c r="WZH700" s="1349"/>
      <c r="WZI700" s="1349"/>
      <c r="WZJ700" s="1349"/>
      <c r="WZK700" s="1349"/>
      <c r="WZL700" s="1349"/>
      <c r="WZM700" s="1349"/>
      <c r="WZN700" s="1349"/>
      <c r="WZO700" s="1349"/>
      <c r="WZP700" s="1349"/>
      <c r="WZQ700" s="1349"/>
      <c r="WZR700" s="1349"/>
      <c r="WZS700" s="1349"/>
      <c r="WZT700" s="1349"/>
      <c r="WZU700" s="1349"/>
      <c r="WZV700" s="1349"/>
      <c r="WZW700" s="1349"/>
      <c r="WZX700" s="1349"/>
      <c r="WZY700" s="1349"/>
      <c r="WZZ700" s="1349"/>
      <c r="XAA700" s="1349"/>
      <c r="XAB700" s="1349"/>
      <c r="XAC700" s="1349"/>
      <c r="XAD700" s="1349"/>
      <c r="XAE700" s="1349"/>
      <c r="XAF700" s="1349"/>
      <c r="XAG700" s="1349"/>
      <c r="XAH700" s="1349"/>
      <c r="XAI700" s="1349"/>
      <c r="XAJ700" s="1349"/>
      <c r="XAK700" s="1349"/>
      <c r="XAL700" s="1349"/>
      <c r="XAM700" s="1349"/>
      <c r="XAN700" s="1349"/>
      <c r="XAO700" s="1349"/>
      <c r="XAP700" s="1349"/>
      <c r="XAQ700" s="1349"/>
      <c r="XAR700" s="1349"/>
      <c r="XAS700" s="1349"/>
      <c r="XAT700" s="1349"/>
      <c r="XAU700" s="1349"/>
      <c r="XAV700" s="1349"/>
      <c r="XAW700" s="1349"/>
      <c r="XAX700" s="1349"/>
      <c r="XAY700" s="1349"/>
      <c r="XAZ700" s="1349"/>
      <c r="XBA700" s="1349"/>
      <c r="XBB700" s="1349"/>
      <c r="XBC700" s="1349"/>
      <c r="XBD700" s="1349"/>
      <c r="XBE700" s="1349"/>
      <c r="XBF700" s="1349"/>
      <c r="XBG700" s="1349"/>
      <c r="XBH700" s="1349"/>
      <c r="XBI700" s="1349"/>
      <c r="XBJ700" s="1349"/>
      <c r="XBK700" s="1349"/>
      <c r="XBL700" s="1349"/>
      <c r="XBM700" s="1349"/>
      <c r="XBN700" s="1349"/>
      <c r="XBO700" s="1349"/>
      <c r="XBP700" s="1349"/>
      <c r="XBQ700" s="1349"/>
      <c r="XBR700" s="1349"/>
      <c r="XBS700" s="1349"/>
      <c r="XBT700" s="1349"/>
      <c r="XBU700" s="1349"/>
      <c r="XBV700" s="1349"/>
      <c r="XBW700" s="1349"/>
      <c r="XBX700" s="1349"/>
      <c r="XBY700" s="1349"/>
      <c r="XBZ700" s="1349"/>
      <c r="XCA700" s="1349"/>
      <c r="XCB700" s="1349"/>
      <c r="XCC700" s="1349"/>
      <c r="XCD700" s="1349"/>
      <c r="XCE700" s="1349"/>
      <c r="XCF700" s="1349"/>
      <c r="XCG700" s="1349"/>
      <c r="XCH700" s="1349"/>
      <c r="XCI700" s="1349"/>
      <c r="XCJ700" s="1349"/>
      <c r="XCK700" s="1349"/>
      <c r="XCL700" s="1349"/>
      <c r="XCM700" s="1349"/>
      <c r="XCN700" s="1349"/>
      <c r="XCO700" s="1349"/>
      <c r="XCP700" s="1349"/>
      <c r="XCQ700" s="1349"/>
      <c r="XCR700" s="1349"/>
      <c r="XCS700" s="1349"/>
      <c r="XCT700" s="1349"/>
      <c r="XCU700" s="1349"/>
      <c r="XCV700" s="1349"/>
      <c r="XCW700" s="1349"/>
      <c r="XCX700" s="1349"/>
      <c r="XCY700" s="1349"/>
      <c r="XCZ700" s="1349"/>
      <c r="XDA700" s="1349"/>
      <c r="XDB700" s="1349"/>
      <c r="XDC700" s="1349"/>
    </row>
    <row r="701" spans="1:16331" s="1337" customFormat="1" ht="75.599999999999994">
      <c r="A701" s="1281"/>
      <c r="B701" s="1277" t="s">
        <v>42</v>
      </c>
      <c r="C701" s="1268">
        <f t="shared" ref="C701:V701" si="341">C702+C724+C745+C759+C763+C766+C777+C788+C791+C794+C797+C802+C807+C816+C831+C838+C848+C851+C855+C867+C869+C872+C874+C877+C883+C888+C891+C896+C880+C773+C836+C813</f>
        <v>600137766</v>
      </c>
      <c r="D701" s="1268">
        <f t="shared" si="341"/>
        <v>120383576</v>
      </c>
      <c r="E701" s="1268">
        <f t="shared" si="341"/>
        <v>18177851</v>
      </c>
      <c r="F701" s="1268">
        <f t="shared" si="341"/>
        <v>60361706</v>
      </c>
      <c r="G701" s="1268">
        <f t="shared" si="341"/>
        <v>761966</v>
      </c>
      <c r="H701" s="1268">
        <f t="shared" si="341"/>
        <v>12739732</v>
      </c>
      <c r="I701" s="1268">
        <f t="shared" si="341"/>
        <v>11776828</v>
      </c>
      <c r="J701" s="1268">
        <f t="shared" si="341"/>
        <v>16565493</v>
      </c>
      <c r="K701" s="1278">
        <f t="shared" si="341"/>
        <v>2</v>
      </c>
      <c r="L701" s="1268">
        <f t="shared" si="341"/>
        <v>1549909</v>
      </c>
      <c r="M701" s="1278">
        <f t="shared" si="341"/>
        <v>11</v>
      </c>
      <c r="N701" s="1268">
        <f t="shared" si="341"/>
        <v>24804021</v>
      </c>
      <c r="O701" s="1268">
        <f t="shared" si="341"/>
        <v>61448.800000000003</v>
      </c>
      <c r="P701" s="1268">
        <f t="shared" si="341"/>
        <v>179645544</v>
      </c>
      <c r="Q701" s="1268">
        <f t="shared" si="341"/>
        <v>300</v>
      </c>
      <c r="R701" s="1268">
        <f t="shared" si="341"/>
        <v>405394</v>
      </c>
      <c r="S701" s="1268">
        <f t="shared" si="341"/>
        <v>55908.86</v>
      </c>
      <c r="T701" s="1268">
        <f t="shared" si="341"/>
        <v>226428599</v>
      </c>
      <c r="U701" s="1268">
        <f t="shared" si="341"/>
        <v>0</v>
      </c>
      <c r="V701" s="1268">
        <f t="shared" si="341"/>
        <v>0</v>
      </c>
      <c r="W701" s="1268">
        <v>0</v>
      </c>
      <c r="X701" s="1268">
        <f>X702+X724+X745+X759+X763+X766+X777+X788+X791+X794+X797+X802+X807+X816+X831+X838+X848+X851+X855+X867+X869+X872+X874+X877+X883+X888+X891+X896+X880+X773+X836+X813</f>
        <v>43594478</v>
      </c>
      <c r="Y701" s="1268">
        <f>Y702+Y724+Y745+Y759+Y763+Y766+Y777+Y788+Y791+Y794+Y797+Y802+Y807+Y816+Y831+Y838+Y848+Y851+Y855+Y867+Y869+Y872+Y874+Y877+Y883+Y888+Y891+Y896+Y880+Y773+Y836+Y813</f>
        <v>0</v>
      </c>
      <c r="Z701" s="1349"/>
      <c r="AA701" s="1349"/>
      <c r="AB701" s="1349"/>
      <c r="AC701" s="1349"/>
      <c r="AD701" s="1349"/>
      <c r="AE701" s="1349"/>
      <c r="AF701" s="1349"/>
      <c r="AG701" s="1349"/>
      <c r="AH701" s="1349"/>
      <c r="AI701" s="1349"/>
      <c r="AJ701" s="1349"/>
      <c r="AK701" s="1349"/>
      <c r="AL701" s="1349"/>
      <c r="AM701" s="1349"/>
      <c r="AN701" s="1349"/>
      <c r="AO701" s="1349"/>
      <c r="AP701" s="1349"/>
      <c r="AQ701" s="1349"/>
      <c r="AR701" s="1349"/>
      <c r="AS701" s="1349"/>
      <c r="AT701" s="1349"/>
      <c r="AU701" s="1349"/>
      <c r="AV701" s="1349"/>
      <c r="AW701" s="1349"/>
      <c r="AX701" s="1349"/>
      <c r="AY701" s="1349"/>
      <c r="AZ701" s="1349"/>
      <c r="BA701" s="1349"/>
      <c r="BB701" s="1349"/>
      <c r="BC701" s="1349"/>
      <c r="BD701" s="1349"/>
      <c r="BE701" s="1349"/>
      <c r="BF701" s="1349"/>
      <c r="BG701" s="1349"/>
      <c r="BH701" s="1349"/>
      <c r="BI701" s="1349"/>
      <c r="BJ701" s="1349"/>
      <c r="BK701" s="1349"/>
      <c r="BL701" s="1349"/>
      <c r="BM701" s="1349"/>
      <c r="BN701" s="1349"/>
      <c r="BO701" s="1349"/>
      <c r="BP701" s="1349"/>
      <c r="BQ701" s="1349"/>
      <c r="BR701" s="1349"/>
      <c r="BS701" s="1349"/>
      <c r="BT701" s="1349"/>
      <c r="BU701" s="1349"/>
      <c r="BV701" s="1349"/>
      <c r="BW701" s="1349"/>
      <c r="BX701" s="1349"/>
      <c r="BY701" s="1349"/>
      <c r="BZ701" s="1349"/>
      <c r="CA701" s="1349"/>
      <c r="CB701" s="1349"/>
      <c r="CC701" s="1349"/>
      <c r="CD701" s="1349"/>
      <c r="CE701" s="1349"/>
      <c r="CF701" s="1349"/>
      <c r="CG701" s="1349"/>
      <c r="CH701" s="1349"/>
      <c r="CI701" s="1349"/>
      <c r="CJ701" s="1349"/>
      <c r="CK701" s="1349"/>
      <c r="CL701" s="1349"/>
      <c r="CM701" s="1349"/>
      <c r="CN701" s="1349"/>
      <c r="CO701" s="1349"/>
      <c r="CP701" s="1349"/>
      <c r="CQ701" s="1349"/>
      <c r="CR701" s="1349"/>
      <c r="CS701" s="1349"/>
      <c r="CT701" s="1349"/>
      <c r="CU701" s="1349"/>
      <c r="CV701" s="1349"/>
      <c r="CW701" s="1349"/>
      <c r="CX701" s="1349"/>
      <c r="CY701" s="1349"/>
      <c r="CZ701" s="1349"/>
      <c r="DA701" s="1349"/>
      <c r="DB701" s="1349"/>
      <c r="DC701" s="1349"/>
      <c r="DD701" s="1349"/>
      <c r="DE701" s="1349"/>
      <c r="DF701" s="1349"/>
      <c r="DG701" s="1349"/>
      <c r="DH701" s="1349"/>
      <c r="DI701" s="1349"/>
      <c r="DJ701" s="1349"/>
      <c r="DK701" s="1349"/>
      <c r="DL701" s="1349"/>
      <c r="DM701" s="1349"/>
      <c r="DN701" s="1349"/>
      <c r="DO701" s="1349"/>
      <c r="DP701" s="1349"/>
      <c r="DQ701" s="1349"/>
      <c r="DR701" s="1349"/>
      <c r="DS701" s="1349"/>
      <c r="DT701" s="1349"/>
      <c r="DU701" s="1349"/>
      <c r="DV701" s="1349"/>
      <c r="DW701" s="1349"/>
      <c r="DX701" s="1349"/>
      <c r="DY701" s="1349"/>
      <c r="DZ701" s="1349"/>
      <c r="EA701" s="1349"/>
      <c r="EB701" s="1349"/>
      <c r="EC701" s="1349"/>
      <c r="ED701" s="1349"/>
      <c r="EE701" s="1349"/>
      <c r="EF701" s="1349"/>
      <c r="EG701" s="1349"/>
      <c r="EH701" s="1349"/>
      <c r="EI701" s="1349"/>
      <c r="EJ701" s="1349"/>
      <c r="EK701" s="1349"/>
      <c r="EL701" s="1349"/>
      <c r="EM701" s="1349"/>
      <c r="EN701" s="1349"/>
      <c r="EO701" s="1349"/>
      <c r="EP701" s="1349"/>
      <c r="EQ701" s="1349"/>
      <c r="ER701" s="1349"/>
      <c r="ES701" s="1349"/>
      <c r="ET701" s="1349"/>
      <c r="EU701" s="1349"/>
      <c r="EV701" s="1349"/>
      <c r="EW701" s="1349"/>
      <c r="EX701" s="1349"/>
      <c r="EY701" s="1349"/>
      <c r="EZ701" s="1349"/>
      <c r="FA701" s="1349"/>
      <c r="FB701" s="1349"/>
      <c r="FC701" s="1349"/>
      <c r="FD701" s="1349"/>
      <c r="FE701" s="1349"/>
      <c r="FF701" s="1349"/>
      <c r="FG701" s="1349"/>
      <c r="FH701" s="1349"/>
      <c r="FI701" s="1349"/>
      <c r="FJ701" s="1349"/>
      <c r="FK701" s="1349"/>
      <c r="FL701" s="1349"/>
      <c r="FM701" s="1349"/>
      <c r="FN701" s="1349"/>
      <c r="FO701" s="1349"/>
      <c r="FP701" s="1349"/>
      <c r="FQ701" s="1349"/>
      <c r="FR701" s="1349"/>
      <c r="FS701" s="1349"/>
      <c r="FT701" s="1349"/>
      <c r="FU701" s="1349"/>
      <c r="FV701" s="1349"/>
      <c r="FW701" s="1349"/>
      <c r="FX701" s="1349"/>
      <c r="FY701" s="1349"/>
      <c r="FZ701" s="1349"/>
      <c r="GA701" s="1349"/>
      <c r="GB701" s="1349"/>
      <c r="GC701" s="1349"/>
      <c r="GD701" s="1349"/>
      <c r="GE701" s="1349"/>
      <c r="GF701" s="1349"/>
      <c r="GG701" s="1349"/>
      <c r="GH701" s="1349"/>
      <c r="GI701" s="1349"/>
      <c r="GJ701" s="1349"/>
      <c r="GK701" s="1349"/>
      <c r="GL701" s="1349"/>
      <c r="GM701" s="1349"/>
      <c r="GN701" s="1349"/>
      <c r="GO701" s="1349"/>
      <c r="GP701" s="1349"/>
      <c r="GQ701" s="1349"/>
      <c r="GR701" s="1349"/>
      <c r="GS701" s="1349"/>
      <c r="GT701" s="1349"/>
      <c r="GU701" s="1349"/>
      <c r="GV701" s="1349"/>
      <c r="GW701" s="1349"/>
      <c r="GX701" s="1349"/>
      <c r="GY701" s="1349"/>
      <c r="GZ701" s="1349"/>
      <c r="HA701" s="1349"/>
      <c r="HB701" s="1349"/>
      <c r="HC701" s="1349"/>
      <c r="HD701" s="1349"/>
      <c r="HE701" s="1349"/>
      <c r="HF701" s="1349"/>
      <c r="HG701" s="1349"/>
      <c r="HH701" s="1349"/>
      <c r="HI701" s="1349"/>
      <c r="HJ701" s="1349"/>
      <c r="HK701" s="1349"/>
      <c r="HL701" s="1349"/>
      <c r="HM701" s="1349"/>
      <c r="HN701" s="1349"/>
      <c r="HO701" s="1349"/>
      <c r="HP701" s="1349"/>
      <c r="HQ701" s="1349"/>
      <c r="HR701" s="1349"/>
      <c r="HS701" s="1349"/>
      <c r="HT701" s="1349"/>
      <c r="HU701" s="1349"/>
      <c r="HV701" s="1349"/>
      <c r="HW701" s="1349"/>
      <c r="HX701" s="1349"/>
      <c r="HY701" s="1349"/>
      <c r="HZ701" s="1349"/>
      <c r="IA701" s="1349"/>
      <c r="IB701" s="1349"/>
      <c r="IC701" s="1349"/>
      <c r="ID701" s="1349"/>
      <c r="IE701" s="1349"/>
      <c r="IF701" s="1349"/>
      <c r="IG701" s="1349"/>
      <c r="IH701" s="1349"/>
      <c r="II701" s="1349"/>
      <c r="IJ701" s="1349"/>
      <c r="IK701" s="1349"/>
      <c r="IL701" s="1349"/>
      <c r="IM701" s="1349"/>
      <c r="IN701" s="1349"/>
      <c r="IO701" s="1349"/>
      <c r="IP701" s="1349"/>
      <c r="IQ701" s="1349"/>
      <c r="IR701" s="1349"/>
      <c r="IS701" s="1349"/>
      <c r="IT701" s="1349"/>
      <c r="IU701" s="1349"/>
      <c r="IV701" s="1349"/>
      <c r="IW701" s="1349"/>
      <c r="IX701" s="1349"/>
      <c r="IY701" s="1349"/>
      <c r="IZ701" s="1349"/>
      <c r="JA701" s="1349"/>
      <c r="JB701" s="1349"/>
      <c r="JC701" s="1349"/>
      <c r="JD701" s="1349"/>
      <c r="JE701" s="1349"/>
      <c r="JF701" s="1349"/>
      <c r="JG701" s="1349"/>
      <c r="JH701" s="1349"/>
      <c r="JI701" s="1349"/>
      <c r="JJ701" s="1349"/>
      <c r="JK701" s="1349"/>
      <c r="JL701" s="1349"/>
      <c r="JM701" s="1349"/>
      <c r="JN701" s="1349"/>
      <c r="JO701" s="1349"/>
      <c r="JP701" s="1349"/>
      <c r="JQ701" s="1349"/>
      <c r="JR701" s="1349"/>
      <c r="JS701" s="1349"/>
      <c r="JT701" s="1349"/>
      <c r="JU701" s="1349"/>
      <c r="JV701" s="1349"/>
      <c r="JW701" s="1349"/>
      <c r="JX701" s="1349"/>
      <c r="JY701" s="1349"/>
      <c r="JZ701" s="1349"/>
      <c r="KA701" s="1349"/>
      <c r="KB701" s="1349"/>
      <c r="KC701" s="1349"/>
      <c r="KD701" s="1349"/>
      <c r="KE701" s="1349"/>
      <c r="KF701" s="1349"/>
      <c r="KG701" s="1349"/>
      <c r="KH701" s="1349"/>
      <c r="KI701" s="1349"/>
      <c r="KJ701" s="1349"/>
      <c r="KK701" s="1349"/>
      <c r="KL701" s="1349"/>
      <c r="KM701" s="1349"/>
      <c r="KN701" s="1349"/>
      <c r="KO701" s="1349"/>
      <c r="KP701" s="1349"/>
      <c r="KQ701" s="1349"/>
      <c r="KR701" s="1349"/>
      <c r="KS701" s="1349"/>
      <c r="KT701" s="1349"/>
      <c r="KU701" s="1349"/>
      <c r="KV701" s="1349"/>
      <c r="KW701" s="1349"/>
      <c r="KX701" s="1349"/>
      <c r="KY701" s="1349"/>
      <c r="KZ701" s="1349"/>
      <c r="LA701" s="1349"/>
      <c r="LB701" s="1349"/>
      <c r="LC701" s="1349"/>
      <c r="LD701" s="1349"/>
      <c r="LE701" s="1349"/>
      <c r="LF701" s="1349"/>
      <c r="LG701" s="1349"/>
      <c r="LH701" s="1349"/>
      <c r="LI701" s="1349"/>
      <c r="LJ701" s="1349"/>
      <c r="LK701" s="1349"/>
      <c r="LL701" s="1349"/>
      <c r="LM701" s="1349"/>
      <c r="LN701" s="1349"/>
      <c r="LO701" s="1349"/>
      <c r="LP701" s="1349"/>
      <c r="LQ701" s="1349"/>
      <c r="LR701" s="1349"/>
      <c r="LS701" s="1349"/>
      <c r="LT701" s="1349"/>
      <c r="LU701" s="1349"/>
      <c r="LV701" s="1349"/>
      <c r="LW701" s="1349"/>
      <c r="LX701" s="1349"/>
      <c r="LY701" s="1349"/>
      <c r="LZ701" s="1349"/>
      <c r="MA701" s="1349"/>
      <c r="MB701" s="1349"/>
      <c r="MC701" s="1349"/>
      <c r="MD701" s="1349"/>
      <c r="ME701" s="1349"/>
      <c r="MF701" s="1349"/>
      <c r="MG701" s="1349"/>
      <c r="MH701" s="1349"/>
      <c r="MI701" s="1349"/>
      <c r="MJ701" s="1349"/>
      <c r="MK701" s="1349"/>
      <c r="ML701" s="1349"/>
      <c r="MM701" s="1349"/>
      <c r="MN701" s="1349"/>
      <c r="MO701" s="1349"/>
      <c r="MP701" s="1349"/>
      <c r="MQ701" s="1349"/>
      <c r="MR701" s="1349"/>
      <c r="MS701" s="1349"/>
      <c r="MT701" s="1349"/>
      <c r="MU701" s="1349"/>
      <c r="MV701" s="1349"/>
      <c r="MW701" s="1349"/>
      <c r="MX701" s="1349"/>
      <c r="MY701" s="1349"/>
      <c r="MZ701" s="1349"/>
      <c r="NA701" s="1349"/>
      <c r="NB701" s="1349"/>
      <c r="NC701" s="1349"/>
      <c r="ND701" s="1349"/>
      <c r="NE701" s="1349"/>
      <c r="NF701" s="1349"/>
      <c r="NG701" s="1349"/>
      <c r="NH701" s="1349"/>
      <c r="NI701" s="1349"/>
      <c r="NJ701" s="1349"/>
      <c r="NK701" s="1349"/>
      <c r="NL701" s="1349"/>
      <c r="NM701" s="1349"/>
      <c r="NN701" s="1349"/>
      <c r="NO701" s="1349"/>
      <c r="NP701" s="1349"/>
      <c r="NQ701" s="1349"/>
      <c r="NR701" s="1349"/>
      <c r="NS701" s="1349"/>
      <c r="NT701" s="1349"/>
      <c r="NU701" s="1349"/>
      <c r="NV701" s="1349"/>
      <c r="NW701" s="1349"/>
      <c r="NX701" s="1349"/>
      <c r="NY701" s="1349"/>
      <c r="NZ701" s="1349"/>
      <c r="OA701" s="1349"/>
      <c r="OB701" s="1349"/>
      <c r="OC701" s="1349"/>
      <c r="OD701" s="1349"/>
      <c r="OE701" s="1349"/>
      <c r="OF701" s="1349"/>
      <c r="OG701" s="1349"/>
      <c r="OH701" s="1349"/>
      <c r="OI701" s="1349"/>
      <c r="OJ701" s="1349"/>
      <c r="OK701" s="1349"/>
      <c r="OL701" s="1349"/>
      <c r="OM701" s="1349"/>
      <c r="ON701" s="1349"/>
      <c r="OO701" s="1349"/>
      <c r="OP701" s="1349"/>
      <c r="OQ701" s="1349"/>
      <c r="OR701" s="1349"/>
      <c r="OS701" s="1349"/>
      <c r="OT701" s="1349"/>
      <c r="OU701" s="1349"/>
      <c r="OV701" s="1349"/>
      <c r="OW701" s="1349"/>
      <c r="OX701" s="1349"/>
      <c r="OY701" s="1349"/>
      <c r="OZ701" s="1349"/>
      <c r="PA701" s="1349"/>
      <c r="PB701" s="1349"/>
      <c r="PC701" s="1349"/>
      <c r="PD701" s="1349"/>
      <c r="PE701" s="1349"/>
      <c r="PF701" s="1349"/>
      <c r="PG701" s="1349"/>
      <c r="PH701" s="1349"/>
      <c r="PI701" s="1349"/>
      <c r="PJ701" s="1349"/>
      <c r="PK701" s="1349"/>
      <c r="PL701" s="1349"/>
      <c r="PM701" s="1349"/>
      <c r="PN701" s="1349"/>
      <c r="PO701" s="1349"/>
      <c r="PP701" s="1349"/>
      <c r="PQ701" s="1349"/>
      <c r="PR701" s="1349"/>
      <c r="PS701" s="1349"/>
      <c r="PT701" s="1349"/>
      <c r="PU701" s="1349"/>
      <c r="PV701" s="1349"/>
      <c r="PW701" s="1349"/>
      <c r="PX701" s="1349"/>
      <c r="PY701" s="1349"/>
      <c r="PZ701" s="1349"/>
      <c r="QA701" s="1349"/>
      <c r="QB701" s="1349"/>
      <c r="QC701" s="1349"/>
      <c r="QD701" s="1349"/>
      <c r="QE701" s="1349"/>
      <c r="QF701" s="1349"/>
      <c r="QG701" s="1349"/>
      <c r="QH701" s="1349"/>
      <c r="QI701" s="1349"/>
      <c r="QJ701" s="1349"/>
      <c r="QK701" s="1349"/>
      <c r="QL701" s="1349"/>
      <c r="QM701" s="1349"/>
      <c r="QN701" s="1349"/>
      <c r="QO701" s="1349"/>
      <c r="QP701" s="1349"/>
      <c r="QQ701" s="1349"/>
      <c r="QR701" s="1349"/>
      <c r="QS701" s="1349"/>
      <c r="QT701" s="1349"/>
      <c r="QU701" s="1349"/>
      <c r="QV701" s="1349"/>
      <c r="QW701" s="1349"/>
      <c r="QX701" s="1349"/>
      <c r="QY701" s="1349"/>
      <c r="QZ701" s="1349"/>
      <c r="RA701" s="1349"/>
      <c r="RB701" s="1349"/>
      <c r="RC701" s="1349"/>
      <c r="RD701" s="1349"/>
      <c r="RE701" s="1349"/>
      <c r="RF701" s="1349"/>
      <c r="RG701" s="1349"/>
      <c r="RH701" s="1349"/>
      <c r="RI701" s="1349"/>
      <c r="RJ701" s="1349"/>
      <c r="RK701" s="1349"/>
      <c r="RL701" s="1349"/>
      <c r="RM701" s="1349"/>
      <c r="RN701" s="1349"/>
      <c r="RO701" s="1349"/>
      <c r="RP701" s="1349"/>
      <c r="RQ701" s="1349"/>
      <c r="RR701" s="1349"/>
      <c r="RS701" s="1349"/>
      <c r="RT701" s="1349"/>
      <c r="RU701" s="1349"/>
      <c r="RV701" s="1349"/>
      <c r="RW701" s="1349"/>
      <c r="RX701" s="1349"/>
      <c r="RY701" s="1349"/>
      <c r="RZ701" s="1349"/>
      <c r="SA701" s="1349"/>
      <c r="SB701" s="1349"/>
      <c r="SC701" s="1349"/>
      <c r="SD701" s="1349"/>
      <c r="SE701" s="1349"/>
      <c r="SF701" s="1349"/>
      <c r="SG701" s="1349"/>
      <c r="SH701" s="1349"/>
      <c r="SI701" s="1349"/>
      <c r="SJ701" s="1349"/>
      <c r="SK701" s="1349"/>
      <c r="SL701" s="1349"/>
      <c r="SM701" s="1349"/>
      <c r="SN701" s="1349"/>
      <c r="SO701" s="1349"/>
      <c r="SP701" s="1349"/>
      <c r="SQ701" s="1349"/>
      <c r="SR701" s="1349"/>
      <c r="SS701" s="1349"/>
      <c r="ST701" s="1349"/>
      <c r="SU701" s="1349"/>
      <c r="SV701" s="1349"/>
      <c r="SW701" s="1349"/>
      <c r="SX701" s="1349"/>
      <c r="SY701" s="1349"/>
      <c r="SZ701" s="1349"/>
      <c r="TA701" s="1349"/>
      <c r="TB701" s="1349"/>
      <c r="TC701" s="1349"/>
      <c r="TD701" s="1349"/>
      <c r="TE701" s="1349"/>
      <c r="TF701" s="1349"/>
      <c r="TG701" s="1349"/>
      <c r="TH701" s="1349"/>
      <c r="TI701" s="1349"/>
      <c r="TJ701" s="1349"/>
      <c r="TK701" s="1349"/>
      <c r="TL701" s="1349"/>
      <c r="TM701" s="1349"/>
      <c r="TN701" s="1349"/>
      <c r="TO701" s="1349"/>
      <c r="TP701" s="1349"/>
      <c r="TQ701" s="1349"/>
      <c r="TR701" s="1349"/>
      <c r="TS701" s="1349"/>
      <c r="TT701" s="1349"/>
      <c r="TU701" s="1349"/>
      <c r="TV701" s="1349"/>
      <c r="TW701" s="1349"/>
      <c r="TX701" s="1349"/>
      <c r="TY701" s="1349"/>
      <c r="TZ701" s="1349"/>
      <c r="UA701" s="1349"/>
      <c r="UB701" s="1349"/>
      <c r="UC701" s="1349"/>
      <c r="UD701" s="1349"/>
      <c r="UE701" s="1349"/>
      <c r="UF701" s="1349"/>
      <c r="UG701" s="1349"/>
      <c r="UH701" s="1349"/>
      <c r="UI701" s="1349"/>
      <c r="UJ701" s="1349"/>
      <c r="UK701" s="1349"/>
      <c r="UL701" s="1349"/>
      <c r="UM701" s="1349"/>
      <c r="UN701" s="1349"/>
      <c r="UO701" s="1349"/>
      <c r="UP701" s="1349"/>
      <c r="UQ701" s="1349"/>
      <c r="UR701" s="1349"/>
      <c r="US701" s="1349"/>
      <c r="UT701" s="1349"/>
      <c r="UU701" s="1349"/>
      <c r="UV701" s="1349"/>
      <c r="UW701" s="1349"/>
      <c r="UX701" s="1349"/>
      <c r="UY701" s="1349"/>
      <c r="UZ701" s="1349"/>
      <c r="VA701" s="1349"/>
      <c r="VB701" s="1349"/>
      <c r="VC701" s="1349"/>
      <c r="VD701" s="1349"/>
      <c r="VE701" s="1349"/>
      <c r="VF701" s="1349"/>
      <c r="VG701" s="1349"/>
      <c r="VH701" s="1349"/>
      <c r="VI701" s="1349"/>
      <c r="VJ701" s="1349"/>
      <c r="VK701" s="1349"/>
      <c r="VL701" s="1349"/>
      <c r="VM701" s="1349"/>
      <c r="VN701" s="1349"/>
      <c r="VO701" s="1349"/>
      <c r="VP701" s="1349"/>
      <c r="VQ701" s="1349"/>
      <c r="VR701" s="1349"/>
      <c r="VS701" s="1349"/>
      <c r="VT701" s="1349"/>
      <c r="VU701" s="1349"/>
      <c r="VV701" s="1349"/>
      <c r="VW701" s="1349"/>
      <c r="VX701" s="1349"/>
      <c r="VY701" s="1349"/>
      <c r="VZ701" s="1349"/>
      <c r="WA701" s="1349"/>
      <c r="WB701" s="1349"/>
      <c r="WC701" s="1349"/>
      <c r="WD701" s="1349"/>
      <c r="WE701" s="1349"/>
      <c r="WF701" s="1349"/>
      <c r="WG701" s="1349"/>
      <c r="WH701" s="1349"/>
      <c r="WI701" s="1349"/>
      <c r="WJ701" s="1349"/>
      <c r="WK701" s="1349"/>
      <c r="WL701" s="1349"/>
      <c r="WM701" s="1349"/>
      <c r="WN701" s="1349"/>
      <c r="WO701" s="1349"/>
      <c r="WP701" s="1349"/>
      <c r="WQ701" s="1349"/>
      <c r="WR701" s="1349"/>
      <c r="WS701" s="1349"/>
      <c r="WT701" s="1349"/>
      <c r="WU701" s="1349"/>
      <c r="WV701" s="1349"/>
      <c r="WW701" s="1349"/>
      <c r="WX701" s="1349"/>
      <c r="WY701" s="1349"/>
      <c r="WZ701" s="1349"/>
      <c r="XA701" s="1349"/>
      <c r="XB701" s="1349"/>
      <c r="XC701" s="1349"/>
      <c r="XD701" s="1349"/>
      <c r="XE701" s="1349"/>
      <c r="XF701" s="1349"/>
      <c r="XG701" s="1349"/>
      <c r="XH701" s="1349"/>
      <c r="XI701" s="1349"/>
      <c r="XJ701" s="1349"/>
      <c r="XK701" s="1349"/>
      <c r="XL701" s="1349"/>
      <c r="XM701" s="1349"/>
      <c r="XN701" s="1349"/>
      <c r="XO701" s="1349"/>
      <c r="XP701" s="1349"/>
      <c r="XQ701" s="1349"/>
      <c r="XR701" s="1349"/>
      <c r="XS701" s="1349"/>
      <c r="XT701" s="1349"/>
      <c r="XU701" s="1349"/>
      <c r="XV701" s="1349"/>
      <c r="XW701" s="1349"/>
      <c r="XX701" s="1349"/>
      <c r="XY701" s="1349"/>
      <c r="XZ701" s="1349"/>
      <c r="YA701" s="1349"/>
      <c r="YB701" s="1349"/>
      <c r="YC701" s="1349"/>
      <c r="YD701" s="1349"/>
      <c r="YE701" s="1349"/>
      <c r="YF701" s="1349"/>
      <c r="YG701" s="1349"/>
      <c r="YH701" s="1349"/>
      <c r="YI701" s="1349"/>
      <c r="YJ701" s="1349"/>
      <c r="YK701" s="1349"/>
      <c r="YL701" s="1349"/>
      <c r="YM701" s="1349"/>
      <c r="YN701" s="1349"/>
      <c r="YO701" s="1349"/>
      <c r="YP701" s="1349"/>
      <c r="YQ701" s="1349"/>
      <c r="YR701" s="1349"/>
      <c r="YS701" s="1349"/>
      <c r="YT701" s="1349"/>
      <c r="YU701" s="1349"/>
      <c r="YV701" s="1349"/>
      <c r="YW701" s="1349"/>
      <c r="YX701" s="1349"/>
      <c r="YY701" s="1349"/>
      <c r="YZ701" s="1349"/>
      <c r="ZA701" s="1349"/>
      <c r="ZB701" s="1349"/>
      <c r="ZC701" s="1349"/>
      <c r="ZD701" s="1349"/>
      <c r="ZE701" s="1349"/>
      <c r="ZF701" s="1349"/>
      <c r="ZG701" s="1349"/>
      <c r="ZH701" s="1349"/>
      <c r="ZI701" s="1349"/>
      <c r="ZJ701" s="1349"/>
      <c r="ZK701" s="1349"/>
      <c r="ZL701" s="1349"/>
      <c r="ZM701" s="1349"/>
      <c r="ZN701" s="1349"/>
      <c r="ZO701" s="1349"/>
      <c r="ZP701" s="1349"/>
      <c r="ZQ701" s="1349"/>
      <c r="ZR701" s="1349"/>
      <c r="ZS701" s="1349"/>
      <c r="ZT701" s="1349"/>
      <c r="ZU701" s="1349"/>
      <c r="ZV701" s="1349"/>
      <c r="ZW701" s="1349"/>
      <c r="ZX701" s="1349"/>
      <c r="ZY701" s="1349"/>
      <c r="ZZ701" s="1349"/>
      <c r="AAA701" s="1349"/>
      <c r="AAB701" s="1349"/>
      <c r="AAC701" s="1349"/>
      <c r="AAD701" s="1349"/>
      <c r="AAE701" s="1349"/>
      <c r="AAF701" s="1349"/>
      <c r="AAG701" s="1349"/>
      <c r="AAH701" s="1349"/>
      <c r="AAI701" s="1349"/>
      <c r="AAJ701" s="1349"/>
      <c r="AAK701" s="1349"/>
      <c r="AAL701" s="1349"/>
      <c r="AAM701" s="1349"/>
      <c r="AAN701" s="1349"/>
      <c r="AAO701" s="1349"/>
      <c r="AAP701" s="1349"/>
      <c r="AAQ701" s="1349"/>
      <c r="AAR701" s="1349"/>
      <c r="AAS701" s="1349"/>
      <c r="AAT701" s="1349"/>
      <c r="AAU701" s="1349"/>
      <c r="AAV701" s="1349"/>
      <c r="AAW701" s="1349"/>
      <c r="AAX701" s="1349"/>
      <c r="AAY701" s="1349"/>
      <c r="AAZ701" s="1349"/>
      <c r="ABA701" s="1349"/>
      <c r="ABB701" s="1349"/>
      <c r="ABC701" s="1349"/>
      <c r="ABD701" s="1349"/>
      <c r="ABE701" s="1349"/>
      <c r="ABF701" s="1349"/>
      <c r="ABG701" s="1349"/>
      <c r="ABH701" s="1349"/>
      <c r="ABI701" s="1349"/>
      <c r="ABJ701" s="1349"/>
      <c r="ABK701" s="1349"/>
      <c r="ABL701" s="1349"/>
      <c r="ABM701" s="1349"/>
      <c r="ABN701" s="1349"/>
      <c r="ABO701" s="1349"/>
      <c r="ABP701" s="1349"/>
      <c r="ABQ701" s="1349"/>
      <c r="ABR701" s="1349"/>
      <c r="ABS701" s="1349"/>
      <c r="ABT701" s="1349"/>
      <c r="ABU701" s="1349"/>
      <c r="ABV701" s="1349"/>
      <c r="ABW701" s="1349"/>
      <c r="ABX701" s="1349"/>
      <c r="ABY701" s="1349"/>
      <c r="ABZ701" s="1349"/>
      <c r="ACA701" s="1349"/>
      <c r="ACB701" s="1349"/>
      <c r="ACC701" s="1349"/>
      <c r="ACD701" s="1349"/>
      <c r="ACE701" s="1349"/>
      <c r="ACF701" s="1349"/>
      <c r="ACG701" s="1349"/>
      <c r="ACH701" s="1349"/>
      <c r="ACI701" s="1349"/>
      <c r="ACJ701" s="1349"/>
      <c r="ACK701" s="1349"/>
      <c r="ACL701" s="1349"/>
      <c r="ACM701" s="1349"/>
      <c r="ACN701" s="1349"/>
      <c r="ACO701" s="1349"/>
      <c r="ACP701" s="1349"/>
      <c r="ACQ701" s="1349"/>
      <c r="ACR701" s="1349"/>
      <c r="ACS701" s="1349"/>
      <c r="ACT701" s="1349"/>
      <c r="ACU701" s="1349"/>
      <c r="ACV701" s="1349"/>
      <c r="ACW701" s="1349"/>
      <c r="ACX701" s="1349"/>
      <c r="ACY701" s="1349"/>
      <c r="ACZ701" s="1349"/>
      <c r="ADA701" s="1349"/>
      <c r="ADB701" s="1349"/>
      <c r="ADC701" s="1349"/>
      <c r="ADD701" s="1349"/>
      <c r="ADE701" s="1349"/>
      <c r="ADF701" s="1349"/>
      <c r="ADG701" s="1349"/>
      <c r="ADH701" s="1349"/>
      <c r="ADI701" s="1349"/>
      <c r="ADJ701" s="1349"/>
      <c r="ADK701" s="1349"/>
      <c r="ADL701" s="1349"/>
      <c r="ADM701" s="1349"/>
      <c r="ADN701" s="1349"/>
      <c r="ADO701" s="1349"/>
      <c r="ADP701" s="1349"/>
      <c r="ADQ701" s="1349"/>
      <c r="ADR701" s="1349"/>
      <c r="ADS701" s="1349"/>
      <c r="ADT701" s="1349"/>
      <c r="ADU701" s="1349"/>
      <c r="ADV701" s="1349"/>
      <c r="ADW701" s="1349"/>
      <c r="ADX701" s="1349"/>
      <c r="ADY701" s="1349"/>
      <c r="ADZ701" s="1349"/>
      <c r="AEA701" s="1349"/>
      <c r="AEB701" s="1349"/>
      <c r="AEC701" s="1349"/>
      <c r="AED701" s="1349"/>
      <c r="AEE701" s="1349"/>
      <c r="AEF701" s="1349"/>
      <c r="AEG701" s="1349"/>
      <c r="AEH701" s="1349"/>
      <c r="AEI701" s="1349"/>
      <c r="AEJ701" s="1349"/>
      <c r="AEK701" s="1349"/>
      <c r="AEL701" s="1349"/>
      <c r="AEM701" s="1349"/>
      <c r="AEN701" s="1349"/>
      <c r="AEO701" s="1349"/>
      <c r="AEP701" s="1349"/>
      <c r="AEQ701" s="1349"/>
      <c r="AER701" s="1349"/>
      <c r="AES701" s="1349"/>
      <c r="AET701" s="1349"/>
      <c r="AEU701" s="1349"/>
      <c r="AEV701" s="1349"/>
      <c r="AEW701" s="1349"/>
      <c r="AEX701" s="1349"/>
      <c r="AEY701" s="1349"/>
      <c r="AEZ701" s="1349"/>
      <c r="AFA701" s="1349"/>
      <c r="AFB701" s="1349"/>
      <c r="AFC701" s="1349"/>
      <c r="AFD701" s="1349"/>
      <c r="AFE701" s="1349"/>
      <c r="AFF701" s="1349"/>
      <c r="AFG701" s="1349"/>
      <c r="AFH701" s="1349"/>
      <c r="AFI701" s="1349"/>
      <c r="AFJ701" s="1349"/>
      <c r="AFK701" s="1349"/>
      <c r="AFL701" s="1349"/>
      <c r="AFM701" s="1349"/>
      <c r="AFN701" s="1349"/>
      <c r="AFO701" s="1349"/>
      <c r="AFP701" s="1349"/>
      <c r="AFQ701" s="1349"/>
      <c r="AFR701" s="1349"/>
      <c r="AFS701" s="1349"/>
      <c r="AFT701" s="1349"/>
      <c r="AFU701" s="1349"/>
      <c r="AFV701" s="1349"/>
      <c r="AFW701" s="1349"/>
      <c r="AFX701" s="1349"/>
      <c r="AFY701" s="1349"/>
      <c r="AFZ701" s="1349"/>
      <c r="AGA701" s="1349"/>
      <c r="AGB701" s="1349"/>
      <c r="AGC701" s="1349"/>
      <c r="AGD701" s="1349"/>
      <c r="AGE701" s="1349"/>
      <c r="AGF701" s="1349"/>
      <c r="AGG701" s="1349"/>
      <c r="AGH701" s="1349"/>
      <c r="AGI701" s="1349"/>
      <c r="AGJ701" s="1349"/>
      <c r="AGK701" s="1349"/>
      <c r="AGL701" s="1349"/>
      <c r="AGM701" s="1349"/>
      <c r="AGN701" s="1349"/>
      <c r="AGO701" s="1349"/>
      <c r="AGP701" s="1349"/>
      <c r="AGQ701" s="1349"/>
      <c r="AGR701" s="1349"/>
      <c r="AGS701" s="1349"/>
      <c r="AGT701" s="1349"/>
      <c r="AGU701" s="1349"/>
      <c r="AGV701" s="1349"/>
      <c r="AGW701" s="1349"/>
      <c r="AGX701" s="1349"/>
      <c r="AGY701" s="1349"/>
      <c r="AGZ701" s="1349"/>
      <c r="AHA701" s="1349"/>
      <c r="AHB701" s="1349"/>
      <c r="AHC701" s="1349"/>
      <c r="AHD701" s="1349"/>
      <c r="AHE701" s="1349"/>
      <c r="AHF701" s="1349"/>
      <c r="AHG701" s="1349"/>
      <c r="AHH701" s="1349"/>
      <c r="AHI701" s="1349"/>
      <c r="AHJ701" s="1349"/>
      <c r="AHK701" s="1349"/>
      <c r="AHL701" s="1349"/>
      <c r="AHM701" s="1349"/>
      <c r="AHN701" s="1349"/>
      <c r="AHO701" s="1349"/>
      <c r="AHP701" s="1349"/>
      <c r="AHQ701" s="1349"/>
      <c r="AHR701" s="1349"/>
      <c r="AHS701" s="1349"/>
      <c r="AHT701" s="1349"/>
      <c r="AHU701" s="1349"/>
      <c r="AHV701" s="1349"/>
      <c r="AHW701" s="1349"/>
      <c r="AHX701" s="1349"/>
      <c r="AHY701" s="1349"/>
      <c r="AHZ701" s="1349"/>
      <c r="AIA701" s="1349"/>
      <c r="AIB701" s="1349"/>
      <c r="AIC701" s="1349"/>
      <c r="AID701" s="1349"/>
      <c r="AIE701" s="1349"/>
      <c r="AIF701" s="1349"/>
      <c r="AIG701" s="1349"/>
      <c r="AIH701" s="1349"/>
      <c r="AII701" s="1349"/>
      <c r="AIJ701" s="1349"/>
      <c r="AIK701" s="1349"/>
      <c r="AIL701" s="1349"/>
      <c r="AIM701" s="1349"/>
      <c r="AIN701" s="1349"/>
      <c r="AIO701" s="1349"/>
      <c r="AIP701" s="1349"/>
      <c r="AIQ701" s="1349"/>
      <c r="AIR701" s="1349"/>
      <c r="AIS701" s="1349"/>
      <c r="AIT701" s="1349"/>
      <c r="AIU701" s="1349"/>
      <c r="AIV701" s="1349"/>
      <c r="AIW701" s="1349"/>
      <c r="AIX701" s="1349"/>
      <c r="AIY701" s="1349"/>
      <c r="AIZ701" s="1349"/>
      <c r="AJA701" s="1349"/>
      <c r="AJB701" s="1349"/>
      <c r="AJC701" s="1349"/>
      <c r="AJD701" s="1349"/>
      <c r="AJE701" s="1349"/>
      <c r="AJF701" s="1349"/>
      <c r="AJG701" s="1349"/>
      <c r="AJH701" s="1349"/>
      <c r="AJI701" s="1349"/>
      <c r="AJJ701" s="1349"/>
      <c r="AJK701" s="1349"/>
      <c r="AJL701" s="1349"/>
      <c r="AJM701" s="1349"/>
      <c r="AJN701" s="1349"/>
      <c r="AJO701" s="1349"/>
      <c r="AJP701" s="1349"/>
      <c r="AJQ701" s="1349"/>
      <c r="AJR701" s="1349"/>
      <c r="AJS701" s="1349"/>
      <c r="AJT701" s="1349"/>
      <c r="AJU701" s="1349"/>
      <c r="AJV701" s="1349"/>
      <c r="AJW701" s="1349"/>
      <c r="AJX701" s="1349"/>
      <c r="AJY701" s="1349"/>
      <c r="AJZ701" s="1349"/>
      <c r="AKA701" s="1349"/>
      <c r="AKB701" s="1349"/>
      <c r="AKC701" s="1349"/>
      <c r="AKD701" s="1349"/>
      <c r="AKE701" s="1349"/>
      <c r="AKF701" s="1349"/>
      <c r="AKG701" s="1349"/>
      <c r="AKH701" s="1349"/>
      <c r="AKI701" s="1349"/>
      <c r="AKJ701" s="1349"/>
      <c r="AKK701" s="1349"/>
      <c r="AKL701" s="1349"/>
      <c r="AKM701" s="1349"/>
      <c r="AKN701" s="1349"/>
      <c r="AKO701" s="1349"/>
      <c r="AKP701" s="1349"/>
      <c r="AKQ701" s="1349"/>
      <c r="AKR701" s="1349"/>
      <c r="AKS701" s="1349"/>
      <c r="AKT701" s="1349"/>
      <c r="AKU701" s="1349"/>
      <c r="AKV701" s="1349"/>
      <c r="AKW701" s="1349"/>
      <c r="AKX701" s="1349"/>
      <c r="AKY701" s="1349"/>
      <c r="AKZ701" s="1349"/>
      <c r="ALA701" s="1349"/>
      <c r="ALB701" s="1349"/>
      <c r="ALC701" s="1349"/>
      <c r="ALD701" s="1349"/>
      <c r="ALE701" s="1349"/>
      <c r="ALF701" s="1349"/>
      <c r="ALG701" s="1349"/>
      <c r="ALH701" s="1349"/>
      <c r="ALI701" s="1349"/>
      <c r="ALJ701" s="1349"/>
      <c r="ALK701" s="1349"/>
      <c r="ALL701" s="1349"/>
      <c r="ALM701" s="1349"/>
      <c r="ALN701" s="1349"/>
      <c r="ALO701" s="1349"/>
      <c r="ALP701" s="1349"/>
      <c r="ALQ701" s="1349"/>
      <c r="ALR701" s="1349"/>
      <c r="ALS701" s="1349"/>
      <c r="ALT701" s="1349"/>
      <c r="ALU701" s="1349"/>
      <c r="ALV701" s="1349"/>
      <c r="ALW701" s="1349"/>
      <c r="ALX701" s="1349"/>
      <c r="ALY701" s="1349"/>
      <c r="ALZ701" s="1349"/>
      <c r="AMA701" s="1349"/>
      <c r="AMB701" s="1349"/>
      <c r="AMC701" s="1349"/>
      <c r="AMD701" s="1349"/>
      <c r="AME701" s="1349"/>
      <c r="AMF701" s="1349"/>
      <c r="AMG701" s="1349"/>
      <c r="AMH701" s="1349"/>
      <c r="AMI701" s="1349"/>
      <c r="AMJ701" s="1349"/>
      <c r="AMK701" s="1349"/>
      <c r="AML701" s="1349"/>
      <c r="AMM701" s="1349"/>
      <c r="AMN701" s="1349"/>
      <c r="AMO701" s="1349"/>
      <c r="AMP701" s="1349"/>
      <c r="AMQ701" s="1349"/>
      <c r="AMR701" s="1349"/>
      <c r="AMS701" s="1349"/>
      <c r="AMT701" s="1349"/>
      <c r="AMU701" s="1349"/>
      <c r="AMV701" s="1349"/>
      <c r="AMW701" s="1349"/>
      <c r="AMX701" s="1349"/>
      <c r="AMY701" s="1349"/>
      <c r="AMZ701" s="1349"/>
      <c r="ANA701" s="1349"/>
      <c r="ANB701" s="1349"/>
      <c r="ANC701" s="1349"/>
      <c r="AND701" s="1349"/>
      <c r="ANE701" s="1349"/>
      <c r="ANF701" s="1349"/>
      <c r="ANG701" s="1349"/>
      <c r="ANH701" s="1349"/>
      <c r="ANI701" s="1349"/>
      <c r="ANJ701" s="1349"/>
      <c r="ANK701" s="1349"/>
      <c r="ANL701" s="1349"/>
      <c r="ANM701" s="1349"/>
      <c r="ANN701" s="1349"/>
      <c r="ANO701" s="1349"/>
      <c r="ANP701" s="1349"/>
      <c r="ANQ701" s="1349"/>
      <c r="ANR701" s="1349"/>
      <c r="ANS701" s="1349"/>
      <c r="ANT701" s="1349"/>
      <c r="ANU701" s="1349"/>
      <c r="ANV701" s="1349"/>
      <c r="ANW701" s="1349"/>
      <c r="ANX701" s="1349"/>
      <c r="ANY701" s="1349"/>
      <c r="ANZ701" s="1349"/>
      <c r="AOA701" s="1349"/>
      <c r="AOB701" s="1349"/>
      <c r="AOC701" s="1349"/>
      <c r="AOD701" s="1349"/>
      <c r="AOE701" s="1349"/>
      <c r="AOF701" s="1349"/>
      <c r="AOG701" s="1349"/>
      <c r="AOH701" s="1349"/>
      <c r="AOI701" s="1349"/>
      <c r="AOJ701" s="1349"/>
      <c r="AOK701" s="1349"/>
      <c r="AOL701" s="1349"/>
      <c r="AOM701" s="1349"/>
      <c r="AON701" s="1349"/>
      <c r="AOO701" s="1349"/>
      <c r="AOP701" s="1349"/>
      <c r="AOQ701" s="1349"/>
      <c r="AOR701" s="1349"/>
      <c r="AOS701" s="1349"/>
      <c r="AOT701" s="1349"/>
      <c r="AOU701" s="1349"/>
      <c r="AOV701" s="1349"/>
      <c r="AOW701" s="1349"/>
      <c r="AOX701" s="1349"/>
      <c r="AOY701" s="1349"/>
      <c r="AOZ701" s="1349"/>
      <c r="APA701" s="1349"/>
      <c r="APB701" s="1349"/>
      <c r="APC701" s="1349"/>
      <c r="APD701" s="1349"/>
      <c r="APE701" s="1349"/>
      <c r="APF701" s="1349"/>
      <c r="APG701" s="1349"/>
      <c r="APH701" s="1349"/>
      <c r="API701" s="1349"/>
      <c r="APJ701" s="1349"/>
      <c r="APK701" s="1349"/>
      <c r="APL701" s="1349"/>
      <c r="APM701" s="1349"/>
      <c r="APN701" s="1349"/>
      <c r="APO701" s="1349"/>
      <c r="APP701" s="1349"/>
      <c r="APQ701" s="1349"/>
      <c r="APR701" s="1349"/>
      <c r="APS701" s="1349"/>
      <c r="APT701" s="1349"/>
      <c r="APU701" s="1349"/>
      <c r="APV701" s="1349"/>
      <c r="APW701" s="1349"/>
      <c r="APX701" s="1349"/>
      <c r="APY701" s="1349"/>
      <c r="APZ701" s="1349"/>
      <c r="AQA701" s="1349"/>
      <c r="AQB701" s="1349"/>
      <c r="AQC701" s="1349"/>
      <c r="AQD701" s="1349"/>
      <c r="AQE701" s="1349"/>
      <c r="AQF701" s="1349"/>
      <c r="AQG701" s="1349"/>
      <c r="AQH701" s="1349"/>
      <c r="AQI701" s="1349"/>
      <c r="AQJ701" s="1349"/>
      <c r="AQK701" s="1349"/>
      <c r="AQL701" s="1349"/>
      <c r="AQM701" s="1349"/>
      <c r="AQN701" s="1349"/>
      <c r="AQO701" s="1349"/>
      <c r="AQP701" s="1349"/>
      <c r="AQQ701" s="1349"/>
      <c r="AQR701" s="1349"/>
      <c r="AQS701" s="1349"/>
      <c r="AQT701" s="1349"/>
      <c r="AQU701" s="1349"/>
      <c r="AQV701" s="1349"/>
      <c r="AQW701" s="1349"/>
      <c r="AQX701" s="1349"/>
      <c r="AQY701" s="1349"/>
      <c r="AQZ701" s="1349"/>
      <c r="ARA701" s="1349"/>
      <c r="ARB701" s="1349"/>
      <c r="ARC701" s="1349"/>
      <c r="ARD701" s="1349"/>
      <c r="ARE701" s="1349"/>
      <c r="ARF701" s="1349"/>
      <c r="ARG701" s="1349"/>
      <c r="ARH701" s="1349"/>
      <c r="ARI701" s="1349"/>
      <c r="ARJ701" s="1349"/>
      <c r="ARK701" s="1349"/>
      <c r="ARL701" s="1349"/>
      <c r="ARM701" s="1349"/>
      <c r="ARN701" s="1349"/>
      <c r="ARO701" s="1349"/>
      <c r="ARP701" s="1349"/>
      <c r="ARQ701" s="1349"/>
      <c r="ARR701" s="1349"/>
      <c r="ARS701" s="1349"/>
      <c r="ART701" s="1349"/>
      <c r="ARU701" s="1349"/>
      <c r="ARV701" s="1349"/>
      <c r="ARW701" s="1349"/>
      <c r="ARX701" s="1349"/>
      <c r="ARY701" s="1349"/>
      <c r="ARZ701" s="1349"/>
      <c r="ASA701" s="1349"/>
      <c r="ASB701" s="1349"/>
      <c r="ASC701" s="1349"/>
      <c r="ASD701" s="1349"/>
      <c r="ASE701" s="1349"/>
      <c r="ASF701" s="1349"/>
      <c r="ASG701" s="1349"/>
      <c r="ASH701" s="1349"/>
      <c r="ASI701" s="1349"/>
      <c r="ASJ701" s="1349"/>
      <c r="ASK701" s="1349"/>
      <c r="ASL701" s="1349"/>
      <c r="ASM701" s="1349"/>
      <c r="ASN701" s="1349"/>
      <c r="ASO701" s="1349"/>
      <c r="ASP701" s="1349"/>
      <c r="ASQ701" s="1349"/>
      <c r="ASR701" s="1349"/>
      <c r="ASS701" s="1349"/>
      <c r="AST701" s="1349"/>
      <c r="ASU701" s="1349"/>
      <c r="ASV701" s="1349"/>
      <c r="ASW701" s="1349"/>
      <c r="ASX701" s="1349"/>
      <c r="ASY701" s="1349"/>
      <c r="ASZ701" s="1349"/>
      <c r="ATA701" s="1349"/>
      <c r="ATB701" s="1349"/>
      <c r="ATC701" s="1349"/>
      <c r="ATD701" s="1349"/>
      <c r="ATE701" s="1349"/>
      <c r="ATF701" s="1349"/>
      <c r="ATG701" s="1349"/>
      <c r="ATH701" s="1349"/>
      <c r="ATI701" s="1349"/>
      <c r="ATJ701" s="1349"/>
      <c r="ATK701" s="1349"/>
      <c r="ATL701" s="1349"/>
      <c r="ATM701" s="1349"/>
      <c r="ATN701" s="1349"/>
      <c r="ATO701" s="1349"/>
      <c r="ATP701" s="1349"/>
      <c r="ATQ701" s="1349"/>
      <c r="ATR701" s="1349"/>
      <c r="ATS701" s="1349"/>
      <c r="ATT701" s="1349"/>
      <c r="ATU701" s="1349"/>
      <c r="ATV701" s="1349"/>
      <c r="ATW701" s="1349"/>
      <c r="ATX701" s="1349"/>
      <c r="ATY701" s="1349"/>
      <c r="ATZ701" s="1349"/>
      <c r="AUA701" s="1349"/>
      <c r="AUB701" s="1349"/>
      <c r="AUC701" s="1349"/>
      <c r="AUD701" s="1349"/>
      <c r="AUE701" s="1349"/>
      <c r="AUF701" s="1349"/>
      <c r="AUG701" s="1349"/>
      <c r="AUH701" s="1349"/>
      <c r="AUI701" s="1349"/>
      <c r="AUJ701" s="1349"/>
      <c r="AUK701" s="1349"/>
      <c r="AUL701" s="1349"/>
      <c r="AUM701" s="1349"/>
      <c r="AUN701" s="1349"/>
      <c r="AUO701" s="1349"/>
      <c r="AUP701" s="1349"/>
      <c r="AUQ701" s="1349"/>
      <c r="AUR701" s="1349"/>
      <c r="AUS701" s="1349"/>
      <c r="AUT701" s="1349"/>
      <c r="AUU701" s="1349"/>
      <c r="AUV701" s="1349"/>
      <c r="AUW701" s="1349"/>
      <c r="AUX701" s="1349"/>
      <c r="AUY701" s="1349"/>
      <c r="AUZ701" s="1349"/>
      <c r="AVA701" s="1349"/>
      <c r="AVB701" s="1349"/>
      <c r="AVC701" s="1349"/>
      <c r="AVD701" s="1349"/>
      <c r="AVE701" s="1349"/>
      <c r="AVF701" s="1349"/>
      <c r="AVG701" s="1349"/>
      <c r="AVH701" s="1349"/>
      <c r="AVI701" s="1349"/>
      <c r="AVJ701" s="1349"/>
      <c r="AVK701" s="1349"/>
      <c r="AVL701" s="1349"/>
      <c r="AVM701" s="1349"/>
      <c r="AVN701" s="1349"/>
      <c r="AVO701" s="1349"/>
      <c r="AVP701" s="1349"/>
      <c r="AVQ701" s="1349"/>
      <c r="AVR701" s="1349"/>
      <c r="AVS701" s="1349"/>
      <c r="AVT701" s="1349"/>
      <c r="AVU701" s="1349"/>
      <c r="AVV701" s="1349"/>
      <c r="AVW701" s="1349"/>
      <c r="AVX701" s="1349"/>
      <c r="AVY701" s="1349"/>
      <c r="AVZ701" s="1349"/>
      <c r="AWA701" s="1349"/>
      <c r="AWB701" s="1349"/>
      <c r="AWC701" s="1349"/>
      <c r="AWD701" s="1349"/>
      <c r="AWE701" s="1349"/>
      <c r="AWF701" s="1349"/>
      <c r="AWG701" s="1349"/>
      <c r="AWH701" s="1349"/>
      <c r="AWI701" s="1349"/>
      <c r="AWJ701" s="1349"/>
      <c r="AWK701" s="1349"/>
      <c r="AWL701" s="1349"/>
      <c r="AWM701" s="1349"/>
      <c r="AWN701" s="1349"/>
      <c r="AWO701" s="1349"/>
      <c r="AWP701" s="1349"/>
      <c r="AWQ701" s="1349"/>
      <c r="AWR701" s="1349"/>
      <c r="AWS701" s="1349"/>
      <c r="AWT701" s="1349"/>
      <c r="AWU701" s="1349"/>
      <c r="AWV701" s="1349"/>
      <c r="AWW701" s="1349"/>
      <c r="AWX701" s="1349"/>
      <c r="AWY701" s="1349"/>
      <c r="AWZ701" s="1349"/>
      <c r="AXA701" s="1349"/>
      <c r="AXB701" s="1349"/>
      <c r="AXC701" s="1349"/>
      <c r="AXD701" s="1349"/>
      <c r="AXE701" s="1349"/>
      <c r="AXF701" s="1349"/>
      <c r="AXG701" s="1349"/>
      <c r="AXH701" s="1349"/>
      <c r="AXI701" s="1349"/>
      <c r="AXJ701" s="1349"/>
      <c r="AXK701" s="1349"/>
      <c r="AXL701" s="1349"/>
      <c r="AXM701" s="1349"/>
      <c r="AXN701" s="1349"/>
      <c r="AXO701" s="1349"/>
      <c r="AXP701" s="1349"/>
      <c r="AXQ701" s="1349"/>
      <c r="AXR701" s="1349"/>
      <c r="AXS701" s="1349"/>
      <c r="AXT701" s="1349"/>
      <c r="AXU701" s="1349"/>
      <c r="AXV701" s="1349"/>
      <c r="AXW701" s="1349"/>
      <c r="AXX701" s="1349"/>
      <c r="AXY701" s="1349"/>
      <c r="AXZ701" s="1349"/>
      <c r="AYA701" s="1349"/>
      <c r="AYB701" s="1349"/>
      <c r="AYC701" s="1349"/>
      <c r="AYD701" s="1349"/>
      <c r="AYE701" s="1349"/>
      <c r="AYF701" s="1349"/>
      <c r="AYG701" s="1349"/>
      <c r="AYH701" s="1349"/>
      <c r="AYI701" s="1349"/>
      <c r="AYJ701" s="1349"/>
      <c r="AYK701" s="1349"/>
      <c r="AYL701" s="1349"/>
      <c r="AYM701" s="1349"/>
      <c r="AYN701" s="1349"/>
      <c r="AYO701" s="1349"/>
      <c r="AYP701" s="1349"/>
      <c r="AYQ701" s="1349"/>
      <c r="AYR701" s="1349"/>
      <c r="AYS701" s="1349"/>
      <c r="AYT701" s="1349"/>
      <c r="AYU701" s="1349"/>
      <c r="AYV701" s="1349"/>
      <c r="AYW701" s="1349"/>
      <c r="AYX701" s="1349"/>
      <c r="AYY701" s="1349"/>
      <c r="AYZ701" s="1349"/>
      <c r="AZA701" s="1349"/>
      <c r="AZB701" s="1349"/>
      <c r="AZC701" s="1349"/>
      <c r="AZD701" s="1349"/>
      <c r="AZE701" s="1349"/>
      <c r="AZF701" s="1349"/>
      <c r="AZG701" s="1349"/>
      <c r="AZH701" s="1349"/>
      <c r="AZI701" s="1349"/>
      <c r="AZJ701" s="1349"/>
      <c r="AZK701" s="1349"/>
      <c r="AZL701" s="1349"/>
      <c r="AZM701" s="1349"/>
      <c r="AZN701" s="1349"/>
      <c r="AZO701" s="1349"/>
      <c r="AZP701" s="1349"/>
      <c r="AZQ701" s="1349"/>
      <c r="AZR701" s="1349"/>
      <c r="AZS701" s="1349"/>
      <c r="AZT701" s="1349"/>
      <c r="AZU701" s="1349"/>
      <c r="AZV701" s="1349"/>
      <c r="AZW701" s="1349"/>
      <c r="AZX701" s="1349"/>
      <c r="AZY701" s="1349"/>
      <c r="AZZ701" s="1349"/>
      <c r="BAA701" s="1349"/>
      <c r="BAB701" s="1349"/>
      <c r="BAC701" s="1349"/>
      <c r="BAD701" s="1349"/>
      <c r="BAE701" s="1349"/>
      <c r="BAF701" s="1349"/>
      <c r="BAG701" s="1349"/>
      <c r="BAH701" s="1349"/>
      <c r="BAI701" s="1349"/>
      <c r="BAJ701" s="1349"/>
      <c r="BAK701" s="1349"/>
      <c r="BAL701" s="1349"/>
      <c r="BAM701" s="1349"/>
      <c r="BAN701" s="1349"/>
      <c r="BAO701" s="1349"/>
      <c r="BAP701" s="1349"/>
      <c r="BAQ701" s="1349"/>
      <c r="BAR701" s="1349"/>
      <c r="BAS701" s="1349"/>
      <c r="BAT701" s="1349"/>
      <c r="BAU701" s="1349"/>
      <c r="BAV701" s="1349"/>
      <c r="BAW701" s="1349"/>
      <c r="BAX701" s="1349"/>
      <c r="BAY701" s="1349"/>
      <c r="BAZ701" s="1349"/>
      <c r="BBA701" s="1349"/>
      <c r="BBB701" s="1349"/>
      <c r="BBC701" s="1349"/>
      <c r="BBD701" s="1349"/>
      <c r="BBE701" s="1349"/>
      <c r="BBF701" s="1349"/>
      <c r="BBG701" s="1349"/>
      <c r="BBH701" s="1349"/>
      <c r="BBI701" s="1349"/>
      <c r="BBJ701" s="1349"/>
      <c r="BBK701" s="1349"/>
      <c r="BBL701" s="1349"/>
      <c r="BBM701" s="1349"/>
      <c r="BBN701" s="1349"/>
      <c r="BBO701" s="1349"/>
      <c r="BBP701" s="1349"/>
      <c r="BBQ701" s="1349"/>
      <c r="BBR701" s="1349"/>
      <c r="BBS701" s="1349"/>
      <c r="BBT701" s="1349"/>
      <c r="BBU701" s="1349"/>
      <c r="BBV701" s="1349"/>
      <c r="BBW701" s="1349"/>
      <c r="BBX701" s="1349"/>
      <c r="BBY701" s="1349"/>
      <c r="BBZ701" s="1349"/>
      <c r="BCA701" s="1349"/>
      <c r="BCB701" s="1349"/>
      <c r="BCC701" s="1349"/>
      <c r="BCD701" s="1349"/>
      <c r="BCE701" s="1349"/>
      <c r="BCF701" s="1349"/>
      <c r="BCG701" s="1349"/>
      <c r="BCH701" s="1349"/>
      <c r="BCI701" s="1349"/>
      <c r="BCJ701" s="1349"/>
      <c r="BCK701" s="1349"/>
      <c r="BCL701" s="1349"/>
      <c r="BCM701" s="1349"/>
      <c r="BCN701" s="1349"/>
      <c r="BCO701" s="1349"/>
      <c r="BCP701" s="1349"/>
      <c r="BCQ701" s="1349"/>
      <c r="BCR701" s="1349"/>
      <c r="BCS701" s="1349"/>
      <c r="BCT701" s="1349"/>
      <c r="BCU701" s="1349"/>
      <c r="BCV701" s="1349"/>
      <c r="BCW701" s="1349"/>
      <c r="BCX701" s="1349"/>
      <c r="BCY701" s="1349"/>
      <c r="BCZ701" s="1349"/>
      <c r="BDA701" s="1349"/>
      <c r="BDB701" s="1349"/>
      <c r="BDC701" s="1349"/>
      <c r="BDD701" s="1349"/>
      <c r="BDE701" s="1349"/>
      <c r="BDF701" s="1349"/>
      <c r="BDG701" s="1349"/>
      <c r="BDH701" s="1349"/>
      <c r="BDI701" s="1349"/>
      <c r="BDJ701" s="1349"/>
      <c r="BDK701" s="1349"/>
      <c r="BDL701" s="1349"/>
      <c r="BDM701" s="1349"/>
      <c r="BDN701" s="1349"/>
      <c r="BDO701" s="1349"/>
      <c r="BDP701" s="1349"/>
      <c r="BDQ701" s="1349"/>
      <c r="BDR701" s="1349"/>
      <c r="BDS701" s="1349"/>
      <c r="BDT701" s="1349"/>
      <c r="BDU701" s="1349"/>
      <c r="BDV701" s="1349"/>
      <c r="BDW701" s="1349"/>
      <c r="BDX701" s="1349"/>
      <c r="BDY701" s="1349"/>
      <c r="BDZ701" s="1349"/>
      <c r="BEA701" s="1349"/>
      <c r="BEB701" s="1349"/>
      <c r="BEC701" s="1349"/>
      <c r="BED701" s="1349"/>
      <c r="BEE701" s="1349"/>
      <c r="BEF701" s="1349"/>
      <c r="BEG701" s="1349"/>
      <c r="BEH701" s="1349"/>
      <c r="BEI701" s="1349"/>
      <c r="BEJ701" s="1349"/>
      <c r="BEK701" s="1349"/>
      <c r="BEL701" s="1349"/>
      <c r="BEM701" s="1349"/>
      <c r="BEN701" s="1349"/>
      <c r="BEO701" s="1349"/>
      <c r="BEP701" s="1349"/>
      <c r="BEQ701" s="1349"/>
      <c r="BER701" s="1349"/>
      <c r="BES701" s="1349"/>
      <c r="BET701" s="1349"/>
      <c r="BEU701" s="1349"/>
      <c r="BEV701" s="1349"/>
      <c r="BEW701" s="1349"/>
      <c r="BEX701" s="1349"/>
      <c r="BEY701" s="1349"/>
      <c r="BEZ701" s="1349"/>
      <c r="BFA701" s="1349"/>
      <c r="BFB701" s="1349"/>
      <c r="BFC701" s="1349"/>
      <c r="BFD701" s="1349"/>
      <c r="BFE701" s="1349"/>
      <c r="BFF701" s="1349"/>
      <c r="BFG701" s="1349"/>
      <c r="BFH701" s="1349"/>
      <c r="BFI701" s="1349"/>
      <c r="BFJ701" s="1349"/>
      <c r="BFK701" s="1349"/>
      <c r="BFL701" s="1349"/>
      <c r="BFM701" s="1349"/>
      <c r="BFN701" s="1349"/>
      <c r="BFO701" s="1349"/>
      <c r="BFP701" s="1349"/>
      <c r="BFQ701" s="1349"/>
      <c r="BFR701" s="1349"/>
      <c r="BFS701" s="1349"/>
      <c r="BFT701" s="1349"/>
      <c r="BFU701" s="1349"/>
      <c r="BFV701" s="1349"/>
      <c r="BFW701" s="1349"/>
      <c r="BFX701" s="1349"/>
      <c r="BFY701" s="1349"/>
      <c r="BFZ701" s="1349"/>
      <c r="BGA701" s="1349"/>
      <c r="BGB701" s="1349"/>
      <c r="BGC701" s="1349"/>
      <c r="BGD701" s="1349"/>
      <c r="BGE701" s="1349"/>
      <c r="BGF701" s="1349"/>
      <c r="BGG701" s="1349"/>
      <c r="BGH701" s="1349"/>
      <c r="BGI701" s="1349"/>
      <c r="BGJ701" s="1349"/>
      <c r="BGK701" s="1349"/>
      <c r="BGL701" s="1349"/>
      <c r="BGM701" s="1349"/>
      <c r="BGN701" s="1349"/>
      <c r="BGO701" s="1349"/>
      <c r="BGP701" s="1349"/>
      <c r="BGQ701" s="1349"/>
      <c r="BGR701" s="1349"/>
      <c r="BGS701" s="1349"/>
      <c r="BGT701" s="1349"/>
      <c r="BGU701" s="1349"/>
      <c r="BGV701" s="1349"/>
      <c r="BGW701" s="1349"/>
      <c r="BGX701" s="1349"/>
      <c r="BGY701" s="1349"/>
      <c r="BGZ701" s="1349"/>
      <c r="BHA701" s="1349"/>
      <c r="BHB701" s="1349"/>
      <c r="BHC701" s="1349"/>
      <c r="BHD701" s="1349"/>
      <c r="BHE701" s="1349"/>
      <c r="BHF701" s="1349"/>
      <c r="BHG701" s="1349"/>
      <c r="BHH701" s="1349"/>
      <c r="BHI701" s="1349"/>
      <c r="BHJ701" s="1349"/>
      <c r="BHK701" s="1349"/>
      <c r="BHL701" s="1349"/>
      <c r="BHM701" s="1349"/>
      <c r="BHN701" s="1349"/>
      <c r="BHO701" s="1349"/>
      <c r="BHP701" s="1349"/>
      <c r="BHQ701" s="1349"/>
      <c r="BHR701" s="1349"/>
      <c r="BHS701" s="1349"/>
      <c r="BHT701" s="1349"/>
      <c r="BHU701" s="1349"/>
      <c r="BHV701" s="1349"/>
      <c r="BHW701" s="1349"/>
      <c r="BHX701" s="1349"/>
      <c r="BHY701" s="1349"/>
      <c r="BHZ701" s="1349"/>
      <c r="BIA701" s="1349"/>
      <c r="BIB701" s="1349"/>
      <c r="BIC701" s="1349"/>
      <c r="BID701" s="1349"/>
      <c r="BIE701" s="1349"/>
      <c r="BIF701" s="1349"/>
      <c r="BIG701" s="1349"/>
      <c r="BIH701" s="1349"/>
      <c r="BII701" s="1349"/>
      <c r="BIJ701" s="1349"/>
      <c r="BIK701" s="1349"/>
      <c r="BIL701" s="1349"/>
      <c r="BIM701" s="1349"/>
      <c r="BIN701" s="1349"/>
      <c r="BIO701" s="1349"/>
      <c r="BIP701" s="1349"/>
      <c r="BIQ701" s="1349"/>
      <c r="BIR701" s="1349"/>
      <c r="BIS701" s="1349"/>
      <c r="BIT701" s="1349"/>
      <c r="BIU701" s="1349"/>
      <c r="BIV701" s="1349"/>
      <c r="BIW701" s="1349"/>
      <c r="BIX701" s="1349"/>
      <c r="BIY701" s="1349"/>
      <c r="BIZ701" s="1349"/>
      <c r="BJA701" s="1349"/>
      <c r="BJB701" s="1349"/>
      <c r="BJC701" s="1349"/>
      <c r="BJD701" s="1349"/>
      <c r="BJE701" s="1349"/>
      <c r="BJF701" s="1349"/>
      <c r="BJG701" s="1349"/>
      <c r="BJH701" s="1349"/>
      <c r="BJI701" s="1349"/>
      <c r="BJJ701" s="1349"/>
      <c r="BJK701" s="1349"/>
      <c r="BJL701" s="1349"/>
      <c r="BJM701" s="1349"/>
      <c r="BJN701" s="1349"/>
      <c r="BJO701" s="1349"/>
      <c r="BJP701" s="1349"/>
      <c r="BJQ701" s="1349"/>
      <c r="BJR701" s="1349"/>
      <c r="BJS701" s="1349"/>
      <c r="BJT701" s="1349"/>
      <c r="BJU701" s="1349"/>
      <c r="BJV701" s="1349"/>
      <c r="BJW701" s="1349"/>
      <c r="BJX701" s="1349"/>
      <c r="BJY701" s="1349"/>
      <c r="BJZ701" s="1349"/>
      <c r="BKA701" s="1349"/>
      <c r="BKB701" s="1349"/>
      <c r="BKC701" s="1349"/>
      <c r="BKD701" s="1349"/>
      <c r="BKE701" s="1349"/>
      <c r="BKF701" s="1349"/>
      <c r="BKG701" s="1349"/>
      <c r="BKH701" s="1349"/>
      <c r="BKI701" s="1349"/>
      <c r="BKJ701" s="1349"/>
      <c r="BKK701" s="1349"/>
      <c r="BKL701" s="1349"/>
      <c r="BKM701" s="1349"/>
      <c r="BKN701" s="1349"/>
      <c r="BKO701" s="1349"/>
      <c r="BKP701" s="1349"/>
      <c r="BKQ701" s="1349"/>
      <c r="BKR701" s="1349"/>
      <c r="BKS701" s="1349"/>
      <c r="BKT701" s="1349"/>
      <c r="BKU701" s="1349"/>
      <c r="BKV701" s="1349"/>
      <c r="BKW701" s="1349"/>
      <c r="BKX701" s="1349"/>
      <c r="BKY701" s="1349"/>
      <c r="BKZ701" s="1349"/>
      <c r="BLA701" s="1349"/>
      <c r="BLB701" s="1349"/>
      <c r="BLC701" s="1349"/>
      <c r="BLD701" s="1349"/>
      <c r="BLE701" s="1349"/>
      <c r="BLF701" s="1349"/>
      <c r="BLG701" s="1349"/>
      <c r="BLH701" s="1349"/>
      <c r="BLI701" s="1349"/>
      <c r="BLJ701" s="1349"/>
      <c r="BLK701" s="1349"/>
      <c r="BLL701" s="1349"/>
      <c r="BLM701" s="1349"/>
      <c r="BLN701" s="1349"/>
      <c r="BLO701" s="1349"/>
      <c r="BLP701" s="1349"/>
      <c r="BLQ701" s="1349"/>
      <c r="BLR701" s="1349"/>
      <c r="BLS701" s="1349"/>
      <c r="BLT701" s="1349"/>
      <c r="BLU701" s="1349"/>
      <c r="BLV701" s="1349"/>
      <c r="BLW701" s="1349"/>
      <c r="BLX701" s="1349"/>
      <c r="BLY701" s="1349"/>
      <c r="BLZ701" s="1349"/>
      <c r="BMA701" s="1349"/>
      <c r="BMB701" s="1349"/>
      <c r="BMC701" s="1349"/>
      <c r="BMD701" s="1349"/>
      <c r="BME701" s="1349"/>
      <c r="BMF701" s="1349"/>
      <c r="BMG701" s="1349"/>
      <c r="BMH701" s="1349"/>
      <c r="BMI701" s="1349"/>
      <c r="BMJ701" s="1349"/>
      <c r="BMK701" s="1349"/>
      <c r="BML701" s="1349"/>
      <c r="BMM701" s="1349"/>
      <c r="BMN701" s="1349"/>
      <c r="BMO701" s="1349"/>
      <c r="BMP701" s="1349"/>
      <c r="BMQ701" s="1349"/>
      <c r="BMR701" s="1349"/>
      <c r="BMS701" s="1349"/>
      <c r="BMT701" s="1349"/>
      <c r="BMU701" s="1349"/>
      <c r="BMV701" s="1349"/>
      <c r="BMW701" s="1349"/>
      <c r="BMX701" s="1349"/>
      <c r="BMY701" s="1349"/>
      <c r="BMZ701" s="1349"/>
      <c r="BNA701" s="1349"/>
      <c r="BNB701" s="1349"/>
      <c r="BNC701" s="1349"/>
      <c r="BND701" s="1349"/>
      <c r="BNE701" s="1349"/>
      <c r="BNF701" s="1349"/>
      <c r="BNG701" s="1349"/>
      <c r="BNH701" s="1349"/>
      <c r="BNI701" s="1349"/>
      <c r="BNJ701" s="1349"/>
      <c r="BNK701" s="1349"/>
      <c r="BNL701" s="1349"/>
      <c r="BNM701" s="1349"/>
      <c r="BNN701" s="1349"/>
      <c r="BNO701" s="1349"/>
      <c r="BNP701" s="1349"/>
      <c r="BNQ701" s="1349"/>
      <c r="BNR701" s="1349"/>
      <c r="BNS701" s="1349"/>
      <c r="BNT701" s="1349"/>
      <c r="BNU701" s="1349"/>
      <c r="BNV701" s="1349"/>
      <c r="BNW701" s="1349"/>
      <c r="BNX701" s="1349"/>
      <c r="BNY701" s="1349"/>
      <c r="BNZ701" s="1349"/>
      <c r="BOA701" s="1349"/>
      <c r="BOB701" s="1349"/>
      <c r="BOC701" s="1349"/>
      <c r="BOD701" s="1349"/>
      <c r="BOE701" s="1349"/>
      <c r="BOF701" s="1349"/>
      <c r="BOG701" s="1349"/>
      <c r="BOH701" s="1349"/>
      <c r="BOI701" s="1349"/>
      <c r="BOJ701" s="1349"/>
      <c r="BOK701" s="1349"/>
      <c r="BOL701" s="1349"/>
      <c r="BOM701" s="1349"/>
      <c r="BON701" s="1349"/>
      <c r="BOO701" s="1349"/>
      <c r="BOP701" s="1349"/>
      <c r="BOQ701" s="1349"/>
      <c r="BOR701" s="1349"/>
      <c r="BOS701" s="1349"/>
      <c r="BOT701" s="1349"/>
      <c r="BOU701" s="1349"/>
      <c r="BOV701" s="1349"/>
      <c r="BOW701" s="1349"/>
      <c r="BOX701" s="1349"/>
      <c r="BOY701" s="1349"/>
      <c r="BOZ701" s="1349"/>
      <c r="BPA701" s="1349"/>
      <c r="BPB701" s="1349"/>
      <c r="BPC701" s="1349"/>
      <c r="BPD701" s="1349"/>
      <c r="BPE701" s="1349"/>
      <c r="BPF701" s="1349"/>
      <c r="BPG701" s="1349"/>
      <c r="BPH701" s="1349"/>
      <c r="BPI701" s="1349"/>
      <c r="BPJ701" s="1349"/>
      <c r="BPK701" s="1349"/>
      <c r="BPL701" s="1349"/>
      <c r="BPM701" s="1349"/>
      <c r="BPN701" s="1349"/>
      <c r="BPO701" s="1349"/>
      <c r="BPP701" s="1349"/>
      <c r="BPQ701" s="1349"/>
      <c r="BPR701" s="1349"/>
      <c r="BPS701" s="1349"/>
      <c r="BPT701" s="1349"/>
      <c r="BPU701" s="1349"/>
      <c r="BPV701" s="1349"/>
      <c r="BPW701" s="1349"/>
      <c r="BPX701" s="1349"/>
      <c r="BPY701" s="1349"/>
      <c r="BPZ701" s="1349"/>
      <c r="BQA701" s="1349"/>
      <c r="BQB701" s="1349"/>
      <c r="BQC701" s="1349"/>
      <c r="BQD701" s="1349"/>
      <c r="BQE701" s="1349"/>
      <c r="BQF701" s="1349"/>
      <c r="BQG701" s="1349"/>
      <c r="BQH701" s="1349"/>
      <c r="BQI701" s="1349"/>
      <c r="BQJ701" s="1349"/>
      <c r="BQK701" s="1349"/>
      <c r="BQL701" s="1349"/>
      <c r="BQM701" s="1349"/>
      <c r="BQN701" s="1349"/>
      <c r="BQO701" s="1349"/>
      <c r="BQP701" s="1349"/>
      <c r="BQQ701" s="1349"/>
      <c r="BQR701" s="1349"/>
      <c r="BQS701" s="1349"/>
      <c r="BQT701" s="1349"/>
      <c r="BQU701" s="1349"/>
      <c r="BQV701" s="1349"/>
      <c r="BQW701" s="1349"/>
      <c r="BQX701" s="1349"/>
      <c r="BQY701" s="1349"/>
      <c r="BQZ701" s="1349"/>
      <c r="BRA701" s="1349"/>
      <c r="BRB701" s="1349"/>
      <c r="BRC701" s="1349"/>
      <c r="BRD701" s="1349"/>
      <c r="BRE701" s="1349"/>
      <c r="BRF701" s="1349"/>
      <c r="BRG701" s="1349"/>
      <c r="BRH701" s="1349"/>
      <c r="BRI701" s="1349"/>
      <c r="BRJ701" s="1349"/>
      <c r="BRK701" s="1349"/>
      <c r="BRL701" s="1349"/>
      <c r="BRM701" s="1349"/>
      <c r="BRN701" s="1349"/>
      <c r="BRO701" s="1349"/>
      <c r="BRP701" s="1349"/>
      <c r="BRQ701" s="1349"/>
      <c r="BRR701" s="1349"/>
      <c r="BRS701" s="1349"/>
      <c r="BRT701" s="1349"/>
      <c r="BRU701" s="1349"/>
      <c r="BRV701" s="1349"/>
      <c r="BRW701" s="1349"/>
      <c r="BRX701" s="1349"/>
      <c r="BRY701" s="1349"/>
      <c r="BRZ701" s="1349"/>
      <c r="BSA701" s="1349"/>
      <c r="BSB701" s="1349"/>
      <c r="BSC701" s="1349"/>
      <c r="BSD701" s="1349"/>
      <c r="BSE701" s="1349"/>
      <c r="BSF701" s="1349"/>
      <c r="BSG701" s="1349"/>
      <c r="BSH701" s="1349"/>
      <c r="BSI701" s="1349"/>
      <c r="BSJ701" s="1349"/>
      <c r="BSK701" s="1349"/>
      <c r="BSL701" s="1349"/>
      <c r="BSM701" s="1349"/>
      <c r="BSN701" s="1349"/>
      <c r="BSO701" s="1349"/>
      <c r="BSP701" s="1349"/>
      <c r="BSQ701" s="1349"/>
      <c r="BSR701" s="1349"/>
      <c r="BSS701" s="1349"/>
      <c r="BST701" s="1349"/>
      <c r="BSU701" s="1349"/>
      <c r="BSV701" s="1349"/>
      <c r="BSW701" s="1349"/>
      <c r="BSX701" s="1349"/>
      <c r="BSY701" s="1349"/>
      <c r="BSZ701" s="1349"/>
      <c r="BTA701" s="1349"/>
      <c r="BTB701" s="1349"/>
      <c r="BTC701" s="1349"/>
      <c r="BTD701" s="1349"/>
      <c r="BTE701" s="1349"/>
      <c r="BTF701" s="1349"/>
      <c r="BTG701" s="1349"/>
      <c r="BTH701" s="1349"/>
      <c r="BTI701" s="1349"/>
      <c r="BTJ701" s="1349"/>
      <c r="BTK701" s="1349"/>
      <c r="BTL701" s="1349"/>
      <c r="BTM701" s="1349"/>
      <c r="BTN701" s="1349"/>
      <c r="BTO701" s="1349"/>
      <c r="BTP701" s="1349"/>
      <c r="BTQ701" s="1349"/>
      <c r="BTR701" s="1349"/>
      <c r="BTS701" s="1349"/>
      <c r="BTT701" s="1349"/>
      <c r="BTU701" s="1349"/>
      <c r="BTV701" s="1349"/>
      <c r="BTW701" s="1349"/>
      <c r="BTX701" s="1349"/>
      <c r="BTY701" s="1349"/>
      <c r="BTZ701" s="1349"/>
      <c r="BUA701" s="1349"/>
      <c r="BUB701" s="1349"/>
      <c r="BUC701" s="1349"/>
      <c r="BUD701" s="1349"/>
      <c r="BUE701" s="1349"/>
      <c r="BUF701" s="1349"/>
      <c r="BUG701" s="1349"/>
      <c r="BUH701" s="1349"/>
      <c r="BUI701" s="1349"/>
      <c r="BUJ701" s="1349"/>
      <c r="BUK701" s="1349"/>
      <c r="BUL701" s="1349"/>
      <c r="BUM701" s="1349"/>
      <c r="BUN701" s="1349"/>
      <c r="BUO701" s="1349"/>
      <c r="BUP701" s="1349"/>
      <c r="BUQ701" s="1349"/>
      <c r="BUR701" s="1349"/>
      <c r="BUS701" s="1349"/>
      <c r="BUT701" s="1349"/>
      <c r="BUU701" s="1349"/>
      <c r="BUV701" s="1349"/>
      <c r="BUW701" s="1349"/>
      <c r="BUX701" s="1349"/>
      <c r="BUY701" s="1349"/>
      <c r="BUZ701" s="1349"/>
      <c r="BVA701" s="1349"/>
      <c r="BVB701" s="1349"/>
      <c r="BVC701" s="1349"/>
      <c r="BVD701" s="1349"/>
      <c r="BVE701" s="1349"/>
      <c r="BVF701" s="1349"/>
      <c r="BVG701" s="1349"/>
      <c r="BVH701" s="1349"/>
      <c r="BVI701" s="1349"/>
      <c r="BVJ701" s="1349"/>
      <c r="BVK701" s="1349"/>
      <c r="BVL701" s="1349"/>
      <c r="BVM701" s="1349"/>
      <c r="BVN701" s="1349"/>
      <c r="BVO701" s="1349"/>
      <c r="BVP701" s="1349"/>
      <c r="BVQ701" s="1349"/>
      <c r="BVR701" s="1349"/>
      <c r="BVS701" s="1349"/>
      <c r="BVT701" s="1349"/>
      <c r="BVU701" s="1349"/>
      <c r="BVV701" s="1349"/>
      <c r="BVW701" s="1349"/>
      <c r="BVX701" s="1349"/>
      <c r="BVY701" s="1349"/>
      <c r="BVZ701" s="1349"/>
      <c r="BWA701" s="1349"/>
      <c r="BWB701" s="1349"/>
      <c r="BWC701" s="1349"/>
      <c r="BWD701" s="1349"/>
      <c r="BWE701" s="1349"/>
      <c r="BWF701" s="1349"/>
      <c r="BWG701" s="1349"/>
      <c r="BWH701" s="1349"/>
      <c r="BWI701" s="1349"/>
      <c r="BWJ701" s="1349"/>
      <c r="BWK701" s="1349"/>
      <c r="BWL701" s="1349"/>
      <c r="BWM701" s="1349"/>
      <c r="BWN701" s="1349"/>
      <c r="BWO701" s="1349"/>
      <c r="BWP701" s="1349"/>
      <c r="BWQ701" s="1349"/>
      <c r="BWR701" s="1349"/>
      <c r="BWS701" s="1349"/>
      <c r="BWT701" s="1349"/>
      <c r="BWU701" s="1349"/>
      <c r="BWV701" s="1349"/>
      <c r="BWW701" s="1349"/>
      <c r="BWX701" s="1349"/>
      <c r="BWY701" s="1349"/>
      <c r="BWZ701" s="1349"/>
      <c r="BXA701" s="1349"/>
      <c r="BXB701" s="1349"/>
      <c r="BXC701" s="1349"/>
      <c r="BXD701" s="1349"/>
      <c r="BXE701" s="1349"/>
      <c r="BXF701" s="1349"/>
      <c r="BXG701" s="1349"/>
      <c r="BXH701" s="1349"/>
      <c r="BXI701" s="1349"/>
      <c r="BXJ701" s="1349"/>
      <c r="BXK701" s="1349"/>
      <c r="BXL701" s="1349"/>
      <c r="BXM701" s="1349"/>
      <c r="BXN701" s="1349"/>
      <c r="BXO701" s="1349"/>
      <c r="BXP701" s="1349"/>
      <c r="BXQ701" s="1349"/>
      <c r="BXR701" s="1349"/>
      <c r="BXS701" s="1349"/>
      <c r="BXT701" s="1349"/>
      <c r="BXU701" s="1349"/>
      <c r="BXV701" s="1349"/>
      <c r="BXW701" s="1349"/>
      <c r="BXX701" s="1349"/>
      <c r="BXY701" s="1349"/>
      <c r="BXZ701" s="1349"/>
      <c r="BYA701" s="1349"/>
      <c r="BYB701" s="1349"/>
      <c r="BYC701" s="1349"/>
      <c r="BYD701" s="1349"/>
      <c r="BYE701" s="1349"/>
      <c r="BYF701" s="1349"/>
      <c r="BYG701" s="1349"/>
      <c r="BYH701" s="1349"/>
      <c r="BYI701" s="1349"/>
      <c r="BYJ701" s="1349"/>
      <c r="BYK701" s="1349"/>
      <c r="BYL701" s="1349"/>
      <c r="BYM701" s="1349"/>
      <c r="BYN701" s="1349"/>
      <c r="BYO701" s="1349"/>
      <c r="BYP701" s="1349"/>
      <c r="BYQ701" s="1349"/>
      <c r="BYR701" s="1349"/>
      <c r="BYS701" s="1349"/>
      <c r="BYT701" s="1349"/>
      <c r="BYU701" s="1349"/>
      <c r="BYV701" s="1349"/>
      <c r="BYW701" s="1349"/>
      <c r="BYX701" s="1349"/>
      <c r="BYY701" s="1349"/>
      <c r="BYZ701" s="1349"/>
      <c r="BZA701" s="1349"/>
      <c r="BZB701" s="1349"/>
      <c r="BZC701" s="1349"/>
      <c r="BZD701" s="1349"/>
      <c r="BZE701" s="1349"/>
      <c r="BZF701" s="1349"/>
      <c r="BZG701" s="1349"/>
      <c r="BZH701" s="1349"/>
      <c r="BZI701" s="1349"/>
      <c r="BZJ701" s="1349"/>
      <c r="BZK701" s="1349"/>
      <c r="BZL701" s="1349"/>
      <c r="BZM701" s="1349"/>
      <c r="BZN701" s="1349"/>
      <c r="BZO701" s="1349"/>
      <c r="BZP701" s="1349"/>
      <c r="BZQ701" s="1349"/>
      <c r="BZR701" s="1349"/>
      <c r="BZS701" s="1349"/>
      <c r="BZT701" s="1349"/>
      <c r="BZU701" s="1349"/>
      <c r="BZV701" s="1349"/>
      <c r="BZW701" s="1349"/>
      <c r="BZX701" s="1349"/>
      <c r="BZY701" s="1349"/>
      <c r="BZZ701" s="1349"/>
      <c r="CAA701" s="1349"/>
      <c r="CAB701" s="1349"/>
      <c r="CAC701" s="1349"/>
      <c r="CAD701" s="1349"/>
      <c r="CAE701" s="1349"/>
      <c r="CAF701" s="1349"/>
      <c r="CAG701" s="1349"/>
      <c r="CAH701" s="1349"/>
      <c r="CAI701" s="1349"/>
      <c r="CAJ701" s="1349"/>
      <c r="CAK701" s="1349"/>
      <c r="CAL701" s="1349"/>
      <c r="CAM701" s="1349"/>
      <c r="CAN701" s="1349"/>
      <c r="CAO701" s="1349"/>
      <c r="CAP701" s="1349"/>
      <c r="CAQ701" s="1349"/>
      <c r="CAR701" s="1349"/>
      <c r="CAS701" s="1349"/>
      <c r="CAT701" s="1349"/>
      <c r="CAU701" s="1349"/>
      <c r="CAV701" s="1349"/>
      <c r="CAW701" s="1349"/>
      <c r="CAX701" s="1349"/>
      <c r="CAY701" s="1349"/>
      <c r="CAZ701" s="1349"/>
      <c r="CBA701" s="1349"/>
      <c r="CBB701" s="1349"/>
      <c r="CBC701" s="1349"/>
      <c r="CBD701" s="1349"/>
      <c r="CBE701" s="1349"/>
      <c r="CBF701" s="1349"/>
      <c r="CBG701" s="1349"/>
      <c r="CBH701" s="1349"/>
      <c r="CBI701" s="1349"/>
      <c r="CBJ701" s="1349"/>
      <c r="CBK701" s="1349"/>
      <c r="CBL701" s="1349"/>
      <c r="CBM701" s="1349"/>
      <c r="CBN701" s="1349"/>
      <c r="CBO701" s="1349"/>
      <c r="CBP701" s="1349"/>
      <c r="CBQ701" s="1349"/>
      <c r="CBR701" s="1349"/>
      <c r="CBS701" s="1349"/>
      <c r="CBT701" s="1349"/>
      <c r="CBU701" s="1349"/>
      <c r="CBV701" s="1349"/>
      <c r="CBW701" s="1349"/>
      <c r="CBX701" s="1349"/>
      <c r="CBY701" s="1349"/>
      <c r="CBZ701" s="1349"/>
      <c r="CCA701" s="1349"/>
      <c r="CCB701" s="1349"/>
      <c r="CCC701" s="1349"/>
      <c r="CCD701" s="1349"/>
      <c r="CCE701" s="1349"/>
      <c r="CCF701" s="1349"/>
      <c r="CCG701" s="1349"/>
      <c r="CCH701" s="1349"/>
      <c r="CCI701" s="1349"/>
      <c r="CCJ701" s="1349"/>
      <c r="CCK701" s="1349"/>
      <c r="CCL701" s="1349"/>
      <c r="CCM701" s="1349"/>
      <c r="CCN701" s="1349"/>
      <c r="CCO701" s="1349"/>
      <c r="CCP701" s="1349"/>
      <c r="CCQ701" s="1349"/>
      <c r="CCR701" s="1349"/>
      <c r="CCS701" s="1349"/>
      <c r="CCT701" s="1349"/>
      <c r="CCU701" s="1349"/>
      <c r="CCV701" s="1349"/>
      <c r="CCW701" s="1349"/>
      <c r="CCX701" s="1349"/>
      <c r="CCY701" s="1349"/>
      <c r="CCZ701" s="1349"/>
      <c r="CDA701" s="1349"/>
      <c r="CDB701" s="1349"/>
      <c r="CDC701" s="1349"/>
      <c r="CDD701" s="1349"/>
      <c r="CDE701" s="1349"/>
      <c r="CDF701" s="1349"/>
      <c r="CDG701" s="1349"/>
      <c r="CDH701" s="1349"/>
      <c r="CDI701" s="1349"/>
      <c r="CDJ701" s="1349"/>
      <c r="CDK701" s="1349"/>
      <c r="CDL701" s="1349"/>
      <c r="CDM701" s="1349"/>
      <c r="CDN701" s="1349"/>
      <c r="CDO701" s="1349"/>
      <c r="CDP701" s="1349"/>
      <c r="CDQ701" s="1349"/>
      <c r="CDR701" s="1349"/>
      <c r="CDS701" s="1349"/>
      <c r="CDT701" s="1349"/>
      <c r="CDU701" s="1349"/>
      <c r="CDV701" s="1349"/>
      <c r="CDW701" s="1349"/>
      <c r="CDX701" s="1349"/>
      <c r="CDY701" s="1349"/>
      <c r="CDZ701" s="1349"/>
      <c r="CEA701" s="1349"/>
      <c r="CEB701" s="1349"/>
      <c r="CEC701" s="1349"/>
      <c r="CED701" s="1349"/>
      <c r="CEE701" s="1349"/>
      <c r="CEF701" s="1349"/>
      <c r="CEG701" s="1349"/>
      <c r="CEH701" s="1349"/>
      <c r="CEI701" s="1349"/>
      <c r="CEJ701" s="1349"/>
      <c r="CEK701" s="1349"/>
      <c r="CEL701" s="1349"/>
      <c r="CEM701" s="1349"/>
      <c r="CEN701" s="1349"/>
      <c r="CEO701" s="1349"/>
      <c r="CEP701" s="1349"/>
      <c r="CEQ701" s="1349"/>
      <c r="CER701" s="1349"/>
      <c r="CES701" s="1349"/>
      <c r="CET701" s="1349"/>
      <c r="CEU701" s="1349"/>
      <c r="CEV701" s="1349"/>
      <c r="CEW701" s="1349"/>
      <c r="CEX701" s="1349"/>
      <c r="CEY701" s="1349"/>
      <c r="CEZ701" s="1349"/>
      <c r="CFA701" s="1349"/>
      <c r="CFB701" s="1349"/>
      <c r="CFC701" s="1349"/>
      <c r="CFD701" s="1349"/>
      <c r="CFE701" s="1349"/>
      <c r="CFF701" s="1349"/>
      <c r="CFG701" s="1349"/>
      <c r="CFH701" s="1349"/>
      <c r="CFI701" s="1349"/>
      <c r="CFJ701" s="1349"/>
      <c r="CFK701" s="1349"/>
      <c r="CFL701" s="1349"/>
      <c r="CFM701" s="1349"/>
      <c r="CFN701" s="1349"/>
      <c r="CFO701" s="1349"/>
      <c r="CFP701" s="1349"/>
      <c r="CFQ701" s="1349"/>
      <c r="CFR701" s="1349"/>
      <c r="CFS701" s="1349"/>
      <c r="CFT701" s="1349"/>
      <c r="CFU701" s="1349"/>
      <c r="CFV701" s="1349"/>
      <c r="CFW701" s="1349"/>
      <c r="CFX701" s="1349"/>
      <c r="CFY701" s="1349"/>
      <c r="CFZ701" s="1349"/>
      <c r="CGA701" s="1349"/>
      <c r="CGB701" s="1349"/>
      <c r="CGC701" s="1349"/>
      <c r="CGD701" s="1349"/>
      <c r="CGE701" s="1349"/>
      <c r="CGF701" s="1349"/>
      <c r="CGG701" s="1349"/>
      <c r="CGH701" s="1349"/>
      <c r="CGI701" s="1349"/>
      <c r="CGJ701" s="1349"/>
      <c r="CGK701" s="1349"/>
      <c r="CGL701" s="1349"/>
      <c r="CGM701" s="1349"/>
      <c r="CGN701" s="1349"/>
      <c r="CGO701" s="1349"/>
      <c r="CGP701" s="1349"/>
      <c r="CGQ701" s="1349"/>
      <c r="CGR701" s="1349"/>
      <c r="CGS701" s="1349"/>
      <c r="CGT701" s="1349"/>
      <c r="CGU701" s="1349"/>
      <c r="CGV701" s="1349"/>
      <c r="CGW701" s="1349"/>
      <c r="CGX701" s="1349"/>
      <c r="CGY701" s="1349"/>
      <c r="CGZ701" s="1349"/>
      <c r="CHA701" s="1349"/>
      <c r="CHB701" s="1349"/>
      <c r="CHC701" s="1349"/>
      <c r="CHD701" s="1349"/>
      <c r="CHE701" s="1349"/>
      <c r="CHF701" s="1349"/>
      <c r="CHG701" s="1349"/>
      <c r="CHH701" s="1349"/>
      <c r="CHI701" s="1349"/>
      <c r="CHJ701" s="1349"/>
      <c r="CHK701" s="1349"/>
      <c r="CHL701" s="1349"/>
      <c r="CHM701" s="1349"/>
      <c r="CHN701" s="1349"/>
      <c r="CHO701" s="1349"/>
      <c r="CHP701" s="1349"/>
      <c r="CHQ701" s="1349"/>
      <c r="CHR701" s="1349"/>
      <c r="CHS701" s="1349"/>
      <c r="CHT701" s="1349"/>
      <c r="CHU701" s="1349"/>
      <c r="CHV701" s="1349"/>
      <c r="CHW701" s="1349"/>
      <c r="CHX701" s="1349"/>
      <c r="CHY701" s="1349"/>
      <c r="CHZ701" s="1349"/>
      <c r="CIA701" s="1349"/>
      <c r="CIB701" s="1349"/>
      <c r="CIC701" s="1349"/>
      <c r="CID701" s="1349"/>
      <c r="CIE701" s="1349"/>
      <c r="CIF701" s="1349"/>
      <c r="CIG701" s="1349"/>
      <c r="CIH701" s="1349"/>
      <c r="CII701" s="1349"/>
      <c r="CIJ701" s="1349"/>
      <c r="CIK701" s="1349"/>
      <c r="CIL701" s="1349"/>
      <c r="CIM701" s="1349"/>
      <c r="CIN701" s="1349"/>
      <c r="CIO701" s="1349"/>
      <c r="CIP701" s="1349"/>
      <c r="CIQ701" s="1349"/>
      <c r="CIR701" s="1349"/>
      <c r="CIS701" s="1349"/>
      <c r="CIT701" s="1349"/>
      <c r="CIU701" s="1349"/>
      <c r="CIV701" s="1349"/>
      <c r="CIW701" s="1349"/>
      <c r="CIX701" s="1349"/>
      <c r="CIY701" s="1349"/>
      <c r="CIZ701" s="1349"/>
      <c r="CJA701" s="1349"/>
      <c r="CJB701" s="1349"/>
      <c r="CJC701" s="1349"/>
      <c r="CJD701" s="1349"/>
      <c r="CJE701" s="1349"/>
      <c r="CJF701" s="1349"/>
      <c r="CJG701" s="1349"/>
      <c r="CJH701" s="1349"/>
      <c r="CJI701" s="1349"/>
      <c r="CJJ701" s="1349"/>
      <c r="CJK701" s="1349"/>
      <c r="CJL701" s="1349"/>
      <c r="CJM701" s="1349"/>
      <c r="CJN701" s="1349"/>
      <c r="CJO701" s="1349"/>
      <c r="CJP701" s="1349"/>
      <c r="CJQ701" s="1349"/>
      <c r="CJR701" s="1349"/>
      <c r="CJS701" s="1349"/>
      <c r="CJT701" s="1349"/>
      <c r="CJU701" s="1349"/>
      <c r="CJV701" s="1349"/>
      <c r="CJW701" s="1349"/>
      <c r="CJX701" s="1349"/>
      <c r="CJY701" s="1349"/>
      <c r="CJZ701" s="1349"/>
      <c r="CKA701" s="1349"/>
      <c r="CKB701" s="1349"/>
      <c r="CKC701" s="1349"/>
      <c r="CKD701" s="1349"/>
      <c r="CKE701" s="1349"/>
      <c r="CKF701" s="1349"/>
      <c r="CKG701" s="1349"/>
      <c r="CKH701" s="1349"/>
      <c r="CKI701" s="1349"/>
      <c r="CKJ701" s="1349"/>
      <c r="CKK701" s="1349"/>
      <c r="CKL701" s="1349"/>
      <c r="CKM701" s="1349"/>
      <c r="CKN701" s="1349"/>
      <c r="CKO701" s="1349"/>
      <c r="CKP701" s="1349"/>
      <c r="CKQ701" s="1349"/>
      <c r="CKR701" s="1349"/>
      <c r="CKS701" s="1349"/>
      <c r="CKT701" s="1349"/>
      <c r="CKU701" s="1349"/>
      <c r="CKV701" s="1349"/>
      <c r="CKW701" s="1349"/>
      <c r="CKX701" s="1349"/>
      <c r="CKY701" s="1349"/>
      <c r="CKZ701" s="1349"/>
      <c r="CLA701" s="1349"/>
      <c r="CLB701" s="1349"/>
      <c r="CLC701" s="1349"/>
      <c r="CLD701" s="1349"/>
      <c r="CLE701" s="1349"/>
      <c r="CLF701" s="1349"/>
      <c r="CLG701" s="1349"/>
      <c r="CLH701" s="1349"/>
      <c r="CLI701" s="1349"/>
      <c r="CLJ701" s="1349"/>
      <c r="CLK701" s="1349"/>
      <c r="CLL701" s="1349"/>
      <c r="CLM701" s="1349"/>
      <c r="CLN701" s="1349"/>
      <c r="CLO701" s="1349"/>
      <c r="CLP701" s="1349"/>
      <c r="CLQ701" s="1349"/>
      <c r="CLR701" s="1349"/>
      <c r="CLS701" s="1349"/>
      <c r="CLT701" s="1349"/>
      <c r="CLU701" s="1349"/>
      <c r="CLV701" s="1349"/>
      <c r="CLW701" s="1349"/>
      <c r="CLX701" s="1349"/>
      <c r="CLY701" s="1349"/>
      <c r="CLZ701" s="1349"/>
      <c r="CMA701" s="1349"/>
      <c r="CMB701" s="1349"/>
      <c r="CMC701" s="1349"/>
      <c r="CMD701" s="1349"/>
      <c r="CME701" s="1349"/>
      <c r="CMF701" s="1349"/>
      <c r="CMG701" s="1349"/>
      <c r="CMH701" s="1349"/>
      <c r="CMI701" s="1349"/>
      <c r="CMJ701" s="1349"/>
      <c r="CMK701" s="1349"/>
      <c r="CML701" s="1349"/>
      <c r="CMM701" s="1349"/>
      <c r="CMN701" s="1349"/>
      <c r="CMO701" s="1349"/>
      <c r="CMP701" s="1349"/>
      <c r="CMQ701" s="1349"/>
      <c r="CMR701" s="1349"/>
      <c r="CMS701" s="1349"/>
      <c r="CMT701" s="1349"/>
      <c r="CMU701" s="1349"/>
      <c r="CMV701" s="1349"/>
      <c r="CMW701" s="1349"/>
      <c r="CMX701" s="1349"/>
      <c r="CMY701" s="1349"/>
      <c r="CMZ701" s="1349"/>
      <c r="CNA701" s="1349"/>
      <c r="CNB701" s="1349"/>
      <c r="CNC701" s="1349"/>
      <c r="CND701" s="1349"/>
      <c r="CNE701" s="1349"/>
      <c r="CNF701" s="1349"/>
      <c r="CNG701" s="1349"/>
      <c r="CNH701" s="1349"/>
      <c r="CNI701" s="1349"/>
      <c r="CNJ701" s="1349"/>
      <c r="CNK701" s="1349"/>
      <c r="CNL701" s="1349"/>
      <c r="CNM701" s="1349"/>
      <c r="CNN701" s="1349"/>
      <c r="CNO701" s="1349"/>
      <c r="CNP701" s="1349"/>
      <c r="CNQ701" s="1349"/>
      <c r="CNR701" s="1349"/>
      <c r="CNS701" s="1349"/>
      <c r="CNT701" s="1349"/>
      <c r="CNU701" s="1349"/>
      <c r="CNV701" s="1349"/>
      <c r="CNW701" s="1349"/>
      <c r="CNX701" s="1349"/>
      <c r="CNY701" s="1349"/>
      <c r="CNZ701" s="1349"/>
      <c r="COA701" s="1349"/>
      <c r="COB701" s="1349"/>
      <c r="COC701" s="1349"/>
      <c r="COD701" s="1349"/>
      <c r="COE701" s="1349"/>
      <c r="COF701" s="1349"/>
      <c r="COG701" s="1349"/>
      <c r="COH701" s="1349"/>
      <c r="COI701" s="1349"/>
      <c r="COJ701" s="1349"/>
      <c r="COK701" s="1349"/>
      <c r="COL701" s="1349"/>
      <c r="COM701" s="1349"/>
      <c r="CON701" s="1349"/>
      <c r="COO701" s="1349"/>
      <c r="COP701" s="1349"/>
      <c r="COQ701" s="1349"/>
      <c r="COR701" s="1349"/>
      <c r="COS701" s="1349"/>
      <c r="COT701" s="1349"/>
      <c r="COU701" s="1349"/>
      <c r="COV701" s="1349"/>
      <c r="COW701" s="1349"/>
      <c r="COX701" s="1349"/>
      <c r="COY701" s="1349"/>
      <c r="COZ701" s="1349"/>
      <c r="CPA701" s="1349"/>
      <c r="CPB701" s="1349"/>
      <c r="CPC701" s="1349"/>
      <c r="CPD701" s="1349"/>
      <c r="CPE701" s="1349"/>
      <c r="CPF701" s="1349"/>
      <c r="CPG701" s="1349"/>
      <c r="CPH701" s="1349"/>
      <c r="CPI701" s="1349"/>
      <c r="CPJ701" s="1349"/>
      <c r="CPK701" s="1349"/>
      <c r="CPL701" s="1349"/>
      <c r="CPM701" s="1349"/>
      <c r="CPN701" s="1349"/>
      <c r="CPO701" s="1349"/>
      <c r="CPP701" s="1349"/>
      <c r="CPQ701" s="1349"/>
      <c r="CPR701" s="1349"/>
      <c r="CPS701" s="1349"/>
      <c r="CPT701" s="1349"/>
      <c r="CPU701" s="1349"/>
      <c r="CPV701" s="1349"/>
      <c r="CPW701" s="1349"/>
      <c r="CPX701" s="1349"/>
      <c r="CPY701" s="1349"/>
      <c r="CPZ701" s="1349"/>
      <c r="CQA701" s="1349"/>
      <c r="CQB701" s="1349"/>
      <c r="CQC701" s="1349"/>
      <c r="CQD701" s="1349"/>
      <c r="CQE701" s="1349"/>
      <c r="CQF701" s="1349"/>
      <c r="CQG701" s="1349"/>
      <c r="CQH701" s="1349"/>
      <c r="CQI701" s="1349"/>
      <c r="CQJ701" s="1349"/>
      <c r="CQK701" s="1349"/>
      <c r="CQL701" s="1349"/>
      <c r="CQM701" s="1349"/>
      <c r="CQN701" s="1349"/>
      <c r="CQO701" s="1349"/>
      <c r="CQP701" s="1349"/>
      <c r="CQQ701" s="1349"/>
      <c r="CQR701" s="1349"/>
      <c r="CQS701" s="1349"/>
      <c r="CQT701" s="1349"/>
      <c r="CQU701" s="1349"/>
      <c r="CQV701" s="1349"/>
      <c r="CQW701" s="1349"/>
      <c r="CQX701" s="1349"/>
      <c r="CQY701" s="1349"/>
      <c r="CQZ701" s="1349"/>
      <c r="CRA701" s="1349"/>
      <c r="CRB701" s="1349"/>
      <c r="CRC701" s="1349"/>
      <c r="CRD701" s="1349"/>
      <c r="CRE701" s="1349"/>
      <c r="CRF701" s="1349"/>
      <c r="CRG701" s="1349"/>
      <c r="CRH701" s="1349"/>
      <c r="CRI701" s="1349"/>
      <c r="CRJ701" s="1349"/>
      <c r="CRK701" s="1349"/>
      <c r="CRL701" s="1349"/>
      <c r="CRM701" s="1349"/>
      <c r="CRN701" s="1349"/>
      <c r="CRO701" s="1349"/>
      <c r="CRP701" s="1349"/>
      <c r="CRQ701" s="1349"/>
      <c r="CRR701" s="1349"/>
      <c r="CRS701" s="1349"/>
      <c r="CRT701" s="1349"/>
      <c r="CRU701" s="1349"/>
      <c r="CRV701" s="1349"/>
      <c r="CRW701" s="1349"/>
      <c r="CRX701" s="1349"/>
      <c r="CRY701" s="1349"/>
      <c r="CRZ701" s="1349"/>
      <c r="CSA701" s="1349"/>
      <c r="CSB701" s="1349"/>
      <c r="CSC701" s="1349"/>
      <c r="CSD701" s="1349"/>
      <c r="CSE701" s="1349"/>
      <c r="CSF701" s="1349"/>
      <c r="CSG701" s="1349"/>
      <c r="CSH701" s="1349"/>
      <c r="CSI701" s="1349"/>
      <c r="CSJ701" s="1349"/>
      <c r="CSK701" s="1349"/>
      <c r="CSL701" s="1349"/>
      <c r="CSM701" s="1349"/>
      <c r="CSN701" s="1349"/>
      <c r="CSO701" s="1349"/>
      <c r="CSP701" s="1349"/>
      <c r="CSQ701" s="1349"/>
      <c r="CSR701" s="1349"/>
      <c r="CSS701" s="1349"/>
      <c r="CST701" s="1349"/>
      <c r="CSU701" s="1349"/>
      <c r="CSV701" s="1349"/>
      <c r="CSW701" s="1349"/>
      <c r="CSX701" s="1349"/>
      <c r="CSY701" s="1349"/>
      <c r="CSZ701" s="1349"/>
      <c r="CTA701" s="1349"/>
      <c r="CTB701" s="1349"/>
      <c r="CTC701" s="1349"/>
      <c r="CTD701" s="1349"/>
      <c r="CTE701" s="1349"/>
      <c r="CTF701" s="1349"/>
      <c r="CTG701" s="1349"/>
      <c r="CTH701" s="1349"/>
      <c r="CTI701" s="1349"/>
      <c r="CTJ701" s="1349"/>
      <c r="CTK701" s="1349"/>
      <c r="CTL701" s="1349"/>
      <c r="CTM701" s="1349"/>
      <c r="CTN701" s="1349"/>
      <c r="CTO701" s="1349"/>
      <c r="CTP701" s="1349"/>
      <c r="CTQ701" s="1349"/>
      <c r="CTR701" s="1349"/>
      <c r="CTS701" s="1349"/>
      <c r="CTT701" s="1349"/>
      <c r="CTU701" s="1349"/>
      <c r="CTV701" s="1349"/>
      <c r="CTW701" s="1349"/>
      <c r="CTX701" s="1349"/>
      <c r="CTY701" s="1349"/>
      <c r="CTZ701" s="1349"/>
      <c r="CUA701" s="1349"/>
      <c r="CUB701" s="1349"/>
      <c r="CUC701" s="1349"/>
      <c r="CUD701" s="1349"/>
      <c r="CUE701" s="1349"/>
      <c r="CUF701" s="1349"/>
      <c r="CUG701" s="1349"/>
      <c r="CUH701" s="1349"/>
      <c r="CUI701" s="1349"/>
      <c r="CUJ701" s="1349"/>
      <c r="CUK701" s="1349"/>
      <c r="CUL701" s="1349"/>
      <c r="CUM701" s="1349"/>
      <c r="CUN701" s="1349"/>
      <c r="CUO701" s="1349"/>
      <c r="CUP701" s="1349"/>
      <c r="CUQ701" s="1349"/>
      <c r="CUR701" s="1349"/>
      <c r="CUS701" s="1349"/>
      <c r="CUT701" s="1349"/>
      <c r="CUU701" s="1349"/>
      <c r="CUV701" s="1349"/>
      <c r="CUW701" s="1349"/>
      <c r="CUX701" s="1349"/>
      <c r="CUY701" s="1349"/>
      <c r="CUZ701" s="1349"/>
      <c r="CVA701" s="1349"/>
      <c r="CVB701" s="1349"/>
      <c r="CVC701" s="1349"/>
      <c r="CVD701" s="1349"/>
      <c r="CVE701" s="1349"/>
      <c r="CVF701" s="1349"/>
      <c r="CVG701" s="1349"/>
      <c r="CVH701" s="1349"/>
      <c r="CVI701" s="1349"/>
      <c r="CVJ701" s="1349"/>
      <c r="CVK701" s="1349"/>
      <c r="CVL701" s="1349"/>
      <c r="CVM701" s="1349"/>
      <c r="CVN701" s="1349"/>
      <c r="CVO701" s="1349"/>
      <c r="CVP701" s="1349"/>
      <c r="CVQ701" s="1349"/>
      <c r="CVR701" s="1349"/>
      <c r="CVS701" s="1349"/>
      <c r="CVT701" s="1349"/>
      <c r="CVU701" s="1349"/>
      <c r="CVV701" s="1349"/>
      <c r="CVW701" s="1349"/>
      <c r="CVX701" s="1349"/>
      <c r="CVY701" s="1349"/>
      <c r="CVZ701" s="1349"/>
      <c r="CWA701" s="1349"/>
      <c r="CWB701" s="1349"/>
      <c r="CWC701" s="1349"/>
      <c r="CWD701" s="1349"/>
      <c r="CWE701" s="1349"/>
      <c r="CWF701" s="1349"/>
      <c r="CWG701" s="1349"/>
      <c r="CWH701" s="1349"/>
      <c r="CWI701" s="1349"/>
      <c r="CWJ701" s="1349"/>
      <c r="CWK701" s="1349"/>
      <c r="CWL701" s="1349"/>
      <c r="CWM701" s="1349"/>
      <c r="CWN701" s="1349"/>
      <c r="CWO701" s="1349"/>
      <c r="CWP701" s="1349"/>
      <c r="CWQ701" s="1349"/>
      <c r="CWR701" s="1349"/>
      <c r="CWS701" s="1349"/>
      <c r="CWT701" s="1349"/>
      <c r="CWU701" s="1349"/>
      <c r="CWV701" s="1349"/>
      <c r="CWW701" s="1349"/>
      <c r="CWX701" s="1349"/>
      <c r="CWY701" s="1349"/>
      <c r="CWZ701" s="1349"/>
      <c r="CXA701" s="1349"/>
      <c r="CXB701" s="1349"/>
      <c r="CXC701" s="1349"/>
      <c r="CXD701" s="1349"/>
      <c r="CXE701" s="1349"/>
      <c r="CXF701" s="1349"/>
      <c r="CXG701" s="1349"/>
      <c r="CXH701" s="1349"/>
      <c r="CXI701" s="1349"/>
      <c r="CXJ701" s="1349"/>
      <c r="CXK701" s="1349"/>
      <c r="CXL701" s="1349"/>
      <c r="CXM701" s="1349"/>
      <c r="CXN701" s="1349"/>
      <c r="CXO701" s="1349"/>
      <c r="CXP701" s="1349"/>
      <c r="CXQ701" s="1349"/>
      <c r="CXR701" s="1349"/>
      <c r="CXS701" s="1349"/>
      <c r="CXT701" s="1349"/>
      <c r="CXU701" s="1349"/>
      <c r="CXV701" s="1349"/>
      <c r="CXW701" s="1349"/>
      <c r="CXX701" s="1349"/>
      <c r="CXY701" s="1349"/>
      <c r="CXZ701" s="1349"/>
      <c r="CYA701" s="1349"/>
      <c r="CYB701" s="1349"/>
      <c r="CYC701" s="1349"/>
      <c r="CYD701" s="1349"/>
      <c r="CYE701" s="1349"/>
      <c r="CYF701" s="1349"/>
      <c r="CYG701" s="1349"/>
      <c r="CYH701" s="1349"/>
      <c r="CYI701" s="1349"/>
      <c r="CYJ701" s="1349"/>
      <c r="CYK701" s="1349"/>
      <c r="CYL701" s="1349"/>
      <c r="CYM701" s="1349"/>
      <c r="CYN701" s="1349"/>
      <c r="CYO701" s="1349"/>
      <c r="CYP701" s="1349"/>
      <c r="CYQ701" s="1349"/>
      <c r="CYR701" s="1349"/>
      <c r="CYS701" s="1349"/>
      <c r="CYT701" s="1349"/>
      <c r="CYU701" s="1349"/>
      <c r="CYV701" s="1349"/>
      <c r="CYW701" s="1349"/>
      <c r="CYX701" s="1349"/>
      <c r="CYY701" s="1349"/>
      <c r="CYZ701" s="1349"/>
      <c r="CZA701" s="1349"/>
      <c r="CZB701" s="1349"/>
      <c r="CZC701" s="1349"/>
      <c r="CZD701" s="1349"/>
      <c r="CZE701" s="1349"/>
      <c r="CZF701" s="1349"/>
      <c r="CZG701" s="1349"/>
      <c r="CZH701" s="1349"/>
      <c r="CZI701" s="1349"/>
      <c r="CZJ701" s="1349"/>
      <c r="CZK701" s="1349"/>
      <c r="CZL701" s="1349"/>
      <c r="CZM701" s="1349"/>
      <c r="CZN701" s="1349"/>
      <c r="CZO701" s="1349"/>
      <c r="CZP701" s="1349"/>
      <c r="CZQ701" s="1349"/>
      <c r="CZR701" s="1349"/>
      <c r="CZS701" s="1349"/>
      <c r="CZT701" s="1349"/>
      <c r="CZU701" s="1349"/>
      <c r="CZV701" s="1349"/>
      <c r="CZW701" s="1349"/>
      <c r="CZX701" s="1349"/>
      <c r="CZY701" s="1349"/>
      <c r="CZZ701" s="1349"/>
      <c r="DAA701" s="1349"/>
      <c r="DAB701" s="1349"/>
      <c r="DAC701" s="1349"/>
      <c r="DAD701" s="1349"/>
      <c r="DAE701" s="1349"/>
      <c r="DAF701" s="1349"/>
      <c r="DAG701" s="1349"/>
      <c r="DAH701" s="1349"/>
      <c r="DAI701" s="1349"/>
      <c r="DAJ701" s="1349"/>
      <c r="DAK701" s="1349"/>
      <c r="DAL701" s="1349"/>
      <c r="DAM701" s="1349"/>
      <c r="DAN701" s="1349"/>
      <c r="DAO701" s="1349"/>
      <c r="DAP701" s="1349"/>
      <c r="DAQ701" s="1349"/>
      <c r="DAR701" s="1349"/>
      <c r="DAS701" s="1349"/>
      <c r="DAT701" s="1349"/>
      <c r="DAU701" s="1349"/>
      <c r="DAV701" s="1349"/>
      <c r="DAW701" s="1349"/>
      <c r="DAX701" s="1349"/>
      <c r="DAY701" s="1349"/>
      <c r="DAZ701" s="1349"/>
      <c r="DBA701" s="1349"/>
      <c r="DBB701" s="1349"/>
      <c r="DBC701" s="1349"/>
      <c r="DBD701" s="1349"/>
      <c r="DBE701" s="1349"/>
      <c r="DBF701" s="1349"/>
      <c r="DBG701" s="1349"/>
      <c r="DBH701" s="1349"/>
      <c r="DBI701" s="1349"/>
      <c r="DBJ701" s="1349"/>
      <c r="DBK701" s="1349"/>
      <c r="DBL701" s="1349"/>
      <c r="DBM701" s="1349"/>
      <c r="DBN701" s="1349"/>
      <c r="DBO701" s="1349"/>
      <c r="DBP701" s="1349"/>
      <c r="DBQ701" s="1349"/>
      <c r="DBR701" s="1349"/>
      <c r="DBS701" s="1349"/>
      <c r="DBT701" s="1349"/>
      <c r="DBU701" s="1349"/>
      <c r="DBV701" s="1349"/>
      <c r="DBW701" s="1349"/>
      <c r="DBX701" s="1349"/>
      <c r="DBY701" s="1349"/>
      <c r="DBZ701" s="1349"/>
      <c r="DCA701" s="1349"/>
      <c r="DCB701" s="1349"/>
      <c r="DCC701" s="1349"/>
      <c r="DCD701" s="1349"/>
      <c r="DCE701" s="1349"/>
      <c r="DCF701" s="1349"/>
      <c r="DCG701" s="1349"/>
      <c r="DCH701" s="1349"/>
      <c r="DCI701" s="1349"/>
      <c r="DCJ701" s="1349"/>
      <c r="DCK701" s="1349"/>
      <c r="DCL701" s="1349"/>
      <c r="DCM701" s="1349"/>
      <c r="DCN701" s="1349"/>
      <c r="DCO701" s="1349"/>
      <c r="DCP701" s="1349"/>
      <c r="DCQ701" s="1349"/>
      <c r="DCR701" s="1349"/>
      <c r="DCS701" s="1349"/>
      <c r="DCT701" s="1349"/>
      <c r="DCU701" s="1349"/>
      <c r="DCV701" s="1349"/>
      <c r="DCW701" s="1349"/>
      <c r="DCX701" s="1349"/>
      <c r="DCY701" s="1349"/>
      <c r="DCZ701" s="1349"/>
      <c r="DDA701" s="1349"/>
      <c r="DDB701" s="1349"/>
      <c r="DDC701" s="1349"/>
      <c r="DDD701" s="1349"/>
      <c r="DDE701" s="1349"/>
      <c r="DDF701" s="1349"/>
      <c r="DDG701" s="1349"/>
      <c r="DDH701" s="1349"/>
      <c r="DDI701" s="1349"/>
      <c r="DDJ701" s="1349"/>
      <c r="DDK701" s="1349"/>
      <c r="DDL701" s="1349"/>
      <c r="DDM701" s="1349"/>
      <c r="DDN701" s="1349"/>
      <c r="DDO701" s="1349"/>
      <c r="DDP701" s="1349"/>
      <c r="DDQ701" s="1349"/>
      <c r="DDR701" s="1349"/>
      <c r="DDS701" s="1349"/>
      <c r="DDT701" s="1349"/>
      <c r="DDU701" s="1349"/>
      <c r="DDV701" s="1349"/>
      <c r="DDW701" s="1349"/>
      <c r="DDX701" s="1349"/>
      <c r="DDY701" s="1349"/>
      <c r="DDZ701" s="1349"/>
      <c r="DEA701" s="1349"/>
      <c r="DEB701" s="1349"/>
      <c r="DEC701" s="1349"/>
      <c r="DED701" s="1349"/>
      <c r="DEE701" s="1349"/>
      <c r="DEF701" s="1349"/>
      <c r="DEG701" s="1349"/>
      <c r="DEH701" s="1349"/>
      <c r="DEI701" s="1349"/>
      <c r="DEJ701" s="1349"/>
      <c r="DEK701" s="1349"/>
      <c r="DEL701" s="1349"/>
      <c r="DEM701" s="1349"/>
      <c r="DEN701" s="1349"/>
      <c r="DEO701" s="1349"/>
      <c r="DEP701" s="1349"/>
      <c r="DEQ701" s="1349"/>
      <c r="DER701" s="1349"/>
      <c r="DES701" s="1349"/>
      <c r="DET701" s="1349"/>
      <c r="DEU701" s="1349"/>
      <c r="DEV701" s="1349"/>
      <c r="DEW701" s="1349"/>
      <c r="DEX701" s="1349"/>
      <c r="DEY701" s="1349"/>
      <c r="DEZ701" s="1349"/>
      <c r="DFA701" s="1349"/>
      <c r="DFB701" s="1349"/>
      <c r="DFC701" s="1349"/>
      <c r="DFD701" s="1349"/>
      <c r="DFE701" s="1349"/>
      <c r="DFF701" s="1349"/>
      <c r="DFG701" s="1349"/>
      <c r="DFH701" s="1349"/>
      <c r="DFI701" s="1349"/>
      <c r="DFJ701" s="1349"/>
      <c r="DFK701" s="1349"/>
      <c r="DFL701" s="1349"/>
      <c r="DFM701" s="1349"/>
      <c r="DFN701" s="1349"/>
      <c r="DFO701" s="1349"/>
      <c r="DFP701" s="1349"/>
      <c r="DFQ701" s="1349"/>
      <c r="DFR701" s="1349"/>
      <c r="DFS701" s="1349"/>
      <c r="DFT701" s="1349"/>
      <c r="DFU701" s="1349"/>
      <c r="DFV701" s="1349"/>
      <c r="DFW701" s="1349"/>
      <c r="DFX701" s="1349"/>
      <c r="DFY701" s="1349"/>
      <c r="DFZ701" s="1349"/>
      <c r="DGA701" s="1349"/>
      <c r="DGB701" s="1349"/>
      <c r="DGC701" s="1349"/>
      <c r="DGD701" s="1349"/>
      <c r="DGE701" s="1349"/>
      <c r="DGF701" s="1349"/>
      <c r="DGG701" s="1349"/>
      <c r="DGH701" s="1349"/>
      <c r="DGI701" s="1349"/>
      <c r="DGJ701" s="1349"/>
      <c r="DGK701" s="1349"/>
      <c r="DGL701" s="1349"/>
      <c r="DGM701" s="1349"/>
      <c r="DGN701" s="1349"/>
      <c r="DGO701" s="1349"/>
      <c r="DGP701" s="1349"/>
      <c r="DGQ701" s="1349"/>
      <c r="DGR701" s="1349"/>
      <c r="DGS701" s="1349"/>
      <c r="DGT701" s="1349"/>
      <c r="DGU701" s="1349"/>
      <c r="DGV701" s="1349"/>
      <c r="DGW701" s="1349"/>
      <c r="DGX701" s="1349"/>
      <c r="DGY701" s="1349"/>
      <c r="DGZ701" s="1349"/>
      <c r="DHA701" s="1349"/>
      <c r="DHB701" s="1349"/>
      <c r="DHC701" s="1349"/>
      <c r="DHD701" s="1349"/>
      <c r="DHE701" s="1349"/>
      <c r="DHF701" s="1349"/>
      <c r="DHG701" s="1349"/>
      <c r="DHH701" s="1349"/>
      <c r="DHI701" s="1349"/>
      <c r="DHJ701" s="1349"/>
      <c r="DHK701" s="1349"/>
      <c r="DHL701" s="1349"/>
      <c r="DHM701" s="1349"/>
      <c r="DHN701" s="1349"/>
      <c r="DHO701" s="1349"/>
      <c r="DHP701" s="1349"/>
      <c r="DHQ701" s="1349"/>
      <c r="DHR701" s="1349"/>
      <c r="DHS701" s="1349"/>
      <c r="DHT701" s="1349"/>
      <c r="DHU701" s="1349"/>
      <c r="DHV701" s="1349"/>
      <c r="DHW701" s="1349"/>
      <c r="DHX701" s="1349"/>
      <c r="DHY701" s="1349"/>
      <c r="DHZ701" s="1349"/>
      <c r="DIA701" s="1349"/>
      <c r="DIB701" s="1349"/>
      <c r="DIC701" s="1349"/>
      <c r="DID701" s="1349"/>
      <c r="DIE701" s="1349"/>
      <c r="DIF701" s="1349"/>
      <c r="DIG701" s="1349"/>
      <c r="DIH701" s="1349"/>
      <c r="DII701" s="1349"/>
      <c r="DIJ701" s="1349"/>
      <c r="DIK701" s="1349"/>
      <c r="DIL701" s="1349"/>
      <c r="DIM701" s="1349"/>
      <c r="DIN701" s="1349"/>
      <c r="DIO701" s="1349"/>
      <c r="DIP701" s="1349"/>
      <c r="DIQ701" s="1349"/>
      <c r="DIR701" s="1349"/>
      <c r="DIS701" s="1349"/>
      <c r="DIT701" s="1349"/>
      <c r="DIU701" s="1349"/>
      <c r="DIV701" s="1349"/>
      <c r="DIW701" s="1349"/>
      <c r="DIX701" s="1349"/>
      <c r="DIY701" s="1349"/>
      <c r="DIZ701" s="1349"/>
      <c r="DJA701" s="1349"/>
      <c r="DJB701" s="1349"/>
      <c r="DJC701" s="1349"/>
      <c r="DJD701" s="1349"/>
      <c r="DJE701" s="1349"/>
      <c r="DJF701" s="1349"/>
      <c r="DJG701" s="1349"/>
      <c r="DJH701" s="1349"/>
      <c r="DJI701" s="1349"/>
      <c r="DJJ701" s="1349"/>
      <c r="DJK701" s="1349"/>
      <c r="DJL701" s="1349"/>
      <c r="DJM701" s="1349"/>
      <c r="DJN701" s="1349"/>
      <c r="DJO701" s="1349"/>
      <c r="DJP701" s="1349"/>
      <c r="DJQ701" s="1349"/>
      <c r="DJR701" s="1349"/>
      <c r="DJS701" s="1349"/>
      <c r="DJT701" s="1349"/>
      <c r="DJU701" s="1349"/>
      <c r="DJV701" s="1349"/>
      <c r="DJW701" s="1349"/>
      <c r="DJX701" s="1349"/>
      <c r="DJY701" s="1349"/>
      <c r="DJZ701" s="1349"/>
      <c r="DKA701" s="1349"/>
      <c r="DKB701" s="1349"/>
      <c r="DKC701" s="1349"/>
      <c r="DKD701" s="1349"/>
      <c r="DKE701" s="1349"/>
      <c r="DKF701" s="1349"/>
      <c r="DKG701" s="1349"/>
      <c r="DKH701" s="1349"/>
      <c r="DKI701" s="1349"/>
      <c r="DKJ701" s="1349"/>
      <c r="DKK701" s="1349"/>
      <c r="DKL701" s="1349"/>
      <c r="DKM701" s="1349"/>
      <c r="DKN701" s="1349"/>
      <c r="DKO701" s="1349"/>
      <c r="DKP701" s="1349"/>
      <c r="DKQ701" s="1349"/>
      <c r="DKR701" s="1349"/>
      <c r="DKS701" s="1349"/>
      <c r="DKT701" s="1349"/>
      <c r="DKU701" s="1349"/>
      <c r="DKV701" s="1349"/>
      <c r="DKW701" s="1349"/>
      <c r="DKX701" s="1349"/>
      <c r="DKY701" s="1349"/>
      <c r="DKZ701" s="1349"/>
      <c r="DLA701" s="1349"/>
      <c r="DLB701" s="1349"/>
      <c r="DLC701" s="1349"/>
      <c r="DLD701" s="1349"/>
      <c r="DLE701" s="1349"/>
      <c r="DLF701" s="1349"/>
      <c r="DLG701" s="1349"/>
      <c r="DLH701" s="1349"/>
      <c r="DLI701" s="1349"/>
      <c r="DLJ701" s="1349"/>
      <c r="DLK701" s="1349"/>
      <c r="DLL701" s="1349"/>
      <c r="DLM701" s="1349"/>
      <c r="DLN701" s="1349"/>
      <c r="DLO701" s="1349"/>
      <c r="DLP701" s="1349"/>
      <c r="DLQ701" s="1349"/>
      <c r="DLR701" s="1349"/>
      <c r="DLS701" s="1349"/>
      <c r="DLT701" s="1349"/>
      <c r="DLU701" s="1349"/>
      <c r="DLV701" s="1349"/>
      <c r="DLW701" s="1349"/>
      <c r="DLX701" s="1349"/>
      <c r="DLY701" s="1349"/>
      <c r="DLZ701" s="1349"/>
      <c r="DMA701" s="1349"/>
      <c r="DMB701" s="1349"/>
      <c r="DMC701" s="1349"/>
      <c r="DMD701" s="1349"/>
      <c r="DME701" s="1349"/>
      <c r="DMF701" s="1349"/>
      <c r="DMG701" s="1349"/>
      <c r="DMH701" s="1349"/>
      <c r="DMI701" s="1349"/>
      <c r="DMJ701" s="1349"/>
      <c r="DMK701" s="1349"/>
      <c r="DML701" s="1349"/>
      <c r="DMM701" s="1349"/>
      <c r="DMN701" s="1349"/>
      <c r="DMO701" s="1349"/>
      <c r="DMP701" s="1349"/>
      <c r="DMQ701" s="1349"/>
      <c r="DMR701" s="1349"/>
      <c r="DMS701" s="1349"/>
      <c r="DMT701" s="1349"/>
      <c r="DMU701" s="1349"/>
      <c r="DMV701" s="1349"/>
      <c r="DMW701" s="1349"/>
      <c r="DMX701" s="1349"/>
      <c r="DMY701" s="1349"/>
      <c r="DMZ701" s="1349"/>
      <c r="DNA701" s="1349"/>
      <c r="DNB701" s="1349"/>
      <c r="DNC701" s="1349"/>
      <c r="DND701" s="1349"/>
      <c r="DNE701" s="1349"/>
      <c r="DNF701" s="1349"/>
      <c r="DNG701" s="1349"/>
      <c r="DNH701" s="1349"/>
      <c r="DNI701" s="1349"/>
      <c r="DNJ701" s="1349"/>
      <c r="DNK701" s="1349"/>
      <c r="DNL701" s="1349"/>
      <c r="DNM701" s="1349"/>
      <c r="DNN701" s="1349"/>
      <c r="DNO701" s="1349"/>
      <c r="DNP701" s="1349"/>
      <c r="DNQ701" s="1349"/>
      <c r="DNR701" s="1349"/>
      <c r="DNS701" s="1349"/>
      <c r="DNT701" s="1349"/>
      <c r="DNU701" s="1349"/>
      <c r="DNV701" s="1349"/>
      <c r="DNW701" s="1349"/>
      <c r="DNX701" s="1349"/>
      <c r="DNY701" s="1349"/>
      <c r="DNZ701" s="1349"/>
      <c r="DOA701" s="1349"/>
      <c r="DOB701" s="1349"/>
      <c r="DOC701" s="1349"/>
      <c r="DOD701" s="1349"/>
      <c r="DOE701" s="1349"/>
      <c r="DOF701" s="1349"/>
      <c r="DOG701" s="1349"/>
      <c r="DOH701" s="1349"/>
      <c r="DOI701" s="1349"/>
      <c r="DOJ701" s="1349"/>
      <c r="DOK701" s="1349"/>
      <c r="DOL701" s="1349"/>
      <c r="DOM701" s="1349"/>
      <c r="DON701" s="1349"/>
      <c r="DOO701" s="1349"/>
      <c r="DOP701" s="1349"/>
      <c r="DOQ701" s="1349"/>
      <c r="DOR701" s="1349"/>
      <c r="DOS701" s="1349"/>
      <c r="DOT701" s="1349"/>
      <c r="DOU701" s="1349"/>
      <c r="DOV701" s="1349"/>
      <c r="DOW701" s="1349"/>
      <c r="DOX701" s="1349"/>
      <c r="DOY701" s="1349"/>
      <c r="DOZ701" s="1349"/>
      <c r="DPA701" s="1349"/>
      <c r="DPB701" s="1349"/>
      <c r="DPC701" s="1349"/>
      <c r="DPD701" s="1349"/>
      <c r="DPE701" s="1349"/>
      <c r="DPF701" s="1349"/>
      <c r="DPG701" s="1349"/>
      <c r="DPH701" s="1349"/>
      <c r="DPI701" s="1349"/>
      <c r="DPJ701" s="1349"/>
      <c r="DPK701" s="1349"/>
      <c r="DPL701" s="1349"/>
      <c r="DPM701" s="1349"/>
      <c r="DPN701" s="1349"/>
      <c r="DPO701" s="1349"/>
      <c r="DPP701" s="1349"/>
      <c r="DPQ701" s="1349"/>
      <c r="DPR701" s="1349"/>
      <c r="DPS701" s="1349"/>
      <c r="DPT701" s="1349"/>
      <c r="DPU701" s="1349"/>
      <c r="DPV701" s="1349"/>
      <c r="DPW701" s="1349"/>
      <c r="DPX701" s="1349"/>
      <c r="DPY701" s="1349"/>
      <c r="DPZ701" s="1349"/>
      <c r="DQA701" s="1349"/>
      <c r="DQB701" s="1349"/>
      <c r="DQC701" s="1349"/>
      <c r="DQD701" s="1349"/>
      <c r="DQE701" s="1349"/>
      <c r="DQF701" s="1349"/>
      <c r="DQG701" s="1349"/>
      <c r="DQH701" s="1349"/>
      <c r="DQI701" s="1349"/>
      <c r="DQJ701" s="1349"/>
      <c r="DQK701" s="1349"/>
      <c r="DQL701" s="1349"/>
      <c r="DQM701" s="1349"/>
      <c r="DQN701" s="1349"/>
      <c r="DQO701" s="1349"/>
      <c r="DQP701" s="1349"/>
      <c r="DQQ701" s="1349"/>
      <c r="DQR701" s="1349"/>
      <c r="DQS701" s="1349"/>
      <c r="DQT701" s="1349"/>
      <c r="DQU701" s="1349"/>
      <c r="DQV701" s="1349"/>
      <c r="DQW701" s="1349"/>
      <c r="DQX701" s="1349"/>
      <c r="DQY701" s="1349"/>
      <c r="DQZ701" s="1349"/>
      <c r="DRA701" s="1349"/>
      <c r="DRB701" s="1349"/>
      <c r="DRC701" s="1349"/>
      <c r="DRD701" s="1349"/>
      <c r="DRE701" s="1349"/>
      <c r="DRF701" s="1349"/>
      <c r="DRG701" s="1349"/>
      <c r="DRH701" s="1349"/>
      <c r="DRI701" s="1349"/>
      <c r="DRJ701" s="1349"/>
      <c r="DRK701" s="1349"/>
      <c r="DRL701" s="1349"/>
      <c r="DRM701" s="1349"/>
      <c r="DRN701" s="1349"/>
      <c r="DRO701" s="1349"/>
      <c r="DRP701" s="1349"/>
      <c r="DRQ701" s="1349"/>
      <c r="DRR701" s="1349"/>
      <c r="DRS701" s="1349"/>
      <c r="DRT701" s="1349"/>
      <c r="DRU701" s="1349"/>
      <c r="DRV701" s="1349"/>
      <c r="DRW701" s="1349"/>
      <c r="DRX701" s="1349"/>
      <c r="DRY701" s="1349"/>
      <c r="DRZ701" s="1349"/>
      <c r="DSA701" s="1349"/>
      <c r="DSB701" s="1349"/>
      <c r="DSC701" s="1349"/>
      <c r="DSD701" s="1349"/>
      <c r="DSE701" s="1349"/>
      <c r="DSF701" s="1349"/>
      <c r="DSG701" s="1349"/>
      <c r="DSH701" s="1349"/>
      <c r="DSI701" s="1349"/>
      <c r="DSJ701" s="1349"/>
      <c r="DSK701" s="1349"/>
      <c r="DSL701" s="1349"/>
      <c r="DSM701" s="1349"/>
      <c r="DSN701" s="1349"/>
      <c r="DSO701" s="1349"/>
      <c r="DSP701" s="1349"/>
      <c r="DSQ701" s="1349"/>
      <c r="DSR701" s="1349"/>
      <c r="DSS701" s="1349"/>
      <c r="DST701" s="1349"/>
      <c r="DSU701" s="1349"/>
      <c r="DSV701" s="1349"/>
      <c r="DSW701" s="1349"/>
      <c r="DSX701" s="1349"/>
      <c r="DSY701" s="1349"/>
      <c r="DSZ701" s="1349"/>
      <c r="DTA701" s="1349"/>
      <c r="DTB701" s="1349"/>
      <c r="DTC701" s="1349"/>
      <c r="DTD701" s="1349"/>
      <c r="DTE701" s="1349"/>
      <c r="DTF701" s="1349"/>
      <c r="DTG701" s="1349"/>
      <c r="DTH701" s="1349"/>
      <c r="DTI701" s="1349"/>
      <c r="DTJ701" s="1349"/>
      <c r="DTK701" s="1349"/>
      <c r="DTL701" s="1349"/>
      <c r="DTM701" s="1349"/>
      <c r="DTN701" s="1349"/>
      <c r="DTO701" s="1349"/>
      <c r="DTP701" s="1349"/>
      <c r="DTQ701" s="1349"/>
      <c r="DTR701" s="1349"/>
      <c r="DTS701" s="1349"/>
      <c r="DTT701" s="1349"/>
      <c r="DTU701" s="1349"/>
      <c r="DTV701" s="1349"/>
      <c r="DTW701" s="1349"/>
      <c r="DTX701" s="1349"/>
      <c r="DTY701" s="1349"/>
      <c r="DTZ701" s="1349"/>
      <c r="DUA701" s="1349"/>
      <c r="DUB701" s="1349"/>
      <c r="DUC701" s="1349"/>
      <c r="DUD701" s="1349"/>
      <c r="DUE701" s="1349"/>
      <c r="DUF701" s="1349"/>
      <c r="DUG701" s="1349"/>
      <c r="DUH701" s="1349"/>
      <c r="DUI701" s="1349"/>
      <c r="DUJ701" s="1349"/>
      <c r="DUK701" s="1349"/>
      <c r="DUL701" s="1349"/>
      <c r="DUM701" s="1349"/>
      <c r="DUN701" s="1349"/>
      <c r="DUO701" s="1349"/>
      <c r="DUP701" s="1349"/>
      <c r="DUQ701" s="1349"/>
      <c r="DUR701" s="1349"/>
      <c r="DUS701" s="1349"/>
      <c r="DUT701" s="1349"/>
      <c r="DUU701" s="1349"/>
      <c r="DUV701" s="1349"/>
      <c r="DUW701" s="1349"/>
      <c r="DUX701" s="1349"/>
      <c r="DUY701" s="1349"/>
      <c r="DUZ701" s="1349"/>
      <c r="DVA701" s="1349"/>
      <c r="DVB701" s="1349"/>
      <c r="DVC701" s="1349"/>
      <c r="DVD701" s="1349"/>
      <c r="DVE701" s="1349"/>
      <c r="DVF701" s="1349"/>
      <c r="DVG701" s="1349"/>
      <c r="DVH701" s="1349"/>
      <c r="DVI701" s="1349"/>
      <c r="DVJ701" s="1349"/>
      <c r="DVK701" s="1349"/>
      <c r="DVL701" s="1349"/>
      <c r="DVM701" s="1349"/>
      <c r="DVN701" s="1349"/>
      <c r="DVO701" s="1349"/>
      <c r="DVP701" s="1349"/>
      <c r="DVQ701" s="1349"/>
      <c r="DVR701" s="1349"/>
      <c r="DVS701" s="1349"/>
      <c r="DVT701" s="1349"/>
      <c r="DVU701" s="1349"/>
      <c r="DVV701" s="1349"/>
      <c r="DVW701" s="1349"/>
      <c r="DVX701" s="1349"/>
      <c r="DVY701" s="1349"/>
      <c r="DVZ701" s="1349"/>
      <c r="DWA701" s="1349"/>
      <c r="DWB701" s="1349"/>
      <c r="DWC701" s="1349"/>
      <c r="DWD701" s="1349"/>
      <c r="DWE701" s="1349"/>
      <c r="DWF701" s="1349"/>
      <c r="DWG701" s="1349"/>
      <c r="DWH701" s="1349"/>
      <c r="DWI701" s="1349"/>
      <c r="DWJ701" s="1349"/>
      <c r="DWK701" s="1349"/>
      <c r="DWL701" s="1349"/>
      <c r="DWM701" s="1349"/>
      <c r="DWN701" s="1349"/>
      <c r="DWO701" s="1349"/>
      <c r="DWP701" s="1349"/>
      <c r="DWQ701" s="1349"/>
      <c r="DWR701" s="1349"/>
      <c r="DWS701" s="1349"/>
      <c r="DWT701" s="1349"/>
      <c r="DWU701" s="1349"/>
      <c r="DWV701" s="1349"/>
      <c r="DWW701" s="1349"/>
      <c r="DWX701" s="1349"/>
      <c r="DWY701" s="1349"/>
      <c r="DWZ701" s="1349"/>
      <c r="DXA701" s="1349"/>
      <c r="DXB701" s="1349"/>
      <c r="DXC701" s="1349"/>
      <c r="DXD701" s="1349"/>
      <c r="DXE701" s="1349"/>
      <c r="DXF701" s="1349"/>
      <c r="DXG701" s="1349"/>
      <c r="DXH701" s="1349"/>
      <c r="DXI701" s="1349"/>
      <c r="DXJ701" s="1349"/>
      <c r="DXK701" s="1349"/>
      <c r="DXL701" s="1349"/>
      <c r="DXM701" s="1349"/>
      <c r="DXN701" s="1349"/>
      <c r="DXO701" s="1349"/>
      <c r="DXP701" s="1349"/>
      <c r="DXQ701" s="1349"/>
      <c r="DXR701" s="1349"/>
      <c r="DXS701" s="1349"/>
      <c r="DXT701" s="1349"/>
      <c r="DXU701" s="1349"/>
      <c r="DXV701" s="1349"/>
      <c r="DXW701" s="1349"/>
      <c r="DXX701" s="1349"/>
      <c r="DXY701" s="1349"/>
      <c r="DXZ701" s="1349"/>
      <c r="DYA701" s="1349"/>
      <c r="DYB701" s="1349"/>
      <c r="DYC701" s="1349"/>
      <c r="DYD701" s="1349"/>
      <c r="DYE701" s="1349"/>
      <c r="DYF701" s="1349"/>
      <c r="DYG701" s="1349"/>
      <c r="DYH701" s="1349"/>
      <c r="DYI701" s="1349"/>
      <c r="DYJ701" s="1349"/>
      <c r="DYK701" s="1349"/>
      <c r="DYL701" s="1349"/>
      <c r="DYM701" s="1349"/>
      <c r="DYN701" s="1349"/>
      <c r="DYO701" s="1349"/>
      <c r="DYP701" s="1349"/>
      <c r="DYQ701" s="1349"/>
      <c r="DYR701" s="1349"/>
      <c r="DYS701" s="1349"/>
      <c r="DYT701" s="1349"/>
      <c r="DYU701" s="1349"/>
      <c r="DYV701" s="1349"/>
      <c r="DYW701" s="1349"/>
      <c r="DYX701" s="1349"/>
      <c r="DYY701" s="1349"/>
      <c r="DYZ701" s="1349"/>
      <c r="DZA701" s="1349"/>
      <c r="DZB701" s="1349"/>
      <c r="DZC701" s="1349"/>
      <c r="DZD701" s="1349"/>
      <c r="DZE701" s="1349"/>
      <c r="DZF701" s="1349"/>
      <c r="DZG701" s="1349"/>
      <c r="DZH701" s="1349"/>
      <c r="DZI701" s="1349"/>
      <c r="DZJ701" s="1349"/>
      <c r="DZK701" s="1349"/>
      <c r="DZL701" s="1349"/>
      <c r="DZM701" s="1349"/>
      <c r="DZN701" s="1349"/>
      <c r="DZO701" s="1349"/>
      <c r="DZP701" s="1349"/>
      <c r="DZQ701" s="1349"/>
      <c r="DZR701" s="1349"/>
      <c r="DZS701" s="1349"/>
      <c r="DZT701" s="1349"/>
      <c r="DZU701" s="1349"/>
      <c r="DZV701" s="1349"/>
      <c r="DZW701" s="1349"/>
      <c r="DZX701" s="1349"/>
      <c r="DZY701" s="1349"/>
      <c r="DZZ701" s="1349"/>
      <c r="EAA701" s="1349"/>
      <c r="EAB701" s="1349"/>
      <c r="EAC701" s="1349"/>
      <c r="EAD701" s="1349"/>
      <c r="EAE701" s="1349"/>
      <c r="EAF701" s="1349"/>
      <c r="EAG701" s="1349"/>
      <c r="EAH701" s="1349"/>
      <c r="EAI701" s="1349"/>
      <c r="EAJ701" s="1349"/>
      <c r="EAK701" s="1349"/>
      <c r="EAL701" s="1349"/>
      <c r="EAM701" s="1349"/>
      <c r="EAN701" s="1349"/>
      <c r="EAO701" s="1349"/>
      <c r="EAP701" s="1349"/>
      <c r="EAQ701" s="1349"/>
      <c r="EAR701" s="1349"/>
      <c r="EAS701" s="1349"/>
      <c r="EAT701" s="1349"/>
      <c r="EAU701" s="1349"/>
      <c r="EAV701" s="1349"/>
      <c r="EAW701" s="1349"/>
      <c r="EAX701" s="1349"/>
      <c r="EAY701" s="1349"/>
      <c r="EAZ701" s="1349"/>
      <c r="EBA701" s="1349"/>
      <c r="EBB701" s="1349"/>
      <c r="EBC701" s="1349"/>
      <c r="EBD701" s="1349"/>
      <c r="EBE701" s="1349"/>
      <c r="EBF701" s="1349"/>
      <c r="EBG701" s="1349"/>
      <c r="EBH701" s="1349"/>
      <c r="EBI701" s="1349"/>
      <c r="EBJ701" s="1349"/>
      <c r="EBK701" s="1349"/>
      <c r="EBL701" s="1349"/>
      <c r="EBM701" s="1349"/>
      <c r="EBN701" s="1349"/>
      <c r="EBO701" s="1349"/>
      <c r="EBP701" s="1349"/>
      <c r="EBQ701" s="1349"/>
      <c r="EBR701" s="1349"/>
      <c r="EBS701" s="1349"/>
      <c r="EBT701" s="1349"/>
      <c r="EBU701" s="1349"/>
      <c r="EBV701" s="1349"/>
      <c r="EBW701" s="1349"/>
      <c r="EBX701" s="1349"/>
      <c r="EBY701" s="1349"/>
      <c r="EBZ701" s="1349"/>
      <c r="ECA701" s="1349"/>
      <c r="ECB701" s="1349"/>
      <c r="ECC701" s="1349"/>
      <c r="ECD701" s="1349"/>
      <c r="ECE701" s="1349"/>
      <c r="ECF701" s="1349"/>
      <c r="ECG701" s="1349"/>
      <c r="ECH701" s="1349"/>
      <c r="ECI701" s="1349"/>
      <c r="ECJ701" s="1349"/>
      <c r="ECK701" s="1349"/>
      <c r="ECL701" s="1349"/>
      <c r="ECM701" s="1349"/>
      <c r="ECN701" s="1349"/>
      <c r="ECO701" s="1349"/>
      <c r="ECP701" s="1349"/>
      <c r="ECQ701" s="1349"/>
      <c r="ECR701" s="1349"/>
      <c r="ECS701" s="1349"/>
      <c r="ECT701" s="1349"/>
      <c r="ECU701" s="1349"/>
      <c r="ECV701" s="1349"/>
      <c r="ECW701" s="1349"/>
      <c r="ECX701" s="1349"/>
      <c r="ECY701" s="1349"/>
      <c r="ECZ701" s="1349"/>
      <c r="EDA701" s="1349"/>
      <c r="EDB701" s="1349"/>
      <c r="EDC701" s="1349"/>
      <c r="EDD701" s="1349"/>
      <c r="EDE701" s="1349"/>
      <c r="EDF701" s="1349"/>
      <c r="EDG701" s="1349"/>
      <c r="EDH701" s="1349"/>
      <c r="EDI701" s="1349"/>
      <c r="EDJ701" s="1349"/>
      <c r="EDK701" s="1349"/>
      <c r="EDL701" s="1349"/>
      <c r="EDM701" s="1349"/>
      <c r="EDN701" s="1349"/>
      <c r="EDO701" s="1349"/>
      <c r="EDP701" s="1349"/>
      <c r="EDQ701" s="1349"/>
      <c r="EDR701" s="1349"/>
      <c r="EDS701" s="1349"/>
      <c r="EDT701" s="1349"/>
      <c r="EDU701" s="1349"/>
      <c r="EDV701" s="1349"/>
      <c r="EDW701" s="1349"/>
      <c r="EDX701" s="1349"/>
      <c r="EDY701" s="1349"/>
      <c r="EDZ701" s="1349"/>
      <c r="EEA701" s="1349"/>
      <c r="EEB701" s="1349"/>
      <c r="EEC701" s="1349"/>
      <c r="EED701" s="1349"/>
      <c r="EEE701" s="1349"/>
      <c r="EEF701" s="1349"/>
      <c r="EEG701" s="1349"/>
      <c r="EEH701" s="1349"/>
      <c r="EEI701" s="1349"/>
      <c r="EEJ701" s="1349"/>
      <c r="EEK701" s="1349"/>
      <c r="EEL701" s="1349"/>
      <c r="EEM701" s="1349"/>
      <c r="EEN701" s="1349"/>
      <c r="EEO701" s="1349"/>
      <c r="EEP701" s="1349"/>
      <c r="EEQ701" s="1349"/>
      <c r="EER701" s="1349"/>
      <c r="EES701" s="1349"/>
      <c r="EET701" s="1349"/>
      <c r="EEU701" s="1349"/>
      <c r="EEV701" s="1349"/>
      <c r="EEW701" s="1349"/>
      <c r="EEX701" s="1349"/>
      <c r="EEY701" s="1349"/>
      <c r="EEZ701" s="1349"/>
      <c r="EFA701" s="1349"/>
      <c r="EFB701" s="1349"/>
      <c r="EFC701" s="1349"/>
      <c r="EFD701" s="1349"/>
      <c r="EFE701" s="1349"/>
      <c r="EFF701" s="1349"/>
      <c r="EFG701" s="1349"/>
      <c r="EFH701" s="1349"/>
      <c r="EFI701" s="1349"/>
      <c r="EFJ701" s="1349"/>
      <c r="EFK701" s="1349"/>
      <c r="EFL701" s="1349"/>
      <c r="EFM701" s="1349"/>
      <c r="EFN701" s="1349"/>
      <c r="EFO701" s="1349"/>
      <c r="EFP701" s="1349"/>
      <c r="EFQ701" s="1349"/>
      <c r="EFR701" s="1349"/>
      <c r="EFS701" s="1349"/>
      <c r="EFT701" s="1349"/>
      <c r="EFU701" s="1349"/>
      <c r="EFV701" s="1349"/>
      <c r="EFW701" s="1349"/>
      <c r="EFX701" s="1349"/>
      <c r="EFY701" s="1349"/>
      <c r="EFZ701" s="1349"/>
      <c r="EGA701" s="1349"/>
      <c r="EGB701" s="1349"/>
      <c r="EGC701" s="1349"/>
      <c r="EGD701" s="1349"/>
      <c r="EGE701" s="1349"/>
      <c r="EGF701" s="1349"/>
      <c r="EGG701" s="1349"/>
      <c r="EGH701" s="1349"/>
      <c r="EGI701" s="1349"/>
      <c r="EGJ701" s="1349"/>
      <c r="EGK701" s="1349"/>
      <c r="EGL701" s="1349"/>
      <c r="EGM701" s="1349"/>
      <c r="EGN701" s="1349"/>
      <c r="EGO701" s="1349"/>
      <c r="EGP701" s="1349"/>
      <c r="EGQ701" s="1349"/>
      <c r="EGR701" s="1349"/>
      <c r="EGS701" s="1349"/>
      <c r="EGT701" s="1349"/>
      <c r="EGU701" s="1349"/>
      <c r="EGV701" s="1349"/>
      <c r="EGW701" s="1349"/>
      <c r="EGX701" s="1349"/>
      <c r="EGY701" s="1349"/>
      <c r="EGZ701" s="1349"/>
      <c r="EHA701" s="1349"/>
      <c r="EHB701" s="1349"/>
      <c r="EHC701" s="1349"/>
      <c r="EHD701" s="1349"/>
      <c r="EHE701" s="1349"/>
      <c r="EHF701" s="1349"/>
      <c r="EHG701" s="1349"/>
      <c r="EHH701" s="1349"/>
      <c r="EHI701" s="1349"/>
      <c r="EHJ701" s="1349"/>
      <c r="EHK701" s="1349"/>
      <c r="EHL701" s="1349"/>
      <c r="EHM701" s="1349"/>
      <c r="EHN701" s="1349"/>
      <c r="EHO701" s="1349"/>
      <c r="EHP701" s="1349"/>
      <c r="EHQ701" s="1349"/>
      <c r="EHR701" s="1349"/>
      <c r="EHS701" s="1349"/>
      <c r="EHT701" s="1349"/>
      <c r="EHU701" s="1349"/>
      <c r="EHV701" s="1349"/>
      <c r="EHW701" s="1349"/>
      <c r="EHX701" s="1349"/>
      <c r="EHY701" s="1349"/>
      <c r="EHZ701" s="1349"/>
      <c r="EIA701" s="1349"/>
      <c r="EIB701" s="1349"/>
      <c r="EIC701" s="1349"/>
      <c r="EID701" s="1349"/>
      <c r="EIE701" s="1349"/>
      <c r="EIF701" s="1349"/>
      <c r="EIG701" s="1349"/>
      <c r="EIH701" s="1349"/>
      <c r="EII701" s="1349"/>
      <c r="EIJ701" s="1349"/>
      <c r="EIK701" s="1349"/>
      <c r="EIL701" s="1349"/>
      <c r="EIM701" s="1349"/>
      <c r="EIN701" s="1349"/>
      <c r="EIO701" s="1349"/>
      <c r="EIP701" s="1349"/>
      <c r="EIQ701" s="1349"/>
      <c r="EIR701" s="1349"/>
      <c r="EIS701" s="1349"/>
      <c r="EIT701" s="1349"/>
      <c r="EIU701" s="1349"/>
      <c r="EIV701" s="1349"/>
      <c r="EIW701" s="1349"/>
      <c r="EIX701" s="1349"/>
      <c r="EIY701" s="1349"/>
      <c r="EIZ701" s="1349"/>
      <c r="EJA701" s="1349"/>
      <c r="EJB701" s="1349"/>
      <c r="EJC701" s="1349"/>
      <c r="EJD701" s="1349"/>
      <c r="EJE701" s="1349"/>
      <c r="EJF701" s="1349"/>
      <c r="EJG701" s="1349"/>
      <c r="EJH701" s="1349"/>
      <c r="EJI701" s="1349"/>
      <c r="EJJ701" s="1349"/>
      <c r="EJK701" s="1349"/>
      <c r="EJL701" s="1349"/>
      <c r="EJM701" s="1349"/>
      <c r="EJN701" s="1349"/>
      <c r="EJO701" s="1349"/>
      <c r="EJP701" s="1349"/>
      <c r="EJQ701" s="1349"/>
      <c r="EJR701" s="1349"/>
      <c r="EJS701" s="1349"/>
      <c r="EJT701" s="1349"/>
      <c r="EJU701" s="1349"/>
      <c r="EJV701" s="1349"/>
      <c r="EJW701" s="1349"/>
      <c r="EJX701" s="1349"/>
      <c r="EJY701" s="1349"/>
      <c r="EJZ701" s="1349"/>
      <c r="EKA701" s="1349"/>
      <c r="EKB701" s="1349"/>
      <c r="EKC701" s="1349"/>
      <c r="EKD701" s="1349"/>
      <c r="EKE701" s="1349"/>
      <c r="EKF701" s="1349"/>
      <c r="EKG701" s="1349"/>
      <c r="EKH701" s="1349"/>
      <c r="EKI701" s="1349"/>
      <c r="EKJ701" s="1349"/>
      <c r="EKK701" s="1349"/>
      <c r="EKL701" s="1349"/>
      <c r="EKM701" s="1349"/>
      <c r="EKN701" s="1349"/>
      <c r="EKO701" s="1349"/>
      <c r="EKP701" s="1349"/>
      <c r="EKQ701" s="1349"/>
      <c r="EKR701" s="1349"/>
      <c r="EKS701" s="1349"/>
      <c r="EKT701" s="1349"/>
      <c r="EKU701" s="1349"/>
      <c r="EKV701" s="1349"/>
      <c r="EKW701" s="1349"/>
      <c r="EKX701" s="1349"/>
      <c r="EKY701" s="1349"/>
      <c r="EKZ701" s="1349"/>
      <c r="ELA701" s="1349"/>
      <c r="ELB701" s="1349"/>
      <c r="ELC701" s="1349"/>
      <c r="ELD701" s="1349"/>
      <c r="ELE701" s="1349"/>
      <c r="ELF701" s="1349"/>
      <c r="ELG701" s="1349"/>
      <c r="ELH701" s="1349"/>
      <c r="ELI701" s="1349"/>
      <c r="ELJ701" s="1349"/>
      <c r="ELK701" s="1349"/>
      <c r="ELL701" s="1349"/>
      <c r="ELM701" s="1349"/>
      <c r="ELN701" s="1349"/>
      <c r="ELO701" s="1349"/>
      <c r="ELP701" s="1349"/>
      <c r="ELQ701" s="1349"/>
      <c r="ELR701" s="1349"/>
      <c r="ELS701" s="1349"/>
      <c r="ELT701" s="1349"/>
      <c r="ELU701" s="1349"/>
      <c r="ELV701" s="1349"/>
      <c r="ELW701" s="1349"/>
      <c r="ELX701" s="1349"/>
      <c r="ELY701" s="1349"/>
      <c r="ELZ701" s="1349"/>
      <c r="EMA701" s="1349"/>
      <c r="EMB701" s="1349"/>
      <c r="EMC701" s="1349"/>
      <c r="EMD701" s="1349"/>
      <c r="EME701" s="1349"/>
      <c r="EMF701" s="1349"/>
      <c r="EMG701" s="1349"/>
      <c r="EMH701" s="1349"/>
      <c r="EMI701" s="1349"/>
      <c r="EMJ701" s="1349"/>
      <c r="EMK701" s="1349"/>
      <c r="EML701" s="1349"/>
      <c r="EMM701" s="1349"/>
      <c r="EMN701" s="1349"/>
      <c r="EMO701" s="1349"/>
      <c r="EMP701" s="1349"/>
      <c r="EMQ701" s="1349"/>
      <c r="EMR701" s="1349"/>
      <c r="EMS701" s="1349"/>
      <c r="EMT701" s="1349"/>
      <c r="EMU701" s="1349"/>
      <c r="EMV701" s="1349"/>
      <c r="EMW701" s="1349"/>
      <c r="EMX701" s="1349"/>
      <c r="EMY701" s="1349"/>
      <c r="EMZ701" s="1349"/>
      <c r="ENA701" s="1349"/>
      <c r="ENB701" s="1349"/>
      <c r="ENC701" s="1349"/>
      <c r="END701" s="1349"/>
      <c r="ENE701" s="1349"/>
      <c r="ENF701" s="1349"/>
      <c r="ENG701" s="1349"/>
      <c r="ENH701" s="1349"/>
      <c r="ENI701" s="1349"/>
      <c r="ENJ701" s="1349"/>
      <c r="ENK701" s="1349"/>
      <c r="ENL701" s="1349"/>
      <c r="ENM701" s="1349"/>
      <c r="ENN701" s="1349"/>
      <c r="ENO701" s="1349"/>
      <c r="ENP701" s="1349"/>
      <c r="ENQ701" s="1349"/>
      <c r="ENR701" s="1349"/>
      <c r="ENS701" s="1349"/>
      <c r="ENT701" s="1349"/>
      <c r="ENU701" s="1349"/>
      <c r="ENV701" s="1349"/>
      <c r="ENW701" s="1349"/>
      <c r="ENX701" s="1349"/>
      <c r="ENY701" s="1349"/>
      <c r="ENZ701" s="1349"/>
      <c r="EOA701" s="1349"/>
      <c r="EOB701" s="1349"/>
      <c r="EOC701" s="1349"/>
      <c r="EOD701" s="1349"/>
      <c r="EOE701" s="1349"/>
      <c r="EOF701" s="1349"/>
      <c r="EOG701" s="1349"/>
      <c r="EOH701" s="1349"/>
      <c r="EOI701" s="1349"/>
      <c r="EOJ701" s="1349"/>
      <c r="EOK701" s="1349"/>
      <c r="EOL701" s="1349"/>
      <c r="EOM701" s="1349"/>
      <c r="EON701" s="1349"/>
      <c r="EOO701" s="1349"/>
      <c r="EOP701" s="1349"/>
      <c r="EOQ701" s="1349"/>
      <c r="EOR701" s="1349"/>
      <c r="EOS701" s="1349"/>
      <c r="EOT701" s="1349"/>
      <c r="EOU701" s="1349"/>
      <c r="EOV701" s="1349"/>
      <c r="EOW701" s="1349"/>
      <c r="EOX701" s="1349"/>
      <c r="EOY701" s="1349"/>
      <c r="EOZ701" s="1349"/>
      <c r="EPA701" s="1349"/>
      <c r="EPB701" s="1349"/>
      <c r="EPC701" s="1349"/>
      <c r="EPD701" s="1349"/>
      <c r="EPE701" s="1349"/>
      <c r="EPF701" s="1349"/>
      <c r="EPG701" s="1349"/>
      <c r="EPH701" s="1349"/>
      <c r="EPI701" s="1349"/>
      <c r="EPJ701" s="1349"/>
      <c r="EPK701" s="1349"/>
      <c r="EPL701" s="1349"/>
      <c r="EPM701" s="1349"/>
      <c r="EPN701" s="1349"/>
      <c r="EPO701" s="1349"/>
      <c r="EPP701" s="1349"/>
      <c r="EPQ701" s="1349"/>
      <c r="EPR701" s="1349"/>
      <c r="EPS701" s="1349"/>
      <c r="EPT701" s="1349"/>
      <c r="EPU701" s="1349"/>
      <c r="EPV701" s="1349"/>
      <c r="EPW701" s="1349"/>
      <c r="EPX701" s="1349"/>
      <c r="EPY701" s="1349"/>
      <c r="EPZ701" s="1349"/>
      <c r="EQA701" s="1349"/>
      <c r="EQB701" s="1349"/>
      <c r="EQC701" s="1349"/>
      <c r="EQD701" s="1349"/>
      <c r="EQE701" s="1349"/>
      <c r="EQF701" s="1349"/>
      <c r="EQG701" s="1349"/>
      <c r="EQH701" s="1349"/>
      <c r="EQI701" s="1349"/>
      <c r="EQJ701" s="1349"/>
      <c r="EQK701" s="1349"/>
      <c r="EQL701" s="1349"/>
      <c r="EQM701" s="1349"/>
      <c r="EQN701" s="1349"/>
      <c r="EQO701" s="1349"/>
      <c r="EQP701" s="1349"/>
      <c r="EQQ701" s="1349"/>
      <c r="EQR701" s="1349"/>
      <c r="EQS701" s="1349"/>
      <c r="EQT701" s="1349"/>
      <c r="EQU701" s="1349"/>
      <c r="EQV701" s="1349"/>
      <c r="EQW701" s="1349"/>
      <c r="EQX701" s="1349"/>
      <c r="EQY701" s="1349"/>
      <c r="EQZ701" s="1349"/>
      <c r="ERA701" s="1349"/>
      <c r="ERB701" s="1349"/>
      <c r="ERC701" s="1349"/>
      <c r="ERD701" s="1349"/>
      <c r="ERE701" s="1349"/>
      <c r="ERF701" s="1349"/>
      <c r="ERG701" s="1349"/>
      <c r="ERH701" s="1349"/>
      <c r="ERI701" s="1349"/>
      <c r="ERJ701" s="1349"/>
      <c r="ERK701" s="1349"/>
      <c r="ERL701" s="1349"/>
      <c r="ERM701" s="1349"/>
      <c r="ERN701" s="1349"/>
      <c r="ERO701" s="1349"/>
      <c r="ERP701" s="1349"/>
      <c r="ERQ701" s="1349"/>
      <c r="ERR701" s="1349"/>
      <c r="ERS701" s="1349"/>
      <c r="ERT701" s="1349"/>
      <c r="ERU701" s="1349"/>
      <c r="ERV701" s="1349"/>
      <c r="ERW701" s="1349"/>
      <c r="ERX701" s="1349"/>
      <c r="ERY701" s="1349"/>
      <c r="ERZ701" s="1349"/>
      <c r="ESA701" s="1349"/>
      <c r="ESB701" s="1349"/>
      <c r="ESC701" s="1349"/>
      <c r="ESD701" s="1349"/>
      <c r="ESE701" s="1349"/>
      <c r="ESF701" s="1349"/>
      <c r="ESG701" s="1349"/>
      <c r="ESH701" s="1349"/>
      <c r="ESI701" s="1349"/>
      <c r="ESJ701" s="1349"/>
      <c r="ESK701" s="1349"/>
      <c r="ESL701" s="1349"/>
      <c r="ESM701" s="1349"/>
      <c r="ESN701" s="1349"/>
      <c r="ESO701" s="1349"/>
      <c r="ESP701" s="1349"/>
      <c r="ESQ701" s="1349"/>
      <c r="ESR701" s="1349"/>
      <c r="ESS701" s="1349"/>
      <c r="EST701" s="1349"/>
      <c r="ESU701" s="1349"/>
      <c r="ESV701" s="1349"/>
      <c r="ESW701" s="1349"/>
      <c r="ESX701" s="1349"/>
      <c r="ESY701" s="1349"/>
      <c r="ESZ701" s="1349"/>
      <c r="ETA701" s="1349"/>
      <c r="ETB701" s="1349"/>
      <c r="ETC701" s="1349"/>
      <c r="ETD701" s="1349"/>
      <c r="ETE701" s="1349"/>
      <c r="ETF701" s="1349"/>
      <c r="ETG701" s="1349"/>
      <c r="ETH701" s="1349"/>
      <c r="ETI701" s="1349"/>
      <c r="ETJ701" s="1349"/>
      <c r="ETK701" s="1349"/>
      <c r="ETL701" s="1349"/>
      <c r="ETM701" s="1349"/>
      <c r="ETN701" s="1349"/>
      <c r="ETO701" s="1349"/>
      <c r="ETP701" s="1349"/>
      <c r="ETQ701" s="1349"/>
      <c r="ETR701" s="1349"/>
      <c r="ETS701" s="1349"/>
      <c r="ETT701" s="1349"/>
      <c r="ETU701" s="1349"/>
      <c r="ETV701" s="1349"/>
      <c r="ETW701" s="1349"/>
      <c r="ETX701" s="1349"/>
      <c r="ETY701" s="1349"/>
      <c r="ETZ701" s="1349"/>
      <c r="EUA701" s="1349"/>
      <c r="EUB701" s="1349"/>
      <c r="EUC701" s="1349"/>
      <c r="EUD701" s="1349"/>
      <c r="EUE701" s="1349"/>
      <c r="EUF701" s="1349"/>
      <c r="EUG701" s="1349"/>
      <c r="EUH701" s="1349"/>
      <c r="EUI701" s="1349"/>
      <c r="EUJ701" s="1349"/>
      <c r="EUK701" s="1349"/>
      <c r="EUL701" s="1349"/>
      <c r="EUM701" s="1349"/>
      <c r="EUN701" s="1349"/>
      <c r="EUO701" s="1349"/>
      <c r="EUP701" s="1349"/>
      <c r="EUQ701" s="1349"/>
      <c r="EUR701" s="1349"/>
      <c r="EUS701" s="1349"/>
      <c r="EUT701" s="1349"/>
      <c r="EUU701" s="1349"/>
      <c r="EUV701" s="1349"/>
      <c r="EUW701" s="1349"/>
      <c r="EUX701" s="1349"/>
      <c r="EUY701" s="1349"/>
      <c r="EUZ701" s="1349"/>
      <c r="EVA701" s="1349"/>
      <c r="EVB701" s="1349"/>
      <c r="EVC701" s="1349"/>
      <c r="EVD701" s="1349"/>
      <c r="EVE701" s="1349"/>
      <c r="EVF701" s="1349"/>
      <c r="EVG701" s="1349"/>
      <c r="EVH701" s="1349"/>
      <c r="EVI701" s="1349"/>
      <c r="EVJ701" s="1349"/>
      <c r="EVK701" s="1349"/>
      <c r="EVL701" s="1349"/>
      <c r="EVM701" s="1349"/>
      <c r="EVN701" s="1349"/>
      <c r="EVO701" s="1349"/>
      <c r="EVP701" s="1349"/>
      <c r="EVQ701" s="1349"/>
      <c r="EVR701" s="1349"/>
      <c r="EVS701" s="1349"/>
      <c r="EVT701" s="1349"/>
      <c r="EVU701" s="1349"/>
      <c r="EVV701" s="1349"/>
      <c r="EVW701" s="1349"/>
      <c r="EVX701" s="1349"/>
      <c r="EVY701" s="1349"/>
      <c r="EVZ701" s="1349"/>
      <c r="EWA701" s="1349"/>
      <c r="EWB701" s="1349"/>
      <c r="EWC701" s="1349"/>
      <c r="EWD701" s="1349"/>
      <c r="EWE701" s="1349"/>
      <c r="EWF701" s="1349"/>
      <c r="EWG701" s="1349"/>
      <c r="EWH701" s="1349"/>
      <c r="EWI701" s="1349"/>
      <c r="EWJ701" s="1349"/>
      <c r="EWK701" s="1349"/>
      <c r="EWL701" s="1349"/>
      <c r="EWM701" s="1349"/>
      <c r="EWN701" s="1349"/>
      <c r="EWO701" s="1349"/>
      <c r="EWP701" s="1349"/>
      <c r="EWQ701" s="1349"/>
      <c r="EWR701" s="1349"/>
      <c r="EWS701" s="1349"/>
      <c r="EWT701" s="1349"/>
      <c r="EWU701" s="1349"/>
      <c r="EWV701" s="1349"/>
      <c r="EWW701" s="1349"/>
      <c r="EWX701" s="1349"/>
      <c r="EWY701" s="1349"/>
      <c r="EWZ701" s="1349"/>
      <c r="EXA701" s="1349"/>
      <c r="EXB701" s="1349"/>
      <c r="EXC701" s="1349"/>
      <c r="EXD701" s="1349"/>
      <c r="EXE701" s="1349"/>
      <c r="EXF701" s="1349"/>
      <c r="EXG701" s="1349"/>
      <c r="EXH701" s="1349"/>
      <c r="EXI701" s="1349"/>
      <c r="EXJ701" s="1349"/>
      <c r="EXK701" s="1349"/>
      <c r="EXL701" s="1349"/>
      <c r="EXM701" s="1349"/>
      <c r="EXN701" s="1349"/>
      <c r="EXO701" s="1349"/>
      <c r="EXP701" s="1349"/>
      <c r="EXQ701" s="1349"/>
      <c r="EXR701" s="1349"/>
      <c r="EXS701" s="1349"/>
      <c r="EXT701" s="1349"/>
      <c r="EXU701" s="1349"/>
      <c r="EXV701" s="1349"/>
      <c r="EXW701" s="1349"/>
      <c r="EXX701" s="1349"/>
      <c r="EXY701" s="1349"/>
      <c r="EXZ701" s="1349"/>
      <c r="EYA701" s="1349"/>
      <c r="EYB701" s="1349"/>
      <c r="EYC701" s="1349"/>
      <c r="EYD701" s="1349"/>
      <c r="EYE701" s="1349"/>
      <c r="EYF701" s="1349"/>
      <c r="EYG701" s="1349"/>
      <c r="EYH701" s="1349"/>
      <c r="EYI701" s="1349"/>
      <c r="EYJ701" s="1349"/>
      <c r="EYK701" s="1349"/>
      <c r="EYL701" s="1349"/>
      <c r="EYM701" s="1349"/>
      <c r="EYN701" s="1349"/>
      <c r="EYO701" s="1349"/>
      <c r="EYP701" s="1349"/>
      <c r="EYQ701" s="1349"/>
      <c r="EYR701" s="1349"/>
      <c r="EYS701" s="1349"/>
      <c r="EYT701" s="1349"/>
      <c r="EYU701" s="1349"/>
      <c r="EYV701" s="1349"/>
      <c r="EYW701" s="1349"/>
      <c r="EYX701" s="1349"/>
      <c r="EYY701" s="1349"/>
      <c r="EYZ701" s="1349"/>
      <c r="EZA701" s="1349"/>
      <c r="EZB701" s="1349"/>
      <c r="EZC701" s="1349"/>
      <c r="EZD701" s="1349"/>
      <c r="EZE701" s="1349"/>
      <c r="EZF701" s="1349"/>
      <c r="EZG701" s="1349"/>
      <c r="EZH701" s="1349"/>
      <c r="EZI701" s="1349"/>
      <c r="EZJ701" s="1349"/>
      <c r="EZK701" s="1349"/>
      <c r="EZL701" s="1349"/>
      <c r="EZM701" s="1349"/>
      <c r="EZN701" s="1349"/>
      <c r="EZO701" s="1349"/>
      <c r="EZP701" s="1349"/>
      <c r="EZQ701" s="1349"/>
      <c r="EZR701" s="1349"/>
      <c r="EZS701" s="1349"/>
      <c r="EZT701" s="1349"/>
      <c r="EZU701" s="1349"/>
      <c r="EZV701" s="1349"/>
      <c r="EZW701" s="1349"/>
      <c r="EZX701" s="1349"/>
      <c r="EZY701" s="1349"/>
      <c r="EZZ701" s="1349"/>
      <c r="FAA701" s="1349"/>
      <c r="FAB701" s="1349"/>
      <c r="FAC701" s="1349"/>
      <c r="FAD701" s="1349"/>
      <c r="FAE701" s="1349"/>
      <c r="FAF701" s="1349"/>
      <c r="FAG701" s="1349"/>
      <c r="FAH701" s="1349"/>
      <c r="FAI701" s="1349"/>
      <c r="FAJ701" s="1349"/>
      <c r="FAK701" s="1349"/>
      <c r="FAL701" s="1349"/>
      <c r="FAM701" s="1349"/>
      <c r="FAN701" s="1349"/>
      <c r="FAO701" s="1349"/>
      <c r="FAP701" s="1349"/>
      <c r="FAQ701" s="1349"/>
      <c r="FAR701" s="1349"/>
      <c r="FAS701" s="1349"/>
      <c r="FAT701" s="1349"/>
      <c r="FAU701" s="1349"/>
      <c r="FAV701" s="1349"/>
      <c r="FAW701" s="1349"/>
      <c r="FAX701" s="1349"/>
      <c r="FAY701" s="1349"/>
      <c r="FAZ701" s="1349"/>
      <c r="FBA701" s="1349"/>
      <c r="FBB701" s="1349"/>
      <c r="FBC701" s="1349"/>
      <c r="FBD701" s="1349"/>
      <c r="FBE701" s="1349"/>
      <c r="FBF701" s="1349"/>
      <c r="FBG701" s="1349"/>
      <c r="FBH701" s="1349"/>
      <c r="FBI701" s="1349"/>
      <c r="FBJ701" s="1349"/>
      <c r="FBK701" s="1349"/>
      <c r="FBL701" s="1349"/>
      <c r="FBM701" s="1349"/>
      <c r="FBN701" s="1349"/>
      <c r="FBO701" s="1349"/>
      <c r="FBP701" s="1349"/>
      <c r="FBQ701" s="1349"/>
      <c r="FBR701" s="1349"/>
      <c r="FBS701" s="1349"/>
      <c r="FBT701" s="1349"/>
      <c r="FBU701" s="1349"/>
      <c r="FBV701" s="1349"/>
      <c r="FBW701" s="1349"/>
      <c r="FBX701" s="1349"/>
      <c r="FBY701" s="1349"/>
      <c r="FBZ701" s="1349"/>
      <c r="FCA701" s="1349"/>
      <c r="FCB701" s="1349"/>
      <c r="FCC701" s="1349"/>
      <c r="FCD701" s="1349"/>
      <c r="FCE701" s="1349"/>
      <c r="FCF701" s="1349"/>
      <c r="FCG701" s="1349"/>
      <c r="FCH701" s="1349"/>
      <c r="FCI701" s="1349"/>
      <c r="FCJ701" s="1349"/>
      <c r="FCK701" s="1349"/>
      <c r="FCL701" s="1349"/>
      <c r="FCM701" s="1349"/>
      <c r="FCN701" s="1349"/>
      <c r="FCO701" s="1349"/>
      <c r="FCP701" s="1349"/>
      <c r="FCQ701" s="1349"/>
      <c r="FCR701" s="1349"/>
      <c r="FCS701" s="1349"/>
      <c r="FCT701" s="1349"/>
      <c r="FCU701" s="1349"/>
      <c r="FCV701" s="1349"/>
      <c r="FCW701" s="1349"/>
      <c r="FCX701" s="1349"/>
      <c r="FCY701" s="1349"/>
      <c r="FCZ701" s="1349"/>
      <c r="FDA701" s="1349"/>
      <c r="FDB701" s="1349"/>
      <c r="FDC701" s="1349"/>
      <c r="FDD701" s="1349"/>
      <c r="FDE701" s="1349"/>
      <c r="FDF701" s="1349"/>
      <c r="FDG701" s="1349"/>
      <c r="FDH701" s="1349"/>
      <c r="FDI701" s="1349"/>
      <c r="FDJ701" s="1349"/>
      <c r="FDK701" s="1349"/>
      <c r="FDL701" s="1349"/>
      <c r="FDM701" s="1349"/>
      <c r="FDN701" s="1349"/>
      <c r="FDO701" s="1349"/>
      <c r="FDP701" s="1349"/>
      <c r="FDQ701" s="1349"/>
      <c r="FDR701" s="1349"/>
      <c r="FDS701" s="1349"/>
      <c r="FDT701" s="1349"/>
      <c r="FDU701" s="1349"/>
      <c r="FDV701" s="1349"/>
      <c r="FDW701" s="1349"/>
      <c r="FDX701" s="1349"/>
      <c r="FDY701" s="1349"/>
      <c r="FDZ701" s="1349"/>
      <c r="FEA701" s="1349"/>
      <c r="FEB701" s="1349"/>
      <c r="FEC701" s="1349"/>
      <c r="FED701" s="1349"/>
      <c r="FEE701" s="1349"/>
      <c r="FEF701" s="1349"/>
      <c r="FEG701" s="1349"/>
      <c r="FEH701" s="1349"/>
      <c r="FEI701" s="1349"/>
      <c r="FEJ701" s="1349"/>
      <c r="FEK701" s="1349"/>
      <c r="FEL701" s="1349"/>
      <c r="FEM701" s="1349"/>
      <c r="FEN701" s="1349"/>
      <c r="FEO701" s="1349"/>
      <c r="FEP701" s="1349"/>
      <c r="FEQ701" s="1349"/>
      <c r="FER701" s="1349"/>
      <c r="FES701" s="1349"/>
      <c r="FET701" s="1349"/>
      <c r="FEU701" s="1349"/>
      <c r="FEV701" s="1349"/>
      <c r="FEW701" s="1349"/>
      <c r="FEX701" s="1349"/>
      <c r="FEY701" s="1349"/>
      <c r="FEZ701" s="1349"/>
      <c r="FFA701" s="1349"/>
      <c r="FFB701" s="1349"/>
      <c r="FFC701" s="1349"/>
      <c r="FFD701" s="1349"/>
      <c r="FFE701" s="1349"/>
      <c r="FFF701" s="1349"/>
      <c r="FFG701" s="1349"/>
      <c r="FFH701" s="1349"/>
      <c r="FFI701" s="1349"/>
      <c r="FFJ701" s="1349"/>
      <c r="FFK701" s="1349"/>
      <c r="FFL701" s="1349"/>
      <c r="FFM701" s="1349"/>
      <c r="FFN701" s="1349"/>
      <c r="FFO701" s="1349"/>
      <c r="FFP701" s="1349"/>
      <c r="FFQ701" s="1349"/>
      <c r="FFR701" s="1349"/>
      <c r="FFS701" s="1349"/>
      <c r="FFT701" s="1349"/>
      <c r="FFU701" s="1349"/>
      <c r="FFV701" s="1349"/>
      <c r="FFW701" s="1349"/>
      <c r="FFX701" s="1349"/>
      <c r="FFY701" s="1349"/>
      <c r="FFZ701" s="1349"/>
      <c r="FGA701" s="1349"/>
      <c r="FGB701" s="1349"/>
      <c r="FGC701" s="1349"/>
      <c r="FGD701" s="1349"/>
      <c r="FGE701" s="1349"/>
      <c r="FGF701" s="1349"/>
      <c r="FGG701" s="1349"/>
      <c r="FGH701" s="1349"/>
      <c r="FGI701" s="1349"/>
      <c r="FGJ701" s="1349"/>
      <c r="FGK701" s="1349"/>
      <c r="FGL701" s="1349"/>
      <c r="FGM701" s="1349"/>
      <c r="FGN701" s="1349"/>
      <c r="FGO701" s="1349"/>
      <c r="FGP701" s="1349"/>
      <c r="FGQ701" s="1349"/>
      <c r="FGR701" s="1349"/>
      <c r="FGS701" s="1349"/>
      <c r="FGT701" s="1349"/>
      <c r="FGU701" s="1349"/>
      <c r="FGV701" s="1349"/>
      <c r="FGW701" s="1349"/>
      <c r="FGX701" s="1349"/>
      <c r="FGY701" s="1349"/>
      <c r="FGZ701" s="1349"/>
      <c r="FHA701" s="1349"/>
      <c r="FHB701" s="1349"/>
      <c r="FHC701" s="1349"/>
      <c r="FHD701" s="1349"/>
      <c r="FHE701" s="1349"/>
      <c r="FHF701" s="1349"/>
      <c r="FHG701" s="1349"/>
      <c r="FHH701" s="1349"/>
      <c r="FHI701" s="1349"/>
      <c r="FHJ701" s="1349"/>
      <c r="FHK701" s="1349"/>
      <c r="FHL701" s="1349"/>
      <c r="FHM701" s="1349"/>
      <c r="FHN701" s="1349"/>
      <c r="FHO701" s="1349"/>
      <c r="FHP701" s="1349"/>
      <c r="FHQ701" s="1349"/>
      <c r="FHR701" s="1349"/>
      <c r="FHS701" s="1349"/>
      <c r="FHT701" s="1349"/>
      <c r="FHU701" s="1349"/>
      <c r="FHV701" s="1349"/>
      <c r="FHW701" s="1349"/>
      <c r="FHX701" s="1349"/>
      <c r="FHY701" s="1349"/>
      <c r="FHZ701" s="1349"/>
      <c r="FIA701" s="1349"/>
      <c r="FIB701" s="1349"/>
      <c r="FIC701" s="1349"/>
      <c r="FID701" s="1349"/>
      <c r="FIE701" s="1349"/>
      <c r="FIF701" s="1349"/>
      <c r="FIG701" s="1349"/>
      <c r="FIH701" s="1349"/>
      <c r="FII701" s="1349"/>
      <c r="FIJ701" s="1349"/>
      <c r="FIK701" s="1349"/>
      <c r="FIL701" s="1349"/>
      <c r="FIM701" s="1349"/>
      <c r="FIN701" s="1349"/>
      <c r="FIO701" s="1349"/>
      <c r="FIP701" s="1349"/>
      <c r="FIQ701" s="1349"/>
      <c r="FIR701" s="1349"/>
      <c r="FIS701" s="1349"/>
      <c r="FIT701" s="1349"/>
      <c r="FIU701" s="1349"/>
      <c r="FIV701" s="1349"/>
      <c r="FIW701" s="1349"/>
      <c r="FIX701" s="1349"/>
      <c r="FIY701" s="1349"/>
      <c r="FIZ701" s="1349"/>
      <c r="FJA701" s="1349"/>
      <c r="FJB701" s="1349"/>
      <c r="FJC701" s="1349"/>
      <c r="FJD701" s="1349"/>
      <c r="FJE701" s="1349"/>
      <c r="FJF701" s="1349"/>
      <c r="FJG701" s="1349"/>
      <c r="FJH701" s="1349"/>
      <c r="FJI701" s="1349"/>
      <c r="FJJ701" s="1349"/>
      <c r="FJK701" s="1349"/>
      <c r="FJL701" s="1349"/>
      <c r="FJM701" s="1349"/>
      <c r="FJN701" s="1349"/>
      <c r="FJO701" s="1349"/>
      <c r="FJP701" s="1349"/>
      <c r="FJQ701" s="1349"/>
      <c r="FJR701" s="1349"/>
      <c r="FJS701" s="1349"/>
      <c r="FJT701" s="1349"/>
      <c r="FJU701" s="1349"/>
      <c r="FJV701" s="1349"/>
      <c r="FJW701" s="1349"/>
      <c r="FJX701" s="1349"/>
      <c r="FJY701" s="1349"/>
      <c r="FJZ701" s="1349"/>
      <c r="FKA701" s="1349"/>
      <c r="FKB701" s="1349"/>
      <c r="FKC701" s="1349"/>
      <c r="FKD701" s="1349"/>
      <c r="FKE701" s="1349"/>
      <c r="FKF701" s="1349"/>
      <c r="FKG701" s="1349"/>
      <c r="FKH701" s="1349"/>
      <c r="FKI701" s="1349"/>
      <c r="FKJ701" s="1349"/>
      <c r="FKK701" s="1349"/>
      <c r="FKL701" s="1349"/>
      <c r="FKM701" s="1349"/>
      <c r="FKN701" s="1349"/>
      <c r="FKO701" s="1349"/>
      <c r="FKP701" s="1349"/>
      <c r="FKQ701" s="1349"/>
      <c r="FKR701" s="1349"/>
      <c r="FKS701" s="1349"/>
      <c r="FKT701" s="1349"/>
      <c r="FKU701" s="1349"/>
      <c r="FKV701" s="1349"/>
      <c r="FKW701" s="1349"/>
      <c r="FKX701" s="1349"/>
      <c r="FKY701" s="1349"/>
      <c r="FKZ701" s="1349"/>
      <c r="FLA701" s="1349"/>
      <c r="FLB701" s="1349"/>
      <c r="FLC701" s="1349"/>
      <c r="FLD701" s="1349"/>
      <c r="FLE701" s="1349"/>
      <c r="FLF701" s="1349"/>
      <c r="FLG701" s="1349"/>
      <c r="FLH701" s="1349"/>
      <c r="FLI701" s="1349"/>
      <c r="FLJ701" s="1349"/>
      <c r="FLK701" s="1349"/>
      <c r="FLL701" s="1349"/>
      <c r="FLM701" s="1349"/>
      <c r="FLN701" s="1349"/>
      <c r="FLO701" s="1349"/>
      <c r="FLP701" s="1349"/>
      <c r="FLQ701" s="1349"/>
      <c r="FLR701" s="1349"/>
      <c r="FLS701" s="1349"/>
      <c r="FLT701" s="1349"/>
      <c r="FLU701" s="1349"/>
      <c r="FLV701" s="1349"/>
      <c r="FLW701" s="1349"/>
      <c r="FLX701" s="1349"/>
      <c r="FLY701" s="1349"/>
      <c r="FLZ701" s="1349"/>
      <c r="FMA701" s="1349"/>
      <c r="FMB701" s="1349"/>
      <c r="FMC701" s="1349"/>
      <c r="FMD701" s="1349"/>
      <c r="FME701" s="1349"/>
      <c r="FMF701" s="1349"/>
      <c r="FMG701" s="1349"/>
      <c r="FMH701" s="1349"/>
      <c r="FMI701" s="1349"/>
      <c r="FMJ701" s="1349"/>
      <c r="FMK701" s="1349"/>
      <c r="FML701" s="1349"/>
      <c r="FMM701" s="1349"/>
      <c r="FMN701" s="1349"/>
      <c r="FMO701" s="1349"/>
      <c r="FMP701" s="1349"/>
      <c r="FMQ701" s="1349"/>
      <c r="FMR701" s="1349"/>
      <c r="FMS701" s="1349"/>
      <c r="FMT701" s="1349"/>
      <c r="FMU701" s="1349"/>
      <c r="FMV701" s="1349"/>
      <c r="FMW701" s="1349"/>
      <c r="FMX701" s="1349"/>
      <c r="FMY701" s="1349"/>
      <c r="FMZ701" s="1349"/>
      <c r="FNA701" s="1349"/>
      <c r="FNB701" s="1349"/>
      <c r="FNC701" s="1349"/>
      <c r="FND701" s="1349"/>
      <c r="FNE701" s="1349"/>
      <c r="FNF701" s="1349"/>
      <c r="FNG701" s="1349"/>
      <c r="FNH701" s="1349"/>
      <c r="FNI701" s="1349"/>
      <c r="FNJ701" s="1349"/>
      <c r="FNK701" s="1349"/>
      <c r="FNL701" s="1349"/>
      <c r="FNM701" s="1349"/>
      <c r="FNN701" s="1349"/>
      <c r="FNO701" s="1349"/>
      <c r="FNP701" s="1349"/>
      <c r="FNQ701" s="1349"/>
      <c r="FNR701" s="1349"/>
      <c r="FNS701" s="1349"/>
      <c r="FNT701" s="1349"/>
      <c r="FNU701" s="1349"/>
      <c r="FNV701" s="1349"/>
      <c r="FNW701" s="1349"/>
      <c r="FNX701" s="1349"/>
      <c r="FNY701" s="1349"/>
      <c r="FNZ701" s="1349"/>
      <c r="FOA701" s="1349"/>
      <c r="FOB701" s="1349"/>
      <c r="FOC701" s="1349"/>
      <c r="FOD701" s="1349"/>
      <c r="FOE701" s="1349"/>
      <c r="FOF701" s="1349"/>
      <c r="FOG701" s="1349"/>
      <c r="FOH701" s="1349"/>
      <c r="FOI701" s="1349"/>
      <c r="FOJ701" s="1349"/>
      <c r="FOK701" s="1349"/>
      <c r="FOL701" s="1349"/>
      <c r="FOM701" s="1349"/>
      <c r="FON701" s="1349"/>
      <c r="FOO701" s="1349"/>
      <c r="FOP701" s="1349"/>
      <c r="FOQ701" s="1349"/>
      <c r="FOR701" s="1349"/>
      <c r="FOS701" s="1349"/>
      <c r="FOT701" s="1349"/>
      <c r="FOU701" s="1349"/>
      <c r="FOV701" s="1349"/>
      <c r="FOW701" s="1349"/>
      <c r="FOX701" s="1349"/>
      <c r="FOY701" s="1349"/>
      <c r="FOZ701" s="1349"/>
      <c r="FPA701" s="1349"/>
      <c r="FPB701" s="1349"/>
      <c r="FPC701" s="1349"/>
      <c r="FPD701" s="1349"/>
      <c r="FPE701" s="1349"/>
      <c r="FPF701" s="1349"/>
      <c r="FPG701" s="1349"/>
      <c r="FPH701" s="1349"/>
      <c r="FPI701" s="1349"/>
      <c r="FPJ701" s="1349"/>
      <c r="FPK701" s="1349"/>
      <c r="FPL701" s="1349"/>
      <c r="FPM701" s="1349"/>
      <c r="FPN701" s="1349"/>
      <c r="FPO701" s="1349"/>
      <c r="FPP701" s="1349"/>
      <c r="FPQ701" s="1349"/>
      <c r="FPR701" s="1349"/>
      <c r="FPS701" s="1349"/>
      <c r="FPT701" s="1349"/>
      <c r="FPU701" s="1349"/>
      <c r="FPV701" s="1349"/>
      <c r="FPW701" s="1349"/>
      <c r="FPX701" s="1349"/>
      <c r="FPY701" s="1349"/>
      <c r="FPZ701" s="1349"/>
      <c r="FQA701" s="1349"/>
      <c r="FQB701" s="1349"/>
      <c r="FQC701" s="1349"/>
      <c r="FQD701" s="1349"/>
      <c r="FQE701" s="1349"/>
      <c r="FQF701" s="1349"/>
      <c r="FQG701" s="1349"/>
      <c r="FQH701" s="1349"/>
      <c r="FQI701" s="1349"/>
      <c r="FQJ701" s="1349"/>
      <c r="FQK701" s="1349"/>
      <c r="FQL701" s="1349"/>
      <c r="FQM701" s="1349"/>
      <c r="FQN701" s="1349"/>
      <c r="FQO701" s="1349"/>
      <c r="FQP701" s="1349"/>
      <c r="FQQ701" s="1349"/>
      <c r="FQR701" s="1349"/>
      <c r="FQS701" s="1349"/>
      <c r="FQT701" s="1349"/>
      <c r="FQU701" s="1349"/>
      <c r="FQV701" s="1349"/>
      <c r="FQW701" s="1349"/>
      <c r="FQX701" s="1349"/>
      <c r="FQY701" s="1349"/>
      <c r="FQZ701" s="1349"/>
      <c r="FRA701" s="1349"/>
      <c r="FRB701" s="1349"/>
      <c r="FRC701" s="1349"/>
      <c r="FRD701" s="1349"/>
      <c r="FRE701" s="1349"/>
      <c r="FRF701" s="1349"/>
      <c r="FRG701" s="1349"/>
      <c r="FRH701" s="1349"/>
      <c r="FRI701" s="1349"/>
      <c r="FRJ701" s="1349"/>
      <c r="FRK701" s="1349"/>
      <c r="FRL701" s="1349"/>
      <c r="FRM701" s="1349"/>
      <c r="FRN701" s="1349"/>
      <c r="FRO701" s="1349"/>
      <c r="FRP701" s="1349"/>
      <c r="FRQ701" s="1349"/>
      <c r="FRR701" s="1349"/>
      <c r="FRS701" s="1349"/>
      <c r="FRT701" s="1349"/>
      <c r="FRU701" s="1349"/>
      <c r="FRV701" s="1349"/>
      <c r="FRW701" s="1349"/>
      <c r="FRX701" s="1349"/>
      <c r="FRY701" s="1349"/>
      <c r="FRZ701" s="1349"/>
      <c r="FSA701" s="1349"/>
      <c r="FSB701" s="1349"/>
      <c r="FSC701" s="1349"/>
      <c r="FSD701" s="1349"/>
      <c r="FSE701" s="1349"/>
      <c r="FSF701" s="1349"/>
      <c r="FSG701" s="1349"/>
      <c r="FSH701" s="1349"/>
      <c r="FSI701" s="1349"/>
      <c r="FSJ701" s="1349"/>
      <c r="FSK701" s="1349"/>
      <c r="FSL701" s="1349"/>
      <c r="FSM701" s="1349"/>
      <c r="FSN701" s="1349"/>
      <c r="FSO701" s="1349"/>
      <c r="FSP701" s="1349"/>
      <c r="FSQ701" s="1349"/>
      <c r="FSR701" s="1349"/>
      <c r="FSS701" s="1349"/>
      <c r="FST701" s="1349"/>
      <c r="FSU701" s="1349"/>
      <c r="FSV701" s="1349"/>
      <c r="FSW701" s="1349"/>
      <c r="FSX701" s="1349"/>
      <c r="FSY701" s="1349"/>
      <c r="FSZ701" s="1349"/>
      <c r="FTA701" s="1349"/>
      <c r="FTB701" s="1349"/>
      <c r="FTC701" s="1349"/>
      <c r="FTD701" s="1349"/>
      <c r="FTE701" s="1349"/>
      <c r="FTF701" s="1349"/>
      <c r="FTG701" s="1349"/>
      <c r="FTH701" s="1349"/>
      <c r="FTI701" s="1349"/>
      <c r="FTJ701" s="1349"/>
      <c r="FTK701" s="1349"/>
      <c r="FTL701" s="1349"/>
      <c r="FTM701" s="1349"/>
      <c r="FTN701" s="1349"/>
      <c r="FTO701" s="1349"/>
      <c r="FTP701" s="1349"/>
      <c r="FTQ701" s="1349"/>
      <c r="FTR701" s="1349"/>
      <c r="FTS701" s="1349"/>
      <c r="FTT701" s="1349"/>
      <c r="FTU701" s="1349"/>
      <c r="FTV701" s="1349"/>
      <c r="FTW701" s="1349"/>
      <c r="FTX701" s="1349"/>
      <c r="FTY701" s="1349"/>
      <c r="FTZ701" s="1349"/>
      <c r="FUA701" s="1349"/>
      <c r="FUB701" s="1349"/>
      <c r="FUC701" s="1349"/>
      <c r="FUD701" s="1349"/>
      <c r="FUE701" s="1349"/>
      <c r="FUF701" s="1349"/>
      <c r="FUG701" s="1349"/>
      <c r="FUH701" s="1349"/>
      <c r="FUI701" s="1349"/>
      <c r="FUJ701" s="1349"/>
      <c r="FUK701" s="1349"/>
      <c r="FUL701" s="1349"/>
      <c r="FUM701" s="1349"/>
      <c r="FUN701" s="1349"/>
      <c r="FUO701" s="1349"/>
      <c r="FUP701" s="1349"/>
      <c r="FUQ701" s="1349"/>
      <c r="FUR701" s="1349"/>
      <c r="FUS701" s="1349"/>
      <c r="FUT701" s="1349"/>
      <c r="FUU701" s="1349"/>
      <c r="FUV701" s="1349"/>
      <c r="FUW701" s="1349"/>
      <c r="FUX701" s="1349"/>
      <c r="FUY701" s="1349"/>
      <c r="FUZ701" s="1349"/>
      <c r="FVA701" s="1349"/>
      <c r="FVB701" s="1349"/>
      <c r="FVC701" s="1349"/>
      <c r="FVD701" s="1349"/>
      <c r="FVE701" s="1349"/>
      <c r="FVF701" s="1349"/>
      <c r="FVG701" s="1349"/>
      <c r="FVH701" s="1349"/>
      <c r="FVI701" s="1349"/>
      <c r="FVJ701" s="1349"/>
      <c r="FVK701" s="1349"/>
      <c r="FVL701" s="1349"/>
      <c r="FVM701" s="1349"/>
      <c r="FVN701" s="1349"/>
      <c r="FVO701" s="1349"/>
      <c r="FVP701" s="1349"/>
      <c r="FVQ701" s="1349"/>
      <c r="FVR701" s="1349"/>
      <c r="FVS701" s="1349"/>
      <c r="FVT701" s="1349"/>
      <c r="FVU701" s="1349"/>
      <c r="FVV701" s="1349"/>
      <c r="FVW701" s="1349"/>
      <c r="FVX701" s="1349"/>
      <c r="FVY701" s="1349"/>
      <c r="FVZ701" s="1349"/>
      <c r="FWA701" s="1349"/>
      <c r="FWB701" s="1349"/>
      <c r="FWC701" s="1349"/>
      <c r="FWD701" s="1349"/>
      <c r="FWE701" s="1349"/>
      <c r="FWF701" s="1349"/>
      <c r="FWG701" s="1349"/>
      <c r="FWH701" s="1349"/>
      <c r="FWI701" s="1349"/>
      <c r="FWJ701" s="1349"/>
      <c r="FWK701" s="1349"/>
      <c r="FWL701" s="1349"/>
      <c r="FWM701" s="1349"/>
      <c r="FWN701" s="1349"/>
      <c r="FWO701" s="1349"/>
      <c r="FWP701" s="1349"/>
      <c r="FWQ701" s="1349"/>
      <c r="FWR701" s="1349"/>
      <c r="FWS701" s="1349"/>
      <c r="FWT701" s="1349"/>
      <c r="FWU701" s="1349"/>
      <c r="FWV701" s="1349"/>
      <c r="FWW701" s="1349"/>
      <c r="FWX701" s="1349"/>
      <c r="FWY701" s="1349"/>
      <c r="FWZ701" s="1349"/>
      <c r="FXA701" s="1349"/>
      <c r="FXB701" s="1349"/>
      <c r="FXC701" s="1349"/>
      <c r="FXD701" s="1349"/>
      <c r="FXE701" s="1349"/>
      <c r="FXF701" s="1349"/>
      <c r="FXG701" s="1349"/>
      <c r="FXH701" s="1349"/>
      <c r="FXI701" s="1349"/>
      <c r="FXJ701" s="1349"/>
      <c r="FXK701" s="1349"/>
      <c r="FXL701" s="1349"/>
      <c r="FXM701" s="1349"/>
      <c r="FXN701" s="1349"/>
      <c r="FXO701" s="1349"/>
      <c r="FXP701" s="1349"/>
      <c r="FXQ701" s="1349"/>
      <c r="FXR701" s="1349"/>
      <c r="FXS701" s="1349"/>
      <c r="FXT701" s="1349"/>
      <c r="FXU701" s="1349"/>
      <c r="FXV701" s="1349"/>
      <c r="FXW701" s="1349"/>
      <c r="FXX701" s="1349"/>
      <c r="FXY701" s="1349"/>
      <c r="FXZ701" s="1349"/>
      <c r="FYA701" s="1349"/>
      <c r="FYB701" s="1349"/>
      <c r="FYC701" s="1349"/>
      <c r="FYD701" s="1349"/>
      <c r="FYE701" s="1349"/>
      <c r="FYF701" s="1349"/>
      <c r="FYG701" s="1349"/>
      <c r="FYH701" s="1349"/>
      <c r="FYI701" s="1349"/>
      <c r="FYJ701" s="1349"/>
      <c r="FYK701" s="1349"/>
      <c r="FYL701" s="1349"/>
      <c r="FYM701" s="1349"/>
      <c r="FYN701" s="1349"/>
      <c r="FYO701" s="1349"/>
      <c r="FYP701" s="1349"/>
      <c r="FYQ701" s="1349"/>
      <c r="FYR701" s="1349"/>
      <c r="FYS701" s="1349"/>
      <c r="FYT701" s="1349"/>
      <c r="FYU701" s="1349"/>
      <c r="FYV701" s="1349"/>
      <c r="FYW701" s="1349"/>
      <c r="FYX701" s="1349"/>
      <c r="FYY701" s="1349"/>
      <c r="FYZ701" s="1349"/>
      <c r="FZA701" s="1349"/>
      <c r="FZB701" s="1349"/>
      <c r="FZC701" s="1349"/>
      <c r="FZD701" s="1349"/>
      <c r="FZE701" s="1349"/>
      <c r="FZF701" s="1349"/>
      <c r="FZG701" s="1349"/>
      <c r="FZH701" s="1349"/>
      <c r="FZI701" s="1349"/>
      <c r="FZJ701" s="1349"/>
      <c r="FZK701" s="1349"/>
      <c r="FZL701" s="1349"/>
      <c r="FZM701" s="1349"/>
      <c r="FZN701" s="1349"/>
      <c r="FZO701" s="1349"/>
      <c r="FZP701" s="1349"/>
      <c r="FZQ701" s="1349"/>
      <c r="FZR701" s="1349"/>
      <c r="FZS701" s="1349"/>
      <c r="FZT701" s="1349"/>
      <c r="FZU701" s="1349"/>
      <c r="FZV701" s="1349"/>
      <c r="FZW701" s="1349"/>
      <c r="FZX701" s="1349"/>
      <c r="FZY701" s="1349"/>
      <c r="FZZ701" s="1349"/>
      <c r="GAA701" s="1349"/>
      <c r="GAB701" s="1349"/>
      <c r="GAC701" s="1349"/>
      <c r="GAD701" s="1349"/>
      <c r="GAE701" s="1349"/>
      <c r="GAF701" s="1349"/>
      <c r="GAG701" s="1349"/>
      <c r="GAH701" s="1349"/>
      <c r="GAI701" s="1349"/>
      <c r="GAJ701" s="1349"/>
      <c r="GAK701" s="1349"/>
      <c r="GAL701" s="1349"/>
      <c r="GAM701" s="1349"/>
      <c r="GAN701" s="1349"/>
      <c r="GAO701" s="1349"/>
      <c r="GAP701" s="1349"/>
      <c r="GAQ701" s="1349"/>
      <c r="GAR701" s="1349"/>
      <c r="GAS701" s="1349"/>
      <c r="GAT701" s="1349"/>
      <c r="GAU701" s="1349"/>
      <c r="GAV701" s="1349"/>
      <c r="GAW701" s="1349"/>
      <c r="GAX701" s="1349"/>
      <c r="GAY701" s="1349"/>
      <c r="GAZ701" s="1349"/>
      <c r="GBA701" s="1349"/>
      <c r="GBB701" s="1349"/>
      <c r="GBC701" s="1349"/>
      <c r="GBD701" s="1349"/>
      <c r="GBE701" s="1349"/>
      <c r="GBF701" s="1349"/>
      <c r="GBG701" s="1349"/>
      <c r="GBH701" s="1349"/>
      <c r="GBI701" s="1349"/>
      <c r="GBJ701" s="1349"/>
      <c r="GBK701" s="1349"/>
      <c r="GBL701" s="1349"/>
      <c r="GBM701" s="1349"/>
      <c r="GBN701" s="1349"/>
      <c r="GBO701" s="1349"/>
      <c r="GBP701" s="1349"/>
      <c r="GBQ701" s="1349"/>
      <c r="GBR701" s="1349"/>
      <c r="GBS701" s="1349"/>
      <c r="GBT701" s="1349"/>
      <c r="GBU701" s="1349"/>
      <c r="GBV701" s="1349"/>
      <c r="GBW701" s="1349"/>
      <c r="GBX701" s="1349"/>
      <c r="GBY701" s="1349"/>
      <c r="GBZ701" s="1349"/>
      <c r="GCA701" s="1349"/>
      <c r="GCB701" s="1349"/>
      <c r="GCC701" s="1349"/>
      <c r="GCD701" s="1349"/>
      <c r="GCE701" s="1349"/>
      <c r="GCF701" s="1349"/>
      <c r="GCG701" s="1349"/>
      <c r="GCH701" s="1349"/>
      <c r="GCI701" s="1349"/>
      <c r="GCJ701" s="1349"/>
      <c r="GCK701" s="1349"/>
      <c r="GCL701" s="1349"/>
      <c r="GCM701" s="1349"/>
      <c r="GCN701" s="1349"/>
      <c r="GCO701" s="1349"/>
      <c r="GCP701" s="1349"/>
      <c r="GCQ701" s="1349"/>
      <c r="GCR701" s="1349"/>
      <c r="GCS701" s="1349"/>
      <c r="GCT701" s="1349"/>
      <c r="GCU701" s="1349"/>
      <c r="GCV701" s="1349"/>
      <c r="GCW701" s="1349"/>
      <c r="GCX701" s="1349"/>
      <c r="GCY701" s="1349"/>
      <c r="GCZ701" s="1349"/>
      <c r="GDA701" s="1349"/>
      <c r="GDB701" s="1349"/>
      <c r="GDC701" s="1349"/>
      <c r="GDD701" s="1349"/>
      <c r="GDE701" s="1349"/>
      <c r="GDF701" s="1349"/>
      <c r="GDG701" s="1349"/>
      <c r="GDH701" s="1349"/>
      <c r="GDI701" s="1349"/>
      <c r="GDJ701" s="1349"/>
      <c r="GDK701" s="1349"/>
      <c r="GDL701" s="1349"/>
      <c r="GDM701" s="1349"/>
      <c r="GDN701" s="1349"/>
      <c r="GDO701" s="1349"/>
      <c r="GDP701" s="1349"/>
      <c r="GDQ701" s="1349"/>
      <c r="GDR701" s="1349"/>
      <c r="GDS701" s="1349"/>
      <c r="GDT701" s="1349"/>
      <c r="GDU701" s="1349"/>
      <c r="GDV701" s="1349"/>
      <c r="GDW701" s="1349"/>
      <c r="GDX701" s="1349"/>
      <c r="GDY701" s="1349"/>
      <c r="GDZ701" s="1349"/>
      <c r="GEA701" s="1349"/>
      <c r="GEB701" s="1349"/>
      <c r="GEC701" s="1349"/>
      <c r="GED701" s="1349"/>
      <c r="GEE701" s="1349"/>
      <c r="GEF701" s="1349"/>
      <c r="GEG701" s="1349"/>
      <c r="GEH701" s="1349"/>
      <c r="GEI701" s="1349"/>
      <c r="GEJ701" s="1349"/>
      <c r="GEK701" s="1349"/>
      <c r="GEL701" s="1349"/>
      <c r="GEM701" s="1349"/>
      <c r="GEN701" s="1349"/>
      <c r="GEO701" s="1349"/>
      <c r="GEP701" s="1349"/>
      <c r="GEQ701" s="1349"/>
      <c r="GER701" s="1349"/>
      <c r="GES701" s="1349"/>
      <c r="GET701" s="1349"/>
      <c r="GEU701" s="1349"/>
      <c r="GEV701" s="1349"/>
      <c r="GEW701" s="1349"/>
      <c r="GEX701" s="1349"/>
      <c r="GEY701" s="1349"/>
      <c r="GEZ701" s="1349"/>
      <c r="GFA701" s="1349"/>
      <c r="GFB701" s="1349"/>
      <c r="GFC701" s="1349"/>
      <c r="GFD701" s="1349"/>
      <c r="GFE701" s="1349"/>
      <c r="GFF701" s="1349"/>
      <c r="GFG701" s="1349"/>
      <c r="GFH701" s="1349"/>
      <c r="GFI701" s="1349"/>
      <c r="GFJ701" s="1349"/>
      <c r="GFK701" s="1349"/>
      <c r="GFL701" s="1349"/>
      <c r="GFM701" s="1349"/>
      <c r="GFN701" s="1349"/>
      <c r="GFO701" s="1349"/>
      <c r="GFP701" s="1349"/>
      <c r="GFQ701" s="1349"/>
      <c r="GFR701" s="1349"/>
      <c r="GFS701" s="1349"/>
      <c r="GFT701" s="1349"/>
      <c r="GFU701" s="1349"/>
      <c r="GFV701" s="1349"/>
      <c r="GFW701" s="1349"/>
      <c r="GFX701" s="1349"/>
      <c r="GFY701" s="1349"/>
      <c r="GFZ701" s="1349"/>
      <c r="GGA701" s="1349"/>
      <c r="GGB701" s="1349"/>
      <c r="GGC701" s="1349"/>
      <c r="GGD701" s="1349"/>
      <c r="GGE701" s="1349"/>
      <c r="GGF701" s="1349"/>
      <c r="GGG701" s="1349"/>
      <c r="GGH701" s="1349"/>
      <c r="GGI701" s="1349"/>
      <c r="GGJ701" s="1349"/>
      <c r="GGK701" s="1349"/>
      <c r="GGL701" s="1349"/>
      <c r="GGM701" s="1349"/>
      <c r="GGN701" s="1349"/>
      <c r="GGO701" s="1349"/>
      <c r="GGP701" s="1349"/>
      <c r="GGQ701" s="1349"/>
      <c r="GGR701" s="1349"/>
      <c r="GGS701" s="1349"/>
      <c r="GGT701" s="1349"/>
      <c r="GGU701" s="1349"/>
      <c r="GGV701" s="1349"/>
      <c r="GGW701" s="1349"/>
      <c r="GGX701" s="1349"/>
      <c r="GGY701" s="1349"/>
      <c r="GGZ701" s="1349"/>
      <c r="GHA701" s="1349"/>
      <c r="GHB701" s="1349"/>
      <c r="GHC701" s="1349"/>
      <c r="GHD701" s="1349"/>
      <c r="GHE701" s="1349"/>
      <c r="GHF701" s="1349"/>
      <c r="GHG701" s="1349"/>
      <c r="GHH701" s="1349"/>
      <c r="GHI701" s="1349"/>
      <c r="GHJ701" s="1349"/>
      <c r="GHK701" s="1349"/>
      <c r="GHL701" s="1349"/>
      <c r="GHM701" s="1349"/>
      <c r="GHN701" s="1349"/>
      <c r="GHO701" s="1349"/>
      <c r="GHP701" s="1349"/>
      <c r="GHQ701" s="1349"/>
      <c r="GHR701" s="1349"/>
      <c r="GHS701" s="1349"/>
      <c r="GHT701" s="1349"/>
      <c r="GHU701" s="1349"/>
      <c r="GHV701" s="1349"/>
      <c r="GHW701" s="1349"/>
      <c r="GHX701" s="1349"/>
      <c r="GHY701" s="1349"/>
      <c r="GHZ701" s="1349"/>
      <c r="GIA701" s="1349"/>
      <c r="GIB701" s="1349"/>
      <c r="GIC701" s="1349"/>
      <c r="GID701" s="1349"/>
      <c r="GIE701" s="1349"/>
      <c r="GIF701" s="1349"/>
      <c r="GIG701" s="1349"/>
      <c r="GIH701" s="1349"/>
      <c r="GII701" s="1349"/>
      <c r="GIJ701" s="1349"/>
      <c r="GIK701" s="1349"/>
      <c r="GIL701" s="1349"/>
      <c r="GIM701" s="1349"/>
      <c r="GIN701" s="1349"/>
      <c r="GIO701" s="1349"/>
      <c r="GIP701" s="1349"/>
      <c r="GIQ701" s="1349"/>
      <c r="GIR701" s="1349"/>
      <c r="GIS701" s="1349"/>
      <c r="GIT701" s="1349"/>
      <c r="GIU701" s="1349"/>
      <c r="GIV701" s="1349"/>
      <c r="GIW701" s="1349"/>
      <c r="GIX701" s="1349"/>
      <c r="GIY701" s="1349"/>
      <c r="GIZ701" s="1349"/>
      <c r="GJA701" s="1349"/>
      <c r="GJB701" s="1349"/>
      <c r="GJC701" s="1349"/>
      <c r="GJD701" s="1349"/>
      <c r="GJE701" s="1349"/>
      <c r="GJF701" s="1349"/>
      <c r="GJG701" s="1349"/>
      <c r="GJH701" s="1349"/>
      <c r="GJI701" s="1349"/>
      <c r="GJJ701" s="1349"/>
      <c r="GJK701" s="1349"/>
      <c r="GJL701" s="1349"/>
      <c r="GJM701" s="1349"/>
      <c r="GJN701" s="1349"/>
      <c r="GJO701" s="1349"/>
      <c r="GJP701" s="1349"/>
      <c r="GJQ701" s="1349"/>
      <c r="GJR701" s="1349"/>
      <c r="GJS701" s="1349"/>
      <c r="GJT701" s="1349"/>
      <c r="GJU701" s="1349"/>
      <c r="GJV701" s="1349"/>
      <c r="GJW701" s="1349"/>
      <c r="GJX701" s="1349"/>
      <c r="GJY701" s="1349"/>
      <c r="GJZ701" s="1349"/>
      <c r="GKA701" s="1349"/>
      <c r="GKB701" s="1349"/>
      <c r="GKC701" s="1349"/>
      <c r="GKD701" s="1349"/>
      <c r="GKE701" s="1349"/>
      <c r="GKF701" s="1349"/>
      <c r="GKG701" s="1349"/>
      <c r="GKH701" s="1349"/>
      <c r="GKI701" s="1349"/>
      <c r="GKJ701" s="1349"/>
      <c r="GKK701" s="1349"/>
      <c r="GKL701" s="1349"/>
      <c r="GKM701" s="1349"/>
      <c r="GKN701" s="1349"/>
      <c r="GKO701" s="1349"/>
      <c r="GKP701" s="1349"/>
      <c r="GKQ701" s="1349"/>
      <c r="GKR701" s="1349"/>
      <c r="GKS701" s="1349"/>
      <c r="GKT701" s="1349"/>
      <c r="GKU701" s="1349"/>
      <c r="GKV701" s="1349"/>
      <c r="GKW701" s="1349"/>
      <c r="GKX701" s="1349"/>
      <c r="GKY701" s="1349"/>
      <c r="GKZ701" s="1349"/>
      <c r="GLA701" s="1349"/>
      <c r="GLB701" s="1349"/>
      <c r="GLC701" s="1349"/>
      <c r="GLD701" s="1349"/>
      <c r="GLE701" s="1349"/>
      <c r="GLF701" s="1349"/>
      <c r="GLG701" s="1349"/>
      <c r="GLH701" s="1349"/>
      <c r="GLI701" s="1349"/>
      <c r="GLJ701" s="1349"/>
      <c r="GLK701" s="1349"/>
      <c r="GLL701" s="1349"/>
      <c r="GLM701" s="1349"/>
      <c r="GLN701" s="1349"/>
      <c r="GLO701" s="1349"/>
      <c r="GLP701" s="1349"/>
      <c r="GLQ701" s="1349"/>
      <c r="GLR701" s="1349"/>
      <c r="GLS701" s="1349"/>
      <c r="GLT701" s="1349"/>
      <c r="GLU701" s="1349"/>
      <c r="GLV701" s="1349"/>
      <c r="GLW701" s="1349"/>
      <c r="GLX701" s="1349"/>
      <c r="GLY701" s="1349"/>
      <c r="GLZ701" s="1349"/>
      <c r="GMA701" s="1349"/>
      <c r="GMB701" s="1349"/>
      <c r="GMC701" s="1349"/>
      <c r="GMD701" s="1349"/>
      <c r="GME701" s="1349"/>
      <c r="GMF701" s="1349"/>
      <c r="GMG701" s="1349"/>
      <c r="GMH701" s="1349"/>
      <c r="GMI701" s="1349"/>
      <c r="GMJ701" s="1349"/>
      <c r="GMK701" s="1349"/>
      <c r="GML701" s="1349"/>
      <c r="GMM701" s="1349"/>
      <c r="GMN701" s="1349"/>
      <c r="GMO701" s="1349"/>
      <c r="GMP701" s="1349"/>
      <c r="GMQ701" s="1349"/>
      <c r="GMR701" s="1349"/>
      <c r="GMS701" s="1349"/>
      <c r="GMT701" s="1349"/>
      <c r="GMU701" s="1349"/>
      <c r="GMV701" s="1349"/>
      <c r="GMW701" s="1349"/>
      <c r="GMX701" s="1349"/>
      <c r="GMY701" s="1349"/>
      <c r="GMZ701" s="1349"/>
      <c r="GNA701" s="1349"/>
      <c r="GNB701" s="1349"/>
      <c r="GNC701" s="1349"/>
      <c r="GND701" s="1349"/>
      <c r="GNE701" s="1349"/>
      <c r="GNF701" s="1349"/>
      <c r="GNG701" s="1349"/>
      <c r="GNH701" s="1349"/>
      <c r="GNI701" s="1349"/>
      <c r="GNJ701" s="1349"/>
      <c r="GNK701" s="1349"/>
      <c r="GNL701" s="1349"/>
      <c r="GNM701" s="1349"/>
      <c r="GNN701" s="1349"/>
      <c r="GNO701" s="1349"/>
      <c r="GNP701" s="1349"/>
      <c r="GNQ701" s="1349"/>
      <c r="GNR701" s="1349"/>
      <c r="GNS701" s="1349"/>
      <c r="GNT701" s="1349"/>
      <c r="GNU701" s="1349"/>
      <c r="GNV701" s="1349"/>
      <c r="GNW701" s="1349"/>
      <c r="GNX701" s="1349"/>
      <c r="GNY701" s="1349"/>
      <c r="GNZ701" s="1349"/>
      <c r="GOA701" s="1349"/>
      <c r="GOB701" s="1349"/>
      <c r="GOC701" s="1349"/>
      <c r="GOD701" s="1349"/>
      <c r="GOE701" s="1349"/>
      <c r="GOF701" s="1349"/>
      <c r="GOG701" s="1349"/>
      <c r="GOH701" s="1349"/>
      <c r="GOI701" s="1349"/>
      <c r="GOJ701" s="1349"/>
      <c r="GOK701" s="1349"/>
      <c r="GOL701" s="1349"/>
      <c r="GOM701" s="1349"/>
      <c r="GON701" s="1349"/>
      <c r="GOO701" s="1349"/>
      <c r="GOP701" s="1349"/>
      <c r="GOQ701" s="1349"/>
      <c r="GOR701" s="1349"/>
      <c r="GOS701" s="1349"/>
      <c r="GOT701" s="1349"/>
      <c r="GOU701" s="1349"/>
      <c r="GOV701" s="1349"/>
      <c r="GOW701" s="1349"/>
      <c r="GOX701" s="1349"/>
      <c r="GOY701" s="1349"/>
      <c r="GOZ701" s="1349"/>
      <c r="GPA701" s="1349"/>
      <c r="GPB701" s="1349"/>
      <c r="GPC701" s="1349"/>
      <c r="GPD701" s="1349"/>
      <c r="GPE701" s="1349"/>
      <c r="GPF701" s="1349"/>
      <c r="GPG701" s="1349"/>
      <c r="GPH701" s="1349"/>
      <c r="GPI701" s="1349"/>
      <c r="GPJ701" s="1349"/>
      <c r="GPK701" s="1349"/>
      <c r="GPL701" s="1349"/>
      <c r="GPM701" s="1349"/>
      <c r="GPN701" s="1349"/>
      <c r="GPO701" s="1349"/>
      <c r="GPP701" s="1349"/>
      <c r="GPQ701" s="1349"/>
      <c r="GPR701" s="1349"/>
      <c r="GPS701" s="1349"/>
      <c r="GPT701" s="1349"/>
      <c r="GPU701" s="1349"/>
      <c r="GPV701" s="1349"/>
      <c r="GPW701" s="1349"/>
      <c r="GPX701" s="1349"/>
      <c r="GPY701" s="1349"/>
      <c r="GPZ701" s="1349"/>
      <c r="GQA701" s="1349"/>
      <c r="GQB701" s="1349"/>
      <c r="GQC701" s="1349"/>
      <c r="GQD701" s="1349"/>
      <c r="GQE701" s="1349"/>
      <c r="GQF701" s="1349"/>
      <c r="GQG701" s="1349"/>
      <c r="GQH701" s="1349"/>
      <c r="GQI701" s="1349"/>
      <c r="GQJ701" s="1349"/>
      <c r="GQK701" s="1349"/>
      <c r="GQL701" s="1349"/>
      <c r="GQM701" s="1349"/>
      <c r="GQN701" s="1349"/>
      <c r="GQO701" s="1349"/>
      <c r="GQP701" s="1349"/>
      <c r="GQQ701" s="1349"/>
      <c r="GQR701" s="1349"/>
      <c r="GQS701" s="1349"/>
      <c r="GQT701" s="1349"/>
      <c r="GQU701" s="1349"/>
      <c r="GQV701" s="1349"/>
      <c r="GQW701" s="1349"/>
      <c r="GQX701" s="1349"/>
      <c r="GQY701" s="1349"/>
      <c r="GQZ701" s="1349"/>
      <c r="GRA701" s="1349"/>
      <c r="GRB701" s="1349"/>
      <c r="GRC701" s="1349"/>
      <c r="GRD701" s="1349"/>
      <c r="GRE701" s="1349"/>
      <c r="GRF701" s="1349"/>
      <c r="GRG701" s="1349"/>
      <c r="GRH701" s="1349"/>
      <c r="GRI701" s="1349"/>
      <c r="GRJ701" s="1349"/>
      <c r="GRK701" s="1349"/>
      <c r="GRL701" s="1349"/>
      <c r="GRM701" s="1349"/>
      <c r="GRN701" s="1349"/>
      <c r="GRO701" s="1349"/>
      <c r="GRP701" s="1349"/>
      <c r="GRQ701" s="1349"/>
      <c r="GRR701" s="1349"/>
      <c r="GRS701" s="1349"/>
      <c r="GRT701" s="1349"/>
      <c r="GRU701" s="1349"/>
      <c r="GRV701" s="1349"/>
      <c r="GRW701" s="1349"/>
      <c r="GRX701" s="1349"/>
      <c r="GRY701" s="1349"/>
      <c r="GRZ701" s="1349"/>
      <c r="GSA701" s="1349"/>
      <c r="GSB701" s="1349"/>
      <c r="GSC701" s="1349"/>
      <c r="GSD701" s="1349"/>
      <c r="GSE701" s="1349"/>
      <c r="GSF701" s="1349"/>
      <c r="GSG701" s="1349"/>
      <c r="GSH701" s="1349"/>
      <c r="GSI701" s="1349"/>
      <c r="GSJ701" s="1349"/>
      <c r="GSK701" s="1349"/>
      <c r="GSL701" s="1349"/>
      <c r="GSM701" s="1349"/>
      <c r="GSN701" s="1349"/>
      <c r="GSO701" s="1349"/>
      <c r="GSP701" s="1349"/>
      <c r="GSQ701" s="1349"/>
      <c r="GSR701" s="1349"/>
      <c r="GSS701" s="1349"/>
      <c r="GST701" s="1349"/>
      <c r="GSU701" s="1349"/>
      <c r="GSV701" s="1349"/>
      <c r="GSW701" s="1349"/>
      <c r="GSX701" s="1349"/>
      <c r="GSY701" s="1349"/>
      <c r="GSZ701" s="1349"/>
      <c r="GTA701" s="1349"/>
      <c r="GTB701" s="1349"/>
      <c r="GTC701" s="1349"/>
      <c r="GTD701" s="1349"/>
      <c r="GTE701" s="1349"/>
      <c r="GTF701" s="1349"/>
      <c r="GTG701" s="1349"/>
      <c r="GTH701" s="1349"/>
      <c r="GTI701" s="1349"/>
      <c r="GTJ701" s="1349"/>
      <c r="GTK701" s="1349"/>
      <c r="GTL701" s="1349"/>
      <c r="GTM701" s="1349"/>
      <c r="GTN701" s="1349"/>
      <c r="GTO701" s="1349"/>
      <c r="GTP701" s="1349"/>
      <c r="GTQ701" s="1349"/>
      <c r="GTR701" s="1349"/>
      <c r="GTS701" s="1349"/>
      <c r="GTT701" s="1349"/>
      <c r="GTU701" s="1349"/>
      <c r="GTV701" s="1349"/>
      <c r="GTW701" s="1349"/>
      <c r="GTX701" s="1349"/>
      <c r="GTY701" s="1349"/>
      <c r="GTZ701" s="1349"/>
      <c r="GUA701" s="1349"/>
      <c r="GUB701" s="1349"/>
      <c r="GUC701" s="1349"/>
      <c r="GUD701" s="1349"/>
      <c r="GUE701" s="1349"/>
      <c r="GUF701" s="1349"/>
      <c r="GUG701" s="1349"/>
      <c r="GUH701" s="1349"/>
      <c r="GUI701" s="1349"/>
      <c r="GUJ701" s="1349"/>
      <c r="GUK701" s="1349"/>
      <c r="GUL701" s="1349"/>
      <c r="GUM701" s="1349"/>
      <c r="GUN701" s="1349"/>
      <c r="GUO701" s="1349"/>
      <c r="GUP701" s="1349"/>
      <c r="GUQ701" s="1349"/>
      <c r="GUR701" s="1349"/>
      <c r="GUS701" s="1349"/>
      <c r="GUT701" s="1349"/>
      <c r="GUU701" s="1349"/>
      <c r="GUV701" s="1349"/>
      <c r="GUW701" s="1349"/>
      <c r="GUX701" s="1349"/>
      <c r="GUY701" s="1349"/>
      <c r="GUZ701" s="1349"/>
      <c r="GVA701" s="1349"/>
      <c r="GVB701" s="1349"/>
      <c r="GVC701" s="1349"/>
      <c r="GVD701" s="1349"/>
      <c r="GVE701" s="1349"/>
      <c r="GVF701" s="1349"/>
      <c r="GVG701" s="1349"/>
      <c r="GVH701" s="1349"/>
      <c r="GVI701" s="1349"/>
      <c r="GVJ701" s="1349"/>
      <c r="GVK701" s="1349"/>
      <c r="GVL701" s="1349"/>
      <c r="GVM701" s="1349"/>
      <c r="GVN701" s="1349"/>
      <c r="GVO701" s="1349"/>
      <c r="GVP701" s="1349"/>
      <c r="GVQ701" s="1349"/>
      <c r="GVR701" s="1349"/>
      <c r="GVS701" s="1349"/>
      <c r="GVT701" s="1349"/>
      <c r="GVU701" s="1349"/>
      <c r="GVV701" s="1349"/>
      <c r="GVW701" s="1349"/>
      <c r="GVX701" s="1349"/>
      <c r="GVY701" s="1349"/>
      <c r="GVZ701" s="1349"/>
      <c r="GWA701" s="1349"/>
      <c r="GWB701" s="1349"/>
      <c r="GWC701" s="1349"/>
      <c r="GWD701" s="1349"/>
      <c r="GWE701" s="1349"/>
      <c r="GWF701" s="1349"/>
      <c r="GWG701" s="1349"/>
      <c r="GWH701" s="1349"/>
      <c r="GWI701" s="1349"/>
      <c r="GWJ701" s="1349"/>
      <c r="GWK701" s="1349"/>
      <c r="GWL701" s="1349"/>
      <c r="GWM701" s="1349"/>
      <c r="GWN701" s="1349"/>
      <c r="GWO701" s="1349"/>
      <c r="GWP701" s="1349"/>
      <c r="GWQ701" s="1349"/>
      <c r="GWR701" s="1349"/>
      <c r="GWS701" s="1349"/>
      <c r="GWT701" s="1349"/>
      <c r="GWU701" s="1349"/>
      <c r="GWV701" s="1349"/>
      <c r="GWW701" s="1349"/>
      <c r="GWX701" s="1349"/>
      <c r="GWY701" s="1349"/>
      <c r="GWZ701" s="1349"/>
      <c r="GXA701" s="1349"/>
      <c r="GXB701" s="1349"/>
      <c r="GXC701" s="1349"/>
      <c r="GXD701" s="1349"/>
      <c r="GXE701" s="1349"/>
      <c r="GXF701" s="1349"/>
      <c r="GXG701" s="1349"/>
      <c r="GXH701" s="1349"/>
      <c r="GXI701" s="1349"/>
      <c r="GXJ701" s="1349"/>
      <c r="GXK701" s="1349"/>
      <c r="GXL701" s="1349"/>
      <c r="GXM701" s="1349"/>
      <c r="GXN701" s="1349"/>
      <c r="GXO701" s="1349"/>
      <c r="GXP701" s="1349"/>
      <c r="GXQ701" s="1349"/>
      <c r="GXR701" s="1349"/>
      <c r="GXS701" s="1349"/>
      <c r="GXT701" s="1349"/>
      <c r="GXU701" s="1349"/>
      <c r="GXV701" s="1349"/>
      <c r="GXW701" s="1349"/>
      <c r="GXX701" s="1349"/>
      <c r="GXY701" s="1349"/>
      <c r="GXZ701" s="1349"/>
      <c r="GYA701" s="1349"/>
      <c r="GYB701" s="1349"/>
      <c r="GYC701" s="1349"/>
      <c r="GYD701" s="1349"/>
      <c r="GYE701" s="1349"/>
      <c r="GYF701" s="1349"/>
      <c r="GYG701" s="1349"/>
      <c r="GYH701" s="1349"/>
      <c r="GYI701" s="1349"/>
      <c r="GYJ701" s="1349"/>
      <c r="GYK701" s="1349"/>
      <c r="GYL701" s="1349"/>
      <c r="GYM701" s="1349"/>
      <c r="GYN701" s="1349"/>
      <c r="GYO701" s="1349"/>
      <c r="GYP701" s="1349"/>
      <c r="GYQ701" s="1349"/>
      <c r="GYR701" s="1349"/>
      <c r="GYS701" s="1349"/>
      <c r="GYT701" s="1349"/>
      <c r="GYU701" s="1349"/>
      <c r="GYV701" s="1349"/>
      <c r="GYW701" s="1349"/>
      <c r="GYX701" s="1349"/>
      <c r="GYY701" s="1349"/>
      <c r="GYZ701" s="1349"/>
      <c r="GZA701" s="1349"/>
      <c r="GZB701" s="1349"/>
      <c r="GZC701" s="1349"/>
      <c r="GZD701" s="1349"/>
      <c r="GZE701" s="1349"/>
      <c r="GZF701" s="1349"/>
      <c r="GZG701" s="1349"/>
      <c r="GZH701" s="1349"/>
      <c r="GZI701" s="1349"/>
      <c r="GZJ701" s="1349"/>
      <c r="GZK701" s="1349"/>
      <c r="GZL701" s="1349"/>
      <c r="GZM701" s="1349"/>
      <c r="GZN701" s="1349"/>
      <c r="GZO701" s="1349"/>
      <c r="GZP701" s="1349"/>
      <c r="GZQ701" s="1349"/>
      <c r="GZR701" s="1349"/>
      <c r="GZS701" s="1349"/>
      <c r="GZT701" s="1349"/>
      <c r="GZU701" s="1349"/>
      <c r="GZV701" s="1349"/>
      <c r="GZW701" s="1349"/>
      <c r="GZX701" s="1349"/>
      <c r="GZY701" s="1349"/>
      <c r="GZZ701" s="1349"/>
      <c r="HAA701" s="1349"/>
      <c r="HAB701" s="1349"/>
      <c r="HAC701" s="1349"/>
      <c r="HAD701" s="1349"/>
      <c r="HAE701" s="1349"/>
      <c r="HAF701" s="1349"/>
      <c r="HAG701" s="1349"/>
      <c r="HAH701" s="1349"/>
      <c r="HAI701" s="1349"/>
      <c r="HAJ701" s="1349"/>
      <c r="HAK701" s="1349"/>
      <c r="HAL701" s="1349"/>
      <c r="HAM701" s="1349"/>
      <c r="HAN701" s="1349"/>
      <c r="HAO701" s="1349"/>
      <c r="HAP701" s="1349"/>
      <c r="HAQ701" s="1349"/>
      <c r="HAR701" s="1349"/>
      <c r="HAS701" s="1349"/>
      <c r="HAT701" s="1349"/>
      <c r="HAU701" s="1349"/>
      <c r="HAV701" s="1349"/>
      <c r="HAW701" s="1349"/>
      <c r="HAX701" s="1349"/>
      <c r="HAY701" s="1349"/>
      <c r="HAZ701" s="1349"/>
      <c r="HBA701" s="1349"/>
      <c r="HBB701" s="1349"/>
      <c r="HBC701" s="1349"/>
      <c r="HBD701" s="1349"/>
      <c r="HBE701" s="1349"/>
      <c r="HBF701" s="1349"/>
      <c r="HBG701" s="1349"/>
      <c r="HBH701" s="1349"/>
      <c r="HBI701" s="1349"/>
      <c r="HBJ701" s="1349"/>
      <c r="HBK701" s="1349"/>
      <c r="HBL701" s="1349"/>
      <c r="HBM701" s="1349"/>
      <c r="HBN701" s="1349"/>
      <c r="HBO701" s="1349"/>
      <c r="HBP701" s="1349"/>
      <c r="HBQ701" s="1349"/>
      <c r="HBR701" s="1349"/>
      <c r="HBS701" s="1349"/>
      <c r="HBT701" s="1349"/>
      <c r="HBU701" s="1349"/>
      <c r="HBV701" s="1349"/>
      <c r="HBW701" s="1349"/>
      <c r="HBX701" s="1349"/>
      <c r="HBY701" s="1349"/>
      <c r="HBZ701" s="1349"/>
      <c r="HCA701" s="1349"/>
      <c r="HCB701" s="1349"/>
      <c r="HCC701" s="1349"/>
      <c r="HCD701" s="1349"/>
      <c r="HCE701" s="1349"/>
      <c r="HCF701" s="1349"/>
      <c r="HCG701" s="1349"/>
      <c r="HCH701" s="1349"/>
      <c r="HCI701" s="1349"/>
      <c r="HCJ701" s="1349"/>
      <c r="HCK701" s="1349"/>
      <c r="HCL701" s="1349"/>
      <c r="HCM701" s="1349"/>
      <c r="HCN701" s="1349"/>
      <c r="HCO701" s="1349"/>
      <c r="HCP701" s="1349"/>
      <c r="HCQ701" s="1349"/>
      <c r="HCR701" s="1349"/>
      <c r="HCS701" s="1349"/>
      <c r="HCT701" s="1349"/>
      <c r="HCU701" s="1349"/>
      <c r="HCV701" s="1349"/>
      <c r="HCW701" s="1349"/>
      <c r="HCX701" s="1349"/>
      <c r="HCY701" s="1349"/>
      <c r="HCZ701" s="1349"/>
      <c r="HDA701" s="1349"/>
      <c r="HDB701" s="1349"/>
      <c r="HDC701" s="1349"/>
      <c r="HDD701" s="1349"/>
      <c r="HDE701" s="1349"/>
      <c r="HDF701" s="1349"/>
      <c r="HDG701" s="1349"/>
      <c r="HDH701" s="1349"/>
      <c r="HDI701" s="1349"/>
      <c r="HDJ701" s="1349"/>
      <c r="HDK701" s="1349"/>
      <c r="HDL701" s="1349"/>
      <c r="HDM701" s="1349"/>
      <c r="HDN701" s="1349"/>
      <c r="HDO701" s="1349"/>
      <c r="HDP701" s="1349"/>
      <c r="HDQ701" s="1349"/>
      <c r="HDR701" s="1349"/>
      <c r="HDS701" s="1349"/>
      <c r="HDT701" s="1349"/>
      <c r="HDU701" s="1349"/>
      <c r="HDV701" s="1349"/>
      <c r="HDW701" s="1349"/>
      <c r="HDX701" s="1349"/>
      <c r="HDY701" s="1349"/>
      <c r="HDZ701" s="1349"/>
      <c r="HEA701" s="1349"/>
      <c r="HEB701" s="1349"/>
      <c r="HEC701" s="1349"/>
      <c r="HED701" s="1349"/>
      <c r="HEE701" s="1349"/>
      <c r="HEF701" s="1349"/>
      <c r="HEG701" s="1349"/>
      <c r="HEH701" s="1349"/>
      <c r="HEI701" s="1349"/>
      <c r="HEJ701" s="1349"/>
      <c r="HEK701" s="1349"/>
      <c r="HEL701" s="1349"/>
      <c r="HEM701" s="1349"/>
      <c r="HEN701" s="1349"/>
      <c r="HEO701" s="1349"/>
      <c r="HEP701" s="1349"/>
      <c r="HEQ701" s="1349"/>
      <c r="HER701" s="1349"/>
      <c r="HES701" s="1349"/>
      <c r="HET701" s="1349"/>
      <c r="HEU701" s="1349"/>
      <c r="HEV701" s="1349"/>
      <c r="HEW701" s="1349"/>
      <c r="HEX701" s="1349"/>
      <c r="HEY701" s="1349"/>
      <c r="HEZ701" s="1349"/>
      <c r="HFA701" s="1349"/>
      <c r="HFB701" s="1349"/>
      <c r="HFC701" s="1349"/>
      <c r="HFD701" s="1349"/>
      <c r="HFE701" s="1349"/>
      <c r="HFF701" s="1349"/>
      <c r="HFG701" s="1349"/>
      <c r="HFH701" s="1349"/>
      <c r="HFI701" s="1349"/>
      <c r="HFJ701" s="1349"/>
      <c r="HFK701" s="1349"/>
      <c r="HFL701" s="1349"/>
      <c r="HFM701" s="1349"/>
      <c r="HFN701" s="1349"/>
      <c r="HFO701" s="1349"/>
      <c r="HFP701" s="1349"/>
      <c r="HFQ701" s="1349"/>
      <c r="HFR701" s="1349"/>
      <c r="HFS701" s="1349"/>
      <c r="HFT701" s="1349"/>
      <c r="HFU701" s="1349"/>
      <c r="HFV701" s="1349"/>
      <c r="HFW701" s="1349"/>
      <c r="HFX701" s="1349"/>
      <c r="HFY701" s="1349"/>
      <c r="HFZ701" s="1349"/>
      <c r="HGA701" s="1349"/>
      <c r="HGB701" s="1349"/>
      <c r="HGC701" s="1349"/>
      <c r="HGD701" s="1349"/>
      <c r="HGE701" s="1349"/>
      <c r="HGF701" s="1349"/>
      <c r="HGG701" s="1349"/>
      <c r="HGH701" s="1349"/>
      <c r="HGI701" s="1349"/>
      <c r="HGJ701" s="1349"/>
      <c r="HGK701" s="1349"/>
      <c r="HGL701" s="1349"/>
      <c r="HGM701" s="1349"/>
      <c r="HGN701" s="1349"/>
      <c r="HGO701" s="1349"/>
      <c r="HGP701" s="1349"/>
      <c r="HGQ701" s="1349"/>
      <c r="HGR701" s="1349"/>
      <c r="HGS701" s="1349"/>
      <c r="HGT701" s="1349"/>
      <c r="HGU701" s="1349"/>
      <c r="HGV701" s="1349"/>
      <c r="HGW701" s="1349"/>
      <c r="HGX701" s="1349"/>
      <c r="HGY701" s="1349"/>
      <c r="HGZ701" s="1349"/>
      <c r="HHA701" s="1349"/>
      <c r="HHB701" s="1349"/>
      <c r="HHC701" s="1349"/>
      <c r="HHD701" s="1349"/>
      <c r="HHE701" s="1349"/>
      <c r="HHF701" s="1349"/>
      <c r="HHG701" s="1349"/>
      <c r="HHH701" s="1349"/>
      <c r="HHI701" s="1349"/>
      <c r="HHJ701" s="1349"/>
      <c r="HHK701" s="1349"/>
      <c r="HHL701" s="1349"/>
      <c r="HHM701" s="1349"/>
      <c r="HHN701" s="1349"/>
      <c r="HHO701" s="1349"/>
      <c r="HHP701" s="1349"/>
      <c r="HHQ701" s="1349"/>
      <c r="HHR701" s="1349"/>
      <c r="HHS701" s="1349"/>
      <c r="HHT701" s="1349"/>
      <c r="HHU701" s="1349"/>
      <c r="HHV701" s="1349"/>
      <c r="HHW701" s="1349"/>
      <c r="HHX701" s="1349"/>
      <c r="HHY701" s="1349"/>
      <c r="HHZ701" s="1349"/>
      <c r="HIA701" s="1349"/>
      <c r="HIB701" s="1349"/>
      <c r="HIC701" s="1349"/>
      <c r="HID701" s="1349"/>
      <c r="HIE701" s="1349"/>
      <c r="HIF701" s="1349"/>
      <c r="HIG701" s="1349"/>
      <c r="HIH701" s="1349"/>
      <c r="HII701" s="1349"/>
      <c r="HIJ701" s="1349"/>
      <c r="HIK701" s="1349"/>
      <c r="HIL701" s="1349"/>
      <c r="HIM701" s="1349"/>
      <c r="HIN701" s="1349"/>
      <c r="HIO701" s="1349"/>
      <c r="HIP701" s="1349"/>
      <c r="HIQ701" s="1349"/>
      <c r="HIR701" s="1349"/>
      <c r="HIS701" s="1349"/>
      <c r="HIT701" s="1349"/>
      <c r="HIU701" s="1349"/>
      <c r="HIV701" s="1349"/>
      <c r="HIW701" s="1349"/>
      <c r="HIX701" s="1349"/>
      <c r="HIY701" s="1349"/>
      <c r="HIZ701" s="1349"/>
      <c r="HJA701" s="1349"/>
      <c r="HJB701" s="1349"/>
      <c r="HJC701" s="1349"/>
      <c r="HJD701" s="1349"/>
      <c r="HJE701" s="1349"/>
      <c r="HJF701" s="1349"/>
      <c r="HJG701" s="1349"/>
      <c r="HJH701" s="1349"/>
      <c r="HJI701" s="1349"/>
      <c r="HJJ701" s="1349"/>
      <c r="HJK701" s="1349"/>
      <c r="HJL701" s="1349"/>
      <c r="HJM701" s="1349"/>
      <c r="HJN701" s="1349"/>
      <c r="HJO701" s="1349"/>
      <c r="HJP701" s="1349"/>
      <c r="HJQ701" s="1349"/>
      <c r="HJR701" s="1349"/>
      <c r="HJS701" s="1349"/>
      <c r="HJT701" s="1349"/>
      <c r="HJU701" s="1349"/>
      <c r="HJV701" s="1349"/>
      <c r="HJW701" s="1349"/>
      <c r="HJX701" s="1349"/>
      <c r="HJY701" s="1349"/>
      <c r="HJZ701" s="1349"/>
      <c r="HKA701" s="1349"/>
      <c r="HKB701" s="1349"/>
      <c r="HKC701" s="1349"/>
      <c r="HKD701" s="1349"/>
      <c r="HKE701" s="1349"/>
      <c r="HKF701" s="1349"/>
      <c r="HKG701" s="1349"/>
      <c r="HKH701" s="1349"/>
      <c r="HKI701" s="1349"/>
      <c r="HKJ701" s="1349"/>
      <c r="HKK701" s="1349"/>
      <c r="HKL701" s="1349"/>
      <c r="HKM701" s="1349"/>
      <c r="HKN701" s="1349"/>
      <c r="HKO701" s="1349"/>
      <c r="HKP701" s="1349"/>
      <c r="HKQ701" s="1349"/>
      <c r="HKR701" s="1349"/>
      <c r="HKS701" s="1349"/>
      <c r="HKT701" s="1349"/>
      <c r="HKU701" s="1349"/>
      <c r="HKV701" s="1349"/>
      <c r="HKW701" s="1349"/>
      <c r="HKX701" s="1349"/>
      <c r="HKY701" s="1349"/>
      <c r="HKZ701" s="1349"/>
      <c r="HLA701" s="1349"/>
      <c r="HLB701" s="1349"/>
      <c r="HLC701" s="1349"/>
      <c r="HLD701" s="1349"/>
      <c r="HLE701" s="1349"/>
      <c r="HLF701" s="1349"/>
      <c r="HLG701" s="1349"/>
      <c r="HLH701" s="1349"/>
      <c r="HLI701" s="1349"/>
      <c r="HLJ701" s="1349"/>
      <c r="HLK701" s="1349"/>
      <c r="HLL701" s="1349"/>
      <c r="HLM701" s="1349"/>
      <c r="HLN701" s="1349"/>
      <c r="HLO701" s="1349"/>
      <c r="HLP701" s="1349"/>
      <c r="HLQ701" s="1349"/>
      <c r="HLR701" s="1349"/>
      <c r="HLS701" s="1349"/>
      <c r="HLT701" s="1349"/>
      <c r="HLU701" s="1349"/>
      <c r="HLV701" s="1349"/>
      <c r="HLW701" s="1349"/>
      <c r="HLX701" s="1349"/>
      <c r="HLY701" s="1349"/>
      <c r="HLZ701" s="1349"/>
      <c r="HMA701" s="1349"/>
      <c r="HMB701" s="1349"/>
      <c r="HMC701" s="1349"/>
      <c r="HMD701" s="1349"/>
      <c r="HME701" s="1349"/>
      <c r="HMF701" s="1349"/>
      <c r="HMG701" s="1349"/>
      <c r="HMH701" s="1349"/>
      <c r="HMI701" s="1349"/>
      <c r="HMJ701" s="1349"/>
      <c r="HMK701" s="1349"/>
      <c r="HML701" s="1349"/>
      <c r="HMM701" s="1349"/>
      <c r="HMN701" s="1349"/>
      <c r="HMO701" s="1349"/>
      <c r="HMP701" s="1349"/>
      <c r="HMQ701" s="1349"/>
      <c r="HMR701" s="1349"/>
      <c r="HMS701" s="1349"/>
      <c r="HMT701" s="1349"/>
      <c r="HMU701" s="1349"/>
      <c r="HMV701" s="1349"/>
      <c r="HMW701" s="1349"/>
      <c r="HMX701" s="1349"/>
      <c r="HMY701" s="1349"/>
      <c r="HMZ701" s="1349"/>
      <c r="HNA701" s="1349"/>
      <c r="HNB701" s="1349"/>
      <c r="HNC701" s="1349"/>
      <c r="HND701" s="1349"/>
      <c r="HNE701" s="1349"/>
      <c r="HNF701" s="1349"/>
      <c r="HNG701" s="1349"/>
      <c r="HNH701" s="1349"/>
      <c r="HNI701" s="1349"/>
      <c r="HNJ701" s="1349"/>
      <c r="HNK701" s="1349"/>
      <c r="HNL701" s="1349"/>
      <c r="HNM701" s="1349"/>
      <c r="HNN701" s="1349"/>
      <c r="HNO701" s="1349"/>
      <c r="HNP701" s="1349"/>
      <c r="HNQ701" s="1349"/>
      <c r="HNR701" s="1349"/>
      <c r="HNS701" s="1349"/>
      <c r="HNT701" s="1349"/>
      <c r="HNU701" s="1349"/>
      <c r="HNV701" s="1349"/>
      <c r="HNW701" s="1349"/>
      <c r="HNX701" s="1349"/>
      <c r="HNY701" s="1349"/>
      <c r="HNZ701" s="1349"/>
      <c r="HOA701" s="1349"/>
      <c r="HOB701" s="1349"/>
      <c r="HOC701" s="1349"/>
      <c r="HOD701" s="1349"/>
      <c r="HOE701" s="1349"/>
      <c r="HOF701" s="1349"/>
      <c r="HOG701" s="1349"/>
      <c r="HOH701" s="1349"/>
      <c r="HOI701" s="1349"/>
      <c r="HOJ701" s="1349"/>
      <c r="HOK701" s="1349"/>
      <c r="HOL701" s="1349"/>
      <c r="HOM701" s="1349"/>
      <c r="HON701" s="1349"/>
      <c r="HOO701" s="1349"/>
      <c r="HOP701" s="1349"/>
      <c r="HOQ701" s="1349"/>
      <c r="HOR701" s="1349"/>
      <c r="HOS701" s="1349"/>
      <c r="HOT701" s="1349"/>
      <c r="HOU701" s="1349"/>
      <c r="HOV701" s="1349"/>
      <c r="HOW701" s="1349"/>
      <c r="HOX701" s="1349"/>
      <c r="HOY701" s="1349"/>
      <c r="HOZ701" s="1349"/>
      <c r="HPA701" s="1349"/>
      <c r="HPB701" s="1349"/>
      <c r="HPC701" s="1349"/>
      <c r="HPD701" s="1349"/>
      <c r="HPE701" s="1349"/>
      <c r="HPF701" s="1349"/>
      <c r="HPG701" s="1349"/>
      <c r="HPH701" s="1349"/>
      <c r="HPI701" s="1349"/>
      <c r="HPJ701" s="1349"/>
      <c r="HPK701" s="1349"/>
      <c r="HPL701" s="1349"/>
      <c r="HPM701" s="1349"/>
      <c r="HPN701" s="1349"/>
      <c r="HPO701" s="1349"/>
      <c r="HPP701" s="1349"/>
      <c r="HPQ701" s="1349"/>
      <c r="HPR701" s="1349"/>
      <c r="HPS701" s="1349"/>
      <c r="HPT701" s="1349"/>
      <c r="HPU701" s="1349"/>
      <c r="HPV701" s="1349"/>
      <c r="HPW701" s="1349"/>
      <c r="HPX701" s="1349"/>
      <c r="HPY701" s="1349"/>
      <c r="HPZ701" s="1349"/>
      <c r="HQA701" s="1349"/>
      <c r="HQB701" s="1349"/>
      <c r="HQC701" s="1349"/>
      <c r="HQD701" s="1349"/>
      <c r="HQE701" s="1349"/>
      <c r="HQF701" s="1349"/>
      <c r="HQG701" s="1349"/>
      <c r="HQH701" s="1349"/>
      <c r="HQI701" s="1349"/>
      <c r="HQJ701" s="1349"/>
      <c r="HQK701" s="1349"/>
      <c r="HQL701" s="1349"/>
      <c r="HQM701" s="1349"/>
      <c r="HQN701" s="1349"/>
      <c r="HQO701" s="1349"/>
      <c r="HQP701" s="1349"/>
      <c r="HQQ701" s="1349"/>
      <c r="HQR701" s="1349"/>
      <c r="HQS701" s="1349"/>
      <c r="HQT701" s="1349"/>
      <c r="HQU701" s="1349"/>
      <c r="HQV701" s="1349"/>
      <c r="HQW701" s="1349"/>
      <c r="HQX701" s="1349"/>
      <c r="HQY701" s="1349"/>
      <c r="HQZ701" s="1349"/>
      <c r="HRA701" s="1349"/>
      <c r="HRB701" s="1349"/>
      <c r="HRC701" s="1349"/>
      <c r="HRD701" s="1349"/>
      <c r="HRE701" s="1349"/>
      <c r="HRF701" s="1349"/>
      <c r="HRG701" s="1349"/>
      <c r="HRH701" s="1349"/>
      <c r="HRI701" s="1349"/>
      <c r="HRJ701" s="1349"/>
      <c r="HRK701" s="1349"/>
      <c r="HRL701" s="1349"/>
      <c r="HRM701" s="1349"/>
      <c r="HRN701" s="1349"/>
      <c r="HRO701" s="1349"/>
      <c r="HRP701" s="1349"/>
      <c r="HRQ701" s="1349"/>
      <c r="HRR701" s="1349"/>
      <c r="HRS701" s="1349"/>
      <c r="HRT701" s="1349"/>
      <c r="HRU701" s="1349"/>
      <c r="HRV701" s="1349"/>
      <c r="HRW701" s="1349"/>
      <c r="HRX701" s="1349"/>
      <c r="HRY701" s="1349"/>
      <c r="HRZ701" s="1349"/>
      <c r="HSA701" s="1349"/>
      <c r="HSB701" s="1349"/>
      <c r="HSC701" s="1349"/>
      <c r="HSD701" s="1349"/>
      <c r="HSE701" s="1349"/>
      <c r="HSF701" s="1349"/>
      <c r="HSG701" s="1349"/>
      <c r="HSH701" s="1349"/>
      <c r="HSI701" s="1349"/>
      <c r="HSJ701" s="1349"/>
      <c r="HSK701" s="1349"/>
      <c r="HSL701" s="1349"/>
      <c r="HSM701" s="1349"/>
      <c r="HSN701" s="1349"/>
      <c r="HSO701" s="1349"/>
      <c r="HSP701" s="1349"/>
      <c r="HSQ701" s="1349"/>
      <c r="HSR701" s="1349"/>
      <c r="HSS701" s="1349"/>
      <c r="HST701" s="1349"/>
      <c r="HSU701" s="1349"/>
      <c r="HSV701" s="1349"/>
      <c r="HSW701" s="1349"/>
      <c r="HSX701" s="1349"/>
      <c r="HSY701" s="1349"/>
      <c r="HSZ701" s="1349"/>
      <c r="HTA701" s="1349"/>
      <c r="HTB701" s="1349"/>
      <c r="HTC701" s="1349"/>
      <c r="HTD701" s="1349"/>
      <c r="HTE701" s="1349"/>
      <c r="HTF701" s="1349"/>
      <c r="HTG701" s="1349"/>
      <c r="HTH701" s="1349"/>
      <c r="HTI701" s="1349"/>
      <c r="HTJ701" s="1349"/>
      <c r="HTK701" s="1349"/>
      <c r="HTL701" s="1349"/>
      <c r="HTM701" s="1349"/>
      <c r="HTN701" s="1349"/>
      <c r="HTO701" s="1349"/>
      <c r="HTP701" s="1349"/>
      <c r="HTQ701" s="1349"/>
      <c r="HTR701" s="1349"/>
      <c r="HTS701" s="1349"/>
      <c r="HTT701" s="1349"/>
      <c r="HTU701" s="1349"/>
      <c r="HTV701" s="1349"/>
      <c r="HTW701" s="1349"/>
      <c r="HTX701" s="1349"/>
      <c r="HTY701" s="1349"/>
      <c r="HTZ701" s="1349"/>
      <c r="HUA701" s="1349"/>
      <c r="HUB701" s="1349"/>
      <c r="HUC701" s="1349"/>
      <c r="HUD701" s="1349"/>
      <c r="HUE701" s="1349"/>
      <c r="HUF701" s="1349"/>
      <c r="HUG701" s="1349"/>
      <c r="HUH701" s="1349"/>
      <c r="HUI701" s="1349"/>
      <c r="HUJ701" s="1349"/>
      <c r="HUK701" s="1349"/>
      <c r="HUL701" s="1349"/>
      <c r="HUM701" s="1349"/>
      <c r="HUN701" s="1349"/>
      <c r="HUO701" s="1349"/>
      <c r="HUP701" s="1349"/>
      <c r="HUQ701" s="1349"/>
      <c r="HUR701" s="1349"/>
      <c r="HUS701" s="1349"/>
      <c r="HUT701" s="1349"/>
      <c r="HUU701" s="1349"/>
      <c r="HUV701" s="1349"/>
      <c r="HUW701" s="1349"/>
      <c r="HUX701" s="1349"/>
      <c r="HUY701" s="1349"/>
      <c r="HUZ701" s="1349"/>
      <c r="HVA701" s="1349"/>
      <c r="HVB701" s="1349"/>
      <c r="HVC701" s="1349"/>
      <c r="HVD701" s="1349"/>
      <c r="HVE701" s="1349"/>
      <c r="HVF701" s="1349"/>
      <c r="HVG701" s="1349"/>
      <c r="HVH701" s="1349"/>
      <c r="HVI701" s="1349"/>
      <c r="HVJ701" s="1349"/>
      <c r="HVK701" s="1349"/>
      <c r="HVL701" s="1349"/>
      <c r="HVM701" s="1349"/>
      <c r="HVN701" s="1349"/>
      <c r="HVO701" s="1349"/>
      <c r="HVP701" s="1349"/>
      <c r="HVQ701" s="1349"/>
      <c r="HVR701" s="1349"/>
      <c r="HVS701" s="1349"/>
      <c r="HVT701" s="1349"/>
      <c r="HVU701" s="1349"/>
      <c r="HVV701" s="1349"/>
      <c r="HVW701" s="1349"/>
      <c r="HVX701" s="1349"/>
      <c r="HVY701" s="1349"/>
      <c r="HVZ701" s="1349"/>
      <c r="HWA701" s="1349"/>
      <c r="HWB701" s="1349"/>
      <c r="HWC701" s="1349"/>
      <c r="HWD701" s="1349"/>
      <c r="HWE701" s="1349"/>
      <c r="HWF701" s="1349"/>
      <c r="HWG701" s="1349"/>
      <c r="HWH701" s="1349"/>
      <c r="HWI701" s="1349"/>
      <c r="HWJ701" s="1349"/>
      <c r="HWK701" s="1349"/>
      <c r="HWL701" s="1349"/>
      <c r="HWM701" s="1349"/>
      <c r="HWN701" s="1349"/>
      <c r="HWO701" s="1349"/>
      <c r="HWP701" s="1349"/>
      <c r="HWQ701" s="1349"/>
      <c r="HWR701" s="1349"/>
      <c r="HWS701" s="1349"/>
      <c r="HWT701" s="1349"/>
      <c r="HWU701" s="1349"/>
      <c r="HWV701" s="1349"/>
      <c r="HWW701" s="1349"/>
      <c r="HWX701" s="1349"/>
      <c r="HWY701" s="1349"/>
      <c r="HWZ701" s="1349"/>
      <c r="HXA701" s="1349"/>
      <c r="HXB701" s="1349"/>
      <c r="HXC701" s="1349"/>
      <c r="HXD701" s="1349"/>
      <c r="HXE701" s="1349"/>
      <c r="HXF701" s="1349"/>
      <c r="HXG701" s="1349"/>
      <c r="HXH701" s="1349"/>
      <c r="HXI701" s="1349"/>
      <c r="HXJ701" s="1349"/>
      <c r="HXK701" s="1349"/>
      <c r="HXL701" s="1349"/>
      <c r="HXM701" s="1349"/>
      <c r="HXN701" s="1349"/>
      <c r="HXO701" s="1349"/>
      <c r="HXP701" s="1349"/>
      <c r="HXQ701" s="1349"/>
      <c r="HXR701" s="1349"/>
      <c r="HXS701" s="1349"/>
      <c r="HXT701" s="1349"/>
      <c r="HXU701" s="1349"/>
      <c r="HXV701" s="1349"/>
      <c r="HXW701" s="1349"/>
      <c r="HXX701" s="1349"/>
      <c r="HXY701" s="1349"/>
      <c r="HXZ701" s="1349"/>
      <c r="HYA701" s="1349"/>
      <c r="HYB701" s="1349"/>
      <c r="HYC701" s="1349"/>
      <c r="HYD701" s="1349"/>
      <c r="HYE701" s="1349"/>
      <c r="HYF701" s="1349"/>
      <c r="HYG701" s="1349"/>
      <c r="HYH701" s="1349"/>
      <c r="HYI701" s="1349"/>
      <c r="HYJ701" s="1349"/>
      <c r="HYK701" s="1349"/>
      <c r="HYL701" s="1349"/>
      <c r="HYM701" s="1349"/>
      <c r="HYN701" s="1349"/>
      <c r="HYO701" s="1349"/>
      <c r="HYP701" s="1349"/>
      <c r="HYQ701" s="1349"/>
      <c r="HYR701" s="1349"/>
      <c r="HYS701" s="1349"/>
      <c r="HYT701" s="1349"/>
      <c r="HYU701" s="1349"/>
      <c r="HYV701" s="1349"/>
      <c r="HYW701" s="1349"/>
      <c r="HYX701" s="1349"/>
      <c r="HYY701" s="1349"/>
      <c r="HYZ701" s="1349"/>
      <c r="HZA701" s="1349"/>
      <c r="HZB701" s="1349"/>
      <c r="HZC701" s="1349"/>
      <c r="HZD701" s="1349"/>
      <c r="HZE701" s="1349"/>
      <c r="HZF701" s="1349"/>
      <c r="HZG701" s="1349"/>
      <c r="HZH701" s="1349"/>
      <c r="HZI701" s="1349"/>
      <c r="HZJ701" s="1349"/>
      <c r="HZK701" s="1349"/>
      <c r="HZL701" s="1349"/>
      <c r="HZM701" s="1349"/>
      <c r="HZN701" s="1349"/>
      <c r="HZO701" s="1349"/>
      <c r="HZP701" s="1349"/>
      <c r="HZQ701" s="1349"/>
      <c r="HZR701" s="1349"/>
      <c r="HZS701" s="1349"/>
      <c r="HZT701" s="1349"/>
      <c r="HZU701" s="1349"/>
      <c r="HZV701" s="1349"/>
      <c r="HZW701" s="1349"/>
      <c r="HZX701" s="1349"/>
      <c r="HZY701" s="1349"/>
      <c r="HZZ701" s="1349"/>
      <c r="IAA701" s="1349"/>
      <c r="IAB701" s="1349"/>
      <c r="IAC701" s="1349"/>
      <c r="IAD701" s="1349"/>
      <c r="IAE701" s="1349"/>
      <c r="IAF701" s="1349"/>
      <c r="IAG701" s="1349"/>
      <c r="IAH701" s="1349"/>
      <c r="IAI701" s="1349"/>
      <c r="IAJ701" s="1349"/>
      <c r="IAK701" s="1349"/>
      <c r="IAL701" s="1349"/>
      <c r="IAM701" s="1349"/>
      <c r="IAN701" s="1349"/>
      <c r="IAO701" s="1349"/>
      <c r="IAP701" s="1349"/>
      <c r="IAQ701" s="1349"/>
      <c r="IAR701" s="1349"/>
      <c r="IAS701" s="1349"/>
      <c r="IAT701" s="1349"/>
      <c r="IAU701" s="1349"/>
      <c r="IAV701" s="1349"/>
      <c r="IAW701" s="1349"/>
      <c r="IAX701" s="1349"/>
      <c r="IAY701" s="1349"/>
      <c r="IAZ701" s="1349"/>
      <c r="IBA701" s="1349"/>
      <c r="IBB701" s="1349"/>
      <c r="IBC701" s="1349"/>
      <c r="IBD701" s="1349"/>
      <c r="IBE701" s="1349"/>
      <c r="IBF701" s="1349"/>
      <c r="IBG701" s="1349"/>
      <c r="IBH701" s="1349"/>
      <c r="IBI701" s="1349"/>
      <c r="IBJ701" s="1349"/>
      <c r="IBK701" s="1349"/>
      <c r="IBL701" s="1349"/>
      <c r="IBM701" s="1349"/>
      <c r="IBN701" s="1349"/>
      <c r="IBO701" s="1349"/>
      <c r="IBP701" s="1349"/>
      <c r="IBQ701" s="1349"/>
      <c r="IBR701" s="1349"/>
      <c r="IBS701" s="1349"/>
      <c r="IBT701" s="1349"/>
      <c r="IBU701" s="1349"/>
      <c r="IBV701" s="1349"/>
      <c r="IBW701" s="1349"/>
      <c r="IBX701" s="1349"/>
      <c r="IBY701" s="1349"/>
      <c r="IBZ701" s="1349"/>
      <c r="ICA701" s="1349"/>
      <c r="ICB701" s="1349"/>
      <c r="ICC701" s="1349"/>
      <c r="ICD701" s="1349"/>
      <c r="ICE701" s="1349"/>
      <c r="ICF701" s="1349"/>
      <c r="ICG701" s="1349"/>
      <c r="ICH701" s="1349"/>
      <c r="ICI701" s="1349"/>
      <c r="ICJ701" s="1349"/>
      <c r="ICK701" s="1349"/>
      <c r="ICL701" s="1349"/>
      <c r="ICM701" s="1349"/>
      <c r="ICN701" s="1349"/>
      <c r="ICO701" s="1349"/>
      <c r="ICP701" s="1349"/>
      <c r="ICQ701" s="1349"/>
      <c r="ICR701" s="1349"/>
      <c r="ICS701" s="1349"/>
      <c r="ICT701" s="1349"/>
      <c r="ICU701" s="1349"/>
      <c r="ICV701" s="1349"/>
      <c r="ICW701" s="1349"/>
      <c r="ICX701" s="1349"/>
      <c r="ICY701" s="1349"/>
      <c r="ICZ701" s="1349"/>
      <c r="IDA701" s="1349"/>
      <c r="IDB701" s="1349"/>
      <c r="IDC701" s="1349"/>
      <c r="IDD701" s="1349"/>
      <c r="IDE701" s="1349"/>
      <c r="IDF701" s="1349"/>
      <c r="IDG701" s="1349"/>
      <c r="IDH701" s="1349"/>
      <c r="IDI701" s="1349"/>
      <c r="IDJ701" s="1349"/>
      <c r="IDK701" s="1349"/>
      <c r="IDL701" s="1349"/>
      <c r="IDM701" s="1349"/>
      <c r="IDN701" s="1349"/>
      <c r="IDO701" s="1349"/>
      <c r="IDP701" s="1349"/>
      <c r="IDQ701" s="1349"/>
      <c r="IDR701" s="1349"/>
      <c r="IDS701" s="1349"/>
      <c r="IDT701" s="1349"/>
      <c r="IDU701" s="1349"/>
      <c r="IDV701" s="1349"/>
      <c r="IDW701" s="1349"/>
      <c r="IDX701" s="1349"/>
      <c r="IDY701" s="1349"/>
      <c r="IDZ701" s="1349"/>
      <c r="IEA701" s="1349"/>
      <c r="IEB701" s="1349"/>
      <c r="IEC701" s="1349"/>
      <c r="IED701" s="1349"/>
      <c r="IEE701" s="1349"/>
      <c r="IEF701" s="1349"/>
      <c r="IEG701" s="1349"/>
      <c r="IEH701" s="1349"/>
      <c r="IEI701" s="1349"/>
      <c r="IEJ701" s="1349"/>
      <c r="IEK701" s="1349"/>
      <c r="IEL701" s="1349"/>
      <c r="IEM701" s="1349"/>
      <c r="IEN701" s="1349"/>
      <c r="IEO701" s="1349"/>
      <c r="IEP701" s="1349"/>
      <c r="IEQ701" s="1349"/>
      <c r="IER701" s="1349"/>
      <c r="IES701" s="1349"/>
      <c r="IET701" s="1349"/>
      <c r="IEU701" s="1349"/>
      <c r="IEV701" s="1349"/>
      <c r="IEW701" s="1349"/>
      <c r="IEX701" s="1349"/>
      <c r="IEY701" s="1349"/>
      <c r="IEZ701" s="1349"/>
      <c r="IFA701" s="1349"/>
      <c r="IFB701" s="1349"/>
      <c r="IFC701" s="1349"/>
      <c r="IFD701" s="1349"/>
      <c r="IFE701" s="1349"/>
      <c r="IFF701" s="1349"/>
      <c r="IFG701" s="1349"/>
      <c r="IFH701" s="1349"/>
      <c r="IFI701" s="1349"/>
      <c r="IFJ701" s="1349"/>
      <c r="IFK701" s="1349"/>
      <c r="IFL701" s="1349"/>
      <c r="IFM701" s="1349"/>
      <c r="IFN701" s="1349"/>
      <c r="IFO701" s="1349"/>
      <c r="IFP701" s="1349"/>
      <c r="IFQ701" s="1349"/>
      <c r="IFR701" s="1349"/>
      <c r="IFS701" s="1349"/>
      <c r="IFT701" s="1349"/>
      <c r="IFU701" s="1349"/>
      <c r="IFV701" s="1349"/>
      <c r="IFW701" s="1349"/>
      <c r="IFX701" s="1349"/>
      <c r="IFY701" s="1349"/>
      <c r="IFZ701" s="1349"/>
      <c r="IGA701" s="1349"/>
      <c r="IGB701" s="1349"/>
      <c r="IGC701" s="1349"/>
      <c r="IGD701" s="1349"/>
      <c r="IGE701" s="1349"/>
      <c r="IGF701" s="1349"/>
      <c r="IGG701" s="1349"/>
      <c r="IGH701" s="1349"/>
      <c r="IGI701" s="1349"/>
      <c r="IGJ701" s="1349"/>
      <c r="IGK701" s="1349"/>
      <c r="IGL701" s="1349"/>
      <c r="IGM701" s="1349"/>
      <c r="IGN701" s="1349"/>
      <c r="IGO701" s="1349"/>
      <c r="IGP701" s="1349"/>
      <c r="IGQ701" s="1349"/>
      <c r="IGR701" s="1349"/>
      <c r="IGS701" s="1349"/>
      <c r="IGT701" s="1349"/>
      <c r="IGU701" s="1349"/>
      <c r="IGV701" s="1349"/>
      <c r="IGW701" s="1349"/>
      <c r="IGX701" s="1349"/>
      <c r="IGY701" s="1349"/>
      <c r="IGZ701" s="1349"/>
      <c r="IHA701" s="1349"/>
      <c r="IHB701" s="1349"/>
      <c r="IHC701" s="1349"/>
      <c r="IHD701" s="1349"/>
      <c r="IHE701" s="1349"/>
      <c r="IHF701" s="1349"/>
      <c r="IHG701" s="1349"/>
      <c r="IHH701" s="1349"/>
      <c r="IHI701" s="1349"/>
      <c r="IHJ701" s="1349"/>
      <c r="IHK701" s="1349"/>
      <c r="IHL701" s="1349"/>
      <c r="IHM701" s="1349"/>
      <c r="IHN701" s="1349"/>
      <c r="IHO701" s="1349"/>
      <c r="IHP701" s="1349"/>
      <c r="IHQ701" s="1349"/>
      <c r="IHR701" s="1349"/>
      <c r="IHS701" s="1349"/>
      <c r="IHT701" s="1349"/>
      <c r="IHU701" s="1349"/>
      <c r="IHV701" s="1349"/>
      <c r="IHW701" s="1349"/>
      <c r="IHX701" s="1349"/>
      <c r="IHY701" s="1349"/>
      <c r="IHZ701" s="1349"/>
      <c r="IIA701" s="1349"/>
      <c r="IIB701" s="1349"/>
      <c r="IIC701" s="1349"/>
      <c r="IID701" s="1349"/>
      <c r="IIE701" s="1349"/>
      <c r="IIF701" s="1349"/>
      <c r="IIG701" s="1349"/>
      <c r="IIH701" s="1349"/>
      <c r="III701" s="1349"/>
      <c r="IIJ701" s="1349"/>
      <c r="IIK701" s="1349"/>
      <c r="IIL701" s="1349"/>
      <c r="IIM701" s="1349"/>
      <c r="IIN701" s="1349"/>
      <c r="IIO701" s="1349"/>
      <c r="IIP701" s="1349"/>
      <c r="IIQ701" s="1349"/>
      <c r="IIR701" s="1349"/>
      <c r="IIS701" s="1349"/>
      <c r="IIT701" s="1349"/>
      <c r="IIU701" s="1349"/>
      <c r="IIV701" s="1349"/>
      <c r="IIW701" s="1349"/>
      <c r="IIX701" s="1349"/>
      <c r="IIY701" s="1349"/>
      <c r="IIZ701" s="1349"/>
      <c r="IJA701" s="1349"/>
      <c r="IJB701" s="1349"/>
      <c r="IJC701" s="1349"/>
      <c r="IJD701" s="1349"/>
      <c r="IJE701" s="1349"/>
      <c r="IJF701" s="1349"/>
      <c r="IJG701" s="1349"/>
      <c r="IJH701" s="1349"/>
      <c r="IJI701" s="1349"/>
      <c r="IJJ701" s="1349"/>
      <c r="IJK701" s="1349"/>
      <c r="IJL701" s="1349"/>
      <c r="IJM701" s="1349"/>
      <c r="IJN701" s="1349"/>
      <c r="IJO701" s="1349"/>
      <c r="IJP701" s="1349"/>
      <c r="IJQ701" s="1349"/>
      <c r="IJR701" s="1349"/>
      <c r="IJS701" s="1349"/>
      <c r="IJT701" s="1349"/>
      <c r="IJU701" s="1349"/>
      <c r="IJV701" s="1349"/>
      <c r="IJW701" s="1349"/>
      <c r="IJX701" s="1349"/>
      <c r="IJY701" s="1349"/>
      <c r="IJZ701" s="1349"/>
      <c r="IKA701" s="1349"/>
      <c r="IKB701" s="1349"/>
      <c r="IKC701" s="1349"/>
      <c r="IKD701" s="1349"/>
      <c r="IKE701" s="1349"/>
      <c r="IKF701" s="1349"/>
      <c r="IKG701" s="1349"/>
      <c r="IKH701" s="1349"/>
      <c r="IKI701" s="1349"/>
      <c r="IKJ701" s="1349"/>
      <c r="IKK701" s="1349"/>
      <c r="IKL701" s="1349"/>
      <c r="IKM701" s="1349"/>
      <c r="IKN701" s="1349"/>
      <c r="IKO701" s="1349"/>
      <c r="IKP701" s="1349"/>
      <c r="IKQ701" s="1349"/>
      <c r="IKR701" s="1349"/>
      <c r="IKS701" s="1349"/>
      <c r="IKT701" s="1349"/>
      <c r="IKU701" s="1349"/>
      <c r="IKV701" s="1349"/>
      <c r="IKW701" s="1349"/>
      <c r="IKX701" s="1349"/>
      <c r="IKY701" s="1349"/>
      <c r="IKZ701" s="1349"/>
      <c r="ILA701" s="1349"/>
      <c r="ILB701" s="1349"/>
      <c r="ILC701" s="1349"/>
      <c r="ILD701" s="1349"/>
      <c r="ILE701" s="1349"/>
      <c r="ILF701" s="1349"/>
      <c r="ILG701" s="1349"/>
      <c r="ILH701" s="1349"/>
      <c r="ILI701" s="1349"/>
      <c r="ILJ701" s="1349"/>
      <c r="ILK701" s="1349"/>
      <c r="ILL701" s="1349"/>
      <c r="ILM701" s="1349"/>
      <c r="ILN701" s="1349"/>
      <c r="ILO701" s="1349"/>
      <c r="ILP701" s="1349"/>
      <c r="ILQ701" s="1349"/>
      <c r="ILR701" s="1349"/>
      <c r="ILS701" s="1349"/>
      <c r="ILT701" s="1349"/>
      <c r="ILU701" s="1349"/>
      <c r="ILV701" s="1349"/>
      <c r="ILW701" s="1349"/>
      <c r="ILX701" s="1349"/>
      <c r="ILY701" s="1349"/>
      <c r="ILZ701" s="1349"/>
      <c r="IMA701" s="1349"/>
      <c r="IMB701" s="1349"/>
      <c r="IMC701" s="1349"/>
      <c r="IMD701" s="1349"/>
      <c r="IME701" s="1349"/>
      <c r="IMF701" s="1349"/>
      <c r="IMG701" s="1349"/>
      <c r="IMH701" s="1349"/>
      <c r="IMI701" s="1349"/>
      <c r="IMJ701" s="1349"/>
      <c r="IMK701" s="1349"/>
      <c r="IML701" s="1349"/>
      <c r="IMM701" s="1349"/>
      <c r="IMN701" s="1349"/>
      <c r="IMO701" s="1349"/>
      <c r="IMP701" s="1349"/>
      <c r="IMQ701" s="1349"/>
      <c r="IMR701" s="1349"/>
      <c r="IMS701" s="1349"/>
      <c r="IMT701" s="1349"/>
      <c r="IMU701" s="1349"/>
      <c r="IMV701" s="1349"/>
      <c r="IMW701" s="1349"/>
      <c r="IMX701" s="1349"/>
      <c r="IMY701" s="1349"/>
      <c r="IMZ701" s="1349"/>
      <c r="INA701" s="1349"/>
      <c r="INB701" s="1349"/>
      <c r="INC701" s="1349"/>
      <c r="IND701" s="1349"/>
      <c r="INE701" s="1349"/>
      <c r="INF701" s="1349"/>
      <c r="ING701" s="1349"/>
      <c r="INH701" s="1349"/>
      <c r="INI701" s="1349"/>
      <c r="INJ701" s="1349"/>
      <c r="INK701" s="1349"/>
      <c r="INL701" s="1349"/>
      <c r="INM701" s="1349"/>
      <c r="INN701" s="1349"/>
      <c r="INO701" s="1349"/>
      <c r="INP701" s="1349"/>
      <c r="INQ701" s="1349"/>
      <c r="INR701" s="1349"/>
      <c r="INS701" s="1349"/>
      <c r="INT701" s="1349"/>
      <c r="INU701" s="1349"/>
      <c r="INV701" s="1349"/>
      <c r="INW701" s="1349"/>
      <c r="INX701" s="1349"/>
      <c r="INY701" s="1349"/>
      <c r="INZ701" s="1349"/>
      <c r="IOA701" s="1349"/>
      <c r="IOB701" s="1349"/>
      <c r="IOC701" s="1349"/>
      <c r="IOD701" s="1349"/>
      <c r="IOE701" s="1349"/>
      <c r="IOF701" s="1349"/>
      <c r="IOG701" s="1349"/>
      <c r="IOH701" s="1349"/>
      <c r="IOI701" s="1349"/>
      <c r="IOJ701" s="1349"/>
      <c r="IOK701" s="1349"/>
      <c r="IOL701" s="1349"/>
      <c r="IOM701" s="1349"/>
      <c r="ION701" s="1349"/>
      <c r="IOO701" s="1349"/>
      <c r="IOP701" s="1349"/>
      <c r="IOQ701" s="1349"/>
      <c r="IOR701" s="1349"/>
      <c r="IOS701" s="1349"/>
      <c r="IOT701" s="1349"/>
      <c r="IOU701" s="1349"/>
      <c r="IOV701" s="1349"/>
      <c r="IOW701" s="1349"/>
      <c r="IOX701" s="1349"/>
      <c r="IOY701" s="1349"/>
      <c r="IOZ701" s="1349"/>
      <c r="IPA701" s="1349"/>
      <c r="IPB701" s="1349"/>
      <c r="IPC701" s="1349"/>
      <c r="IPD701" s="1349"/>
      <c r="IPE701" s="1349"/>
      <c r="IPF701" s="1349"/>
      <c r="IPG701" s="1349"/>
      <c r="IPH701" s="1349"/>
      <c r="IPI701" s="1349"/>
      <c r="IPJ701" s="1349"/>
      <c r="IPK701" s="1349"/>
      <c r="IPL701" s="1349"/>
      <c r="IPM701" s="1349"/>
      <c r="IPN701" s="1349"/>
      <c r="IPO701" s="1349"/>
      <c r="IPP701" s="1349"/>
      <c r="IPQ701" s="1349"/>
      <c r="IPR701" s="1349"/>
      <c r="IPS701" s="1349"/>
      <c r="IPT701" s="1349"/>
      <c r="IPU701" s="1349"/>
      <c r="IPV701" s="1349"/>
      <c r="IPW701" s="1349"/>
      <c r="IPX701" s="1349"/>
      <c r="IPY701" s="1349"/>
      <c r="IPZ701" s="1349"/>
      <c r="IQA701" s="1349"/>
      <c r="IQB701" s="1349"/>
      <c r="IQC701" s="1349"/>
      <c r="IQD701" s="1349"/>
      <c r="IQE701" s="1349"/>
      <c r="IQF701" s="1349"/>
      <c r="IQG701" s="1349"/>
      <c r="IQH701" s="1349"/>
      <c r="IQI701" s="1349"/>
      <c r="IQJ701" s="1349"/>
      <c r="IQK701" s="1349"/>
      <c r="IQL701" s="1349"/>
      <c r="IQM701" s="1349"/>
      <c r="IQN701" s="1349"/>
      <c r="IQO701" s="1349"/>
      <c r="IQP701" s="1349"/>
      <c r="IQQ701" s="1349"/>
      <c r="IQR701" s="1349"/>
      <c r="IQS701" s="1349"/>
      <c r="IQT701" s="1349"/>
      <c r="IQU701" s="1349"/>
      <c r="IQV701" s="1349"/>
      <c r="IQW701" s="1349"/>
      <c r="IQX701" s="1349"/>
      <c r="IQY701" s="1349"/>
      <c r="IQZ701" s="1349"/>
      <c r="IRA701" s="1349"/>
      <c r="IRB701" s="1349"/>
      <c r="IRC701" s="1349"/>
      <c r="IRD701" s="1349"/>
      <c r="IRE701" s="1349"/>
      <c r="IRF701" s="1349"/>
      <c r="IRG701" s="1349"/>
      <c r="IRH701" s="1349"/>
      <c r="IRI701" s="1349"/>
      <c r="IRJ701" s="1349"/>
      <c r="IRK701" s="1349"/>
      <c r="IRL701" s="1349"/>
      <c r="IRM701" s="1349"/>
      <c r="IRN701" s="1349"/>
      <c r="IRO701" s="1349"/>
      <c r="IRP701" s="1349"/>
      <c r="IRQ701" s="1349"/>
      <c r="IRR701" s="1349"/>
      <c r="IRS701" s="1349"/>
      <c r="IRT701" s="1349"/>
      <c r="IRU701" s="1349"/>
      <c r="IRV701" s="1349"/>
      <c r="IRW701" s="1349"/>
      <c r="IRX701" s="1349"/>
      <c r="IRY701" s="1349"/>
      <c r="IRZ701" s="1349"/>
      <c r="ISA701" s="1349"/>
      <c r="ISB701" s="1349"/>
      <c r="ISC701" s="1349"/>
      <c r="ISD701" s="1349"/>
      <c r="ISE701" s="1349"/>
      <c r="ISF701" s="1349"/>
      <c r="ISG701" s="1349"/>
      <c r="ISH701" s="1349"/>
      <c r="ISI701" s="1349"/>
      <c r="ISJ701" s="1349"/>
      <c r="ISK701" s="1349"/>
      <c r="ISL701" s="1349"/>
      <c r="ISM701" s="1349"/>
      <c r="ISN701" s="1349"/>
      <c r="ISO701" s="1349"/>
      <c r="ISP701" s="1349"/>
      <c r="ISQ701" s="1349"/>
      <c r="ISR701" s="1349"/>
      <c r="ISS701" s="1349"/>
      <c r="IST701" s="1349"/>
      <c r="ISU701" s="1349"/>
      <c r="ISV701" s="1349"/>
      <c r="ISW701" s="1349"/>
      <c r="ISX701" s="1349"/>
      <c r="ISY701" s="1349"/>
      <c r="ISZ701" s="1349"/>
      <c r="ITA701" s="1349"/>
      <c r="ITB701" s="1349"/>
      <c r="ITC701" s="1349"/>
      <c r="ITD701" s="1349"/>
      <c r="ITE701" s="1349"/>
      <c r="ITF701" s="1349"/>
      <c r="ITG701" s="1349"/>
      <c r="ITH701" s="1349"/>
      <c r="ITI701" s="1349"/>
      <c r="ITJ701" s="1349"/>
      <c r="ITK701" s="1349"/>
      <c r="ITL701" s="1349"/>
      <c r="ITM701" s="1349"/>
      <c r="ITN701" s="1349"/>
      <c r="ITO701" s="1349"/>
      <c r="ITP701" s="1349"/>
      <c r="ITQ701" s="1349"/>
      <c r="ITR701" s="1349"/>
      <c r="ITS701" s="1349"/>
      <c r="ITT701" s="1349"/>
      <c r="ITU701" s="1349"/>
      <c r="ITV701" s="1349"/>
      <c r="ITW701" s="1349"/>
      <c r="ITX701" s="1349"/>
      <c r="ITY701" s="1349"/>
      <c r="ITZ701" s="1349"/>
      <c r="IUA701" s="1349"/>
      <c r="IUB701" s="1349"/>
      <c r="IUC701" s="1349"/>
      <c r="IUD701" s="1349"/>
      <c r="IUE701" s="1349"/>
      <c r="IUF701" s="1349"/>
      <c r="IUG701" s="1349"/>
      <c r="IUH701" s="1349"/>
      <c r="IUI701" s="1349"/>
      <c r="IUJ701" s="1349"/>
      <c r="IUK701" s="1349"/>
      <c r="IUL701" s="1349"/>
      <c r="IUM701" s="1349"/>
      <c r="IUN701" s="1349"/>
      <c r="IUO701" s="1349"/>
      <c r="IUP701" s="1349"/>
      <c r="IUQ701" s="1349"/>
      <c r="IUR701" s="1349"/>
      <c r="IUS701" s="1349"/>
      <c r="IUT701" s="1349"/>
      <c r="IUU701" s="1349"/>
      <c r="IUV701" s="1349"/>
      <c r="IUW701" s="1349"/>
      <c r="IUX701" s="1349"/>
      <c r="IUY701" s="1349"/>
      <c r="IUZ701" s="1349"/>
      <c r="IVA701" s="1349"/>
      <c r="IVB701" s="1349"/>
      <c r="IVC701" s="1349"/>
      <c r="IVD701" s="1349"/>
      <c r="IVE701" s="1349"/>
      <c r="IVF701" s="1349"/>
      <c r="IVG701" s="1349"/>
      <c r="IVH701" s="1349"/>
      <c r="IVI701" s="1349"/>
      <c r="IVJ701" s="1349"/>
      <c r="IVK701" s="1349"/>
      <c r="IVL701" s="1349"/>
      <c r="IVM701" s="1349"/>
      <c r="IVN701" s="1349"/>
      <c r="IVO701" s="1349"/>
      <c r="IVP701" s="1349"/>
      <c r="IVQ701" s="1349"/>
      <c r="IVR701" s="1349"/>
      <c r="IVS701" s="1349"/>
      <c r="IVT701" s="1349"/>
      <c r="IVU701" s="1349"/>
      <c r="IVV701" s="1349"/>
      <c r="IVW701" s="1349"/>
      <c r="IVX701" s="1349"/>
      <c r="IVY701" s="1349"/>
      <c r="IVZ701" s="1349"/>
      <c r="IWA701" s="1349"/>
      <c r="IWB701" s="1349"/>
      <c r="IWC701" s="1349"/>
      <c r="IWD701" s="1349"/>
      <c r="IWE701" s="1349"/>
      <c r="IWF701" s="1349"/>
      <c r="IWG701" s="1349"/>
      <c r="IWH701" s="1349"/>
      <c r="IWI701" s="1349"/>
      <c r="IWJ701" s="1349"/>
      <c r="IWK701" s="1349"/>
      <c r="IWL701" s="1349"/>
      <c r="IWM701" s="1349"/>
      <c r="IWN701" s="1349"/>
      <c r="IWO701" s="1349"/>
      <c r="IWP701" s="1349"/>
      <c r="IWQ701" s="1349"/>
      <c r="IWR701" s="1349"/>
      <c r="IWS701" s="1349"/>
      <c r="IWT701" s="1349"/>
      <c r="IWU701" s="1349"/>
      <c r="IWV701" s="1349"/>
      <c r="IWW701" s="1349"/>
      <c r="IWX701" s="1349"/>
      <c r="IWY701" s="1349"/>
      <c r="IWZ701" s="1349"/>
      <c r="IXA701" s="1349"/>
      <c r="IXB701" s="1349"/>
      <c r="IXC701" s="1349"/>
      <c r="IXD701" s="1349"/>
      <c r="IXE701" s="1349"/>
      <c r="IXF701" s="1349"/>
      <c r="IXG701" s="1349"/>
      <c r="IXH701" s="1349"/>
      <c r="IXI701" s="1349"/>
      <c r="IXJ701" s="1349"/>
      <c r="IXK701" s="1349"/>
      <c r="IXL701" s="1349"/>
      <c r="IXM701" s="1349"/>
      <c r="IXN701" s="1349"/>
      <c r="IXO701" s="1349"/>
      <c r="IXP701" s="1349"/>
      <c r="IXQ701" s="1349"/>
      <c r="IXR701" s="1349"/>
      <c r="IXS701" s="1349"/>
      <c r="IXT701" s="1349"/>
      <c r="IXU701" s="1349"/>
      <c r="IXV701" s="1349"/>
      <c r="IXW701" s="1349"/>
      <c r="IXX701" s="1349"/>
      <c r="IXY701" s="1349"/>
      <c r="IXZ701" s="1349"/>
      <c r="IYA701" s="1349"/>
      <c r="IYB701" s="1349"/>
      <c r="IYC701" s="1349"/>
      <c r="IYD701" s="1349"/>
      <c r="IYE701" s="1349"/>
      <c r="IYF701" s="1349"/>
      <c r="IYG701" s="1349"/>
      <c r="IYH701" s="1349"/>
      <c r="IYI701" s="1349"/>
      <c r="IYJ701" s="1349"/>
      <c r="IYK701" s="1349"/>
      <c r="IYL701" s="1349"/>
      <c r="IYM701" s="1349"/>
      <c r="IYN701" s="1349"/>
      <c r="IYO701" s="1349"/>
      <c r="IYP701" s="1349"/>
      <c r="IYQ701" s="1349"/>
      <c r="IYR701" s="1349"/>
      <c r="IYS701" s="1349"/>
      <c r="IYT701" s="1349"/>
      <c r="IYU701" s="1349"/>
      <c r="IYV701" s="1349"/>
      <c r="IYW701" s="1349"/>
      <c r="IYX701" s="1349"/>
      <c r="IYY701" s="1349"/>
      <c r="IYZ701" s="1349"/>
      <c r="IZA701" s="1349"/>
      <c r="IZB701" s="1349"/>
      <c r="IZC701" s="1349"/>
      <c r="IZD701" s="1349"/>
      <c r="IZE701" s="1349"/>
      <c r="IZF701" s="1349"/>
      <c r="IZG701" s="1349"/>
      <c r="IZH701" s="1349"/>
      <c r="IZI701" s="1349"/>
      <c r="IZJ701" s="1349"/>
      <c r="IZK701" s="1349"/>
      <c r="IZL701" s="1349"/>
      <c r="IZM701" s="1349"/>
      <c r="IZN701" s="1349"/>
      <c r="IZO701" s="1349"/>
      <c r="IZP701" s="1349"/>
      <c r="IZQ701" s="1349"/>
      <c r="IZR701" s="1349"/>
      <c r="IZS701" s="1349"/>
      <c r="IZT701" s="1349"/>
      <c r="IZU701" s="1349"/>
      <c r="IZV701" s="1349"/>
      <c r="IZW701" s="1349"/>
      <c r="IZX701" s="1349"/>
      <c r="IZY701" s="1349"/>
      <c r="IZZ701" s="1349"/>
      <c r="JAA701" s="1349"/>
      <c r="JAB701" s="1349"/>
      <c r="JAC701" s="1349"/>
      <c r="JAD701" s="1349"/>
      <c r="JAE701" s="1349"/>
      <c r="JAF701" s="1349"/>
      <c r="JAG701" s="1349"/>
      <c r="JAH701" s="1349"/>
      <c r="JAI701" s="1349"/>
      <c r="JAJ701" s="1349"/>
      <c r="JAK701" s="1349"/>
      <c r="JAL701" s="1349"/>
      <c r="JAM701" s="1349"/>
      <c r="JAN701" s="1349"/>
      <c r="JAO701" s="1349"/>
      <c r="JAP701" s="1349"/>
      <c r="JAQ701" s="1349"/>
      <c r="JAR701" s="1349"/>
      <c r="JAS701" s="1349"/>
      <c r="JAT701" s="1349"/>
      <c r="JAU701" s="1349"/>
      <c r="JAV701" s="1349"/>
      <c r="JAW701" s="1349"/>
      <c r="JAX701" s="1349"/>
      <c r="JAY701" s="1349"/>
      <c r="JAZ701" s="1349"/>
      <c r="JBA701" s="1349"/>
      <c r="JBB701" s="1349"/>
      <c r="JBC701" s="1349"/>
      <c r="JBD701" s="1349"/>
      <c r="JBE701" s="1349"/>
      <c r="JBF701" s="1349"/>
      <c r="JBG701" s="1349"/>
      <c r="JBH701" s="1349"/>
      <c r="JBI701" s="1349"/>
      <c r="JBJ701" s="1349"/>
      <c r="JBK701" s="1349"/>
      <c r="JBL701" s="1349"/>
      <c r="JBM701" s="1349"/>
      <c r="JBN701" s="1349"/>
      <c r="JBO701" s="1349"/>
      <c r="JBP701" s="1349"/>
      <c r="JBQ701" s="1349"/>
      <c r="JBR701" s="1349"/>
      <c r="JBS701" s="1349"/>
      <c r="JBT701" s="1349"/>
      <c r="JBU701" s="1349"/>
      <c r="JBV701" s="1349"/>
      <c r="JBW701" s="1349"/>
      <c r="JBX701" s="1349"/>
      <c r="JBY701" s="1349"/>
      <c r="JBZ701" s="1349"/>
      <c r="JCA701" s="1349"/>
      <c r="JCB701" s="1349"/>
      <c r="JCC701" s="1349"/>
      <c r="JCD701" s="1349"/>
      <c r="JCE701" s="1349"/>
      <c r="JCF701" s="1349"/>
      <c r="JCG701" s="1349"/>
      <c r="JCH701" s="1349"/>
      <c r="JCI701" s="1349"/>
      <c r="JCJ701" s="1349"/>
      <c r="JCK701" s="1349"/>
      <c r="JCL701" s="1349"/>
      <c r="JCM701" s="1349"/>
      <c r="JCN701" s="1349"/>
      <c r="JCO701" s="1349"/>
      <c r="JCP701" s="1349"/>
      <c r="JCQ701" s="1349"/>
      <c r="JCR701" s="1349"/>
      <c r="JCS701" s="1349"/>
      <c r="JCT701" s="1349"/>
      <c r="JCU701" s="1349"/>
      <c r="JCV701" s="1349"/>
      <c r="JCW701" s="1349"/>
      <c r="JCX701" s="1349"/>
      <c r="JCY701" s="1349"/>
      <c r="JCZ701" s="1349"/>
      <c r="JDA701" s="1349"/>
      <c r="JDB701" s="1349"/>
      <c r="JDC701" s="1349"/>
      <c r="JDD701" s="1349"/>
      <c r="JDE701" s="1349"/>
      <c r="JDF701" s="1349"/>
      <c r="JDG701" s="1349"/>
      <c r="JDH701" s="1349"/>
      <c r="JDI701" s="1349"/>
      <c r="JDJ701" s="1349"/>
      <c r="JDK701" s="1349"/>
      <c r="JDL701" s="1349"/>
      <c r="JDM701" s="1349"/>
      <c r="JDN701" s="1349"/>
      <c r="JDO701" s="1349"/>
      <c r="JDP701" s="1349"/>
      <c r="JDQ701" s="1349"/>
      <c r="JDR701" s="1349"/>
      <c r="JDS701" s="1349"/>
      <c r="JDT701" s="1349"/>
      <c r="JDU701" s="1349"/>
      <c r="JDV701" s="1349"/>
      <c r="JDW701" s="1349"/>
      <c r="JDX701" s="1349"/>
      <c r="JDY701" s="1349"/>
      <c r="JDZ701" s="1349"/>
      <c r="JEA701" s="1349"/>
      <c r="JEB701" s="1349"/>
      <c r="JEC701" s="1349"/>
      <c r="JED701" s="1349"/>
      <c r="JEE701" s="1349"/>
      <c r="JEF701" s="1349"/>
      <c r="JEG701" s="1349"/>
      <c r="JEH701" s="1349"/>
      <c r="JEI701" s="1349"/>
      <c r="JEJ701" s="1349"/>
      <c r="JEK701" s="1349"/>
      <c r="JEL701" s="1349"/>
      <c r="JEM701" s="1349"/>
      <c r="JEN701" s="1349"/>
      <c r="JEO701" s="1349"/>
      <c r="JEP701" s="1349"/>
      <c r="JEQ701" s="1349"/>
      <c r="JER701" s="1349"/>
      <c r="JES701" s="1349"/>
      <c r="JET701" s="1349"/>
      <c r="JEU701" s="1349"/>
      <c r="JEV701" s="1349"/>
      <c r="JEW701" s="1349"/>
      <c r="JEX701" s="1349"/>
      <c r="JEY701" s="1349"/>
      <c r="JEZ701" s="1349"/>
      <c r="JFA701" s="1349"/>
      <c r="JFB701" s="1349"/>
      <c r="JFC701" s="1349"/>
      <c r="JFD701" s="1349"/>
      <c r="JFE701" s="1349"/>
      <c r="JFF701" s="1349"/>
      <c r="JFG701" s="1349"/>
      <c r="JFH701" s="1349"/>
      <c r="JFI701" s="1349"/>
      <c r="JFJ701" s="1349"/>
      <c r="JFK701" s="1349"/>
      <c r="JFL701" s="1349"/>
      <c r="JFM701" s="1349"/>
      <c r="JFN701" s="1349"/>
      <c r="JFO701" s="1349"/>
      <c r="JFP701" s="1349"/>
      <c r="JFQ701" s="1349"/>
      <c r="JFR701" s="1349"/>
      <c r="JFS701" s="1349"/>
      <c r="JFT701" s="1349"/>
      <c r="JFU701" s="1349"/>
      <c r="JFV701" s="1349"/>
      <c r="JFW701" s="1349"/>
      <c r="JFX701" s="1349"/>
      <c r="JFY701" s="1349"/>
      <c r="JFZ701" s="1349"/>
      <c r="JGA701" s="1349"/>
      <c r="JGB701" s="1349"/>
      <c r="JGC701" s="1349"/>
      <c r="JGD701" s="1349"/>
      <c r="JGE701" s="1349"/>
      <c r="JGF701" s="1349"/>
      <c r="JGG701" s="1349"/>
      <c r="JGH701" s="1349"/>
      <c r="JGI701" s="1349"/>
      <c r="JGJ701" s="1349"/>
      <c r="JGK701" s="1349"/>
      <c r="JGL701" s="1349"/>
      <c r="JGM701" s="1349"/>
      <c r="JGN701" s="1349"/>
      <c r="JGO701" s="1349"/>
      <c r="JGP701" s="1349"/>
      <c r="JGQ701" s="1349"/>
      <c r="JGR701" s="1349"/>
      <c r="JGS701" s="1349"/>
      <c r="JGT701" s="1349"/>
      <c r="JGU701" s="1349"/>
      <c r="JGV701" s="1349"/>
      <c r="JGW701" s="1349"/>
      <c r="JGX701" s="1349"/>
      <c r="JGY701" s="1349"/>
      <c r="JGZ701" s="1349"/>
      <c r="JHA701" s="1349"/>
      <c r="JHB701" s="1349"/>
      <c r="JHC701" s="1349"/>
      <c r="JHD701" s="1349"/>
      <c r="JHE701" s="1349"/>
      <c r="JHF701" s="1349"/>
      <c r="JHG701" s="1349"/>
      <c r="JHH701" s="1349"/>
      <c r="JHI701" s="1349"/>
      <c r="JHJ701" s="1349"/>
      <c r="JHK701" s="1349"/>
      <c r="JHL701" s="1349"/>
      <c r="JHM701" s="1349"/>
      <c r="JHN701" s="1349"/>
      <c r="JHO701" s="1349"/>
      <c r="JHP701" s="1349"/>
      <c r="JHQ701" s="1349"/>
      <c r="JHR701" s="1349"/>
      <c r="JHS701" s="1349"/>
      <c r="JHT701" s="1349"/>
      <c r="JHU701" s="1349"/>
      <c r="JHV701" s="1349"/>
      <c r="JHW701" s="1349"/>
      <c r="JHX701" s="1349"/>
      <c r="JHY701" s="1349"/>
      <c r="JHZ701" s="1349"/>
      <c r="JIA701" s="1349"/>
      <c r="JIB701" s="1349"/>
      <c r="JIC701" s="1349"/>
      <c r="JID701" s="1349"/>
      <c r="JIE701" s="1349"/>
      <c r="JIF701" s="1349"/>
      <c r="JIG701" s="1349"/>
      <c r="JIH701" s="1349"/>
      <c r="JII701" s="1349"/>
      <c r="JIJ701" s="1349"/>
      <c r="JIK701" s="1349"/>
      <c r="JIL701" s="1349"/>
      <c r="JIM701" s="1349"/>
      <c r="JIN701" s="1349"/>
      <c r="JIO701" s="1349"/>
      <c r="JIP701" s="1349"/>
      <c r="JIQ701" s="1349"/>
      <c r="JIR701" s="1349"/>
      <c r="JIS701" s="1349"/>
      <c r="JIT701" s="1349"/>
      <c r="JIU701" s="1349"/>
      <c r="JIV701" s="1349"/>
      <c r="JIW701" s="1349"/>
      <c r="JIX701" s="1349"/>
      <c r="JIY701" s="1349"/>
      <c r="JIZ701" s="1349"/>
      <c r="JJA701" s="1349"/>
      <c r="JJB701" s="1349"/>
      <c r="JJC701" s="1349"/>
      <c r="JJD701" s="1349"/>
      <c r="JJE701" s="1349"/>
      <c r="JJF701" s="1349"/>
      <c r="JJG701" s="1349"/>
      <c r="JJH701" s="1349"/>
      <c r="JJI701" s="1349"/>
      <c r="JJJ701" s="1349"/>
      <c r="JJK701" s="1349"/>
      <c r="JJL701" s="1349"/>
      <c r="JJM701" s="1349"/>
      <c r="JJN701" s="1349"/>
      <c r="JJO701" s="1349"/>
      <c r="JJP701" s="1349"/>
      <c r="JJQ701" s="1349"/>
      <c r="JJR701" s="1349"/>
      <c r="JJS701" s="1349"/>
      <c r="JJT701" s="1349"/>
      <c r="JJU701" s="1349"/>
      <c r="JJV701" s="1349"/>
      <c r="JJW701" s="1349"/>
      <c r="JJX701" s="1349"/>
      <c r="JJY701" s="1349"/>
      <c r="JJZ701" s="1349"/>
      <c r="JKA701" s="1349"/>
      <c r="JKB701" s="1349"/>
      <c r="JKC701" s="1349"/>
      <c r="JKD701" s="1349"/>
      <c r="JKE701" s="1349"/>
      <c r="JKF701" s="1349"/>
      <c r="JKG701" s="1349"/>
      <c r="JKH701" s="1349"/>
      <c r="JKI701" s="1349"/>
      <c r="JKJ701" s="1349"/>
      <c r="JKK701" s="1349"/>
      <c r="JKL701" s="1349"/>
      <c r="JKM701" s="1349"/>
      <c r="JKN701" s="1349"/>
      <c r="JKO701" s="1349"/>
      <c r="JKP701" s="1349"/>
      <c r="JKQ701" s="1349"/>
      <c r="JKR701" s="1349"/>
      <c r="JKS701" s="1349"/>
      <c r="JKT701" s="1349"/>
      <c r="JKU701" s="1349"/>
      <c r="JKV701" s="1349"/>
      <c r="JKW701" s="1349"/>
      <c r="JKX701" s="1349"/>
      <c r="JKY701" s="1349"/>
      <c r="JKZ701" s="1349"/>
      <c r="JLA701" s="1349"/>
      <c r="JLB701" s="1349"/>
      <c r="JLC701" s="1349"/>
      <c r="JLD701" s="1349"/>
      <c r="JLE701" s="1349"/>
      <c r="JLF701" s="1349"/>
      <c r="JLG701" s="1349"/>
      <c r="JLH701" s="1349"/>
      <c r="JLI701" s="1349"/>
      <c r="JLJ701" s="1349"/>
      <c r="JLK701" s="1349"/>
      <c r="JLL701" s="1349"/>
      <c r="JLM701" s="1349"/>
      <c r="JLN701" s="1349"/>
      <c r="JLO701" s="1349"/>
      <c r="JLP701" s="1349"/>
      <c r="JLQ701" s="1349"/>
      <c r="JLR701" s="1349"/>
      <c r="JLS701" s="1349"/>
      <c r="JLT701" s="1349"/>
      <c r="JLU701" s="1349"/>
      <c r="JLV701" s="1349"/>
      <c r="JLW701" s="1349"/>
      <c r="JLX701" s="1349"/>
      <c r="JLY701" s="1349"/>
      <c r="JLZ701" s="1349"/>
      <c r="JMA701" s="1349"/>
      <c r="JMB701" s="1349"/>
      <c r="JMC701" s="1349"/>
      <c r="JMD701" s="1349"/>
      <c r="JME701" s="1349"/>
      <c r="JMF701" s="1349"/>
      <c r="JMG701" s="1349"/>
      <c r="JMH701" s="1349"/>
      <c r="JMI701" s="1349"/>
      <c r="JMJ701" s="1349"/>
      <c r="JMK701" s="1349"/>
      <c r="JML701" s="1349"/>
      <c r="JMM701" s="1349"/>
      <c r="JMN701" s="1349"/>
      <c r="JMO701" s="1349"/>
      <c r="JMP701" s="1349"/>
      <c r="JMQ701" s="1349"/>
      <c r="JMR701" s="1349"/>
      <c r="JMS701" s="1349"/>
      <c r="JMT701" s="1349"/>
      <c r="JMU701" s="1349"/>
      <c r="JMV701" s="1349"/>
      <c r="JMW701" s="1349"/>
      <c r="JMX701" s="1349"/>
      <c r="JMY701" s="1349"/>
      <c r="JMZ701" s="1349"/>
      <c r="JNA701" s="1349"/>
      <c r="JNB701" s="1349"/>
      <c r="JNC701" s="1349"/>
      <c r="JND701" s="1349"/>
      <c r="JNE701" s="1349"/>
      <c r="JNF701" s="1349"/>
      <c r="JNG701" s="1349"/>
      <c r="JNH701" s="1349"/>
      <c r="JNI701" s="1349"/>
      <c r="JNJ701" s="1349"/>
      <c r="JNK701" s="1349"/>
      <c r="JNL701" s="1349"/>
      <c r="JNM701" s="1349"/>
      <c r="JNN701" s="1349"/>
      <c r="JNO701" s="1349"/>
      <c r="JNP701" s="1349"/>
      <c r="JNQ701" s="1349"/>
      <c r="JNR701" s="1349"/>
      <c r="JNS701" s="1349"/>
      <c r="JNT701" s="1349"/>
      <c r="JNU701" s="1349"/>
      <c r="JNV701" s="1349"/>
      <c r="JNW701" s="1349"/>
      <c r="JNX701" s="1349"/>
      <c r="JNY701" s="1349"/>
      <c r="JNZ701" s="1349"/>
      <c r="JOA701" s="1349"/>
      <c r="JOB701" s="1349"/>
      <c r="JOC701" s="1349"/>
      <c r="JOD701" s="1349"/>
      <c r="JOE701" s="1349"/>
      <c r="JOF701" s="1349"/>
      <c r="JOG701" s="1349"/>
      <c r="JOH701" s="1349"/>
      <c r="JOI701" s="1349"/>
      <c r="JOJ701" s="1349"/>
      <c r="JOK701" s="1349"/>
      <c r="JOL701" s="1349"/>
      <c r="JOM701" s="1349"/>
      <c r="JON701" s="1349"/>
      <c r="JOO701" s="1349"/>
      <c r="JOP701" s="1349"/>
      <c r="JOQ701" s="1349"/>
      <c r="JOR701" s="1349"/>
      <c r="JOS701" s="1349"/>
      <c r="JOT701" s="1349"/>
      <c r="JOU701" s="1349"/>
      <c r="JOV701" s="1349"/>
      <c r="JOW701" s="1349"/>
      <c r="JOX701" s="1349"/>
      <c r="JOY701" s="1349"/>
      <c r="JOZ701" s="1349"/>
      <c r="JPA701" s="1349"/>
      <c r="JPB701" s="1349"/>
      <c r="JPC701" s="1349"/>
      <c r="JPD701" s="1349"/>
      <c r="JPE701" s="1349"/>
      <c r="JPF701" s="1349"/>
      <c r="JPG701" s="1349"/>
      <c r="JPH701" s="1349"/>
      <c r="JPI701" s="1349"/>
      <c r="JPJ701" s="1349"/>
      <c r="JPK701" s="1349"/>
      <c r="JPL701" s="1349"/>
      <c r="JPM701" s="1349"/>
      <c r="JPN701" s="1349"/>
      <c r="JPO701" s="1349"/>
      <c r="JPP701" s="1349"/>
      <c r="JPQ701" s="1349"/>
      <c r="JPR701" s="1349"/>
      <c r="JPS701" s="1349"/>
      <c r="JPT701" s="1349"/>
      <c r="JPU701" s="1349"/>
      <c r="JPV701" s="1349"/>
      <c r="JPW701" s="1349"/>
      <c r="JPX701" s="1349"/>
      <c r="JPY701" s="1349"/>
      <c r="JPZ701" s="1349"/>
      <c r="JQA701" s="1349"/>
      <c r="JQB701" s="1349"/>
      <c r="JQC701" s="1349"/>
      <c r="JQD701" s="1349"/>
      <c r="JQE701" s="1349"/>
      <c r="JQF701" s="1349"/>
      <c r="JQG701" s="1349"/>
      <c r="JQH701" s="1349"/>
      <c r="JQI701" s="1349"/>
      <c r="JQJ701" s="1349"/>
      <c r="JQK701" s="1349"/>
      <c r="JQL701" s="1349"/>
      <c r="JQM701" s="1349"/>
      <c r="JQN701" s="1349"/>
      <c r="JQO701" s="1349"/>
      <c r="JQP701" s="1349"/>
      <c r="JQQ701" s="1349"/>
      <c r="JQR701" s="1349"/>
      <c r="JQS701" s="1349"/>
      <c r="JQT701" s="1349"/>
      <c r="JQU701" s="1349"/>
      <c r="JQV701" s="1349"/>
      <c r="JQW701" s="1349"/>
      <c r="JQX701" s="1349"/>
      <c r="JQY701" s="1349"/>
      <c r="JQZ701" s="1349"/>
      <c r="JRA701" s="1349"/>
      <c r="JRB701" s="1349"/>
      <c r="JRC701" s="1349"/>
      <c r="JRD701" s="1349"/>
      <c r="JRE701" s="1349"/>
      <c r="JRF701" s="1349"/>
      <c r="JRG701" s="1349"/>
      <c r="JRH701" s="1349"/>
      <c r="JRI701" s="1349"/>
      <c r="JRJ701" s="1349"/>
      <c r="JRK701" s="1349"/>
      <c r="JRL701" s="1349"/>
      <c r="JRM701" s="1349"/>
      <c r="JRN701" s="1349"/>
      <c r="JRO701" s="1349"/>
      <c r="JRP701" s="1349"/>
      <c r="JRQ701" s="1349"/>
      <c r="JRR701" s="1349"/>
      <c r="JRS701" s="1349"/>
      <c r="JRT701" s="1349"/>
      <c r="JRU701" s="1349"/>
      <c r="JRV701" s="1349"/>
      <c r="JRW701" s="1349"/>
      <c r="JRX701" s="1349"/>
      <c r="JRY701" s="1349"/>
      <c r="JRZ701" s="1349"/>
      <c r="JSA701" s="1349"/>
      <c r="JSB701" s="1349"/>
      <c r="JSC701" s="1349"/>
      <c r="JSD701" s="1349"/>
      <c r="JSE701" s="1349"/>
      <c r="JSF701" s="1349"/>
      <c r="JSG701" s="1349"/>
      <c r="JSH701" s="1349"/>
      <c r="JSI701" s="1349"/>
      <c r="JSJ701" s="1349"/>
      <c r="JSK701" s="1349"/>
      <c r="JSL701" s="1349"/>
      <c r="JSM701" s="1349"/>
      <c r="JSN701" s="1349"/>
      <c r="JSO701" s="1349"/>
      <c r="JSP701" s="1349"/>
      <c r="JSQ701" s="1349"/>
      <c r="JSR701" s="1349"/>
      <c r="JSS701" s="1349"/>
      <c r="JST701" s="1349"/>
      <c r="JSU701" s="1349"/>
      <c r="JSV701" s="1349"/>
      <c r="JSW701" s="1349"/>
      <c r="JSX701" s="1349"/>
      <c r="JSY701" s="1349"/>
      <c r="JSZ701" s="1349"/>
      <c r="JTA701" s="1349"/>
      <c r="JTB701" s="1349"/>
      <c r="JTC701" s="1349"/>
      <c r="JTD701" s="1349"/>
      <c r="JTE701" s="1349"/>
      <c r="JTF701" s="1349"/>
      <c r="JTG701" s="1349"/>
      <c r="JTH701" s="1349"/>
      <c r="JTI701" s="1349"/>
      <c r="JTJ701" s="1349"/>
      <c r="JTK701" s="1349"/>
      <c r="JTL701" s="1349"/>
      <c r="JTM701" s="1349"/>
      <c r="JTN701" s="1349"/>
      <c r="JTO701" s="1349"/>
      <c r="JTP701" s="1349"/>
      <c r="JTQ701" s="1349"/>
      <c r="JTR701" s="1349"/>
      <c r="JTS701" s="1349"/>
      <c r="JTT701" s="1349"/>
      <c r="JTU701" s="1349"/>
      <c r="JTV701" s="1349"/>
      <c r="JTW701" s="1349"/>
      <c r="JTX701" s="1349"/>
      <c r="JTY701" s="1349"/>
      <c r="JTZ701" s="1349"/>
      <c r="JUA701" s="1349"/>
      <c r="JUB701" s="1349"/>
      <c r="JUC701" s="1349"/>
      <c r="JUD701" s="1349"/>
      <c r="JUE701" s="1349"/>
      <c r="JUF701" s="1349"/>
      <c r="JUG701" s="1349"/>
      <c r="JUH701" s="1349"/>
      <c r="JUI701" s="1349"/>
      <c r="JUJ701" s="1349"/>
      <c r="JUK701" s="1349"/>
      <c r="JUL701" s="1349"/>
      <c r="JUM701" s="1349"/>
      <c r="JUN701" s="1349"/>
      <c r="JUO701" s="1349"/>
      <c r="JUP701" s="1349"/>
      <c r="JUQ701" s="1349"/>
      <c r="JUR701" s="1349"/>
      <c r="JUS701" s="1349"/>
      <c r="JUT701" s="1349"/>
      <c r="JUU701" s="1349"/>
      <c r="JUV701" s="1349"/>
      <c r="JUW701" s="1349"/>
      <c r="JUX701" s="1349"/>
      <c r="JUY701" s="1349"/>
      <c r="JUZ701" s="1349"/>
      <c r="JVA701" s="1349"/>
      <c r="JVB701" s="1349"/>
      <c r="JVC701" s="1349"/>
      <c r="JVD701" s="1349"/>
      <c r="JVE701" s="1349"/>
      <c r="JVF701" s="1349"/>
      <c r="JVG701" s="1349"/>
      <c r="JVH701" s="1349"/>
      <c r="JVI701" s="1349"/>
      <c r="JVJ701" s="1349"/>
      <c r="JVK701" s="1349"/>
      <c r="JVL701" s="1349"/>
      <c r="JVM701" s="1349"/>
      <c r="JVN701" s="1349"/>
      <c r="JVO701" s="1349"/>
      <c r="JVP701" s="1349"/>
      <c r="JVQ701" s="1349"/>
      <c r="JVR701" s="1349"/>
      <c r="JVS701" s="1349"/>
      <c r="JVT701" s="1349"/>
      <c r="JVU701" s="1349"/>
      <c r="JVV701" s="1349"/>
      <c r="JVW701" s="1349"/>
      <c r="JVX701" s="1349"/>
      <c r="JVY701" s="1349"/>
      <c r="JVZ701" s="1349"/>
      <c r="JWA701" s="1349"/>
      <c r="JWB701" s="1349"/>
      <c r="JWC701" s="1349"/>
      <c r="JWD701" s="1349"/>
      <c r="JWE701" s="1349"/>
      <c r="JWF701" s="1349"/>
      <c r="JWG701" s="1349"/>
      <c r="JWH701" s="1349"/>
      <c r="JWI701" s="1349"/>
      <c r="JWJ701" s="1349"/>
      <c r="JWK701" s="1349"/>
      <c r="JWL701" s="1349"/>
      <c r="JWM701" s="1349"/>
      <c r="JWN701" s="1349"/>
      <c r="JWO701" s="1349"/>
      <c r="JWP701" s="1349"/>
      <c r="JWQ701" s="1349"/>
      <c r="JWR701" s="1349"/>
      <c r="JWS701" s="1349"/>
      <c r="JWT701" s="1349"/>
      <c r="JWU701" s="1349"/>
      <c r="JWV701" s="1349"/>
      <c r="JWW701" s="1349"/>
      <c r="JWX701" s="1349"/>
      <c r="JWY701" s="1349"/>
      <c r="JWZ701" s="1349"/>
      <c r="JXA701" s="1349"/>
      <c r="JXB701" s="1349"/>
      <c r="JXC701" s="1349"/>
      <c r="JXD701" s="1349"/>
      <c r="JXE701" s="1349"/>
      <c r="JXF701" s="1349"/>
      <c r="JXG701" s="1349"/>
      <c r="JXH701" s="1349"/>
      <c r="JXI701" s="1349"/>
      <c r="JXJ701" s="1349"/>
      <c r="JXK701" s="1349"/>
      <c r="JXL701" s="1349"/>
      <c r="JXM701" s="1349"/>
      <c r="JXN701" s="1349"/>
      <c r="JXO701" s="1349"/>
      <c r="JXP701" s="1349"/>
      <c r="JXQ701" s="1349"/>
      <c r="JXR701" s="1349"/>
      <c r="JXS701" s="1349"/>
      <c r="JXT701" s="1349"/>
      <c r="JXU701" s="1349"/>
      <c r="JXV701" s="1349"/>
      <c r="JXW701" s="1349"/>
      <c r="JXX701" s="1349"/>
      <c r="JXY701" s="1349"/>
      <c r="JXZ701" s="1349"/>
      <c r="JYA701" s="1349"/>
      <c r="JYB701" s="1349"/>
      <c r="JYC701" s="1349"/>
      <c r="JYD701" s="1349"/>
      <c r="JYE701" s="1349"/>
      <c r="JYF701" s="1349"/>
      <c r="JYG701" s="1349"/>
      <c r="JYH701" s="1349"/>
      <c r="JYI701" s="1349"/>
      <c r="JYJ701" s="1349"/>
      <c r="JYK701" s="1349"/>
      <c r="JYL701" s="1349"/>
      <c r="JYM701" s="1349"/>
      <c r="JYN701" s="1349"/>
      <c r="JYO701" s="1349"/>
      <c r="JYP701" s="1349"/>
      <c r="JYQ701" s="1349"/>
      <c r="JYR701" s="1349"/>
      <c r="JYS701" s="1349"/>
      <c r="JYT701" s="1349"/>
      <c r="JYU701" s="1349"/>
      <c r="JYV701" s="1349"/>
      <c r="JYW701" s="1349"/>
      <c r="JYX701" s="1349"/>
      <c r="JYY701" s="1349"/>
      <c r="JYZ701" s="1349"/>
      <c r="JZA701" s="1349"/>
      <c r="JZB701" s="1349"/>
      <c r="JZC701" s="1349"/>
      <c r="JZD701" s="1349"/>
      <c r="JZE701" s="1349"/>
      <c r="JZF701" s="1349"/>
      <c r="JZG701" s="1349"/>
      <c r="JZH701" s="1349"/>
      <c r="JZI701" s="1349"/>
      <c r="JZJ701" s="1349"/>
      <c r="JZK701" s="1349"/>
      <c r="JZL701" s="1349"/>
      <c r="JZM701" s="1349"/>
      <c r="JZN701" s="1349"/>
      <c r="JZO701" s="1349"/>
      <c r="JZP701" s="1349"/>
      <c r="JZQ701" s="1349"/>
      <c r="JZR701" s="1349"/>
      <c r="JZS701" s="1349"/>
      <c r="JZT701" s="1349"/>
      <c r="JZU701" s="1349"/>
      <c r="JZV701" s="1349"/>
      <c r="JZW701" s="1349"/>
      <c r="JZX701" s="1349"/>
      <c r="JZY701" s="1349"/>
      <c r="JZZ701" s="1349"/>
      <c r="KAA701" s="1349"/>
      <c r="KAB701" s="1349"/>
      <c r="KAC701" s="1349"/>
      <c r="KAD701" s="1349"/>
      <c r="KAE701" s="1349"/>
      <c r="KAF701" s="1349"/>
      <c r="KAG701" s="1349"/>
      <c r="KAH701" s="1349"/>
      <c r="KAI701" s="1349"/>
      <c r="KAJ701" s="1349"/>
      <c r="KAK701" s="1349"/>
      <c r="KAL701" s="1349"/>
      <c r="KAM701" s="1349"/>
      <c r="KAN701" s="1349"/>
      <c r="KAO701" s="1349"/>
      <c r="KAP701" s="1349"/>
      <c r="KAQ701" s="1349"/>
      <c r="KAR701" s="1349"/>
      <c r="KAS701" s="1349"/>
      <c r="KAT701" s="1349"/>
      <c r="KAU701" s="1349"/>
      <c r="KAV701" s="1349"/>
      <c r="KAW701" s="1349"/>
      <c r="KAX701" s="1349"/>
      <c r="KAY701" s="1349"/>
      <c r="KAZ701" s="1349"/>
      <c r="KBA701" s="1349"/>
      <c r="KBB701" s="1349"/>
      <c r="KBC701" s="1349"/>
      <c r="KBD701" s="1349"/>
      <c r="KBE701" s="1349"/>
      <c r="KBF701" s="1349"/>
      <c r="KBG701" s="1349"/>
      <c r="KBH701" s="1349"/>
      <c r="KBI701" s="1349"/>
      <c r="KBJ701" s="1349"/>
      <c r="KBK701" s="1349"/>
      <c r="KBL701" s="1349"/>
      <c r="KBM701" s="1349"/>
      <c r="KBN701" s="1349"/>
      <c r="KBO701" s="1349"/>
      <c r="KBP701" s="1349"/>
      <c r="KBQ701" s="1349"/>
      <c r="KBR701" s="1349"/>
      <c r="KBS701" s="1349"/>
      <c r="KBT701" s="1349"/>
      <c r="KBU701" s="1349"/>
      <c r="KBV701" s="1349"/>
      <c r="KBW701" s="1349"/>
      <c r="KBX701" s="1349"/>
      <c r="KBY701" s="1349"/>
      <c r="KBZ701" s="1349"/>
      <c r="KCA701" s="1349"/>
      <c r="KCB701" s="1349"/>
      <c r="KCC701" s="1349"/>
      <c r="KCD701" s="1349"/>
      <c r="KCE701" s="1349"/>
      <c r="KCF701" s="1349"/>
      <c r="KCG701" s="1349"/>
      <c r="KCH701" s="1349"/>
      <c r="KCI701" s="1349"/>
      <c r="KCJ701" s="1349"/>
      <c r="KCK701" s="1349"/>
      <c r="KCL701" s="1349"/>
      <c r="KCM701" s="1349"/>
      <c r="KCN701" s="1349"/>
      <c r="KCO701" s="1349"/>
      <c r="KCP701" s="1349"/>
      <c r="KCQ701" s="1349"/>
      <c r="KCR701" s="1349"/>
      <c r="KCS701" s="1349"/>
      <c r="KCT701" s="1349"/>
      <c r="KCU701" s="1349"/>
      <c r="KCV701" s="1349"/>
      <c r="KCW701" s="1349"/>
      <c r="KCX701" s="1349"/>
      <c r="KCY701" s="1349"/>
      <c r="KCZ701" s="1349"/>
      <c r="KDA701" s="1349"/>
      <c r="KDB701" s="1349"/>
      <c r="KDC701" s="1349"/>
      <c r="KDD701" s="1349"/>
      <c r="KDE701" s="1349"/>
      <c r="KDF701" s="1349"/>
      <c r="KDG701" s="1349"/>
      <c r="KDH701" s="1349"/>
      <c r="KDI701" s="1349"/>
      <c r="KDJ701" s="1349"/>
      <c r="KDK701" s="1349"/>
      <c r="KDL701" s="1349"/>
      <c r="KDM701" s="1349"/>
      <c r="KDN701" s="1349"/>
      <c r="KDO701" s="1349"/>
      <c r="KDP701" s="1349"/>
      <c r="KDQ701" s="1349"/>
      <c r="KDR701" s="1349"/>
      <c r="KDS701" s="1349"/>
      <c r="KDT701" s="1349"/>
      <c r="KDU701" s="1349"/>
      <c r="KDV701" s="1349"/>
      <c r="KDW701" s="1349"/>
      <c r="KDX701" s="1349"/>
      <c r="KDY701" s="1349"/>
      <c r="KDZ701" s="1349"/>
      <c r="KEA701" s="1349"/>
      <c r="KEB701" s="1349"/>
      <c r="KEC701" s="1349"/>
      <c r="KED701" s="1349"/>
      <c r="KEE701" s="1349"/>
      <c r="KEF701" s="1349"/>
      <c r="KEG701" s="1349"/>
      <c r="KEH701" s="1349"/>
      <c r="KEI701" s="1349"/>
      <c r="KEJ701" s="1349"/>
      <c r="KEK701" s="1349"/>
      <c r="KEL701" s="1349"/>
      <c r="KEM701" s="1349"/>
      <c r="KEN701" s="1349"/>
      <c r="KEO701" s="1349"/>
      <c r="KEP701" s="1349"/>
      <c r="KEQ701" s="1349"/>
      <c r="KER701" s="1349"/>
      <c r="KES701" s="1349"/>
      <c r="KET701" s="1349"/>
      <c r="KEU701" s="1349"/>
      <c r="KEV701" s="1349"/>
      <c r="KEW701" s="1349"/>
      <c r="KEX701" s="1349"/>
      <c r="KEY701" s="1349"/>
      <c r="KEZ701" s="1349"/>
      <c r="KFA701" s="1349"/>
      <c r="KFB701" s="1349"/>
      <c r="KFC701" s="1349"/>
      <c r="KFD701" s="1349"/>
      <c r="KFE701" s="1349"/>
      <c r="KFF701" s="1349"/>
      <c r="KFG701" s="1349"/>
      <c r="KFH701" s="1349"/>
      <c r="KFI701" s="1349"/>
      <c r="KFJ701" s="1349"/>
      <c r="KFK701" s="1349"/>
      <c r="KFL701" s="1349"/>
      <c r="KFM701" s="1349"/>
      <c r="KFN701" s="1349"/>
      <c r="KFO701" s="1349"/>
      <c r="KFP701" s="1349"/>
      <c r="KFQ701" s="1349"/>
      <c r="KFR701" s="1349"/>
      <c r="KFS701" s="1349"/>
      <c r="KFT701" s="1349"/>
      <c r="KFU701" s="1349"/>
      <c r="KFV701" s="1349"/>
      <c r="KFW701" s="1349"/>
      <c r="KFX701" s="1349"/>
      <c r="KFY701" s="1349"/>
      <c r="KFZ701" s="1349"/>
      <c r="KGA701" s="1349"/>
      <c r="KGB701" s="1349"/>
      <c r="KGC701" s="1349"/>
      <c r="KGD701" s="1349"/>
      <c r="KGE701" s="1349"/>
      <c r="KGF701" s="1349"/>
      <c r="KGG701" s="1349"/>
      <c r="KGH701" s="1349"/>
      <c r="KGI701" s="1349"/>
      <c r="KGJ701" s="1349"/>
      <c r="KGK701" s="1349"/>
      <c r="KGL701" s="1349"/>
      <c r="KGM701" s="1349"/>
      <c r="KGN701" s="1349"/>
      <c r="KGO701" s="1349"/>
      <c r="KGP701" s="1349"/>
      <c r="KGQ701" s="1349"/>
      <c r="KGR701" s="1349"/>
      <c r="KGS701" s="1349"/>
      <c r="KGT701" s="1349"/>
      <c r="KGU701" s="1349"/>
      <c r="KGV701" s="1349"/>
      <c r="KGW701" s="1349"/>
      <c r="KGX701" s="1349"/>
      <c r="KGY701" s="1349"/>
      <c r="KGZ701" s="1349"/>
      <c r="KHA701" s="1349"/>
      <c r="KHB701" s="1349"/>
      <c r="KHC701" s="1349"/>
      <c r="KHD701" s="1349"/>
      <c r="KHE701" s="1349"/>
      <c r="KHF701" s="1349"/>
      <c r="KHG701" s="1349"/>
      <c r="KHH701" s="1349"/>
      <c r="KHI701" s="1349"/>
      <c r="KHJ701" s="1349"/>
      <c r="KHK701" s="1349"/>
      <c r="KHL701" s="1349"/>
      <c r="KHM701" s="1349"/>
      <c r="KHN701" s="1349"/>
      <c r="KHO701" s="1349"/>
      <c r="KHP701" s="1349"/>
      <c r="KHQ701" s="1349"/>
      <c r="KHR701" s="1349"/>
      <c r="KHS701" s="1349"/>
      <c r="KHT701" s="1349"/>
      <c r="KHU701" s="1349"/>
      <c r="KHV701" s="1349"/>
      <c r="KHW701" s="1349"/>
      <c r="KHX701" s="1349"/>
      <c r="KHY701" s="1349"/>
      <c r="KHZ701" s="1349"/>
      <c r="KIA701" s="1349"/>
      <c r="KIB701" s="1349"/>
      <c r="KIC701" s="1349"/>
      <c r="KID701" s="1349"/>
      <c r="KIE701" s="1349"/>
      <c r="KIF701" s="1349"/>
      <c r="KIG701" s="1349"/>
      <c r="KIH701" s="1349"/>
      <c r="KII701" s="1349"/>
      <c r="KIJ701" s="1349"/>
      <c r="KIK701" s="1349"/>
      <c r="KIL701" s="1349"/>
      <c r="KIM701" s="1349"/>
      <c r="KIN701" s="1349"/>
      <c r="KIO701" s="1349"/>
      <c r="KIP701" s="1349"/>
      <c r="KIQ701" s="1349"/>
      <c r="KIR701" s="1349"/>
      <c r="KIS701" s="1349"/>
      <c r="KIT701" s="1349"/>
      <c r="KIU701" s="1349"/>
      <c r="KIV701" s="1349"/>
      <c r="KIW701" s="1349"/>
      <c r="KIX701" s="1349"/>
      <c r="KIY701" s="1349"/>
      <c r="KIZ701" s="1349"/>
      <c r="KJA701" s="1349"/>
      <c r="KJB701" s="1349"/>
      <c r="KJC701" s="1349"/>
      <c r="KJD701" s="1349"/>
      <c r="KJE701" s="1349"/>
      <c r="KJF701" s="1349"/>
      <c r="KJG701" s="1349"/>
      <c r="KJH701" s="1349"/>
      <c r="KJI701" s="1349"/>
      <c r="KJJ701" s="1349"/>
      <c r="KJK701" s="1349"/>
      <c r="KJL701" s="1349"/>
      <c r="KJM701" s="1349"/>
      <c r="KJN701" s="1349"/>
      <c r="KJO701" s="1349"/>
      <c r="KJP701" s="1349"/>
      <c r="KJQ701" s="1349"/>
      <c r="KJR701" s="1349"/>
      <c r="KJS701" s="1349"/>
      <c r="KJT701" s="1349"/>
      <c r="KJU701" s="1349"/>
      <c r="KJV701" s="1349"/>
      <c r="KJW701" s="1349"/>
      <c r="KJX701" s="1349"/>
      <c r="KJY701" s="1349"/>
      <c r="KJZ701" s="1349"/>
      <c r="KKA701" s="1349"/>
      <c r="KKB701" s="1349"/>
      <c r="KKC701" s="1349"/>
      <c r="KKD701" s="1349"/>
      <c r="KKE701" s="1349"/>
      <c r="KKF701" s="1349"/>
      <c r="KKG701" s="1349"/>
      <c r="KKH701" s="1349"/>
      <c r="KKI701" s="1349"/>
      <c r="KKJ701" s="1349"/>
      <c r="KKK701" s="1349"/>
      <c r="KKL701" s="1349"/>
      <c r="KKM701" s="1349"/>
      <c r="KKN701" s="1349"/>
      <c r="KKO701" s="1349"/>
      <c r="KKP701" s="1349"/>
      <c r="KKQ701" s="1349"/>
      <c r="KKR701" s="1349"/>
      <c r="KKS701" s="1349"/>
      <c r="KKT701" s="1349"/>
      <c r="KKU701" s="1349"/>
      <c r="KKV701" s="1349"/>
      <c r="KKW701" s="1349"/>
      <c r="KKX701" s="1349"/>
      <c r="KKY701" s="1349"/>
      <c r="KKZ701" s="1349"/>
      <c r="KLA701" s="1349"/>
      <c r="KLB701" s="1349"/>
      <c r="KLC701" s="1349"/>
      <c r="KLD701" s="1349"/>
      <c r="KLE701" s="1349"/>
      <c r="KLF701" s="1349"/>
      <c r="KLG701" s="1349"/>
      <c r="KLH701" s="1349"/>
      <c r="KLI701" s="1349"/>
      <c r="KLJ701" s="1349"/>
      <c r="KLK701" s="1349"/>
      <c r="KLL701" s="1349"/>
      <c r="KLM701" s="1349"/>
      <c r="KLN701" s="1349"/>
      <c r="KLO701" s="1349"/>
      <c r="KLP701" s="1349"/>
      <c r="KLQ701" s="1349"/>
      <c r="KLR701" s="1349"/>
      <c r="KLS701" s="1349"/>
      <c r="KLT701" s="1349"/>
      <c r="KLU701" s="1349"/>
      <c r="KLV701" s="1349"/>
      <c r="KLW701" s="1349"/>
      <c r="KLX701" s="1349"/>
      <c r="KLY701" s="1349"/>
      <c r="KLZ701" s="1349"/>
      <c r="KMA701" s="1349"/>
      <c r="KMB701" s="1349"/>
      <c r="KMC701" s="1349"/>
      <c r="KMD701" s="1349"/>
      <c r="KME701" s="1349"/>
      <c r="KMF701" s="1349"/>
      <c r="KMG701" s="1349"/>
      <c r="KMH701" s="1349"/>
      <c r="KMI701" s="1349"/>
      <c r="KMJ701" s="1349"/>
      <c r="KMK701" s="1349"/>
      <c r="KML701" s="1349"/>
      <c r="KMM701" s="1349"/>
      <c r="KMN701" s="1349"/>
      <c r="KMO701" s="1349"/>
      <c r="KMP701" s="1349"/>
      <c r="KMQ701" s="1349"/>
      <c r="KMR701" s="1349"/>
      <c r="KMS701" s="1349"/>
      <c r="KMT701" s="1349"/>
      <c r="KMU701" s="1349"/>
      <c r="KMV701" s="1349"/>
      <c r="KMW701" s="1349"/>
      <c r="KMX701" s="1349"/>
      <c r="KMY701" s="1349"/>
      <c r="KMZ701" s="1349"/>
      <c r="KNA701" s="1349"/>
      <c r="KNB701" s="1349"/>
      <c r="KNC701" s="1349"/>
      <c r="KND701" s="1349"/>
      <c r="KNE701" s="1349"/>
      <c r="KNF701" s="1349"/>
      <c r="KNG701" s="1349"/>
      <c r="KNH701" s="1349"/>
      <c r="KNI701" s="1349"/>
      <c r="KNJ701" s="1349"/>
      <c r="KNK701" s="1349"/>
      <c r="KNL701" s="1349"/>
      <c r="KNM701" s="1349"/>
      <c r="KNN701" s="1349"/>
      <c r="KNO701" s="1349"/>
      <c r="KNP701" s="1349"/>
      <c r="KNQ701" s="1349"/>
      <c r="KNR701" s="1349"/>
      <c r="KNS701" s="1349"/>
      <c r="KNT701" s="1349"/>
      <c r="KNU701" s="1349"/>
      <c r="KNV701" s="1349"/>
      <c r="KNW701" s="1349"/>
      <c r="KNX701" s="1349"/>
      <c r="KNY701" s="1349"/>
      <c r="KNZ701" s="1349"/>
      <c r="KOA701" s="1349"/>
      <c r="KOB701" s="1349"/>
      <c r="KOC701" s="1349"/>
      <c r="KOD701" s="1349"/>
      <c r="KOE701" s="1349"/>
      <c r="KOF701" s="1349"/>
      <c r="KOG701" s="1349"/>
      <c r="KOH701" s="1349"/>
      <c r="KOI701" s="1349"/>
      <c r="KOJ701" s="1349"/>
      <c r="KOK701" s="1349"/>
      <c r="KOL701" s="1349"/>
      <c r="KOM701" s="1349"/>
      <c r="KON701" s="1349"/>
      <c r="KOO701" s="1349"/>
      <c r="KOP701" s="1349"/>
      <c r="KOQ701" s="1349"/>
      <c r="KOR701" s="1349"/>
      <c r="KOS701" s="1349"/>
      <c r="KOT701" s="1349"/>
      <c r="KOU701" s="1349"/>
      <c r="KOV701" s="1349"/>
      <c r="KOW701" s="1349"/>
      <c r="KOX701" s="1349"/>
      <c r="KOY701" s="1349"/>
      <c r="KOZ701" s="1349"/>
      <c r="KPA701" s="1349"/>
      <c r="KPB701" s="1349"/>
      <c r="KPC701" s="1349"/>
      <c r="KPD701" s="1349"/>
      <c r="KPE701" s="1349"/>
      <c r="KPF701" s="1349"/>
      <c r="KPG701" s="1349"/>
      <c r="KPH701" s="1349"/>
      <c r="KPI701" s="1349"/>
      <c r="KPJ701" s="1349"/>
      <c r="KPK701" s="1349"/>
      <c r="KPL701" s="1349"/>
      <c r="KPM701" s="1349"/>
      <c r="KPN701" s="1349"/>
      <c r="KPO701" s="1349"/>
      <c r="KPP701" s="1349"/>
      <c r="KPQ701" s="1349"/>
      <c r="KPR701" s="1349"/>
      <c r="KPS701" s="1349"/>
      <c r="KPT701" s="1349"/>
      <c r="KPU701" s="1349"/>
      <c r="KPV701" s="1349"/>
      <c r="KPW701" s="1349"/>
      <c r="KPX701" s="1349"/>
      <c r="KPY701" s="1349"/>
      <c r="KPZ701" s="1349"/>
      <c r="KQA701" s="1349"/>
      <c r="KQB701" s="1349"/>
      <c r="KQC701" s="1349"/>
      <c r="KQD701" s="1349"/>
      <c r="KQE701" s="1349"/>
      <c r="KQF701" s="1349"/>
      <c r="KQG701" s="1349"/>
      <c r="KQH701" s="1349"/>
      <c r="KQI701" s="1349"/>
      <c r="KQJ701" s="1349"/>
      <c r="KQK701" s="1349"/>
      <c r="KQL701" s="1349"/>
      <c r="KQM701" s="1349"/>
      <c r="KQN701" s="1349"/>
      <c r="KQO701" s="1349"/>
      <c r="KQP701" s="1349"/>
      <c r="KQQ701" s="1349"/>
      <c r="KQR701" s="1349"/>
      <c r="KQS701" s="1349"/>
      <c r="KQT701" s="1349"/>
      <c r="KQU701" s="1349"/>
      <c r="KQV701" s="1349"/>
      <c r="KQW701" s="1349"/>
      <c r="KQX701" s="1349"/>
      <c r="KQY701" s="1349"/>
      <c r="KQZ701" s="1349"/>
      <c r="KRA701" s="1349"/>
      <c r="KRB701" s="1349"/>
      <c r="KRC701" s="1349"/>
      <c r="KRD701" s="1349"/>
      <c r="KRE701" s="1349"/>
      <c r="KRF701" s="1349"/>
      <c r="KRG701" s="1349"/>
      <c r="KRH701" s="1349"/>
      <c r="KRI701" s="1349"/>
      <c r="KRJ701" s="1349"/>
      <c r="KRK701" s="1349"/>
      <c r="KRL701" s="1349"/>
      <c r="KRM701" s="1349"/>
      <c r="KRN701" s="1349"/>
      <c r="KRO701" s="1349"/>
      <c r="KRP701" s="1349"/>
      <c r="KRQ701" s="1349"/>
      <c r="KRR701" s="1349"/>
      <c r="KRS701" s="1349"/>
      <c r="KRT701" s="1349"/>
      <c r="KRU701" s="1349"/>
      <c r="KRV701" s="1349"/>
      <c r="KRW701" s="1349"/>
      <c r="KRX701" s="1349"/>
      <c r="KRY701" s="1349"/>
      <c r="KRZ701" s="1349"/>
      <c r="KSA701" s="1349"/>
      <c r="KSB701" s="1349"/>
      <c r="KSC701" s="1349"/>
      <c r="KSD701" s="1349"/>
      <c r="KSE701" s="1349"/>
      <c r="KSF701" s="1349"/>
      <c r="KSG701" s="1349"/>
      <c r="KSH701" s="1349"/>
      <c r="KSI701" s="1349"/>
      <c r="KSJ701" s="1349"/>
      <c r="KSK701" s="1349"/>
      <c r="KSL701" s="1349"/>
      <c r="KSM701" s="1349"/>
      <c r="KSN701" s="1349"/>
      <c r="KSO701" s="1349"/>
      <c r="KSP701" s="1349"/>
      <c r="KSQ701" s="1349"/>
      <c r="KSR701" s="1349"/>
      <c r="KSS701" s="1349"/>
      <c r="KST701" s="1349"/>
      <c r="KSU701" s="1349"/>
      <c r="KSV701" s="1349"/>
      <c r="KSW701" s="1349"/>
      <c r="KSX701" s="1349"/>
      <c r="KSY701" s="1349"/>
      <c r="KSZ701" s="1349"/>
      <c r="KTA701" s="1349"/>
      <c r="KTB701" s="1349"/>
      <c r="KTC701" s="1349"/>
      <c r="KTD701" s="1349"/>
      <c r="KTE701" s="1349"/>
      <c r="KTF701" s="1349"/>
      <c r="KTG701" s="1349"/>
      <c r="KTH701" s="1349"/>
      <c r="KTI701" s="1349"/>
      <c r="KTJ701" s="1349"/>
      <c r="KTK701" s="1349"/>
      <c r="KTL701" s="1349"/>
      <c r="KTM701" s="1349"/>
      <c r="KTN701" s="1349"/>
      <c r="KTO701" s="1349"/>
      <c r="KTP701" s="1349"/>
      <c r="KTQ701" s="1349"/>
      <c r="KTR701" s="1349"/>
      <c r="KTS701" s="1349"/>
      <c r="KTT701" s="1349"/>
      <c r="KTU701" s="1349"/>
      <c r="KTV701" s="1349"/>
      <c r="KTW701" s="1349"/>
      <c r="KTX701" s="1349"/>
      <c r="KTY701" s="1349"/>
      <c r="KTZ701" s="1349"/>
      <c r="KUA701" s="1349"/>
      <c r="KUB701" s="1349"/>
      <c r="KUC701" s="1349"/>
      <c r="KUD701" s="1349"/>
      <c r="KUE701" s="1349"/>
      <c r="KUF701" s="1349"/>
      <c r="KUG701" s="1349"/>
      <c r="KUH701" s="1349"/>
      <c r="KUI701" s="1349"/>
      <c r="KUJ701" s="1349"/>
      <c r="KUK701" s="1349"/>
      <c r="KUL701" s="1349"/>
      <c r="KUM701" s="1349"/>
      <c r="KUN701" s="1349"/>
      <c r="KUO701" s="1349"/>
      <c r="KUP701" s="1349"/>
      <c r="KUQ701" s="1349"/>
      <c r="KUR701" s="1349"/>
      <c r="KUS701" s="1349"/>
      <c r="KUT701" s="1349"/>
      <c r="KUU701" s="1349"/>
      <c r="KUV701" s="1349"/>
      <c r="KUW701" s="1349"/>
      <c r="KUX701" s="1349"/>
      <c r="KUY701" s="1349"/>
      <c r="KUZ701" s="1349"/>
      <c r="KVA701" s="1349"/>
      <c r="KVB701" s="1349"/>
      <c r="KVC701" s="1349"/>
      <c r="KVD701" s="1349"/>
      <c r="KVE701" s="1349"/>
      <c r="KVF701" s="1349"/>
      <c r="KVG701" s="1349"/>
      <c r="KVH701" s="1349"/>
      <c r="KVI701" s="1349"/>
      <c r="KVJ701" s="1349"/>
      <c r="KVK701" s="1349"/>
      <c r="KVL701" s="1349"/>
      <c r="KVM701" s="1349"/>
      <c r="KVN701" s="1349"/>
      <c r="KVO701" s="1349"/>
      <c r="KVP701" s="1349"/>
      <c r="KVQ701" s="1349"/>
      <c r="KVR701" s="1349"/>
      <c r="KVS701" s="1349"/>
      <c r="KVT701" s="1349"/>
      <c r="KVU701" s="1349"/>
      <c r="KVV701" s="1349"/>
      <c r="KVW701" s="1349"/>
      <c r="KVX701" s="1349"/>
      <c r="KVY701" s="1349"/>
      <c r="KVZ701" s="1349"/>
      <c r="KWA701" s="1349"/>
      <c r="KWB701" s="1349"/>
      <c r="KWC701" s="1349"/>
      <c r="KWD701" s="1349"/>
      <c r="KWE701" s="1349"/>
      <c r="KWF701" s="1349"/>
      <c r="KWG701" s="1349"/>
      <c r="KWH701" s="1349"/>
      <c r="KWI701" s="1349"/>
      <c r="KWJ701" s="1349"/>
      <c r="KWK701" s="1349"/>
      <c r="KWL701" s="1349"/>
      <c r="KWM701" s="1349"/>
      <c r="KWN701" s="1349"/>
      <c r="KWO701" s="1349"/>
      <c r="KWP701" s="1349"/>
      <c r="KWQ701" s="1349"/>
      <c r="KWR701" s="1349"/>
      <c r="KWS701" s="1349"/>
      <c r="KWT701" s="1349"/>
      <c r="KWU701" s="1349"/>
      <c r="KWV701" s="1349"/>
      <c r="KWW701" s="1349"/>
      <c r="KWX701" s="1349"/>
      <c r="KWY701" s="1349"/>
      <c r="KWZ701" s="1349"/>
      <c r="KXA701" s="1349"/>
      <c r="KXB701" s="1349"/>
      <c r="KXC701" s="1349"/>
      <c r="KXD701" s="1349"/>
      <c r="KXE701" s="1349"/>
      <c r="KXF701" s="1349"/>
      <c r="KXG701" s="1349"/>
      <c r="KXH701" s="1349"/>
      <c r="KXI701" s="1349"/>
      <c r="KXJ701" s="1349"/>
      <c r="KXK701" s="1349"/>
      <c r="KXL701" s="1349"/>
      <c r="KXM701" s="1349"/>
      <c r="KXN701" s="1349"/>
      <c r="KXO701" s="1349"/>
      <c r="KXP701" s="1349"/>
      <c r="KXQ701" s="1349"/>
      <c r="KXR701" s="1349"/>
      <c r="KXS701" s="1349"/>
      <c r="KXT701" s="1349"/>
      <c r="KXU701" s="1349"/>
      <c r="KXV701" s="1349"/>
      <c r="KXW701" s="1349"/>
      <c r="KXX701" s="1349"/>
      <c r="KXY701" s="1349"/>
      <c r="KXZ701" s="1349"/>
      <c r="KYA701" s="1349"/>
      <c r="KYB701" s="1349"/>
      <c r="KYC701" s="1349"/>
      <c r="KYD701" s="1349"/>
      <c r="KYE701" s="1349"/>
      <c r="KYF701" s="1349"/>
      <c r="KYG701" s="1349"/>
      <c r="KYH701" s="1349"/>
      <c r="KYI701" s="1349"/>
      <c r="KYJ701" s="1349"/>
      <c r="KYK701" s="1349"/>
      <c r="KYL701" s="1349"/>
      <c r="KYM701" s="1349"/>
      <c r="KYN701" s="1349"/>
      <c r="KYO701" s="1349"/>
      <c r="KYP701" s="1349"/>
      <c r="KYQ701" s="1349"/>
      <c r="KYR701" s="1349"/>
      <c r="KYS701" s="1349"/>
      <c r="KYT701" s="1349"/>
      <c r="KYU701" s="1349"/>
      <c r="KYV701" s="1349"/>
      <c r="KYW701" s="1349"/>
      <c r="KYX701" s="1349"/>
      <c r="KYY701" s="1349"/>
      <c r="KYZ701" s="1349"/>
      <c r="KZA701" s="1349"/>
      <c r="KZB701" s="1349"/>
      <c r="KZC701" s="1349"/>
      <c r="KZD701" s="1349"/>
      <c r="KZE701" s="1349"/>
      <c r="KZF701" s="1349"/>
      <c r="KZG701" s="1349"/>
      <c r="KZH701" s="1349"/>
      <c r="KZI701" s="1349"/>
      <c r="KZJ701" s="1349"/>
      <c r="KZK701" s="1349"/>
      <c r="KZL701" s="1349"/>
      <c r="KZM701" s="1349"/>
      <c r="KZN701" s="1349"/>
      <c r="KZO701" s="1349"/>
      <c r="KZP701" s="1349"/>
      <c r="KZQ701" s="1349"/>
      <c r="KZR701" s="1349"/>
      <c r="KZS701" s="1349"/>
      <c r="KZT701" s="1349"/>
      <c r="KZU701" s="1349"/>
      <c r="KZV701" s="1349"/>
      <c r="KZW701" s="1349"/>
      <c r="KZX701" s="1349"/>
      <c r="KZY701" s="1349"/>
      <c r="KZZ701" s="1349"/>
      <c r="LAA701" s="1349"/>
      <c r="LAB701" s="1349"/>
      <c r="LAC701" s="1349"/>
      <c r="LAD701" s="1349"/>
      <c r="LAE701" s="1349"/>
      <c r="LAF701" s="1349"/>
      <c r="LAG701" s="1349"/>
      <c r="LAH701" s="1349"/>
      <c r="LAI701" s="1349"/>
      <c r="LAJ701" s="1349"/>
      <c r="LAK701" s="1349"/>
      <c r="LAL701" s="1349"/>
      <c r="LAM701" s="1349"/>
      <c r="LAN701" s="1349"/>
      <c r="LAO701" s="1349"/>
      <c r="LAP701" s="1349"/>
      <c r="LAQ701" s="1349"/>
      <c r="LAR701" s="1349"/>
      <c r="LAS701" s="1349"/>
      <c r="LAT701" s="1349"/>
      <c r="LAU701" s="1349"/>
      <c r="LAV701" s="1349"/>
      <c r="LAW701" s="1349"/>
      <c r="LAX701" s="1349"/>
      <c r="LAY701" s="1349"/>
      <c r="LAZ701" s="1349"/>
      <c r="LBA701" s="1349"/>
      <c r="LBB701" s="1349"/>
      <c r="LBC701" s="1349"/>
      <c r="LBD701" s="1349"/>
      <c r="LBE701" s="1349"/>
      <c r="LBF701" s="1349"/>
      <c r="LBG701" s="1349"/>
      <c r="LBH701" s="1349"/>
      <c r="LBI701" s="1349"/>
      <c r="LBJ701" s="1349"/>
      <c r="LBK701" s="1349"/>
      <c r="LBL701" s="1349"/>
      <c r="LBM701" s="1349"/>
      <c r="LBN701" s="1349"/>
      <c r="LBO701" s="1349"/>
      <c r="LBP701" s="1349"/>
      <c r="LBQ701" s="1349"/>
      <c r="LBR701" s="1349"/>
      <c r="LBS701" s="1349"/>
      <c r="LBT701" s="1349"/>
      <c r="LBU701" s="1349"/>
      <c r="LBV701" s="1349"/>
      <c r="LBW701" s="1349"/>
      <c r="LBX701" s="1349"/>
      <c r="LBY701" s="1349"/>
      <c r="LBZ701" s="1349"/>
      <c r="LCA701" s="1349"/>
      <c r="LCB701" s="1349"/>
      <c r="LCC701" s="1349"/>
      <c r="LCD701" s="1349"/>
      <c r="LCE701" s="1349"/>
      <c r="LCF701" s="1349"/>
      <c r="LCG701" s="1349"/>
      <c r="LCH701" s="1349"/>
      <c r="LCI701" s="1349"/>
      <c r="LCJ701" s="1349"/>
      <c r="LCK701" s="1349"/>
      <c r="LCL701" s="1349"/>
      <c r="LCM701" s="1349"/>
      <c r="LCN701" s="1349"/>
      <c r="LCO701" s="1349"/>
      <c r="LCP701" s="1349"/>
      <c r="LCQ701" s="1349"/>
      <c r="LCR701" s="1349"/>
      <c r="LCS701" s="1349"/>
      <c r="LCT701" s="1349"/>
      <c r="LCU701" s="1349"/>
      <c r="LCV701" s="1349"/>
      <c r="LCW701" s="1349"/>
      <c r="LCX701" s="1349"/>
      <c r="LCY701" s="1349"/>
      <c r="LCZ701" s="1349"/>
      <c r="LDA701" s="1349"/>
      <c r="LDB701" s="1349"/>
      <c r="LDC701" s="1349"/>
      <c r="LDD701" s="1349"/>
      <c r="LDE701" s="1349"/>
      <c r="LDF701" s="1349"/>
      <c r="LDG701" s="1349"/>
      <c r="LDH701" s="1349"/>
      <c r="LDI701" s="1349"/>
      <c r="LDJ701" s="1349"/>
      <c r="LDK701" s="1349"/>
      <c r="LDL701" s="1349"/>
      <c r="LDM701" s="1349"/>
      <c r="LDN701" s="1349"/>
      <c r="LDO701" s="1349"/>
      <c r="LDP701" s="1349"/>
      <c r="LDQ701" s="1349"/>
      <c r="LDR701" s="1349"/>
      <c r="LDS701" s="1349"/>
      <c r="LDT701" s="1349"/>
      <c r="LDU701" s="1349"/>
      <c r="LDV701" s="1349"/>
      <c r="LDW701" s="1349"/>
      <c r="LDX701" s="1349"/>
      <c r="LDY701" s="1349"/>
      <c r="LDZ701" s="1349"/>
      <c r="LEA701" s="1349"/>
      <c r="LEB701" s="1349"/>
      <c r="LEC701" s="1349"/>
      <c r="LED701" s="1349"/>
      <c r="LEE701" s="1349"/>
      <c r="LEF701" s="1349"/>
      <c r="LEG701" s="1349"/>
      <c r="LEH701" s="1349"/>
      <c r="LEI701" s="1349"/>
      <c r="LEJ701" s="1349"/>
      <c r="LEK701" s="1349"/>
      <c r="LEL701" s="1349"/>
      <c r="LEM701" s="1349"/>
      <c r="LEN701" s="1349"/>
      <c r="LEO701" s="1349"/>
      <c r="LEP701" s="1349"/>
      <c r="LEQ701" s="1349"/>
      <c r="LER701" s="1349"/>
      <c r="LES701" s="1349"/>
      <c r="LET701" s="1349"/>
      <c r="LEU701" s="1349"/>
      <c r="LEV701" s="1349"/>
      <c r="LEW701" s="1349"/>
      <c r="LEX701" s="1349"/>
      <c r="LEY701" s="1349"/>
      <c r="LEZ701" s="1349"/>
      <c r="LFA701" s="1349"/>
      <c r="LFB701" s="1349"/>
      <c r="LFC701" s="1349"/>
      <c r="LFD701" s="1349"/>
      <c r="LFE701" s="1349"/>
      <c r="LFF701" s="1349"/>
      <c r="LFG701" s="1349"/>
      <c r="LFH701" s="1349"/>
      <c r="LFI701" s="1349"/>
      <c r="LFJ701" s="1349"/>
      <c r="LFK701" s="1349"/>
      <c r="LFL701" s="1349"/>
      <c r="LFM701" s="1349"/>
      <c r="LFN701" s="1349"/>
      <c r="LFO701" s="1349"/>
      <c r="LFP701" s="1349"/>
      <c r="LFQ701" s="1349"/>
      <c r="LFR701" s="1349"/>
      <c r="LFS701" s="1349"/>
      <c r="LFT701" s="1349"/>
      <c r="LFU701" s="1349"/>
      <c r="LFV701" s="1349"/>
      <c r="LFW701" s="1349"/>
      <c r="LFX701" s="1349"/>
      <c r="LFY701" s="1349"/>
      <c r="LFZ701" s="1349"/>
      <c r="LGA701" s="1349"/>
      <c r="LGB701" s="1349"/>
      <c r="LGC701" s="1349"/>
      <c r="LGD701" s="1349"/>
      <c r="LGE701" s="1349"/>
      <c r="LGF701" s="1349"/>
      <c r="LGG701" s="1349"/>
      <c r="LGH701" s="1349"/>
      <c r="LGI701" s="1349"/>
      <c r="LGJ701" s="1349"/>
      <c r="LGK701" s="1349"/>
      <c r="LGL701" s="1349"/>
      <c r="LGM701" s="1349"/>
      <c r="LGN701" s="1349"/>
      <c r="LGO701" s="1349"/>
      <c r="LGP701" s="1349"/>
      <c r="LGQ701" s="1349"/>
      <c r="LGR701" s="1349"/>
      <c r="LGS701" s="1349"/>
      <c r="LGT701" s="1349"/>
      <c r="LGU701" s="1349"/>
      <c r="LGV701" s="1349"/>
      <c r="LGW701" s="1349"/>
      <c r="LGX701" s="1349"/>
      <c r="LGY701" s="1349"/>
      <c r="LGZ701" s="1349"/>
      <c r="LHA701" s="1349"/>
      <c r="LHB701" s="1349"/>
      <c r="LHC701" s="1349"/>
      <c r="LHD701" s="1349"/>
      <c r="LHE701" s="1349"/>
      <c r="LHF701" s="1349"/>
      <c r="LHG701" s="1349"/>
      <c r="LHH701" s="1349"/>
      <c r="LHI701" s="1349"/>
      <c r="LHJ701" s="1349"/>
      <c r="LHK701" s="1349"/>
      <c r="LHL701" s="1349"/>
      <c r="LHM701" s="1349"/>
      <c r="LHN701" s="1349"/>
      <c r="LHO701" s="1349"/>
      <c r="LHP701" s="1349"/>
      <c r="LHQ701" s="1349"/>
      <c r="LHR701" s="1349"/>
      <c r="LHS701" s="1349"/>
      <c r="LHT701" s="1349"/>
      <c r="LHU701" s="1349"/>
      <c r="LHV701" s="1349"/>
      <c r="LHW701" s="1349"/>
      <c r="LHX701" s="1349"/>
      <c r="LHY701" s="1349"/>
      <c r="LHZ701" s="1349"/>
      <c r="LIA701" s="1349"/>
      <c r="LIB701" s="1349"/>
      <c r="LIC701" s="1349"/>
      <c r="LID701" s="1349"/>
      <c r="LIE701" s="1349"/>
      <c r="LIF701" s="1349"/>
      <c r="LIG701" s="1349"/>
      <c r="LIH701" s="1349"/>
      <c r="LII701" s="1349"/>
      <c r="LIJ701" s="1349"/>
      <c r="LIK701" s="1349"/>
      <c r="LIL701" s="1349"/>
      <c r="LIM701" s="1349"/>
      <c r="LIN701" s="1349"/>
      <c r="LIO701" s="1349"/>
      <c r="LIP701" s="1349"/>
      <c r="LIQ701" s="1349"/>
      <c r="LIR701" s="1349"/>
      <c r="LIS701" s="1349"/>
      <c r="LIT701" s="1349"/>
      <c r="LIU701" s="1349"/>
      <c r="LIV701" s="1349"/>
      <c r="LIW701" s="1349"/>
      <c r="LIX701" s="1349"/>
      <c r="LIY701" s="1349"/>
      <c r="LIZ701" s="1349"/>
      <c r="LJA701" s="1349"/>
      <c r="LJB701" s="1349"/>
      <c r="LJC701" s="1349"/>
      <c r="LJD701" s="1349"/>
      <c r="LJE701" s="1349"/>
      <c r="LJF701" s="1349"/>
      <c r="LJG701" s="1349"/>
      <c r="LJH701" s="1349"/>
      <c r="LJI701" s="1349"/>
      <c r="LJJ701" s="1349"/>
      <c r="LJK701" s="1349"/>
      <c r="LJL701" s="1349"/>
      <c r="LJM701" s="1349"/>
      <c r="LJN701" s="1349"/>
      <c r="LJO701" s="1349"/>
      <c r="LJP701" s="1349"/>
      <c r="LJQ701" s="1349"/>
      <c r="LJR701" s="1349"/>
      <c r="LJS701" s="1349"/>
      <c r="LJT701" s="1349"/>
      <c r="LJU701" s="1349"/>
      <c r="LJV701" s="1349"/>
      <c r="LJW701" s="1349"/>
      <c r="LJX701" s="1349"/>
      <c r="LJY701" s="1349"/>
      <c r="LJZ701" s="1349"/>
      <c r="LKA701" s="1349"/>
      <c r="LKB701" s="1349"/>
      <c r="LKC701" s="1349"/>
      <c r="LKD701" s="1349"/>
      <c r="LKE701" s="1349"/>
      <c r="LKF701" s="1349"/>
      <c r="LKG701" s="1349"/>
      <c r="LKH701" s="1349"/>
      <c r="LKI701" s="1349"/>
      <c r="LKJ701" s="1349"/>
      <c r="LKK701" s="1349"/>
      <c r="LKL701" s="1349"/>
      <c r="LKM701" s="1349"/>
      <c r="LKN701" s="1349"/>
      <c r="LKO701" s="1349"/>
      <c r="LKP701" s="1349"/>
      <c r="LKQ701" s="1349"/>
      <c r="LKR701" s="1349"/>
      <c r="LKS701" s="1349"/>
      <c r="LKT701" s="1349"/>
      <c r="LKU701" s="1349"/>
      <c r="LKV701" s="1349"/>
      <c r="LKW701" s="1349"/>
      <c r="LKX701" s="1349"/>
      <c r="LKY701" s="1349"/>
      <c r="LKZ701" s="1349"/>
      <c r="LLA701" s="1349"/>
      <c r="LLB701" s="1349"/>
      <c r="LLC701" s="1349"/>
      <c r="LLD701" s="1349"/>
      <c r="LLE701" s="1349"/>
      <c r="LLF701" s="1349"/>
      <c r="LLG701" s="1349"/>
      <c r="LLH701" s="1349"/>
      <c r="LLI701" s="1349"/>
      <c r="LLJ701" s="1349"/>
      <c r="LLK701" s="1349"/>
      <c r="LLL701" s="1349"/>
      <c r="LLM701" s="1349"/>
      <c r="LLN701" s="1349"/>
      <c r="LLO701" s="1349"/>
      <c r="LLP701" s="1349"/>
      <c r="LLQ701" s="1349"/>
      <c r="LLR701" s="1349"/>
      <c r="LLS701" s="1349"/>
      <c r="LLT701" s="1349"/>
      <c r="LLU701" s="1349"/>
      <c r="LLV701" s="1349"/>
      <c r="LLW701" s="1349"/>
      <c r="LLX701" s="1349"/>
      <c r="LLY701" s="1349"/>
      <c r="LLZ701" s="1349"/>
      <c r="LMA701" s="1349"/>
      <c r="LMB701" s="1349"/>
      <c r="LMC701" s="1349"/>
      <c r="LMD701" s="1349"/>
      <c r="LME701" s="1349"/>
      <c r="LMF701" s="1349"/>
      <c r="LMG701" s="1349"/>
      <c r="LMH701" s="1349"/>
      <c r="LMI701" s="1349"/>
      <c r="LMJ701" s="1349"/>
      <c r="LMK701" s="1349"/>
      <c r="LML701" s="1349"/>
      <c r="LMM701" s="1349"/>
      <c r="LMN701" s="1349"/>
      <c r="LMO701" s="1349"/>
      <c r="LMP701" s="1349"/>
      <c r="LMQ701" s="1349"/>
      <c r="LMR701" s="1349"/>
      <c r="LMS701" s="1349"/>
      <c r="LMT701" s="1349"/>
      <c r="LMU701" s="1349"/>
      <c r="LMV701" s="1349"/>
      <c r="LMW701" s="1349"/>
      <c r="LMX701" s="1349"/>
      <c r="LMY701" s="1349"/>
      <c r="LMZ701" s="1349"/>
      <c r="LNA701" s="1349"/>
      <c r="LNB701" s="1349"/>
      <c r="LNC701" s="1349"/>
      <c r="LND701" s="1349"/>
      <c r="LNE701" s="1349"/>
      <c r="LNF701" s="1349"/>
      <c r="LNG701" s="1349"/>
      <c r="LNH701" s="1349"/>
      <c r="LNI701" s="1349"/>
      <c r="LNJ701" s="1349"/>
      <c r="LNK701" s="1349"/>
      <c r="LNL701" s="1349"/>
      <c r="LNM701" s="1349"/>
      <c r="LNN701" s="1349"/>
      <c r="LNO701" s="1349"/>
      <c r="LNP701" s="1349"/>
      <c r="LNQ701" s="1349"/>
      <c r="LNR701" s="1349"/>
      <c r="LNS701" s="1349"/>
      <c r="LNT701" s="1349"/>
      <c r="LNU701" s="1349"/>
      <c r="LNV701" s="1349"/>
      <c r="LNW701" s="1349"/>
      <c r="LNX701" s="1349"/>
      <c r="LNY701" s="1349"/>
      <c r="LNZ701" s="1349"/>
      <c r="LOA701" s="1349"/>
      <c r="LOB701" s="1349"/>
      <c r="LOC701" s="1349"/>
      <c r="LOD701" s="1349"/>
      <c r="LOE701" s="1349"/>
      <c r="LOF701" s="1349"/>
      <c r="LOG701" s="1349"/>
      <c r="LOH701" s="1349"/>
      <c r="LOI701" s="1349"/>
      <c r="LOJ701" s="1349"/>
      <c r="LOK701" s="1349"/>
      <c r="LOL701" s="1349"/>
      <c r="LOM701" s="1349"/>
      <c r="LON701" s="1349"/>
      <c r="LOO701" s="1349"/>
      <c r="LOP701" s="1349"/>
      <c r="LOQ701" s="1349"/>
      <c r="LOR701" s="1349"/>
      <c r="LOS701" s="1349"/>
      <c r="LOT701" s="1349"/>
      <c r="LOU701" s="1349"/>
      <c r="LOV701" s="1349"/>
      <c r="LOW701" s="1349"/>
      <c r="LOX701" s="1349"/>
      <c r="LOY701" s="1349"/>
      <c r="LOZ701" s="1349"/>
      <c r="LPA701" s="1349"/>
      <c r="LPB701" s="1349"/>
      <c r="LPC701" s="1349"/>
      <c r="LPD701" s="1349"/>
      <c r="LPE701" s="1349"/>
      <c r="LPF701" s="1349"/>
      <c r="LPG701" s="1349"/>
      <c r="LPH701" s="1349"/>
      <c r="LPI701" s="1349"/>
      <c r="LPJ701" s="1349"/>
      <c r="LPK701" s="1349"/>
      <c r="LPL701" s="1349"/>
      <c r="LPM701" s="1349"/>
      <c r="LPN701" s="1349"/>
      <c r="LPO701" s="1349"/>
      <c r="LPP701" s="1349"/>
      <c r="LPQ701" s="1349"/>
      <c r="LPR701" s="1349"/>
      <c r="LPS701" s="1349"/>
      <c r="LPT701" s="1349"/>
      <c r="LPU701" s="1349"/>
      <c r="LPV701" s="1349"/>
      <c r="LPW701" s="1349"/>
      <c r="LPX701" s="1349"/>
      <c r="LPY701" s="1349"/>
      <c r="LPZ701" s="1349"/>
      <c r="LQA701" s="1349"/>
      <c r="LQB701" s="1349"/>
      <c r="LQC701" s="1349"/>
      <c r="LQD701" s="1349"/>
      <c r="LQE701" s="1349"/>
      <c r="LQF701" s="1349"/>
      <c r="LQG701" s="1349"/>
      <c r="LQH701" s="1349"/>
      <c r="LQI701" s="1349"/>
      <c r="LQJ701" s="1349"/>
      <c r="LQK701" s="1349"/>
      <c r="LQL701" s="1349"/>
      <c r="LQM701" s="1349"/>
      <c r="LQN701" s="1349"/>
      <c r="LQO701" s="1349"/>
      <c r="LQP701" s="1349"/>
      <c r="LQQ701" s="1349"/>
      <c r="LQR701" s="1349"/>
      <c r="LQS701" s="1349"/>
      <c r="LQT701" s="1349"/>
      <c r="LQU701" s="1349"/>
      <c r="LQV701" s="1349"/>
      <c r="LQW701" s="1349"/>
      <c r="LQX701" s="1349"/>
      <c r="LQY701" s="1349"/>
      <c r="LQZ701" s="1349"/>
      <c r="LRA701" s="1349"/>
      <c r="LRB701" s="1349"/>
      <c r="LRC701" s="1349"/>
      <c r="LRD701" s="1349"/>
      <c r="LRE701" s="1349"/>
      <c r="LRF701" s="1349"/>
      <c r="LRG701" s="1349"/>
      <c r="LRH701" s="1349"/>
      <c r="LRI701" s="1349"/>
      <c r="LRJ701" s="1349"/>
      <c r="LRK701" s="1349"/>
      <c r="LRL701" s="1349"/>
      <c r="LRM701" s="1349"/>
      <c r="LRN701" s="1349"/>
      <c r="LRO701" s="1349"/>
      <c r="LRP701" s="1349"/>
      <c r="LRQ701" s="1349"/>
      <c r="LRR701" s="1349"/>
      <c r="LRS701" s="1349"/>
      <c r="LRT701" s="1349"/>
      <c r="LRU701" s="1349"/>
      <c r="LRV701" s="1349"/>
      <c r="LRW701" s="1349"/>
      <c r="LRX701" s="1349"/>
      <c r="LRY701" s="1349"/>
      <c r="LRZ701" s="1349"/>
      <c r="LSA701" s="1349"/>
      <c r="LSB701" s="1349"/>
      <c r="LSC701" s="1349"/>
      <c r="LSD701" s="1349"/>
      <c r="LSE701" s="1349"/>
      <c r="LSF701" s="1349"/>
      <c r="LSG701" s="1349"/>
      <c r="LSH701" s="1349"/>
      <c r="LSI701" s="1349"/>
      <c r="LSJ701" s="1349"/>
      <c r="LSK701" s="1349"/>
      <c r="LSL701" s="1349"/>
      <c r="LSM701" s="1349"/>
      <c r="LSN701" s="1349"/>
      <c r="LSO701" s="1349"/>
      <c r="LSP701" s="1349"/>
      <c r="LSQ701" s="1349"/>
      <c r="LSR701" s="1349"/>
      <c r="LSS701" s="1349"/>
      <c r="LST701" s="1349"/>
      <c r="LSU701" s="1349"/>
      <c r="LSV701" s="1349"/>
      <c r="LSW701" s="1349"/>
      <c r="LSX701" s="1349"/>
      <c r="LSY701" s="1349"/>
      <c r="LSZ701" s="1349"/>
      <c r="LTA701" s="1349"/>
      <c r="LTB701" s="1349"/>
      <c r="LTC701" s="1349"/>
      <c r="LTD701" s="1349"/>
      <c r="LTE701" s="1349"/>
      <c r="LTF701" s="1349"/>
      <c r="LTG701" s="1349"/>
      <c r="LTH701" s="1349"/>
      <c r="LTI701" s="1349"/>
      <c r="LTJ701" s="1349"/>
      <c r="LTK701" s="1349"/>
      <c r="LTL701" s="1349"/>
      <c r="LTM701" s="1349"/>
      <c r="LTN701" s="1349"/>
      <c r="LTO701" s="1349"/>
      <c r="LTP701" s="1349"/>
      <c r="LTQ701" s="1349"/>
      <c r="LTR701" s="1349"/>
      <c r="LTS701" s="1349"/>
      <c r="LTT701" s="1349"/>
      <c r="LTU701" s="1349"/>
      <c r="LTV701" s="1349"/>
      <c r="LTW701" s="1349"/>
      <c r="LTX701" s="1349"/>
      <c r="LTY701" s="1349"/>
      <c r="LTZ701" s="1349"/>
      <c r="LUA701" s="1349"/>
      <c r="LUB701" s="1349"/>
      <c r="LUC701" s="1349"/>
      <c r="LUD701" s="1349"/>
      <c r="LUE701" s="1349"/>
      <c r="LUF701" s="1349"/>
      <c r="LUG701" s="1349"/>
      <c r="LUH701" s="1349"/>
      <c r="LUI701" s="1349"/>
      <c r="LUJ701" s="1349"/>
      <c r="LUK701" s="1349"/>
      <c r="LUL701" s="1349"/>
      <c r="LUM701" s="1349"/>
      <c r="LUN701" s="1349"/>
      <c r="LUO701" s="1349"/>
      <c r="LUP701" s="1349"/>
      <c r="LUQ701" s="1349"/>
      <c r="LUR701" s="1349"/>
      <c r="LUS701" s="1349"/>
      <c r="LUT701" s="1349"/>
      <c r="LUU701" s="1349"/>
      <c r="LUV701" s="1349"/>
      <c r="LUW701" s="1349"/>
      <c r="LUX701" s="1349"/>
      <c r="LUY701" s="1349"/>
      <c r="LUZ701" s="1349"/>
      <c r="LVA701" s="1349"/>
      <c r="LVB701" s="1349"/>
      <c r="LVC701" s="1349"/>
      <c r="LVD701" s="1349"/>
      <c r="LVE701" s="1349"/>
      <c r="LVF701" s="1349"/>
      <c r="LVG701" s="1349"/>
      <c r="LVH701" s="1349"/>
      <c r="LVI701" s="1349"/>
      <c r="LVJ701" s="1349"/>
      <c r="LVK701" s="1349"/>
      <c r="LVL701" s="1349"/>
      <c r="LVM701" s="1349"/>
      <c r="LVN701" s="1349"/>
      <c r="LVO701" s="1349"/>
      <c r="LVP701" s="1349"/>
      <c r="LVQ701" s="1349"/>
      <c r="LVR701" s="1349"/>
      <c r="LVS701" s="1349"/>
      <c r="LVT701" s="1349"/>
      <c r="LVU701" s="1349"/>
      <c r="LVV701" s="1349"/>
      <c r="LVW701" s="1349"/>
      <c r="LVX701" s="1349"/>
      <c r="LVY701" s="1349"/>
      <c r="LVZ701" s="1349"/>
      <c r="LWA701" s="1349"/>
      <c r="LWB701" s="1349"/>
      <c r="LWC701" s="1349"/>
      <c r="LWD701" s="1349"/>
      <c r="LWE701" s="1349"/>
      <c r="LWF701" s="1349"/>
      <c r="LWG701" s="1349"/>
      <c r="LWH701" s="1349"/>
      <c r="LWI701" s="1349"/>
      <c r="LWJ701" s="1349"/>
      <c r="LWK701" s="1349"/>
      <c r="LWL701" s="1349"/>
      <c r="LWM701" s="1349"/>
      <c r="LWN701" s="1349"/>
      <c r="LWO701" s="1349"/>
      <c r="LWP701" s="1349"/>
      <c r="LWQ701" s="1349"/>
      <c r="LWR701" s="1349"/>
      <c r="LWS701" s="1349"/>
      <c r="LWT701" s="1349"/>
      <c r="LWU701" s="1349"/>
      <c r="LWV701" s="1349"/>
      <c r="LWW701" s="1349"/>
      <c r="LWX701" s="1349"/>
      <c r="LWY701" s="1349"/>
      <c r="LWZ701" s="1349"/>
      <c r="LXA701" s="1349"/>
      <c r="LXB701" s="1349"/>
      <c r="LXC701" s="1349"/>
      <c r="LXD701" s="1349"/>
      <c r="LXE701" s="1349"/>
      <c r="LXF701" s="1349"/>
      <c r="LXG701" s="1349"/>
      <c r="LXH701" s="1349"/>
      <c r="LXI701" s="1349"/>
      <c r="LXJ701" s="1349"/>
      <c r="LXK701" s="1349"/>
      <c r="LXL701" s="1349"/>
      <c r="LXM701" s="1349"/>
      <c r="LXN701" s="1349"/>
      <c r="LXO701" s="1349"/>
      <c r="LXP701" s="1349"/>
      <c r="LXQ701" s="1349"/>
      <c r="LXR701" s="1349"/>
      <c r="LXS701" s="1349"/>
      <c r="LXT701" s="1349"/>
      <c r="LXU701" s="1349"/>
      <c r="LXV701" s="1349"/>
      <c r="LXW701" s="1349"/>
      <c r="LXX701" s="1349"/>
      <c r="LXY701" s="1349"/>
      <c r="LXZ701" s="1349"/>
      <c r="LYA701" s="1349"/>
      <c r="LYB701" s="1349"/>
      <c r="LYC701" s="1349"/>
      <c r="LYD701" s="1349"/>
      <c r="LYE701" s="1349"/>
      <c r="LYF701" s="1349"/>
      <c r="LYG701" s="1349"/>
      <c r="LYH701" s="1349"/>
      <c r="LYI701" s="1349"/>
      <c r="LYJ701" s="1349"/>
      <c r="LYK701" s="1349"/>
      <c r="LYL701" s="1349"/>
      <c r="LYM701" s="1349"/>
      <c r="LYN701" s="1349"/>
      <c r="LYO701" s="1349"/>
      <c r="LYP701" s="1349"/>
      <c r="LYQ701" s="1349"/>
      <c r="LYR701" s="1349"/>
      <c r="LYS701" s="1349"/>
      <c r="LYT701" s="1349"/>
      <c r="LYU701" s="1349"/>
      <c r="LYV701" s="1349"/>
      <c r="LYW701" s="1349"/>
      <c r="LYX701" s="1349"/>
      <c r="LYY701" s="1349"/>
      <c r="LYZ701" s="1349"/>
      <c r="LZA701" s="1349"/>
      <c r="LZB701" s="1349"/>
      <c r="LZC701" s="1349"/>
      <c r="LZD701" s="1349"/>
      <c r="LZE701" s="1349"/>
      <c r="LZF701" s="1349"/>
      <c r="LZG701" s="1349"/>
      <c r="LZH701" s="1349"/>
      <c r="LZI701" s="1349"/>
      <c r="LZJ701" s="1349"/>
      <c r="LZK701" s="1349"/>
      <c r="LZL701" s="1349"/>
      <c r="LZM701" s="1349"/>
      <c r="LZN701" s="1349"/>
      <c r="LZO701" s="1349"/>
      <c r="LZP701" s="1349"/>
      <c r="LZQ701" s="1349"/>
      <c r="LZR701" s="1349"/>
      <c r="LZS701" s="1349"/>
      <c r="LZT701" s="1349"/>
      <c r="LZU701" s="1349"/>
      <c r="LZV701" s="1349"/>
      <c r="LZW701" s="1349"/>
      <c r="LZX701" s="1349"/>
      <c r="LZY701" s="1349"/>
      <c r="LZZ701" s="1349"/>
      <c r="MAA701" s="1349"/>
      <c r="MAB701" s="1349"/>
      <c r="MAC701" s="1349"/>
      <c r="MAD701" s="1349"/>
      <c r="MAE701" s="1349"/>
      <c r="MAF701" s="1349"/>
      <c r="MAG701" s="1349"/>
      <c r="MAH701" s="1349"/>
      <c r="MAI701" s="1349"/>
      <c r="MAJ701" s="1349"/>
      <c r="MAK701" s="1349"/>
      <c r="MAL701" s="1349"/>
      <c r="MAM701" s="1349"/>
      <c r="MAN701" s="1349"/>
      <c r="MAO701" s="1349"/>
      <c r="MAP701" s="1349"/>
      <c r="MAQ701" s="1349"/>
      <c r="MAR701" s="1349"/>
      <c r="MAS701" s="1349"/>
      <c r="MAT701" s="1349"/>
      <c r="MAU701" s="1349"/>
      <c r="MAV701" s="1349"/>
      <c r="MAW701" s="1349"/>
      <c r="MAX701" s="1349"/>
      <c r="MAY701" s="1349"/>
      <c r="MAZ701" s="1349"/>
      <c r="MBA701" s="1349"/>
      <c r="MBB701" s="1349"/>
      <c r="MBC701" s="1349"/>
      <c r="MBD701" s="1349"/>
      <c r="MBE701" s="1349"/>
      <c r="MBF701" s="1349"/>
      <c r="MBG701" s="1349"/>
      <c r="MBH701" s="1349"/>
      <c r="MBI701" s="1349"/>
      <c r="MBJ701" s="1349"/>
      <c r="MBK701" s="1349"/>
      <c r="MBL701" s="1349"/>
      <c r="MBM701" s="1349"/>
      <c r="MBN701" s="1349"/>
      <c r="MBO701" s="1349"/>
      <c r="MBP701" s="1349"/>
      <c r="MBQ701" s="1349"/>
      <c r="MBR701" s="1349"/>
      <c r="MBS701" s="1349"/>
      <c r="MBT701" s="1349"/>
      <c r="MBU701" s="1349"/>
      <c r="MBV701" s="1349"/>
      <c r="MBW701" s="1349"/>
      <c r="MBX701" s="1349"/>
      <c r="MBY701" s="1349"/>
      <c r="MBZ701" s="1349"/>
      <c r="MCA701" s="1349"/>
      <c r="MCB701" s="1349"/>
      <c r="MCC701" s="1349"/>
      <c r="MCD701" s="1349"/>
      <c r="MCE701" s="1349"/>
      <c r="MCF701" s="1349"/>
      <c r="MCG701" s="1349"/>
      <c r="MCH701" s="1349"/>
      <c r="MCI701" s="1349"/>
      <c r="MCJ701" s="1349"/>
      <c r="MCK701" s="1349"/>
      <c r="MCL701" s="1349"/>
      <c r="MCM701" s="1349"/>
      <c r="MCN701" s="1349"/>
      <c r="MCO701" s="1349"/>
      <c r="MCP701" s="1349"/>
      <c r="MCQ701" s="1349"/>
      <c r="MCR701" s="1349"/>
      <c r="MCS701" s="1349"/>
      <c r="MCT701" s="1349"/>
      <c r="MCU701" s="1349"/>
      <c r="MCV701" s="1349"/>
      <c r="MCW701" s="1349"/>
      <c r="MCX701" s="1349"/>
      <c r="MCY701" s="1349"/>
      <c r="MCZ701" s="1349"/>
      <c r="MDA701" s="1349"/>
      <c r="MDB701" s="1349"/>
      <c r="MDC701" s="1349"/>
      <c r="MDD701" s="1349"/>
      <c r="MDE701" s="1349"/>
      <c r="MDF701" s="1349"/>
      <c r="MDG701" s="1349"/>
      <c r="MDH701" s="1349"/>
      <c r="MDI701" s="1349"/>
      <c r="MDJ701" s="1349"/>
      <c r="MDK701" s="1349"/>
      <c r="MDL701" s="1349"/>
      <c r="MDM701" s="1349"/>
      <c r="MDN701" s="1349"/>
      <c r="MDO701" s="1349"/>
      <c r="MDP701" s="1349"/>
      <c r="MDQ701" s="1349"/>
      <c r="MDR701" s="1349"/>
      <c r="MDS701" s="1349"/>
      <c r="MDT701" s="1349"/>
      <c r="MDU701" s="1349"/>
      <c r="MDV701" s="1349"/>
      <c r="MDW701" s="1349"/>
      <c r="MDX701" s="1349"/>
      <c r="MDY701" s="1349"/>
      <c r="MDZ701" s="1349"/>
      <c r="MEA701" s="1349"/>
      <c r="MEB701" s="1349"/>
      <c r="MEC701" s="1349"/>
      <c r="MED701" s="1349"/>
      <c r="MEE701" s="1349"/>
      <c r="MEF701" s="1349"/>
      <c r="MEG701" s="1349"/>
      <c r="MEH701" s="1349"/>
      <c r="MEI701" s="1349"/>
      <c r="MEJ701" s="1349"/>
      <c r="MEK701" s="1349"/>
      <c r="MEL701" s="1349"/>
      <c r="MEM701" s="1349"/>
      <c r="MEN701" s="1349"/>
      <c r="MEO701" s="1349"/>
      <c r="MEP701" s="1349"/>
      <c r="MEQ701" s="1349"/>
      <c r="MER701" s="1349"/>
      <c r="MES701" s="1349"/>
      <c r="MET701" s="1349"/>
      <c r="MEU701" s="1349"/>
      <c r="MEV701" s="1349"/>
      <c r="MEW701" s="1349"/>
      <c r="MEX701" s="1349"/>
      <c r="MEY701" s="1349"/>
      <c r="MEZ701" s="1349"/>
      <c r="MFA701" s="1349"/>
      <c r="MFB701" s="1349"/>
      <c r="MFC701" s="1349"/>
      <c r="MFD701" s="1349"/>
      <c r="MFE701" s="1349"/>
      <c r="MFF701" s="1349"/>
      <c r="MFG701" s="1349"/>
      <c r="MFH701" s="1349"/>
      <c r="MFI701" s="1349"/>
      <c r="MFJ701" s="1349"/>
      <c r="MFK701" s="1349"/>
      <c r="MFL701" s="1349"/>
      <c r="MFM701" s="1349"/>
      <c r="MFN701" s="1349"/>
      <c r="MFO701" s="1349"/>
      <c r="MFP701" s="1349"/>
      <c r="MFQ701" s="1349"/>
      <c r="MFR701" s="1349"/>
      <c r="MFS701" s="1349"/>
      <c r="MFT701" s="1349"/>
      <c r="MFU701" s="1349"/>
      <c r="MFV701" s="1349"/>
      <c r="MFW701" s="1349"/>
      <c r="MFX701" s="1349"/>
      <c r="MFY701" s="1349"/>
      <c r="MFZ701" s="1349"/>
      <c r="MGA701" s="1349"/>
      <c r="MGB701" s="1349"/>
      <c r="MGC701" s="1349"/>
      <c r="MGD701" s="1349"/>
      <c r="MGE701" s="1349"/>
      <c r="MGF701" s="1349"/>
      <c r="MGG701" s="1349"/>
      <c r="MGH701" s="1349"/>
      <c r="MGI701" s="1349"/>
      <c r="MGJ701" s="1349"/>
      <c r="MGK701" s="1349"/>
      <c r="MGL701" s="1349"/>
      <c r="MGM701" s="1349"/>
      <c r="MGN701" s="1349"/>
      <c r="MGO701" s="1349"/>
      <c r="MGP701" s="1349"/>
      <c r="MGQ701" s="1349"/>
      <c r="MGR701" s="1349"/>
      <c r="MGS701" s="1349"/>
      <c r="MGT701" s="1349"/>
      <c r="MGU701" s="1349"/>
      <c r="MGV701" s="1349"/>
      <c r="MGW701" s="1349"/>
      <c r="MGX701" s="1349"/>
      <c r="MGY701" s="1349"/>
      <c r="MGZ701" s="1349"/>
      <c r="MHA701" s="1349"/>
      <c r="MHB701" s="1349"/>
      <c r="MHC701" s="1349"/>
      <c r="MHD701" s="1349"/>
      <c r="MHE701" s="1349"/>
      <c r="MHF701" s="1349"/>
      <c r="MHG701" s="1349"/>
      <c r="MHH701" s="1349"/>
      <c r="MHI701" s="1349"/>
      <c r="MHJ701" s="1349"/>
      <c r="MHK701" s="1349"/>
      <c r="MHL701" s="1349"/>
      <c r="MHM701" s="1349"/>
      <c r="MHN701" s="1349"/>
      <c r="MHO701" s="1349"/>
      <c r="MHP701" s="1349"/>
      <c r="MHQ701" s="1349"/>
      <c r="MHR701" s="1349"/>
      <c r="MHS701" s="1349"/>
      <c r="MHT701" s="1349"/>
      <c r="MHU701" s="1349"/>
      <c r="MHV701" s="1349"/>
      <c r="MHW701" s="1349"/>
      <c r="MHX701" s="1349"/>
      <c r="MHY701" s="1349"/>
      <c r="MHZ701" s="1349"/>
      <c r="MIA701" s="1349"/>
      <c r="MIB701" s="1349"/>
      <c r="MIC701" s="1349"/>
      <c r="MID701" s="1349"/>
      <c r="MIE701" s="1349"/>
      <c r="MIF701" s="1349"/>
      <c r="MIG701" s="1349"/>
      <c r="MIH701" s="1349"/>
      <c r="MII701" s="1349"/>
      <c r="MIJ701" s="1349"/>
      <c r="MIK701" s="1349"/>
      <c r="MIL701" s="1349"/>
      <c r="MIM701" s="1349"/>
      <c r="MIN701" s="1349"/>
      <c r="MIO701" s="1349"/>
      <c r="MIP701" s="1349"/>
      <c r="MIQ701" s="1349"/>
      <c r="MIR701" s="1349"/>
      <c r="MIS701" s="1349"/>
      <c r="MIT701" s="1349"/>
      <c r="MIU701" s="1349"/>
      <c r="MIV701" s="1349"/>
      <c r="MIW701" s="1349"/>
      <c r="MIX701" s="1349"/>
      <c r="MIY701" s="1349"/>
      <c r="MIZ701" s="1349"/>
      <c r="MJA701" s="1349"/>
      <c r="MJB701" s="1349"/>
      <c r="MJC701" s="1349"/>
      <c r="MJD701" s="1349"/>
      <c r="MJE701" s="1349"/>
      <c r="MJF701" s="1349"/>
      <c r="MJG701" s="1349"/>
      <c r="MJH701" s="1349"/>
      <c r="MJI701" s="1349"/>
      <c r="MJJ701" s="1349"/>
      <c r="MJK701" s="1349"/>
      <c r="MJL701" s="1349"/>
      <c r="MJM701" s="1349"/>
      <c r="MJN701" s="1349"/>
      <c r="MJO701" s="1349"/>
      <c r="MJP701" s="1349"/>
      <c r="MJQ701" s="1349"/>
      <c r="MJR701" s="1349"/>
      <c r="MJS701" s="1349"/>
      <c r="MJT701" s="1349"/>
      <c r="MJU701" s="1349"/>
      <c r="MJV701" s="1349"/>
      <c r="MJW701" s="1349"/>
      <c r="MJX701" s="1349"/>
      <c r="MJY701" s="1349"/>
      <c r="MJZ701" s="1349"/>
      <c r="MKA701" s="1349"/>
      <c r="MKB701" s="1349"/>
      <c r="MKC701" s="1349"/>
      <c r="MKD701" s="1349"/>
      <c r="MKE701" s="1349"/>
      <c r="MKF701" s="1349"/>
      <c r="MKG701" s="1349"/>
      <c r="MKH701" s="1349"/>
      <c r="MKI701" s="1349"/>
      <c r="MKJ701" s="1349"/>
      <c r="MKK701" s="1349"/>
      <c r="MKL701" s="1349"/>
      <c r="MKM701" s="1349"/>
      <c r="MKN701" s="1349"/>
      <c r="MKO701" s="1349"/>
      <c r="MKP701" s="1349"/>
      <c r="MKQ701" s="1349"/>
      <c r="MKR701" s="1349"/>
      <c r="MKS701" s="1349"/>
      <c r="MKT701" s="1349"/>
      <c r="MKU701" s="1349"/>
      <c r="MKV701" s="1349"/>
      <c r="MKW701" s="1349"/>
      <c r="MKX701" s="1349"/>
      <c r="MKY701" s="1349"/>
      <c r="MKZ701" s="1349"/>
      <c r="MLA701" s="1349"/>
      <c r="MLB701" s="1349"/>
      <c r="MLC701" s="1349"/>
      <c r="MLD701" s="1349"/>
      <c r="MLE701" s="1349"/>
      <c r="MLF701" s="1349"/>
      <c r="MLG701" s="1349"/>
      <c r="MLH701" s="1349"/>
      <c r="MLI701" s="1349"/>
      <c r="MLJ701" s="1349"/>
      <c r="MLK701" s="1349"/>
      <c r="MLL701" s="1349"/>
      <c r="MLM701" s="1349"/>
      <c r="MLN701" s="1349"/>
      <c r="MLO701" s="1349"/>
      <c r="MLP701" s="1349"/>
      <c r="MLQ701" s="1349"/>
      <c r="MLR701" s="1349"/>
      <c r="MLS701" s="1349"/>
      <c r="MLT701" s="1349"/>
      <c r="MLU701" s="1349"/>
      <c r="MLV701" s="1349"/>
      <c r="MLW701" s="1349"/>
      <c r="MLX701" s="1349"/>
      <c r="MLY701" s="1349"/>
      <c r="MLZ701" s="1349"/>
      <c r="MMA701" s="1349"/>
      <c r="MMB701" s="1349"/>
      <c r="MMC701" s="1349"/>
      <c r="MMD701" s="1349"/>
      <c r="MME701" s="1349"/>
      <c r="MMF701" s="1349"/>
      <c r="MMG701" s="1349"/>
      <c r="MMH701" s="1349"/>
      <c r="MMI701" s="1349"/>
      <c r="MMJ701" s="1349"/>
      <c r="MMK701" s="1349"/>
      <c r="MML701" s="1349"/>
      <c r="MMM701" s="1349"/>
      <c r="MMN701" s="1349"/>
      <c r="MMO701" s="1349"/>
      <c r="MMP701" s="1349"/>
      <c r="MMQ701" s="1349"/>
      <c r="MMR701" s="1349"/>
      <c r="MMS701" s="1349"/>
      <c r="MMT701" s="1349"/>
      <c r="MMU701" s="1349"/>
      <c r="MMV701" s="1349"/>
      <c r="MMW701" s="1349"/>
      <c r="MMX701" s="1349"/>
      <c r="MMY701" s="1349"/>
      <c r="MMZ701" s="1349"/>
      <c r="MNA701" s="1349"/>
      <c r="MNB701" s="1349"/>
      <c r="MNC701" s="1349"/>
      <c r="MND701" s="1349"/>
      <c r="MNE701" s="1349"/>
      <c r="MNF701" s="1349"/>
      <c r="MNG701" s="1349"/>
      <c r="MNH701" s="1349"/>
      <c r="MNI701" s="1349"/>
      <c r="MNJ701" s="1349"/>
      <c r="MNK701" s="1349"/>
      <c r="MNL701" s="1349"/>
      <c r="MNM701" s="1349"/>
      <c r="MNN701" s="1349"/>
      <c r="MNO701" s="1349"/>
      <c r="MNP701" s="1349"/>
      <c r="MNQ701" s="1349"/>
      <c r="MNR701" s="1349"/>
      <c r="MNS701" s="1349"/>
      <c r="MNT701" s="1349"/>
      <c r="MNU701" s="1349"/>
      <c r="MNV701" s="1349"/>
      <c r="MNW701" s="1349"/>
      <c r="MNX701" s="1349"/>
      <c r="MNY701" s="1349"/>
      <c r="MNZ701" s="1349"/>
      <c r="MOA701" s="1349"/>
      <c r="MOB701" s="1349"/>
      <c r="MOC701" s="1349"/>
      <c r="MOD701" s="1349"/>
      <c r="MOE701" s="1349"/>
      <c r="MOF701" s="1349"/>
      <c r="MOG701" s="1349"/>
      <c r="MOH701" s="1349"/>
      <c r="MOI701" s="1349"/>
      <c r="MOJ701" s="1349"/>
      <c r="MOK701" s="1349"/>
      <c r="MOL701" s="1349"/>
      <c r="MOM701" s="1349"/>
      <c r="MON701" s="1349"/>
      <c r="MOO701" s="1349"/>
      <c r="MOP701" s="1349"/>
      <c r="MOQ701" s="1349"/>
      <c r="MOR701" s="1349"/>
      <c r="MOS701" s="1349"/>
      <c r="MOT701" s="1349"/>
      <c r="MOU701" s="1349"/>
      <c r="MOV701" s="1349"/>
      <c r="MOW701" s="1349"/>
      <c r="MOX701" s="1349"/>
      <c r="MOY701" s="1349"/>
      <c r="MOZ701" s="1349"/>
      <c r="MPA701" s="1349"/>
      <c r="MPB701" s="1349"/>
      <c r="MPC701" s="1349"/>
      <c r="MPD701" s="1349"/>
      <c r="MPE701" s="1349"/>
      <c r="MPF701" s="1349"/>
      <c r="MPG701" s="1349"/>
      <c r="MPH701" s="1349"/>
      <c r="MPI701" s="1349"/>
      <c r="MPJ701" s="1349"/>
      <c r="MPK701" s="1349"/>
      <c r="MPL701" s="1349"/>
      <c r="MPM701" s="1349"/>
      <c r="MPN701" s="1349"/>
      <c r="MPO701" s="1349"/>
      <c r="MPP701" s="1349"/>
      <c r="MPQ701" s="1349"/>
      <c r="MPR701" s="1349"/>
      <c r="MPS701" s="1349"/>
      <c r="MPT701" s="1349"/>
      <c r="MPU701" s="1349"/>
      <c r="MPV701" s="1349"/>
      <c r="MPW701" s="1349"/>
      <c r="MPX701" s="1349"/>
      <c r="MPY701" s="1349"/>
      <c r="MPZ701" s="1349"/>
      <c r="MQA701" s="1349"/>
      <c r="MQB701" s="1349"/>
      <c r="MQC701" s="1349"/>
      <c r="MQD701" s="1349"/>
      <c r="MQE701" s="1349"/>
      <c r="MQF701" s="1349"/>
      <c r="MQG701" s="1349"/>
      <c r="MQH701" s="1349"/>
      <c r="MQI701" s="1349"/>
      <c r="MQJ701" s="1349"/>
      <c r="MQK701" s="1349"/>
      <c r="MQL701" s="1349"/>
      <c r="MQM701" s="1349"/>
      <c r="MQN701" s="1349"/>
      <c r="MQO701" s="1349"/>
      <c r="MQP701" s="1349"/>
      <c r="MQQ701" s="1349"/>
      <c r="MQR701" s="1349"/>
      <c r="MQS701" s="1349"/>
      <c r="MQT701" s="1349"/>
      <c r="MQU701" s="1349"/>
      <c r="MQV701" s="1349"/>
      <c r="MQW701" s="1349"/>
      <c r="MQX701" s="1349"/>
      <c r="MQY701" s="1349"/>
      <c r="MQZ701" s="1349"/>
      <c r="MRA701" s="1349"/>
      <c r="MRB701" s="1349"/>
      <c r="MRC701" s="1349"/>
      <c r="MRD701" s="1349"/>
      <c r="MRE701" s="1349"/>
      <c r="MRF701" s="1349"/>
      <c r="MRG701" s="1349"/>
      <c r="MRH701" s="1349"/>
      <c r="MRI701" s="1349"/>
      <c r="MRJ701" s="1349"/>
      <c r="MRK701" s="1349"/>
      <c r="MRL701" s="1349"/>
      <c r="MRM701" s="1349"/>
      <c r="MRN701" s="1349"/>
      <c r="MRO701" s="1349"/>
      <c r="MRP701" s="1349"/>
      <c r="MRQ701" s="1349"/>
      <c r="MRR701" s="1349"/>
      <c r="MRS701" s="1349"/>
      <c r="MRT701" s="1349"/>
      <c r="MRU701" s="1349"/>
      <c r="MRV701" s="1349"/>
      <c r="MRW701" s="1349"/>
      <c r="MRX701" s="1349"/>
      <c r="MRY701" s="1349"/>
      <c r="MRZ701" s="1349"/>
      <c r="MSA701" s="1349"/>
      <c r="MSB701" s="1349"/>
      <c r="MSC701" s="1349"/>
      <c r="MSD701" s="1349"/>
      <c r="MSE701" s="1349"/>
      <c r="MSF701" s="1349"/>
      <c r="MSG701" s="1349"/>
      <c r="MSH701" s="1349"/>
      <c r="MSI701" s="1349"/>
      <c r="MSJ701" s="1349"/>
      <c r="MSK701" s="1349"/>
      <c r="MSL701" s="1349"/>
      <c r="MSM701" s="1349"/>
      <c r="MSN701" s="1349"/>
      <c r="MSO701" s="1349"/>
      <c r="MSP701" s="1349"/>
      <c r="MSQ701" s="1349"/>
      <c r="MSR701" s="1349"/>
      <c r="MSS701" s="1349"/>
      <c r="MST701" s="1349"/>
      <c r="MSU701" s="1349"/>
      <c r="MSV701" s="1349"/>
      <c r="MSW701" s="1349"/>
      <c r="MSX701" s="1349"/>
      <c r="MSY701" s="1349"/>
      <c r="MSZ701" s="1349"/>
      <c r="MTA701" s="1349"/>
      <c r="MTB701" s="1349"/>
      <c r="MTC701" s="1349"/>
      <c r="MTD701" s="1349"/>
      <c r="MTE701" s="1349"/>
      <c r="MTF701" s="1349"/>
      <c r="MTG701" s="1349"/>
      <c r="MTH701" s="1349"/>
      <c r="MTI701" s="1349"/>
      <c r="MTJ701" s="1349"/>
      <c r="MTK701" s="1349"/>
      <c r="MTL701" s="1349"/>
      <c r="MTM701" s="1349"/>
      <c r="MTN701" s="1349"/>
      <c r="MTO701" s="1349"/>
      <c r="MTP701" s="1349"/>
      <c r="MTQ701" s="1349"/>
      <c r="MTR701" s="1349"/>
      <c r="MTS701" s="1349"/>
      <c r="MTT701" s="1349"/>
      <c r="MTU701" s="1349"/>
      <c r="MTV701" s="1349"/>
      <c r="MTW701" s="1349"/>
      <c r="MTX701" s="1349"/>
      <c r="MTY701" s="1349"/>
      <c r="MTZ701" s="1349"/>
      <c r="MUA701" s="1349"/>
      <c r="MUB701" s="1349"/>
      <c r="MUC701" s="1349"/>
      <c r="MUD701" s="1349"/>
      <c r="MUE701" s="1349"/>
      <c r="MUF701" s="1349"/>
      <c r="MUG701" s="1349"/>
      <c r="MUH701" s="1349"/>
      <c r="MUI701" s="1349"/>
      <c r="MUJ701" s="1349"/>
      <c r="MUK701" s="1349"/>
      <c r="MUL701" s="1349"/>
      <c r="MUM701" s="1349"/>
      <c r="MUN701" s="1349"/>
      <c r="MUO701" s="1349"/>
      <c r="MUP701" s="1349"/>
      <c r="MUQ701" s="1349"/>
      <c r="MUR701" s="1349"/>
      <c r="MUS701" s="1349"/>
      <c r="MUT701" s="1349"/>
      <c r="MUU701" s="1349"/>
      <c r="MUV701" s="1349"/>
      <c r="MUW701" s="1349"/>
      <c r="MUX701" s="1349"/>
      <c r="MUY701" s="1349"/>
      <c r="MUZ701" s="1349"/>
      <c r="MVA701" s="1349"/>
      <c r="MVB701" s="1349"/>
      <c r="MVC701" s="1349"/>
      <c r="MVD701" s="1349"/>
      <c r="MVE701" s="1349"/>
      <c r="MVF701" s="1349"/>
      <c r="MVG701" s="1349"/>
      <c r="MVH701" s="1349"/>
      <c r="MVI701" s="1349"/>
      <c r="MVJ701" s="1349"/>
      <c r="MVK701" s="1349"/>
      <c r="MVL701" s="1349"/>
      <c r="MVM701" s="1349"/>
      <c r="MVN701" s="1349"/>
      <c r="MVO701" s="1349"/>
      <c r="MVP701" s="1349"/>
      <c r="MVQ701" s="1349"/>
      <c r="MVR701" s="1349"/>
      <c r="MVS701" s="1349"/>
      <c r="MVT701" s="1349"/>
      <c r="MVU701" s="1349"/>
      <c r="MVV701" s="1349"/>
      <c r="MVW701" s="1349"/>
      <c r="MVX701" s="1349"/>
      <c r="MVY701" s="1349"/>
      <c r="MVZ701" s="1349"/>
      <c r="MWA701" s="1349"/>
      <c r="MWB701" s="1349"/>
      <c r="MWC701" s="1349"/>
      <c r="MWD701" s="1349"/>
      <c r="MWE701" s="1349"/>
      <c r="MWF701" s="1349"/>
      <c r="MWG701" s="1349"/>
      <c r="MWH701" s="1349"/>
      <c r="MWI701" s="1349"/>
      <c r="MWJ701" s="1349"/>
      <c r="MWK701" s="1349"/>
      <c r="MWL701" s="1349"/>
      <c r="MWM701" s="1349"/>
      <c r="MWN701" s="1349"/>
      <c r="MWO701" s="1349"/>
      <c r="MWP701" s="1349"/>
      <c r="MWQ701" s="1349"/>
      <c r="MWR701" s="1349"/>
      <c r="MWS701" s="1349"/>
      <c r="MWT701" s="1349"/>
      <c r="MWU701" s="1349"/>
      <c r="MWV701" s="1349"/>
      <c r="MWW701" s="1349"/>
      <c r="MWX701" s="1349"/>
      <c r="MWY701" s="1349"/>
      <c r="MWZ701" s="1349"/>
      <c r="MXA701" s="1349"/>
      <c r="MXB701" s="1349"/>
      <c r="MXC701" s="1349"/>
      <c r="MXD701" s="1349"/>
      <c r="MXE701" s="1349"/>
      <c r="MXF701" s="1349"/>
      <c r="MXG701" s="1349"/>
      <c r="MXH701" s="1349"/>
      <c r="MXI701" s="1349"/>
      <c r="MXJ701" s="1349"/>
      <c r="MXK701" s="1349"/>
      <c r="MXL701" s="1349"/>
      <c r="MXM701" s="1349"/>
      <c r="MXN701" s="1349"/>
      <c r="MXO701" s="1349"/>
      <c r="MXP701" s="1349"/>
      <c r="MXQ701" s="1349"/>
      <c r="MXR701" s="1349"/>
      <c r="MXS701" s="1349"/>
      <c r="MXT701" s="1349"/>
      <c r="MXU701" s="1349"/>
      <c r="MXV701" s="1349"/>
      <c r="MXW701" s="1349"/>
      <c r="MXX701" s="1349"/>
      <c r="MXY701" s="1349"/>
      <c r="MXZ701" s="1349"/>
      <c r="MYA701" s="1349"/>
      <c r="MYB701" s="1349"/>
      <c r="MYC701" s="1349"/>
      <c r="MYD701" s="1349"/>
      <c r="MYE701" s="1349"/>
      <c r="MYF701" s="1349"/>
      <c r="MYG701" s="1349"/>
      <c r="MYH701" s="1349"/>
      <c r="MYI701" s="1349"/>
      <c r="MYJ701" s="1349"/>
      <c r="MYK701" s="1349"/>
      <c r="MYL701" s="1349"/>
      <c r="MYM701" s="1349"/>
      <c r="MYN701" s="1349"/>
      <c r="MYO701" s="1349"/>
      <c r="MYP701" s="1349"/>
      <c r="MYQ701" s="1349"/>
      <c r="MYR701" s="1349"/>
      <c r="MYS701" s="1349"/>
      <c r="MYT701" s="1349"/>
      <c r="MYU701" s="1349"/>
      <c r="MYV701" s="1349"/>
      <c r="MYW701" s="1349"/>
      <c r="MYX701" s="1349"/>
      <c r="MYY701" s="1349"/>
      <c r="MYZ701" s="1349"/>
      <c r="MZA701" s="1349"/>
      <c r="MZB701" s="1349"/>
      <c r="MZC701" s="1349"/>
      <c r="MZD701" s="1349"/>
      <c r="MZE701" s="1349"/>
      <c r="MZF701" s="1349"/>
      <c r="MZG701" s="1349"/>
      <c r="MZH701" s="1349"/>
      <c r="MZI701" s="1349"/>
      <c r="MZJ701" s="1349"/>
      <c r="MZK701" s="1349"/>
      <c r="MZL701" s="1349"/>
      <c r="MZM701" s="1349"/>
      <c r="MZN701" s="1349"/>
      <c r="MZO701" s="1349"/>
      <c r="MZP701" s="1349"/>
      <c r="MZQ701" s="1349"/>
      <c r="MZR701" s="1349"/>
      <c r="MZS701" s="1349"/>
      <c r="MZT701" s="1349"/>
      <c r="MZU701" s="1349"/>
      <c r="MZV701" s="1349"/>
      <c r="MZW701" s="1349"/>
      <c r="MZX701" s="1349"/>
      <c r="MZY701" s="1349"/>
      <c r="MZZ701" s="1349"/>
      <c r="NAA701" s="1349"/>
      <c r="NAB701" s="1349"/>
      <c r="NAC701" s="1349"/>
      <c r="NAD701" s="1349"/>
      <c r="NAE701" s="1349"/>
      <c r="NAF701" s="1349"/>
      <c r="NAG701" s="1349"/>
      <c r="NAH701" s="1349"/>
      <c r="NAI701" s="1349"/>
      <c r="NAJ701" s="1349"/>
      <c r="NAK701" s="1349"/>
      <c r="NAL701" s="1349"/>
      <c r="NAM701" s="1349"/>
      <c r="NAN701" s="1349"/>
      <c r="NAO701" s="1349"/>
      <c r="NAP701" s="1349"/>
      <c r="NAQ701" s="1349"/>
      <c r="NAR701" s="1349"/>
      <c r="NAS701" s="1349"/>
      <c r="NAT701" s="1349"/>
      <c r="NAU701" s="1349"/>
      <c r="NAV701" s="1349"/>
      <c r="NAW701" s="1349"/>
      <c r="NAX701" s="1349"/>
      <c r="NAY701" s="1349"/>
      <c r="NAZ701" s="1349"/>
      <c r="NBA701" s="1349"/>
      <c r="NBB701" s="1349"/>
      <c r="NBC701" s="1349"/>
      <c r="NBD701" s="1349"/>
      <c r="NBE701" s="1349"/>
      <c r="NBF701" s="1349"/>
      <c r="NBG701" s="1349"/>
      <c r="NBH701" s="1349"/>
      <c r="NBI701" s="1349"/>
      <c r="NBJ701" s="1349"/>
      <c r="NBK701" s="1349"/>
      <c r="NBL701" s="1349"/>
      <c r="NBM701" s="1349"/>
      <c r="NBN701" s="1349"/>
      <c r="NBO701" s="1349"/>
      <c r="NBP701" s="1349"/>
      <c r="NBQ701" s="1349"/>
      <c r="NBR701" s="1349"/>
      <c r="NBS701" s="1349"/>
      <c r="NBT701" s="1349"/>
      <c r="NBU701" s="1349"/>
      <c r="NBV701" s="1349"/>
      <c r="NBW701" s="1349"/>
      <c r="NBX701" s="1349"/>
      <c r="NBY701" s="1349"/>
      <c r="NBZ701" s="1349"/>
      <c r="NCA701" s="1349"/>
      <c r="NCB701" s="1349"/>
      <c r="NCC701" s="1349"/>
      <c r="NCD701" s="1349"/>
      <c r="NCE701" s="1349"/>
      <c r="NCF701" s="1349"/>
      <c r="NCG701" s="1349"/>
      <c r="NCH701" s="1349"/>
      <c r="NCI701" s="1349"/>
      <c r="NCJ701" s="1349"/>
      <c r="NCK701" s="1349"/>
      <c r="NCL701" s="1349"/>
      <c r="NCM701" s="1349"/>
      <c r="NCN701" s="1349"/>
      <c r="NCO701" s="1349"/>
      <c r="NCP701" s="1349"/>
      <c r="NCQ701" s="1349"/>
      <c r="NCR701" s="1349"/>
      <c r="NCS701" s="1349"/>
      <c r="NCT701" s="1349"/>
      <c r="NCU701" s="1349"/>
      <c r="NCV701" s="1349"/>
      <c r="NCW701" s="1349"/>
      <c r="NCX701" s="1349"/>
      <c r="NCY701" s="1349"/>
      <c r="NCZ701" s="1349"/>
      <c r="NDA701" s="1349"/>
      <c r="NDB701" s="1349"/>
      <c r="NDC701" s="1349"/>
      <c r="NDD701" s="1349"/>
      <c r="NDE701" s="1349"/>
      <c r="NDF701" s="1349"/>
      <c r="NDG701" s="1349"/>
      <c r="NDH701" s="1349"/>
      <c r="NDI701" s="1349"/>
      <c r="NDJ701" s="1349"/>
      <c r="NDK701" s="1349"/>
      <c r="NDL701" s="1349"/>
      <c r="NDM701" s="1349"/>
      <c r="NDN701" s="1349"/>
      <c r="NDO701" s="1349"/>
      <c r="NDP701" s="1349"/>
      <c r="NDQ701" s="1349"/>
      <c r="NDR701" s="1349"/>
      <c r="NDS701" s="1349"/>
      <c r="NDT701" s="1349"/>
      <c r="NDU701" s="1349"/>
      <c r="NDV701" s="1349"/>
      <c r="NDW701" s="1349"/>
      <c r="NDX701" s="1349"/>
      <c r="NDY701" s="1349"/>
      <c r="NDZ701" s="1349"/>
      <c r="NEA701" s="1349"/>
      <c r="NEB701" s="1349"/>
      <c r="NEC701" s="1349"/>
      <c r="NED701" s="1349"/>
      <c r="NEE701" s="1349"/>
      <c r="NEF701" s="1349"/>
      <c r="NEG701" s="1349"/>
      <c r="NEH701" s="1349"/>
      <c r="NEI701" s="1349"/>
      <c r="NEJ701" s="1349"/>
      <c r="NEK701" s="1349"/>
      <c r="NEL701" s="1349"/>
      <c r="NEM701" s="1349"/>
      <c r="NEN701" s="1349"/>
      <c r="NEO701" s="1349"/>
      <c r="NEP701" s="1349"/>
      <c r="NEQ701" s="1349"/>
      <c r="NER701" s="1349"/>
      <c r="NES701" s="1349"/>
      <c r="NET701" s="1349"/>
      <c r="NEU701" s="1349"/>
      <c r="NEV701" s="1349"/>
      <c r="NEW701" s="1349"/>
      <c r="NEX701" s="1349"/>
      <c r="NEY701" s="1349"/>
      <c r="NEZ701" s="1349"/>
      <c r="NFA701" s="1349"/>
      <c r="NFB701" s="1349"/>
      <c r="NFC701" s="1349"/>
      <c r="NFD701" s="1349"/>
      <c r="NFE701" s="1349"/>
      <c r="NFF701" s="1349"/>
      <c r="NFG701" s="1349"/>
      <c r="NFH701" s="1349"/>
      <c r="NFI701" s="1349"/>
      <c r="NFJ701" s="1349"/>
      <c r="NFK701" s="1349"/>
      <c r="NFL701" s="1349"/>
      <c r="NFM701" s="1349"/>
      <c r="NFN701" s="1349"/>
      <c r="NFO701" s="1349"/>
      <c r="NFP701" s="1349"/>
      <c r="NFQ701" s="1349"/>
      <c r="NFR701" s="1349"/>
      <c r="NFS701" s="1349"/>
      <c r="NFT701" s="1349"/>
      <c r="NFU701" s="1349"/>
      <c r="NFV701" s="1349"/>
      <c r="NFW701" s="1349"/>
      <c r="NFX701" s="1349"/>
      <c r="NFY701" s="1349"/>
      <c r="NFZ701" s="1349"/>
      <c r="NGA701" s="1349"/>
      <c r="NGB701" s="1349"/>
      <c r="NGC701" s="1349"/>
      <c r="NGD701" s="1349"/>
      <c r="NGE701" s="1349"/>
      <c r="NGF701" s="1349"/>
      <c r="NGG701" s="1349"/>
      <c r="NGH701" s="1349"/>
      <c r="NGI701" s="1349"/>
      <c r="NGJ701" s="1349"/>
      <c r="NGK701" s="1349"/>
      <c r="NGL701" s="1349"/>
      <c r="NGM701" s="1349"/>
      <c r="NGN701" s="1349"/>
      <c r="NGO701" s="1349"/>
      <c r="NGP701" s="1349"/>
      <c r="NGQ701" s="1349"/>
      <c r="NGR701" s="1349"/>
      <c r="NGS701" s="1349"/>
      <c r="NGT701" s="1349"/>
      <c r="NGU701" s="1349"/>
      <c r="NGV701" s="1349"/>
      <c r="NGW701" s="1349"/>
      <c r="NGX701" s="1349"/>
      <c r="NGY701" s="1349"/>
      <c r="NGZ701" s="1349"/>
      <c r="NHA701" s="1349"/>
      <c r="NHB701" s="1349"/>
      <c r="NHC701" s="1349"/>
      <c r="NHD701" s="1349"/>
      <c r="NHE701" s="1349"/>
      <c r="NHF701" s="1349"/>
      <c r="NHG701" s="1349"/>
      <c r="NHH701" s="1349"/>
      <c r="NHI701" s="1349"/>
      <c r="NHJ701" s="1349"/>
      <c r="NHK701" s="1349"/>
      <c r="NHL701" s="1349"/>
      <c r="NHM701" s="1349"/>
      <c r="NHN701" s="1349"/>
      <c r="NHO701" s="1349"/>
      <c r="NHP701" s="1349"/>
      <c r="NHQ701" s="1349"/>
      <c r="NHR701" s="1349"/>
      <c r="NHS701" s="1349"/>
      <c r="NHT701" s="1349"/>
      <c r="NHU701" s="1349"/>
      <c r="NHV701" s="1349"/>
      <c r="NHW701" s="1349"/>
      <c r="NHX701" s="1349"/>
      <c r="NHY701" s="1349"/>
      <c r="NHZ701" s="1349"/>
      <c r="NIA701" s="1349"/>
      <c r="NIB701" s="1349"/>
      <c r="NIC701" s="1349"/>
      <c r="NID701" s="1349"/>
      <c r="NIE701" s="1349"/>
      <c r="NIF701" s="1349"/>
      <c r="NIG701" s="1349"/>
      <c r="NIH701" s="1349"/>
      <c r="NII701" s="1349"/>
      <c r="NIJ701" s="1349"/>
      <c r="NIK701" s="1349"/>
      <c r="NIL701" s="1349"/>
      <c r="NIM701" s="1349"/>
      <c r="NIN701" s="1349"/>
      <c r="NIO701" s="1349"/>
      <c r="NIP701" s="1349"/>
      <c r="NIQ701" s="1349"/>
      <c r="NIR701" s="1349"/>
      <c r="NIS701" s="1349"/>
      <c r="NIT701" s="1349"/>
      <c r="NIU701" s="1349"/>
      <c r="NIV701" s="1349"/>
      <c r="NIW701" s="1349"/>
      <c r="NIX701" s="1349"/>
      <c r="NIY701" s="1349"/>
      <c r="NIZ701" s="1349"/>
      <c r="NJA701" s="1349"/>
      <c r="NJB701" s="1349"/>
      <c r="NJC701" s="1349"/>
      <c r="NJD701" s="1349"/>
      <c r="NJE701" s="1349"/>
      <c r="NJF701" s="1349"/>
      <c r="NJG701" s="1349"/>
      <c r="NJH701" s="1349"/>
      <c r="NJI701" s="1349"/>
      <c r="NJJ701" s="1349"/>
      <c r="NJK701" s="1349"/>
      <c r="NJL701" s="1349"/>
      <c r="NJM701" s="1349"/>
      <c r="NJN701" s="1349"/>
      <c r="NJO701" s="1349"/>
      <c r="NJP701" s="1349"/>
      <c r="NJQ701" s="1349"/>
      <c r="NJR701" s="1349"/>
      <c r="NJS701" s="1349"/>
      <c r="NJT701" s="1349"/>
      <c r="NJU701" s="1349"/>
      <c r="NJV701" s="1349"/>
      <c r="NJW701" s="1349"/>
      <c r="NJX701" s="1349"/>
      <c r="NJY701" s="1349"/>
      <c r="NJZ701" s="1349"/>
      <c r="NKA701" s="1349"/>
      <c r="NKB701" s="1349"/>
      <c r="NKC701" s="1349"/>
      <c r="NKD701" s="1349"/>
      <c r="NKE701" s="1349"/>
      <c r="NKF701" s="1349"/>
      <c r="NKG701" s="1349"/>
      <c r="NKH701" s="1349"/>
      <c r="NKI701" s="1349"/>
      <c r="NKJ701" s="1349"/>
      <c r="NKK701" s="1349"/>
      <c r="NKL701" s="1349"/>
      <c r="NKM701" s="1349"/>
      <c r="NKN701" s="1349"/>
      <c r="NKO701" s="1349"/>
      <c r="NKP701" s="1349"/>
      <c r="NKQ701" s="1349"/>
      <c r="NKR701" s="1349"/>
      <c r="NKS701" s="1349"/>
      <c r="NKT701" s="1349"/>
      <c r="NKU701" s="1349"/>
      <c r="NKV701" s="1349"/>
      <c r="NKW701" s="1349"/>
      <c r="NKX701" s="1349"/>
      <c r="NKY701" s="1349"/>
      <c r="NKZ701" s="1349"/>
      <c r="NLA701" s="1349"/>
      <c r="NLB701" s="1349"/>
      <c r="NLC701" s="1349"/>
      <c r="NLD701" s="1349"/>
      <c r="NLE701" s="1349"/>
      <c r="NLF701" s="1349"/>
      <c r="NLG701" s="1349"/>
      <c r="NLH701" s="1349"/>
      <c r="NLI701" s="1349"/>
      <c r="NLJ701" s="1349"/>
      <c r="NLK701" s="1349"/>
      <c r="NLL701" s="1349"/>
      <c r="NLM701" s="1349"/>
      <c r="NLN701" s="1349"/>
      <c r="NLO701" s="1349"/>
      <c r="NLP701" s="1349"/>
      <c r="NLQ701" s="1349"/>
      <c r="NLR701" s="1349"/>
      <c r="NLS701" s="1349"/>
      <c r="NLT701" s="1349"/>
      <c r="NLU701" s="1349"/>
      <c r="NLV701" s="1349"/>
      <c r="NLW701" s="1349"/>
      <c r="NLX701" s="1349"/>
      <c r="NLY701" s="1349"/>
      <c r="NLZ701" s="1349"/>
      <c r="NMA701" s="1349"/>
      <c r="NMB701" s="1349"/>
      <c r="NMC701" s="1349"/>
      <c r="NMD701" s="1349"/>
      <c r="NME701" s="1349"/>
      <c r="NMF701" s="1349"/>
      <c r="NMG701" s="1349"/>
      <c r="NMH701" s="1349"/>
      <c r="NMI701" s="1349"/>
      <c r="NMJ701" s="1349"/>
      <c r="NMK701" s="1349"/>
      <c r="NML701" s="1349"/>
      <c r="NMM701" s="1349"/>
      <c r="NMN701" s="1349"/>
      <c r="NMO701" s="1349"/>
      <c r="NMP701" s="1349"/>
      <c r="NMQ701" s="1349"/>
      <c r="NMR701" s="1349"/>
      <c r="NMS701" s="1349"/>
      <c r="NMT701" s="1349"/>
      <c r="NMU701" s="1349"/>
      <c r="NMV701" s="1349"/>
      <c r="NMW701" s="1349"/>
      <c r="NMX701" s="1349"/>
      <c r="NMY701" s="1349"/>
      <c r="NMZ701" s="1349"/>
      <c r="NNA701" s="1349"/>
      <c r="NNB701" s="1349"/>
      <c r="NNC701" s="1349"/>
      <c r="NND701" s="1349"/>
      <c r="NNE701" s="1349"/>
      <c r="NNF701" s="1349"/>
      <c r="NNG701" s="1349"/>
      <c r="NNH701" s="1349"/>
      <c r="NNI701" s="1349"/>
      <c r="NNJ701" s="1349"/>
      <c r="NNK701" s="1349"/>
      <c r="NNL701" s="1349"/>
      <c r="NNM701" s="1349"/>
      <c r="NNN701" s="1349"/>
      <c r="NNO701" s="1349"/>
      <c r="NNP701" s="1349"/>
      <c r="NNQ701" s="1349"/>
      <c r="NNR701" s="1349"/>
      <c r="NNS701" s="1349"/>
      <c r="NNT701" s="1349"/>
      <c r="NNU701" s="1349"/>
      <c r="NNV701" s="1349"/>
      <c r="NNW701" s="1349"/>
      <c r="NNX701" s="1349"/>
      <c r="NNY701" s="1349"/>
      <c r="NNZ701" s="1349"/>
      <c r="NOA701" s="1349"/>
      <c r="NOB701" s="1349"/>
      <c r="NOC701" s="1349"/>
      <c r="NOD701" s="1349"/>
      <c r="NOE701" s="1349"/>
      <c r="NOF701" s="1349"/>
      <c r="NOG701" s="1349"/>
      <c r="NOH701" s="1349"/>
      <c r="NOI701" s="1349"/>
      <c r="NOJ701" s="1349"/>
      <c r="NOK701" s="1349"/>
      <c r="NOL701" s="1349"/>
      <c r="NOM701" s="1349"/>
      <c r="NON701" s="1349"/>
      <c r="NOO701" s="1349"/>
      <c r="NOP701" s="1349"/>
      <c r="NOQ701" s="1349"/>
      <c r="NOR701" s="1349"/>
      <c r="NOS701" s="1349"/>
      <c r="NOT701" s="1349"/>
      <c r="NOU701" s="1349"/>
      <c r="NOV701" s="1349"/>
      <c r="NOW701" s="1349"/>
      <c r="NOX701" s="1349"/>
      <c r="NOY701" s="1349"/>
      <c r="NOZ701" s="1349"/>
      <c r="NPA701" s="1349"/>
      <c r="NPB701" s="1349"/>
      <c r="NPC701" s="1349"/>
      <c r="NPD701" s="1349"/>
      <c r="NPE701" s="1349"/>
      <c r="NPF701" s="1349"/>
      <c r="NPG701" s="1349"/>
      <c r="NPH701" s="1349"/>
      <c r="NPI701" s="1349"/>
      <c r="NPJ701" s="1349"/>
      <c r="NPK701" s="1349"/>
      <c r="NPL701" s="1349"/>
      <c r="NPM701" s="1349"/>
      <c r="NPN701" s="1349"/>
      <c r="NPO701" s="1349"/>
      <c r="NPP701" s="1349"/>
      <c r="NPQ701" s="1349"/>
      <c r="NPR701" s="1349"/>
      <c r="NPS701" s="1349"/>
      <c r="NPT701" s="1349"/>
      <c r="NPU701" s="1349"/>
      <c r="NPV701" s="1349"/>
      <c r="NPW701" s="1349"/>
      <c r="NPX701" s="1349"/>
      <c r="NPY701" s="1349"/>
      <c r="NPZ701" s="1349"/>
      <c r="NQA701" s="1349"/>
      <c r="NQB701" s="1349"/>
      <c r="NQC701" s="1349"/>
      <c r="NQD701" s="1349"/>
      <c r="NQE701" s="1349"/>
      <c r="NQF701" s="1349"/>
      <c r="NQG701" s="1349"/>
      <c r="NQH701" s="1349"/>
      <c r="NQI701" s="1349"/>
      <c r="NQJ701" s="1349"/>
      <c r="NQK701" s="1349"/>
      <c r="NQL701" s="1349"/>
      <c r="NQM701" s="1349"/>
      <c r="NQN701" s="1349"/>
      <c r="NQO701" s="1349"/>
      <c r="NQP701" s="1349"/>
      <c r="NQQ701" s="1349"/>
      <c r="NQR701" s="1349"/>
      <c r="NQS701" s="1349"/>
      <c r="NQT701" s="1349"/>
      <c r="NQU701" s="1349"/>
      <c r="NQV701" s="1349"/>
      <c r="NQW701" s="1349"/>
      <c r="NQX701" s="1349"/>
      <c r="NQY701" s="1349"/>
      <c r="NQZ701" s="1349"/>
      <c r="NRA701" s="1349"/>
      <c r="NRB701" s="1349"/>
      <c r="NRC701" s="1349"/>
      <c r="NRD701" s="1349"/>
      <c r="NRE701" s="1349"/>
      <c r="NRF701" s="1349"/>
      <c r="NRG701" s="1349"/>
      <c r="NRH701" s="1349"/>
      <c r="NRI701" s="1349"/>
      <c r="NRJ701" s="1349"/>
      <c r="NRK701" s="1349"/>
      <c r="NRL701" s="1349"/>
      <c r="NRM701" s="1349"/>
      <c r="NRN701" s="1349"/>
      <c r="NRO701" s="1349"/>
      <c r="NRP701" s="1349"/>
      <c r="NRQ701" s="1349"/>
      <c r="NRR701" s="1349"/>
      <c r="NRS701" s="1349"/>
      <c r="NRT701" s="1349"/>
      <c r="NRU701" s="1349"/>
      <c r="NRV701" s="1349"/>
      <c r="NRW701" s="1349"/>
      <c r="NRX701" s="1349"/>
      <c r="NRY701" s="1349"/>
      <c r="NRZ701" s="1349"/>
      <c r="NSA701" s="1349"/>
      <c r="NSB701" s="1349"/>
      <c r="NSC701" s="1349"/>
      <c r="NSD701" s="1349"/>
      <c r="NSE701" s="1349"/>
      <c r="NSF701" s="1349"/>
      <c r="NSG701" s="1349"/>
      <c r="NSH701" s="1349"/>
      <c r="NSI701" s="1349"/>
      <c r="NSJ701" s="1349"/>
      <c r="NSK701" s="1349"/>
      <c r="NSL701" s="1349"/>
      <c r="NSM701" s="1349"/>
      <c r="NSN701" s="1349"/>
      <c r="NSO701" s="1349"/>
      <c r="NSP701" s="1349"/>
      <c r="NSQ701" s="1349"/>
      <c r="NSR701" s="1349"/>
      <c r="NSS701" s="1349"/>
      <c r="NST701" s="1349"/>
      <c r="NSU701" s="1349"/>
      <c r="NSV701" s="1349"/>
      <c r="NSW701" s="1349"/>
      <c r="NSX701" s="1349"/>
      <c r="NSY701" s="1349"/>
      <c r="NSZ701" s="1349"/>
      <c r="NTA701" s="1349"/>
      <c r="NTB701" s="1349"/>
      <c r="NTC701" s="1349"/>
      <c r="NTD701" s="1349"/>
      <c r="NTE701" s="1349"/>
      <c r="NTF701" s="1349"/>
      <c r="NTG701" s="1349"/>
      <c r="NTH701" s="1349"/>
      <c r="NTI701" s="1349"/>
      <c r="NTJ701" s="1349"/>
      <c r="NTK701" s="1349"/>
      <c r="NTL701" s="1349"/>
      <c r="NTM701" s="1349"/>
      <c r="NTN701" s="1349"/>
      <c r="NTO701" s="1349"/>
      <c r="NTP701" s="1349"/>
      <c r="NTQ701" s="1349"/>
      <c r="NTR701" s="1349"/>
      <c r="NTS701" s="1349"/>
      <c r="NTT701" s="1349"/>
      <c r="NTU701" s="1349"/>
      <c r="NTV701" s="1349"/>
      <c r="NTW701" s="1349"/>
      <c r="NTX701" s="1349"/>
      <c r="NTY701" s="1349"/>
      <c r="NTZ701" s="1349"/>
      <c r="NUA701" s="1349"/>
      <c r="NUB701" s="1349"/>
      <c r="NUC701" s="1349"/>
      <c r="NUD701" s="1349"/>
      <c r="NUE701" s="1349"/>
      <c r="NUF701" s="1349"/>
      <c r="NUG701" s="1349"/>
      <c r="NUH701" s="1349"/>
      <c r="NUI701" s="1349"/>
      <c r="NUJ701" s="1349"/>
      <c r="NUK701" s="1349"/>
      <c r="NUL701" s="1349"/>
      <c r="NUM701" s="1349"/>
      <c r="NUN701" s="1349"/>
      <c r="NUO701" s="1349"/>
      <c r="NUP701" s="1349"/>
      <c r="NUQ701" s="1349"/>
      <c r="NUR701" s="1349"/>
      <c r="NUS701" s="1349"/>
      <c r="NUT701" s="1349"/>
      <c r="NUU701" s="1349"/>
      <c r="NUV701" s="1349"/>
      <c r="NUW701" s="1349"/>
      <c r="NUX701" s="1349"/>
      <c r="NUY701" s="1349"/>
      <c r="NUZ701" s="1349"/>
      <c r="NVA701" s="1349"/>
      <c r="NVB701" s="1349"/>
      <c r="NVC701" s="1349"/>
      <c r="NVD701" s="1349"/>
      <c r="NVE701" s="1349"/>
      <c r="NVF701" s="1349"/>
      <c r="NVG701" s="1349"/>
      <c r="NVH701" s="1349"/>
      <c r="NVI701" s="1349"/>
      <c r="NVJ701" s="1349"/>
      <c r="NVK701" s="1349"/>
      <c r="NVL701" s="1349"/>
      <c r="NVM701" s="1349"/>
      <c r="NVN701" s="1349"/>
      <c r="NVO701" s="1349"/>
      <c r="NVP701" s="1349"/>
      <c r="NVQ701" s="1349"/>
      <c r="NVR701" s="1349"/>
      <c r="NVS701" s="1349"/>
      <c r="NVT701" s="1349"/>
      <c r="NVU701" s="1349"/>
      <c r="NVV701" s="1349"/>
      <c r="NVW701" s="1349"/>
      <c r="NVX701" s="1349"/>
      <c r="NVY701" s="1349"/>
      <c r="NVZ701" s="1349"/>
      <c r="NWA701" s="1349"/>
      <c r="NWB701" s="1349"/>
      <c r="NWC701" s="1349"/>
      <c r="NWD701" s="1349"/>
      <c r="NWE701" s="1349"/>
      <c r="NWF701" s="1349"/>
      <c r="NWG701" s="1349"/>
      <c r="NWH701" s="1349"/>
      <c r="NWI701" s="1349"/>
      <c r="NWJ701" s="1349"/>
      <c r="NWK701" s="1349"/>
      <c r="NWL701" s="1349"/>
      <c r="NWM701" s="1349"/>
      <c r="NWN701" s="1349"/>
      <c r="NWO701" s="1349"/>
      <c r="NWP701" s="1349"/>
      <c r="NWQ701" s="1349"/>
      <c r="NWR701" s="1349"/>
      <c r="NWS701" s="1349"/>
      <c r="NWT701" s="1349"/>
      <c r="NWU701" s="1349"/>
      <c r="NWV701" s="1349"/>
      <c r="NWW701" s="1349"/>
      <c r="NWX701" s="1349"/>
      <c r="NWY701" s="1349"/>
      <c r="NWZ701" s="1349"/>
      <c r="NXA701" s="1349"/>
      <c r="NXB701" s="1349"/>
      <c r="NXC701" s="1349"/>
      <c r="NXD701" s="1349"/>
      <c r="NXE701" s="1349"/>
      <c r="NXF701" s="1349"/>
      <c r="NXG701" s="1349"/>
      <c r="NXH701" s="1349"/>
      <c r="NXI701" s="1349"/>
      <c r="NXJ701" s="1349"/>
      <c r="NXK701" s="1349"/>
      <c r="NXL701" s="1349"/>
      <c r="NXM701" s="1349"/>
      <c r="NXN701" s="1349"/>
      <c r="NXO701" s="1349"/>
      <c r="NXP701" s="1349"/>
      <c r="NXQ701" s="1349"/>
      <c r="NXR701" s="1349"/>
      <c r="NXS701" s="1349"/>
      <c r="NXT701" s="1349"/>
      <c r="NXU701" s="1349"/>
      <c r="NXV701" s="1349"/>
      <c r="NXW701" s="1349"/>
      <c r="NXX701" s="1349"/>
      <c r="NXY701" s="1349"/>
      <c r="NXZ701" s="1349"/>
      <c r="NYA701" s="1349"/>
      <c r="NYB701" s="1349"/>
      <c r="NYC701" s="1349"/>
      <c r="NYD701" s="1349"/>
      <c r="NYE701" s="1349"/>
      <c r="NYF701" s="1349"/>
      <c r="NYG701" s="1349"/>
      <c r="NYH701" s="1349"/>
      <c r="NYI701" s="1349"/>
      <c r="NYJ701" s="1349"/>
      <c r="NYK701" s="1349"/>
      <c r="NYL701" s="1349"/>
      <c r="NYM701" s="1349"/>
      <c r="NYN701" s="1349"/>
      <c r="NYO701" s="1349"/>
      <c r="NYP701" s="1349"/>
      <c r="NYQ701" s="1349"/>
      <c r="NYR701" s="1349"/>
      <c r="NYS701" s="1349"/>
      <c r="NYT701" s="1349"/>
      <c r="NYU701" s="1349"/>
      <c r="NYV701" s="1349"/>
      <c r="NYW701" s="1349"/>
      <c r="NYX701" s="1349"/>
      <c r="NYY701" s="1349"/>
      <c r="NYZ701" s="1349"/>
      <c r="NZA701" s="1349"/>
      <c r="NZB701" s="1349"/>
      <c r="NZC701" s="1349"/>
      <c r="NZD701" s="1349"/>
      <c r="NZE701" s="1349"/>
      <c r="NZF701" s="1349"/>
      <c r="NZG701" s="1349"/>
      <c r="NZH701" s="1349"/>
      <c r="NZI701" s="1349"/>
      <c r="NZJ701" s="1349"/>
      <c r="NZK701" s="1349"/>
      <c r="NZL701" s="1349"/>
      <c r="NZM701" s="1349"/>
      <c r="NZN701" s="1349"/>
      <c r="NZO701" s="1349"/>
      <c r="NZP701" s="1349"/>
      <c r="NZQ701" s="1349"/>
      <c r="NZR701" s="1349"/>
      <c r="NZS701" s="1349"/>
      <c r="NZT701" s="1349"/>
      <c r="NZU701" s="1349"/>
      <c r="NZV701" s="1349"/>
      <c r="NZW701" s="1349"/>
      <c r="NZX701" s="1349"/>
      <c r="NZY701" s="1349"/>
      <c r="NZZ701" s="1349"/>
      <c r="OAA701" s="1349"/>
      <c r="OAB701" s="1349"/>
      <c r="OAC701" s="1349"/>
      <c r="OAD701" s="1349"/>
      <c r="OAE701" s="1349"/>
      <c r="OAF701" s="1349"/>
      <c r="OAG701" s="1349"/>
      <c r="OAH701" s="1349"/>
      <c r="OAI701" s="1349"/>
      <c r="OAJ701" s="1349"/>
      <c r="OAK701" s="1349"/>
      <c r="OAL701" s="1349"/>
      <c r="OAM701" s="1349"/>
      <c r="OAN701" s="1349"/>
      <c r="OAO701" s="1349"/>
      <c r="OAP701" s="1349"/>
      <c r="OAQ701" s="1349"/>
      <c r="OAR701" s="1349"/>
      <c r="OAS701" s="1349"/>
      <c r="OAT701" s="1349"/>
      <c r="OAU701" s="1349"/>
      <c r="OAV701" s="1349"/>
      <c r="OAW701" s="1349"/>
      <c r="OAX701" s="1349"/>
      <c r="OAY701" s="1349"/>
      <c r="OAZ701" s="1349"/>
      <c r="OBA701" s="1349"/>
      <c r="OBB701" s="1349"/>
      <c r="OBC701" s="1349"/>
      <c r="OBD701" s="1349"/>
      <c r="OBE701" s="1349"/>
      <c r="OBF701" s="1349"/>
      <c r="OBG701" s="1349"/>
      <c r="OBH701" s="1349"/>
      <c r="OBI701" s="1349"/>
      <c r="OBJ701" s="1349"/>
      <c r="OBK701" s="1349"/>
      <c r="OBL701" s="1349"/>
      <c r="OBM701" s="1349"/>
      <c r="OBN701" s="1349"/>
      <c r="OBO701" s="1349"/>
      <c r="OBP701" s="1349"/>
      <c r="OBQ701" s="1349"/>
      <c r="OBR701" s="1349"/>
      <c r="OBS701" s="1349"/>
      <c r="OBT701" s="1349"/>
      <c r="OBU701" s="1349"/>
      <c r="OBV701" s="1349"/>
      <c r="OBW701" s="1349"/>
      <c r="OBX701" s="1349"/>
      <c r="OBY701" s="1349"/>
      <c r="OBZ701" s="1349"/>
      <c r="OCA701" s="1349"/>
      <c r="OCB701" s="1349"/>
      <c r="OCC701" s="1349"/>
      <c r="OCD701" s="1349"/>
      <c r="OCE701" s="1349"/>
      <c r="OCF701" s="1349"/>
      <c r="OCG701" s="1349"/>
      <c r="OCH701" s="1349"/>
      <c r="OCI701" s="1349"/>
      <c r="OCJ701" s="1349"/>
      <c r="OCK701" s="1349"/>
      <c r="OCL701" s="1349"/>
      <c r="OCM701" s="1349"/>
      <c r="OCN701" s="1349"/>
      <c r="OCO701" s="1349"/>
      <c r="OCP701" s="1349"/>
      <c r="OCQ701" s="1349"/>
      <c r="OCR701" s="1349"/>
      <c r="OCS701" s="1349"/>
      <c r="OCT701" s="1349"/>
      <c r="OCU701" s="1349"/>
      <c r="OCV701" s="1349"/>
      <c r="OCW701" s="1349"/>
      <c r="OCX701" s="1349"/>
      <c r="OCY701" s="1349"/>
      <c r="OCZ701" s="1349"/>
      <c r="ODA701" s="1349"/>
      <c r="ODB701" s="1349"/>
      <c r="ODC701" s="1349"/>
      <c r="ODD701" s="1349"/>
      <c r="ODE701" s="1349"/>
      <c r="ODF701" s="1349"/>
      <c r="ODG701" s="1349"/>
      <c r="ODH701" s="1349"/>
      <c r="ODI701" s="1349"/>
      <c r="ODJ701" s="1349"/>
      <c r="ODK701" s="1349"/>
      <c r="ODL701" s="1349"/>
      <c r="ODM701" s="1349"/>
      <c r="ODN701" s="1349"/>
      <c r="ODO701" s="1349"/>
      <c r="ODP701" s="1349"/>
      <c r="ODQ701" s="1349"/>
      <c r="ODR701" s="1349"/>
      <c r="ODS701" s="1349"/>
      <c r="ODT701" s="1349"/>
      <c r="ODU701" s="1349"/>
      <c r="ODV701" s="1349"/>
      <c r="ODW701" s="1349"/>
      <c r="ODX701" s="1349"/>
      <c r="ODY701" s="1349"/>
      <c r="ODZ701" s="1349"/>
      <c r="OEA701" s="1349"/>
      <c r="OEB701" s="1349"/>
      <c r="OEC701" s="1349"/>
      <c r="OED701" s="1349"/>
      <c r="OEE701" s="1349"/>
      <c r="OEF701" s="1349"/>
      <c r="OEG701" s="1349"/>
      <c r="OEH701" s="1349"/>
      <c r="OEI701" s="1349"/>
      <c r="OEJ701" s="1349"/>
      <c r="OEK701" s="1349"/>
      <c r="OEL701" s="1349"/>
      <c r="OEM701" s="1349"/>
      <c r="OEN701" s="1349"/>
      <c r="OEO701" s="1349"/>
      <c r="OEP701" s="1349"/>
      <c r="OEQ701" s="1349"/>
      <c r="OER701" s="1349"/>
      <c r="OES701" s="1349"/>
      <c r="OET701" s="1349"/>
      <c r="OEU701" s="1349"/>
      <c r="OEV701" s="1349"/>
      <c r="OEW701" s="1349"/>
      <c r="OEX701" s="1349"/>
      <c r="OEY701" s="1349"/>
      <c r="OEZ701" s="1349"/>
      <c r="OFA701" s="1349"/>
      <c r="OFB701" s="1349"/>
      <c r="OFC701" s="1349"/>
      <c r="OFD701" s="1349"/>
      <c r="OFE701" s="1349"/>
      <c r="OFF701" s="1349"/>
      <c r="OFG701" s="1349"/>
      <c r="OFH701" s="1349"/>
      <c r="OFI701" s="1349"/>
      <c r="OFJ701" s="1349"/>
      <c r="OFK701" s="1349"/>
      <c r="OFL701" s="1349"/>
      <c r="OFM701" s="1349"/>
      <c r="OFN701" s="1349"/>
      <c r="OFO701" s="1349"/>
      <c r="OFP701" s="1349"/>
      <c r="OFQ701" s="1349"/>
      <c r="OFR701" s="1349"/>
      <c r="OFS701" s="1349"/>
      <c r="OFT701" s="1349"/>
      <c r="OFU701" s="1349"/>
      <c r="OFV701" s="1349"/>
      <c r="OFW701" s="1349"/>
      <c r="OFX701" s="1349"/>
      <c r="OFY701" s="1349"/>
      <c r="OFZ701" s="1349"/>
      <c r="OGA701" s="1349"/>
      <c r="OGB701" s="1349"/>
      <c r="OGC701" s="1349"/>
      <c r="OGD701" s="1349"/>
      <c r="OGE701" s="1349"/>
      <c r="OGF701" s="1349"/>
      <c r="OGG701" s="1349"/>
      <c r="OGH701" s="1349"/>
      <c r="OGI701" s="1349"/>
      <c r="OGJ701" s="1349"/>
      <c r="OGK701" s="1349"/>
      <c r="OGL701" s="1349"/>
      <c r="OGM701" s="1349"/>
      <c r="OGN701" s="1349"/>
      <c r="OGO701" s="1349"/>
      <c r="OGP701" s="1349"/>
      <c r="OGQ701" s="1349"/>
      <c r="OGR701" s="1349"/>
      <c r="OGS701" s="1349"/>
      <c r="OGT701" s="1349"/>
      <c r="OGU701" s="1349"/>
      <c r="OGV701" s="1349"/>
      <c r="OGW701" s="1349"/>
      <c r="OGX701" s="1349"/>
      <c r="OGY701" s="1349"/>
      <c r="OGZ701" s="1349"/>
      <c r="OHA701" s="1349"/>
      <c r="OHB701" s="1349"/>
      <c r="OHC701" s="1349"/>
      <c r="OHD701" s="1349"/>
      <c r="OHE701" s="1349"/>
      <c r="OHF701" s="1349"/>
      <c r="OHG701" s="1349"/>
      <c r="OHH701" s="1349"/>
      <c r="OHI701" s="1349"/>
      <c r="OHJ701" s="1349"/>
      <c r="OHK701" s="1349"/>
      <c r="OHL701" s="1349"/>
      <c r="OHM701" s="1349"/>
      <c r="OHN701" s="1349"/>
      <c r="OHO701" s="1349"/>
      <c r="OHP701" s="1349"/>
      <c r="OHQ701" s="1349"/>
      <c r="OHR701" s="1349"/>
      <c r="OHS701" s="1349"/>
      <c r="OHT701" s="1349"/>
      <c r="OHU701" s="1349"/>
      <c r="OHV701" s="1349"/>
      <c r="OHW701" s="1349"/>
      <c r="OHX701" s="1349"/>
      <c r="OHY701" s="1349"/>
      <c r="OHZ701" s="1349"/>
      <c r="OIA701" s="1349"/>
      <c r="OIB701" s="1349"/>
      <c r="OIC701" s="1349"/>
      <c r="OID701" s="1349"/>
      <c r="OIE701" s="1349"/>
      <c r="OIF701" s="1349"/>
      <c r="OIG701" s="1349"/>
      <c r="OIH701" s="1349"/>
      <c r="OII701" s="1349"/>
      <c r="OIJ701" s="1349"/>
      <c r="OIK701" s="1349"/>
      <c r="OIL701" s="1349"/>
      <c r="OIM701" s="1349"/>
      <c r="OIN701" s="1349"/>
      <c r="OIO701" s="1349"/>
      <c r="OIP701" s="1349"/>
      <c r="OIQ701" s="1349"/>
      <c r="OIR701" s="1349"/>
      <c r="OIS701" s="1349"/>
      <c r="OIT701" s="1349"/>
      <c r="OIU701" s="1349"/>
      <c r="OIV701" s="1349"/>
      <c r="OIW701" s="1349"/>
      <c r="OIX701" s="1349"/>
      <c r="OIY701" s="1349"/>
      <c r="OIZ701" s="1349"/>
      <c r="OJA701" s="1349"/>
      <c r="OJB701" s="1349"/>
      <c r="OJC701" s="1349"/>
      <c r="OJD701" s="1349"/>
      <c r="OJE701" s="1349"/>
      <c r="OJF701" s="1349"/>
      <c r="OJG701" s="1349"/>
      <c r="OJH701" s="1349"/>
      <c r="OJI701" s="1349"/>
      <c r="OJJ701" s="1349"/>
      <c r="OJK701" s="1349"/>
      <c r="OJL701" s="1349"/>
      <c r="OJM701" s="1349"/>
      <c r="OJN701" s="1349"/>
      <c r="OJO701" s="1349"/>
      <c r="OJP701" s="1349"/>
      <c r="OJQ701" s="1349"/>
      <c r="OJR701" s="1349"/>
      <c r="OJS701" s="1349"/>
      <c r="OJT701" s="1349"/>
      <c r="OJU701" s="1349"/>
      <c r="OJV701" s="1349"/>
      <c r="OJW701" s="1349"/>
      <c r="OJX701" s="1349"/>
      <c r="OJY701" s="1349"/>
      <c r="OJZ701" s="1349"/>
      <c r="OKA701" s="1349"/>
      <c r="OKB701" s="1349"/>
      <c r="OKC701" s="1349"/>
      <c r="OKD701" s="1349"/>
      <c r="OKE701" s="1349"/>
      <c r="OKF701" s="1349"/>
      <c r="OKG701" s="1349"/>
      <c r="OKH701" s="1349"/>
      <c r="OKI701" s="1349"/>
      <c r="OKJ701" s="1349"/>
      <c r="OKK701" s="1349"/>
      <c r="OKL701" s="1349"/>
      <c r="OKM701" s="1349"/>
      <c r="OKN701" s="1349"/>
      <c r="OKO701" s="1349"/>
      <c r="OKP701" s="1349"/>
      <c r="OKQ701" s="1349"/>
      <c r="OKR701" s="1349"/>
      <c r="OKS701" s="1349"/>
      <c r="OKT701" s="1349"/>
      <c r="OKU701" s="1349"/>
      <c r="OKV701" s="1349"/>
      <c r="OKW701" s="1349"/>
      <c r="OKX701" s="1349"/>
      <c r="OKY701" s="1349"/>
      <c r="OKZ701" s="1349"/>
      <c r="OLA701" s="1349"/>
      <c r="OLB701" s="1349"/>
      <c r="OLC701" s="1349"/>
      <c r="OLD701" s="1349"/>
      <c r="OLE701" s="1349"/>
      <c r="OLF701" s="1349"/>
      <c r="OLG701" s="1349"/>
      <c r="OLH701" s="1349"/>
      <c r="OLI701" s="1349"/>
      <c r="OLJ701" s="1349"/>
      <c r="OLK701" s="1349"/>
      <c r="OLL701" s="1349"/>
      <c r="OLM701" s="1349"/>
      <c r="OLN701" s="1349"/>
      <c r="OLO701" s="1349"/>
      <c r="OLP701" s="1349"/>
      <c r="OLQ701" s="1349"/>
      <c r="OLR701" s="1349"/>
      <c r="OLS701" s="1349"/>
      <c r="OLT701" s="1349"/>
      <c r="OLU701" s="1349"/>
      <c r="OLV701" s="1349"/>
      <c r="OLW701" s="1349"/>
      <c r="OLX701" s="1349"/>
      <c r="OLY701" s="1349"/>
      <c r="OLZ701" s="1349"/>
      <c r="OMA701" s="1349"/>
      <c r="OMB701" s="1349"/>
      <c r="OMC701" s="1349"/>
      <c r="OMD701" s="1349"/>
      <c r="OME701" s="1349"/>
      <c r="OMF701" s="1349"/>
      <c r="OMG701" s="1349"/>
      <c r="OMH701" s="1349"/>
      <c r="OMI701" s="1349"/>
      <c r="OMJ701" s="1349"/>
      <c r="OMK701" s="1349"/>
      <c r="OML701" s="1349"/>
      <c r="OMM701" s="1349"/>
      <c r="OMN701" s="1349"/>
      <c r="OMO701" s="1349"/>
      <c r="OMP701" s="1349"/>
      <c r="OMQ701" s="1349"/>
      <c r="OMR701" s="1349"/>
      <c r="OMS701" s="1349"/>
      <c r="OMT701" s="1349"/>
      <c r="OMU701" s="1349"/>
      <c r="OMV701" s="1349"/>
      <c r="OMW701" s="1349"/>
      <c r="OMX701" s="1349"/>
      <c r="OMY701" s="1349"/>
      <c r="OMZ701" s="1349"/>
      <c r="ONA701" s="1349"/>
      <c r="ONB701" s="1349"/>
      <c r="ONC701" s="1349"/>
      <c r="OND701" s="1349"/>
      <c r="ONE701" s="1349"/>
      <c r="ONF701" s="1349"/>
      <c r="ONG701" s="1349"/>
      <c r="ONH701" s="1349"/>
      <c r="ONI701" s="1349"/>
      <c r="ONJ701" s="1349"/>
      <c r="ONK701" s="1349"/>
      <c r="ONL701" s="1349"/>
      <c r="ONM701" s="1349"/>
      <c r="ONN701" s="1349"/>
      <c r="ONO701" s="1349"/>
      <c r="ONP701" s="1349"/>
      <c r="ONQ701" s="1349"/>
      <c r="ONR701" s="1349"/>
      <c r="ONS701" s="1349"/>
      <c r="ONT701" s="1349"/>
      <c r="ONU701" s="1349"/>
      <c r="ONV701" s="1349"/>
      <c r="ONW701" s="1349"/>
      <c r="ONX701" s="1349"/>
      <c r="ONY701" s="1349"/>
      <c r="ONZ701" s="1349"/>
      <c r="OOA701" s="1349"/>
      <c r="OOB701" s="1349"/>
      <c r="OOC701" s="1349"/>
      <c r="OOD701" s="1349"/>
      <c r="OOE701" s="1349"/>
      <c r="OOF701" s="1349"/>
      <c r="OOG701" s="1349"/>
      <c r="OOH701" s="1349"/>
      <c r="OOI701" s="1349"/>
      <c r="OOJ701" s="1349"/>
      <c r="OOK701" s="1349"/>
      <c r="OOL701" s="1349"/>
      <c r="OOM701" s="1349"/>
      <c r="OON701" s="1349"/>
      <c r="OOO701" s="1349"/>
      <c r="OOP701" s="1349"/>
      <c r="OOQ701" s="1349"/>
      <c r="OOR701" s="1349"/>
      <c r="OOS701" s="1349"/>
      <c r="OOT701" s="1349"/>
      <c r="OOU701" s="1349"/>
      <c r="OOV701" s="1349"/>
      <c r="OOW701" s="1349"/>
      <c r="OOX701" s="1349"/>
      <c r="OOY701" s="1349"/>
      <c r="OOZ701" s="1349"/>
      <c r="OPA701" s="1349"/>
      <c r="OPB701" s="1349"/>
      <c r="OPC701" s="1349"/>
      <c r="OPD701" s="1349"/>
      <c r="OPE701" s="1349"/>
      <c r="OPF701" s="1349"/>
      <c r="OPG701" s="1349"/>
      <c r="OPH701" s="1349"/>
      <c r="OPI701" s="1349"/>
      <c r="OPJ701" s="1349"/>
      <c r="OPK701" s="1349"/>
      <c r="OPL701" s="1349"/>
      <c r="OPM701" s="1349"/>
      <c r="OPN701" s="1349"/>
      <c r="OPO701" s="1349"/>
      <c r="OPP701" s="1349"/>
      <c r="OPQ701" s="1349"/>
      <c r="OPR701" s="1349"/>
      <c r="OPS701" s="1349"/>
      <c r="OPT701" s="1349"/>
      <c r="OPU701" s="1349"/>
      <c r="OPV701" s="1349"/>
      <c r="OPW701" s="1349"/>
      <c r="OPX701" s="1349"/>
      <c r="OPY701" s="1349"/>
      <c r="OPZ701" s="1349"/>
      <c r="OQA701" s="1349"/>
      <c r="OQB701" s="1349"/>
      <c r="OQC701" s="1349"/>
      <c r="OQD701" s="1349"/>
      <c r="OQE701" s="1349"/>
      <c r="OQF701" s="1349"/>
      <c r="OQG701" s="1349"/>
      <c r="OQH701" s="1349"/>
      <c r="OQI701" s="1349"/>
      <c r="OQJ701" s="1349"/>
      <c r="OQK701" s="1349"/>
      <c r="OQL701" s="1349"/>
      <c r="OQM701" s="1349"/>
      <c r="OQN701" s="1349"/>
      <c r="OQO701" s="1349"/>
      <c r="OQP701" s="1349"/>
      <c r="OQQ701" s="1349"/>
      <c r="OQR701" s="1349"/>
      <c r="OQS701" s="1349"/>
      <c r="OQT701" s="1349"/>
      <c r="OQU701" s="1349"/>
      <c r="OQV701" s="1349"/>
      <c r="OQW701" s="1349"/>
      <c r="OQX701" s="1349"/>
      <c r="OQY701" s="1349"/>
      <c r="OQZ701" s="1349"/>
      <c r="ORA701" s="1349"/>
      <c r="ORB701" s="1349"/>
      <c r="ORC701" s="1349"/>
      <c r="ORD701" s="1349"/>
      <c r="ORE701" s="1349"/>
      <c r="ORF701" s="1349"/>
      <c r="ORG701" s="1349"/>
      <c r="ORH701" s="1349"/>
      <c r="ORI701" s="1349"/>
      <c r="ORJ701" s="1349"/>
      <c r="ORK701" s="1349"/>
      <c r="ORL701" s="1349"/>
      <c r="ORM701" s="1349"/>
      <c r="ORN701" s="1349"/>
      <c r="ORO701" s="1349"/>
      <c r="ORP701" s="1349"/>
      <c r="ORQ701" s="1349"/>
      <c r="ORR701" s="1349"/>
      <c r="ORS701" s="1349"/>
      <c r="ORT701" s="1349"/>
      <c r="ORU701" s="1349"/>
      <c r="ORV701" s="1349"/>
      <c r="ORW701" s="1349"/>
      <c r="ORX701" s="1349"/>
      <c r="ORY701" s="1349"/>
      <c r="ORZ701" s="1349"/>
      <c r="OSA701" s="1349"/>
      <c r="OSB701" s="1349"/>
      <c r="OSC701" s="1349"/>
      <c r="OSD701" s="1349"/>
      <c r="OSE701" s="1349"/>
      <c r="OSF701" s="1349"/>
      <c r="OSG701" s="1349"/>
      <c r="OSH701" s="1349"/>
      <c r="OSI701" s="1349"/>
      <c r="OSJ701" s="1349"/>
      <c r="OSK701" s="1349"/>
      <c r="OSL701" s="1349"/>
      <c r="OSM701" s="1349"/>
      <c r="OSN701" s="1349"/>
      <c r="OSO701" s="1349"/>
      <c r="OSP701" s="1349"/>
      <c r="OSQ701" s="1349"/>
      <c r="OSR701" s="1349"/>
      <c r="OSS701" s="1349"/>
      <c r="OST701" s="1349"/>
      <c r="OSU701" s="1349"/>
      <c r="OSV701" s="1349"/>
      <c r="OSW701" s="1349"/>
      <c r="OSX701" s="1349"/>
      <c r="OSY701" s="1349"/>
      <c r="OSZ701" s="1349"/>
      <c r="OTA701" s="1349"/>
      <c r="OTB701" s="1349"/>
      <c r="OTC701" s="1349"/>
      <c r="OTD701" s="1349"/>
      <c r="OTE701" s="1349"/>
      <c r="OTF701" s="1349"/>
      <c r="OTG701" s="1349"/>
      <c r="OTH701" s="1349"/>
      <c r="OTI701" s="1349"/>
      <c r="OTJ701" s="1349"/>
      <c r="OTK701" s="1349"/>
      <c r="OTL701" s="1349"/>
      <c r="OTM701" s="1349"/>
      <c r="OTN701" s="1349"/>
      <c r="OTO701" s="1349"/>
      <c r="OTP701" s="1349"/>
      <c r="OTQ701" s="1349"/>
      <c r="OTR701" s="1349"/>
      <c r="OTS701" s="1349"/>
      <c r="OTT701" s="1349"/>
      <c r="OTU701" s="1349"/>
      <c r="OTV701" s="1349"/>
      <c r="OTW701" s="1349"/>
      <c r="OTX701" s="1349"/>
      <c r="OTY701" s="1349"/>
      <c r="OTZ701" s="1349"/>
      <c r="OUA701" s="1349"/>
      <c r="OUB701" s="1349"/>
      <c r="OUC701" s="1349"/>
      <c r="OUD701" s="1349"/>
      <c r="OUE701" s="1349"/>
      <c r="OUF701" s="1349"/>
      <c r="OUG701" s="1349"/>
      <c r="OUH701" s="1349"/>
      <c r="OUI701" s="1349"/>
      <c r="OUJ701" s="1349"/>
      <c r="OUK701" s="1349"/>
      <c r="OUL701" s="1349"/>
      <c r="OUM701" s="1349"/>
      <c r="OUN701" s="1349"/>
      <c r="OUO701" s="1349"/>
      <c r="OUP701" s="1349"/>
      <c r="OUQ701" s="1349"/>
      <c r="OUR701" s="1349"/>
      <c r="OUS701" s="1349"/>
      <c r="OUT701" s="1349"/>
      <c r="OUU701" s="1349"/>
      <c r="OUV701" s="1349"/>
      <c r="OUW701" s="1349"/>
      <c r="OUX701" s="1349"/>
      <c r="OUY701" s="1349"/>
      <c r="OUZ701" s="1349"/>
      <c r="OVA701" s="1349"/>
      <c r="OVB701" s="1349"/>
      <c r="OVC701" s="1349"/>
      <c r="OVD701" s="1349"/>
      <c r="OVE701" s="1349"/>
      <c r="OVF701" s="1349"/>
      <c r="OVG701" s="1349"/>
      <c r="OVH701" s="1349"/>
      <c r="OVI701" s="1349"/>
      <c r="OVJ701" s="1349"/>
      <c r="OVK701" s="1349"/>
      <c r="OVL701" s="1349"/>
      <c r="OVM701" s="1349"/>
      <c r="OVN701" s="1349"/>
      <c r="OVO701" s="1349"/>
      <c r="OVP701" s="1349"/>
      <c r="OVQ701" s="1349"/>
      <c r="OVR701" s="1349"/>
      <c r="OVS701" s="1349"/>
      <c r="OVT701" s="1349"/>
      <c r="OVU701" s="1349"/>
      <c r="OVV701" s="1349"/>
      <c r="OVW701" s="1349"/>
      <c r="OVX701" s="1349"/>
      <c r="OVY701" s="1349"/>
      <c r="OVZ701" s="1349"/>
      <c r="OWA701" s="1349"/>
      <c r="OWB701" s="1349"/>
      <c r="OWC701" s="1349"/>
      <c r="OWD701" s="1349"/>
      <c r="OWE701" s="1349"/>
      <c r="OWF701" s="1349"/>
      <c r="OWG701" s="1349"/>
      <c r="OWH701" s="1349"/>
      <c r="OWI701" s="1349"/>
      <c r="OWJ701" s="1349"/>
      <c r="OWK701" s="1349"/>
      <c r="OWL701" s="1349"/>
      <c r="OWM701" s="1349"/>
      <c r="OWN701" s="1349"/>
      <c r="OWO701" s="1349"/>
      <c r="OWP701" s="1349"/>
      <c r="OWQ701" s="1349"/>
      <c r="OWR701" s="1349"/>
      <c r="OWS701" s="1349"/>
      <c r="OWT701" s="1349"/>
      <c r="OWU701" s="1349"/>
      <c r="OWV701" s="1349"/>
      <c r="OWW701" s="1349"/>
      <c r="OWX701" s="1349"/>
      <c r="OWY701" s="1349"/>
      <c r="OWZ701" s="1349"/>
      <c r="OXA701" s="1349"/>
      <c r="OXB701" s="1349"/>
      <c r="OXC701" s="1349"/>
      <c r="OXD701" s="1349"/>
      <c r="OXE701" s="1349"/>
      <c r="OXF701" s="1349"/>
      <c r="OXG701" s="1349"/>
      <c r="OXH701" s="1349"/>
      <c r="OXI701" s="1349"/>
      <c r="OXJ701" s="1349"/>
      <c r="OXK701" s="1349"/>
      <c r="OXL701" s="1349"/>
      <c r="OXM701" s="1349"/>
      <c r="OXN701" s="1349"/>
      <c r="OXO701" s="1349"/>
      <c r="OXP701" s="1349"/>
      <c r="OXQ701" s="1349"/>
      <c r="OXR701" s="1349"/>
      <c r="OXS701" s="1349"/>
      <c r="OXT701" s="1349"/>
      <c r="OXU701" s="1349"/>
      <c r="OXV701" s="1349"/>
      <c r="OXW701" s="1349"/>
      <c r="OXX701" s="1349"/>
      <c r="OXY701" s="1349"/>
      <c r="OXZ701" s="1349"/>
      <c r="OYA701" s="1349"/>
      <c r="OYB701" s="1349"/>
      <c r="OYC701" s="1349"/>
      <c r="OYD701" s="1349"/>
      <c r="OYE701" s="1349"/>
      <c r="OYF701" s="1349"/>
      <c r="OYG701" s="1349"/>
      <c r="OYH701" s="1349"/>
      <c r="OYI701" s="1349"/>
      <c r="OYJ701" s="1349"/>
      <c r="OYK701" s="1349"/>
      <c r="OYL701" s="1349"/>
      <c r="OYM701" s="1349"/>
      <c r="OYN701" s="1349"/>
      <c r="OYO701" s="1349"/>
      <c r="OYP701" s="1349"/>
      <c r="OYQ701" s="1349"/>
      <c r="OYR701" s="1349"/>
      <c r="OYS701" s="1349"/>
      <c r="OYT701" s="1349"/>
      <c r="OYU701" s="1349"/>
      <c r="OYV701" s="1349"/>
      <c r="OYW701" s="1349"/>
      <c r="OYX701" s="1349"/>
      <c r="OYY701" s="1349"/>
      <c r="OYZ701" s="1349"/>
      <c r="OZA701" s="1349"/>
      <c r="OZB701" s="1349"/>
      <c r="OZC701" s="1349"/>
      <c r="OZD701" s="1349"/>
      <c r="OZE701" s="1349"/>
      <c r="OZF701" s="1349"/>
      <c r="OZG701" s="1349"/>
      <c r="OZH701" s="1349"/>
      <c r="OZI701" s="1349"/>
      <c r="OZJ701" s="1349"/>
      <c r="OZK701" s="1349"/>
      <c r="OZL701" s="1349"/>
      <c r="OZM701" s="1349"/>
      <c r="OZN701" s="1349"/>
      <c r="OZO701" s="1349"/>
      <c r="OZP701" s="1349"/>
      <c r="OZQ701" s="1349"/>
      <c r="OZR701" s="1349"/>
      <c r="OZS701" s="1349"/>
      <c r="OZT701" s="1349"/>
      <c r="OZU701" s="1349"/>
      <c r="OZV701" s="1349"/>
      <c r="OZW701" s="1349"/>
      <c r="OZX701" s="1349"/>
      <c r="OZY701" s="1349"/>
      <c r="OZZ701" s="1349"/>
      <c r="PAA701" s="1349"/>
      <c r="PAB701" s="1349"/>
      <c r="PAC701" s="1349"/>
      <c r="PAD701" s="1349"/>
      <c r="PAE701" s="1349"/>
      <c r="PAF701" s="1349"/>
      <c r="PAG701" s="1349"/>
      <c r="PAH701" s="1349"/>
      <c r="PAI701" s="1349"/>
      <c r="PAJ701" s="1349"/>
      <c r="PAK701" s="1349"/>
      <c r="PAL701" s="1349"/>
      <c r="PAM701" s="1349"/>
      <c r="PAN701" s="1349"/>
      <c r="PAO701" s="1349"/>
      <c r="PAP701" s="1349"/>
      <c r="PAQ701" s="1349"/>
      <c r="PAR701" s="1349"/>
      <c r="PAS701" s="1349"/>
      <c r="PAT701" s="1349"/>
      <c r="PAU701" s="1349"/>
      <c r="PAV701" s="1349"/>
      <c r="PAW701" s="1349"/>
      <c r="PAX701" s="1349"/>
      <c r="PAY701" s="1349"/>
      <c r="PAZ701" s="1349"/>
      <c r="PBA701" s="1349"/>
      <c r="PBB701" s="1349"/>
      <c r="PBC701" s="1349"/>
      <c r="PBD701" s="1349"/>
      <c r="PBE701" s="1349"/>
      <c r="PBF701" s="1349"/>
      <c r="PBG701" s="1349"/>
      <c r="PBH701" s="1349"/>
      <c r="PBI701" s="1349"/>
      <c r="PBJ701" s="1349"/>
      <c r="PBK701" s="1349"/>
      <c r="PBL701" s="1349"/>
      <c r="PBM701" s="1349"/>
      <c r="PBN701" s="1349"/>
      <c r="PBO701" s="1349"/>
      <c r="PBP701" s="1349"/>
      <c r="PBQ701" s="1349"/>
      <c r="PBR701" s="1349"/>
      <c r="PBS701" s="1349"/>
      <c r="PBT701" s="1349"/>
      <c r="PBU701" s="1349"/>
      <c r="PBV701" s="1349"/>
      <c r="PBW701" s="1349"/>
      <c r="PBX701" s="1349"/>
      <c r="PBY701" s="1349"/>
      <c r="PBZ701" s="1349"/>
      <c r="PCA701" s="1349"/>
      <c r="PCB701" s="1349"/>
      <c r="PCC701" s="1349"/>
      <c r="PCD701" s="1349"/>
      <c r="PCE701" s="1349"/>
      <c r="PCF701" s="1349"/>
      <c r="PCG701" s="1349"/>
      <c r="PCH701" s="1349"/>
      <c r="PCI701" s="1349"/>
      <c r="PCJ701" s="1349"/>
      <c r="PCK701" s="1349"/>
      <c r="PCL701" s="1349"/>
      <c r="PCM701" s="1349"/>
      <c r="PCN701" s="1349"/>
      <c r="PCO701" s="1349"/>
      <c r="PCP701" s="1349"/>
      <c r="PCQ701" s="1349"/>
      <c r="PCR701" s="1349"/>
      <c r="PCS701" s="1349"/>
      <c r="PCT701" s="1349"/>
      <c r="PCU701" s="1349"/>
      <c r="PCV701" s="1349"/>
      <c r="PCW701" s="1349"/>
      <c r="PCX701" s="1349"/>
      <c r="PCY701" s="1349"/>
      <c r="PCZ701" s="1349"/>
      <c r="PDA701" s="1349"/>
      <c r="PDB701" s="1349"/>
      <c r="PDC701" s="1349"/>
      <c r="PDD701" s="1349"/>
      <c r="PDE701" s="1349"/>
      <c r="PDF701" s="1349"/>
      <c r="PDG701" s="1349"/>
      <c r="PDH701" s="1349"/>
      <c r="PDI701" s="1349"/>
      <c r="PDJ701" s="1349"/>
      <c r="PDK701" s="1349"/>
      <c r="PDL701" s="1349"/>
      <c r="PDM701" s="1349"/>
      <c r="PDN701" s="1349"/>
      <c r="PDO701" s="1349"/>
      <c r="PDP701" s="1349"/>
      <c r="PDQ701" s="1349"/>
      <c r="PDR701" s="1349"/>
      <c r="PDS701" s="1349"/>
      <c r="PDT701" s="1349"/>
      <c r="PDU701" s="1349"/>
      <c r="PDV701" s="1349"/>
      <c r="PDW701" s="1349"/>
      <c r="PDX701" s="1349"/>
      <c r="PDY701" s="1349"/>
      <c r="PDZ701" s="1349"/>
      <c r="PEA701" s="1349"/>
      <c r="PEB701" s="1349"/>
      <c r="PEC701" s="1349"/>
      <c r="PED701" s="1349"/>
      <c r="PEE701" s="1349"/>
      <c r="PEF701" s="1349"/>
      <c r="PEG701" s="1349"/>
      <c r="PEH701" s="1349"/>
      <c r="PEI701" s="1349"/>
      <c r="PEJ701" s="1349"/>
      <c r="PEK701" s="1349"/>
      <c r="PEL701" s="1349"/>
      <c r="PEM701" s="1349"/>
      <c r="PEN701" s="1349"/>
      <c r="PEO701" s="1349"/>
      <c r="PEP701" s="1349"/>
      <c r="PEQ701" s="1349"/>
      <c r="PER701" s="1349"/>
      <c r="PES701" s="1349"/>
      <c r="PET701" s="1349"/>
      <c r="PEU701" s="1349"/>
      <c r="PEV701" s="1349"/>
      <c r="PEW701" s="1349"/>
      <c r="PEX701" s="1349"/>
      <c r="PEY701" s="1349"/>
      <c r="PEZ701" s="1349"/>
      <c r="PFA701" s="1349"/>
      <c r="PFB701" s="1349"/>
      <c r="PFC701" s="1349"/>
      <c r="PFD701" s="1349"/>
      <c r="PFE701" s="1349"/>
      <c r="PFF701" s="1349"/>
      <c r="PFG701" s="1349"/>
      <c r="PFH701" s="1349"/>
      <c r="PFI701" s="1349"/>
      <c r="PFJ701" s="1349"/>
      <c r="PFK701" s="1349"/>
      <c r="PFL701" s="1349"/>
      <c r="PFM701" s="1349"/>
      <c r="PFN701" s="1349"/>
      <c r="PFO701" s="1349"/>
      <c r="PFP701" s="1349"/>
      <c r="PFQ701" s="1349"/>
      <c r="PFR701" s="1349"/>
      <c r="PFS701" s="1349"/>
      <c r="PFT701" s="1349"/>
      <c r="PFU701" s="1349"/>
      <c r="PFV701" s="1349"/>
      <c r="PFW701" s="1349"/>
      <c r="PFX701" s="1349"/>
      <c r="PFY701" s="1349"/>
      <c r="PFZ701" s="1349"/>
      <c r="PGA701" s="1349"/>
      <c r="PGB701" s="1349"/>
      <c r="PGC701" s="1349"/>
      <c r="PGD701" s="1349"/>
      <c r="PGE701" s="1349"/>
      <c r="PGF701" s="1349"/>
      <c r="PGG701" s="1349"/>
      <c r="PGH701" s="1349"/>
      <c r="PGI701" s="1349"/>
      <c r="PGJ701" s="1349"/>
      <c r="PGK701" s="1349"/>
      <c r="PGL701" s="1349"/>
      <c r="PGM701" s="1349"/>
      <c r="PGN701" s="1349"/>
      <c r="PGO701" s="1349"/>
      <c r="PGP701" s="1349"/>
      <c r="PGQ701" s="1349"/>
      <c r="PGR701" s="1349"/>
      <c r="PGS701" s="1349"/>
      <c r="PGT701" s="1349"/>
      <c r="PGU701" s="1349"/>
      <c r="PGV701" s="1349"/>
      <c r="PGW701" s="1349"/>
      <c r="PGX701" s="1349"/>
      <c r="PGY701" s="1349"/>
      <c r="PGZ701" s="1349"/>
      <c r="PHA701" s="1349"/>
      <c r="PHB701" s="1349"/>
      <c r="PHC701" s="1349"/>
      <c r="PHD701" s="1349"/>
      <c r="PHE701" s="1349"/>
      <c r="PHF701" s="1349"/>
      <c r="PHG701" s="1349"/>
      <c r="PHH701" s="1349"/>
      <c r="PHI701" s="1349"/>
      <c r="PHJ701" s="1349"/>
      <c r="PHK701" s="1349"/>
      <c r="PHL701" s="1349"/>
      <c r="PHM701" s="1349"/>
      <c r="PHN701" s="1349"/>
      <c r="PHO701" s="1349"/>
      <c r="PHP701" s="1349"/>
      <c r="PHQ701" s="1349"/>
      <c r="PHR701" s="1349"/>
      <c r="PHS701" s="1349"/>
      <c r="PHT701" s="1349"/>
      <c r="PHU701" s="1349"/>
      <c r="PHV701" s="1349"/>
      <c r="PHW701" s="1349"/>
      <c r="PHX701" s="1349"/>
      <c r="PHY701" s="1349"/>
      <c r="PHZ701" s="1349"/>
      <c r="PIA701" s="1349"/>
      <c r="PIB701" s="1349"/>
      <c r="PIC701" s="1349"/>
      <c r="PID701" s="1349"/>
      <c r="PIE701" s="1349"/>
      <c r="PIF701" s="1349"/>
      <c r="PIG701" s="1349"/>
      <c r="PIH701" s="1349"/>
      <c r="PII701" s="1349"/>
      <c r="PIJ701" s="1349"/>
      <c r="PIK701" s="1349"/>
      <c r="PIL701" s="1349"/>
      <c r="PIM701" s="1349"/>
      <c r="PIN701" s="1349"/>
      <c r="PIO701" s="1349"/>
      <c r="PIP701" s="1349"/>
      <c r="PIQ701" s="1349"/>
      <c r="PIR701" s="1349"/>
      <c r="PIS701" s="1349"/>
      <c r="PIT701" s="1349"/>
      <c r="PIU701" s="1349"/>
      <c r="PIV701" s="1349"/>
      <c r="PIW701" s="1349"/>
      <c r="PIX701" s="1349"/>
      <c r="PIY701" s="1349"/>
      <c r="PIZ701" s="1349"/>
      <c r="PJA701" s="1349"/>
      <c r="PJB701" s="1349"/>
      <c r="PJC701" s="1349"/>
      <c r="PJD701" s="1349"/>
      <c r="PJE701" s="1349"/>
      <c r="PJF701" s="1349"/>
      <c r="PJG701" s="1349"/>
      <c r="PJH701" s="1349"/>
      <c r="PJI701" s="1349"/>
      <c r="PJJ701" s="1349"/>
      <c r="PJK701" s="1349"/>
      <c r="PJL701" s="1349"/>
      <c r="PJM701" s="1349"/>
      <c r="PJN701" s="1349"/>
      <c r="PJO701" s="1349"/>
      <c r="PJP701" s="1349"/>
      <c r="PJQ701" s="1349"/>
      <c r="PJR701" s="1349"/>
      <c r="PJS701" s="1349"/>
      <c r="PJT701" s="1349"/>
      <c r="PJU701" s="1349"/>
      <c r="PJV701" s="1349"/>
      <c r="PJW701" s="1349"/>
      <c r="PJX701" s="1349"/>
      <c r="PJY701" s="1349"/>
      <c r="PJZ701" s="1349"/>
      <c r="PKA701" s="1349"/>
      <c r="PKB701" s="1349"/>
      <c r="PKC701" s="1349"/>
      <c r="PKD701" s="1349"/>
      <c r="PKE701" s="1349"/>
      <c r="PKF701" s="1349"/>
      <c r="PKG701" s="1349"/>
      <c r="PKH701" s="1349"/>
      <c r="PKI701" s="1349"/>
      <c r="PKJ701" s="1349"/>
      <c r="PKK701" s="1349"/>
      <c r="PKL701" s="1349"/>
      <c r="PKM701" s="1349"/>
      <c r="PKN701" s="1349"/>
      <c r="PKO701" s="1349"/>
      <c r="PKP701" s="1349"/>
      <c r="PKQ701" s="1349"/>
      <c r="PKR701" s="1349"/>
      <c r="PKS701" s="1349"/>
      <c r="PKT701" s="1349"/>
      <c r="PKU701" s="1349"/>
      <c r="PKV701" s="1349"/>
      <c r="PKW701" s="1349"/>
      <c r="PKX701" s="1349"/>
      <c r="PKY701" s="1349"/>
      <c r="PKZ701" s="1349"/>
      <c r="PLA701" s="1349"/>
      <c r="PLB701" s="1349"/>
      <c r="PLC701" s="1349"/>
      <c r="PLD701" s="1349"/>
      <c r="PLE701" s="1349"/>
      <c r="PLF701" s="1349"/>
      <c r="PLG701" s="1349"/>
      <c r="PLH701" s="1349"/>
      <c r="PLI701" s="1349"/>
      <c r="PLJ701" s="1349"/>
      <c r="PLK701" s="1349"/>
      <c r="PLL701" s="1349"/>
      <c r="PLM701" s="1349"/>
      <c r="PLN701" s="1349"/>
      <c r="PLO701" s="1349"/>
      <c r="PLP701" s="1349"/>
      <c r="PLQ701" s="1349"/>
      <c r="PLR701" s="1349"/>
      <c r="PLS701" s="1349"/>
      <c r="PLT701" s="1349"/>
      <c r="PLU701" s="1349"/>
      <c r="PLV701" s="1349"/>
      <c r="PLW701" s="1349"/>
      <c r="PLX701" s="1349"/>
      <c r="PLY701" s="1349"/>
      <c r="PLZ701" s="1349"/>
      <c r="PMA701" s="1349"/>
      <c r="PMB701" s="1349"/>
      <c r="PMC701" s="1349"/>
      <c r="PMD701" s="1349"/>
      <c r="PME701" s="1349"/>
      <c r="PMF701" s="1349"/>
      <c r="PMG701" s="1349"/>
      <c r="PMH701" s="1349"/>
      <c r="PMI701" s="1349"/>
      <c r="PMJ701" s="1349"/>
      <c r="PMK701" s="1349"/>
      <c r="PML701" s="1349"/>
      <c r="PMM701" s="1349"/>
      <c r="PMN701" s="1349"/>
      <c r="PMO701" s="1349"/>
      <c r="PMP701" s="1349"/>
      <c r="PMQ701" s="1349"/>
      <c r="PMR701" s="1349"/>
      <c r="PMS701" s="1349"/>
      <c r="PMT701" s="1349"/>
      <c r="PMU701" s="1349"/>
      <c r="PMV701" s="1349"/>
      <c r="PMW701" s="1349"/>
      <c r="PMX701" s="1349"/>
      <c r="PMY701" s="1349"/>
      <c r="PMZ701" s="1349"/>
      <c r="PNA701" s="1349"/>
      <c r="PNB701" s="1349"/>
      <c r="PNC701" s="1349"/>
      <c r="PND701" s="1349"/>
      <c r="PNE701" s="1349"/>
      <c r="PNF701" s="1349"/>
      <c r="PNG701" s="1349"/>
      <c r="PNH701" s="1349"/>
      <c r="PNI701" s="1349"/>
      <c r="PNJ701" s="1349"/>
      <c r="PNK701" s="1349"/>
      <c r="PNL701" s="1349"/>
      <c r="PNM701" s="1349"/>
      <c r="PNN701" s="1349"/>
      <c r="PNO701" s="1349"/>
      <c r="PNP701" s="1349"/>
      <c r="PNQ701" s="1349"/>
      <c r="PNR701" s="1349"/>
      <c r="PNS701" s="1349"/>
      <c r="PNT701" s="1349"/>
      <c r="PNU701" s="1349"/>
      <c r="PNV701" s="1349"/>
      <c r="PNW701" s="1349"/>
      <c r="PNX701" s="1349"/>
      <c r="PNY701" s="1349"/>
      <c r="PNZ701" s="1349"/>
      <c r="POA701" s="1349"/>
      <c r="POB701" s="1349"/>
      <c r="POC701" s="1349"/>
      <c r="POD701" s="1349"/>
      <c r="POE701" s="1349"/>
      <c r="POF701" s="1349"/>
      <c r="POG701" s="1349"/>
      <c r="POH701" s="1349"/>
      <c r="POI701" s="1349"/>
      <c r="POJ701" s="1349"/>
      <c r="POK701" s="1349"/>
      <c r="POL701" s="1349"/>
      <c r="POM701" s="1349"/>
      <c r="PON701" s="1349"/>
      <c r="POO701" s="1349"/>
      <c r="POP701" s="1349"/>
      <c r="POQ701" s="1349"/>
      <c r="POR701" s="1349"/>
      <c r="POS701" s="1349"/>
      <c r="POT701" s="1349"/>
      <c r="POU701" s="1349"/>
      <c r="POV701" s="1349"/>
      <c r="POW701" s="1349"/>
      <c r="POX701" s="1349"/>
      <c r="POY701" s="1349"/>
      <c r="POZ701" s="1349"/>
      <c r="PPA701" s="1349"/>
      <c r="PPB701" s="1349"/>
      <c r="PPC701" s="1349"/>
      <c r="PPD701" s="1349"/>
      <c r="PPE701" s="1349"/>
      <c r="PPF701" s="1349"/>
      <c r="PPG701" s="1349"/>
      <c r="PPH701" s="1349"/>
      <c r="PPI701" s="1349"/>
      <c r="PPJ701" s="1349"/>
      <c r="PPK701" s="1349"/>
      <c r="PPL701" s="1349"/>
      <c r="PPM701" s="1349"/>
      <c r="PPN701" s="1349"/>
      <c r="PPO701" s="1349"/>
      <c r="PPP701" s="1349"/>
      <c r="PPQ701" s="1349"/>
      <c r="PPR701" s="1349"/>
      <c r="PPS701" s="1349"/>
      <c r="PPT701" s="1349"/>
      <c r="PPU701" s="1349"/>
      <c r="PPV701" s="1349"/>
      <c r="PPW701" s="1349"/>
      <c r="PPX701" s="1349"/>
      <c r="PPY701" s="1349"/>
      <c r="PPZ701" s="1349"/>
      <c r="PQA701" s="1349"/>
      <c r="PQB701" s="1349"/>
      <c r="PQC701" s="1349"/>
      <c r="PQD701" s="1349"/>
      <c r="PQE701" s="1349"/>
      <c r="PQF701" s="1349"/>
      <c r="PQG701" s="1349"/>
      <c r="PQH701" s="1349"/>
      <c r="PQI701" s="1349"/>
      <c r="PQJ701" s="1349"/>
      <c r="PQK701" s="1349"/>
      <c r="PQL701" s="1349"/>
      <c r="PQM701" s="1349"/>
      <c r="PQN701" s="1349"/>
      <c r="PQO701" s="1349"/>
      <c r="PQP701" s="1349"/>
      <c r="PQQ701" s="1349"/>
      <c r="PQR701" s="1349"/>
      <c r="PQS701" s="1349"/>
      <c r="PQT701" s="1349"/>
      <c r="PQU701" s="1349"/>
      <c r="PQV701" s="1349"/>
      <c r="PQW701" s="1349"/>
      <c r="PQX701" s="1349"/>
      <c r="PQY701" s="1349"/>
      <c r="PQZ701" s="1349"/>
      <c r="PRA701" s="1349"/>
      <c r="PRB701" s="1349"/>
      <c r="PRC701" s="1349"/>
      <c r="PRD701" s="1349"/>
      <c r="PRE701" s="1349"/>
      <c r="PRF701" s="1349"/>
      <c r="PRG701" s="1349"/>
      <c r="PRH701" s="1349"/>
      <c r="PRI701" s="1349"/>
      <c r="PRJ701" s="1349"/>
      <c r="PRK701" s="1349"/>
      <c r="PRL701" s="1349"/>
      <c r="PRM701" s="1349"/>
      <c r="PRN701" s="1349"/>
      <c r="PRO701" s="1349"/>
      <c r="PRP701" s="1349"/>
      <c r="PRQ701" s="1349"/>
      <c r="PRR701" s="1349"/>
      <c r="PRS701" s="1349"/>
      <c r="PRT701" s="1349"/>
      <c r="PRU701" s="1349"/>
      <c r="PRV701" s="1349"/>
      <c r="PRW701" s="1349"/>
      <c r="PRX701" s="1349"/>
      <c r="PRY701" s="1349"/>
      <c r="PRZ701" s="1349"/>
      <c r="PSA701" s="1349"/>
      <c r="PSB701" s="1349"/>
      <c r="PSC701" s="1349"/>
      <c r="PSD701" s="1349"/>
      <c r="PSE701" s="1349"/>
      <c r="PSF701" s="1349"/>
      <c r="PSG701" s="1349"/>
      <c r="PSH701" s="1349"/>
      <c r="PSI701" s="1349"/>
      <c r="PSJ701" s="1349"/>
      <c r="PSK701" s="1349"/>
      <c r="PSL701" s="1349"/>
      <c r="PSM701" s="1349"/>
      <c r="PSN701" s="1349"/>
      <c r="PSO701" s="1349"/>
      <c r="PSP701" s="1349"/>
      <c r="PSQ701" s="1349"/>
      <c r="PSR701" s="1349"/>
      <c r="PSS701" s="1349"/>
      <c r="PST701" s="1349"/>
      <c r="PSU701" s="1349"/>
      <c r="PSV701" s="1349"/>
      <c r="PSW701" s="1349"/>
      <c r="PSX701" s="1349"/>
      <c r="PSY701" s="1349"/>
      <c r="PSZ701" s="1349"/>
      <c r="PTA701" s="1349"/>
      <c r="PTB701" s="1349"/>
      <c r="PTC701" s="1349"/>
      <c r="PTD701" s="1349"/>
      <c r="PTE701" s="1349"/>
      <c r="PTF701" s="1349"/>
      <c r="PTG701" s="1349"/>
      <c r="PTH701" s="1349"/>
      <c r="PTI701" s="1349"/>
      <c r="PTJ701" s="1349"/>
      <c r="PTK701" s="1349"/>
      <c r="PTL701" s="1349"/>
      <c r="PTM701" s="1349"/>
      <c r="PTN701" s="1349"/>
      <c r="PTO701" s="1349"/>
      <c r="PTP701" s="1349"/>
      <c r="PTQ701" s="1349"/>
      <c r="PTR701" s="1349"/>
      <c r="PTS701" s="1349"/>
      <c r="PTT701" s="1349"/>
      <c r="PTU701" s="1349"/>
      <c r="PTV701" s="1349"/>
      <c r="PTW701" s="1349"/>
      <c r="PTX701" s="1349"/>
      <c r="PTY701" s="1349"/>
      <c r="PTZ701" s="1349"/>
      <c r="PUA701" s="1349"/>
      <c r="PUB701" s="1349"/>
      <c r="PUC701" s="1349"/>
      <c r="PUD701" s="1349"/>
      <c r="PUE701" s="1349"/>
      <c r="PUF701" s="1349"/>
      <c r="PUG701" s="1349"/>
      <c r="PUH701" s="1349"/>
      <c r="PUI701" s="1349"/>
      <c r="PUJ701" s="1349"/>
      <c r="PUK701" s="1349"/>
      <c r="PUL701" s="1349"/>
      <c r="PUM701" s="1349"/>
      <c r="PUN701" s="1349"/>
      <c r="PUO701" s="1349"/>
      <c r="PUP701" s="1349"/>
      <c r="PUQ701" s="1349"/>
      <c r="PUR701" s="1349"/>
      <c r="PUS701" s="1349"/>
      <c r="PUT701" s="1349"/>
      <c r="PUU701" s="1349"/>
      <c r="PUV701" s="1349"/>
      <c r="PUW701" s="1349"/>
      <c r="PUX701" s="1349"/>
      <c r="PUY701" s="1349"/>
      <c r="PUZ701" s="1349"/>
      <c r="PVA701" s="1349"/>
      <c r="PVB701" s="1349"/>
      <c r="PVC701" s="1349"/>
      <c r="PVD701" s="1349"/>
      <c r="PVE701" s="1349"/>
      <c r="PVF701" s="1349"/>
      <c r="PVG701" s="1349"/>
      <c r="PVH701" s="1349"/>
      <c r="PVI701" s="1349"/>
      <c r="PVJ701" s="1349"/>
      <c r="PVK701" s="1349"/>
      <c r="PVL701" s="1349"/>
      <c r="PVM701" s="1349"/>
      <c r="PVN701" s="1349"/>
      <c r="PVO701" s="1349"/>
      <c r="PVP701" s="1349"/>
      <c r="PVQ701" s="1349"/>
      <c r="PVR701" s="1349"/>
      <c r="PVS701" s="1349"/>
      <c r="PVT701" s="1349"/>
      <c r="PVU701" s="1349"/>
      <c r="PVV701" s="1349"/>
      <c r="PVW701" s="1349"/>
      <c r="PVX701" s="1349"/>
      <c r="PVY701" s="1349"/>
      <c r="PVZ701" s="1349"/>
      <c r="PWA701" s="1349"/>
      <c r="PWB701" s="1349"/>
      <c r="PWC701" s="1349"/>
      <c r="PWD701" s="1349"/>
      <c r="PWE701" s="1349"/>
      <c r="PWF701" s="1349"/>
      <c r="PWG701" s="1349"/>
      <c r="PWH701" s="1349"/>
      <c r="PWI701" s="1349"/>
      <c r="PWJ701" s="1349"/>
      <c r="PWK701" s="1349"/>
      <c r="PWL701" s="1349"/>
      <c r="PWM701" s="1349"/>
      <c r="PWN701" s="1349"/>
      <c r="PWO701" s="1349"/>
      <c r="PWP701" s="1349"/>
      <c r="PWQ701" s="1349"/>
      <c r="PWR701" s="1349"/>
      <c r="PWS701" s="1349"/>
      <c r="PWT701" s="1349"/>
      <c r="PWU701" s="1349"/>
      <c r="PWV701" s="1349"/>
      <c r="PWW701" s="1349"/>
      <c r="PWX701" s="1349"/>
      <c r="PWY701" s="1349"/>
      <c r="PWZ701" s="1349"/>
      <c r="PXA701" s="1349"/>
      <c r="PXB701" s="1349"/>
      <c r="PXC701" s="1349"/>
      <c r="PXD701" s="1349"/>
      <c r="PXE701" s="1349"/>
      <c r="PXF701" s="1349"/>
      <c r="PXG701" s="1349"/>
      <c r="PXH701" s="1349"/>
      <c r="PXI701" s="1349"/>
      <c r="PXJ701" s="1349"/>
      <c r="PXK701" s="1349"/>
      <c r="PXL701" s="1349"/>
      <c r="PXM701" s="1349"/>
      <c r="PXN701" s="1349"/>
      <c r="PXO701" s="1349"/>
      <c r="PXP701" s="1349"/>
      <c r="PXQ701" s="1349"/>
      <c r="PXR701" s="1349"/>
      <c r="PXS701" s="1349"/>
      <c r="PXT701" s="1349"/>
      <c r="PXU701" s="1349"/>
      <c r="PXV701" s="1349"/>
      <c r="PXW701" s="1349"/>
      <c r="PXX701" s="1349"/>
      <c r="PXY701" s="1349"/>
      <c r="PXZ701" s="1349"/>
      <c r="PYA701" s="1349"/>
      <c r="PYB701" s="1349"/>
      <c r="PYC701" s="1349"/>
      <c r="PYD701" s="1349"/>
      <c r="PYE701" s="1349"/>
      <c r="PYF701" s="1349"/>
      <c r="PYG701" s="1349"/>
      <c r="PYH701" s="1349"/>
      <c r="PYI701" s="1349"/>
      <c r="PYJ701" s="1349"/>
      <c r="PYK701" s="1349"/>
      <c r="PYL701" s="1349"/>
      <c r="PYM701" s="1349"/>
      <c r="PYN701" s="1349"/>
      <c r="PYO701" s="1349"/>
      <c r="PYP701" s="1349"/>
      <c r="PYQ701" s="1349"/>
      <c r="PYR701" s="1349"/>
      <c r="PYS701" s="1349"/>
      <c r="PYT701" s="1349"/>
      <c r="PYU701" s="1349"/>
      <c r="PYV701" s="1349"/>
      <c r="PYW701" s="1349"/>
      <c r="PYX701" s="1349"/>
      <c r="PYY701" s="1349"/>
      <c r="PYZ701" s="1349"/>
      <c r="PZA701" s="1349"/>
      <c r="PZB701" s="1349"/>
      <c r="PZC701" s="1349"/>
      <c r="PZD701" s="1349"/>
      <c r="PZE701" s="1349"/>
      <c r="PZF701" s="1349"/>
      <c r="PZG701" s="1349"/>
      <c r="PZH701" s="1349"/>
      <c r="PZI701" s="1349"/>
      <c r="PZJ701" s="1349"/>
      <c r="PZK701" s="1349"/>
      <c r="PZL701" s="1349"/>
      <c r="PZM701" s="1349"/>
      <c r="PZN701" s="1349"/>
      <c r="PZO701" s="1349"/>
      <c r="PZP701" s="1349"/>
      <c r="PZQ701" s="1349"/>
      <c r="PZR701" s="1349"/>
      <c r="PZS701" s="1349"/>
      <c r="PZT701" s="1349"/>
      <c r="PZU701" s="1349"/>
      <c r="PZV701" s="1349"/>
      <c r="PZW701" s="1349"/>
      <c r="PZX701" s="1349"/>
      <c r="PZY701" s="1349"/>
      <c r="PZZ701" s="1349"/>
      <c r="QAA701" s="1349"/>
      <c r="QAB701" s="1349"/>
      <c r="QAC701" s="1349"/>
      <c r="QAD701" s="1349"/>
      <c r="QAE701" s="1349"/>
      <c r="QAF701" s="1349"/>
      <c r="QAG701" s="1349"/>
      <c r="QAH701" s="1349"/>
      <c r="QAI701" s="1349"/>
      <c r="QAJ701" s="1349"/>
      <c r="QAK701" s="1349"/>
      <c r="QAL701" s="1349"/>
      <c r="QAM701" s="1349"/>
      <c r="QAN701" s="1349"/>
      <c r="QAO701" s="1349"/>
      <c r="QAP701" s="1349"/>
      <c r="QAQ701" s="1349"/>
      <c r="QAR701" s="1349"/>
      <c r="QAS701" s="1349"/>
      <c r="QAT701" s="1349"/>
      <c r="QAU701" s="1349"/>
      <c r="QAV701" s="1349"/>
      <c r="QAW701" s="1349"/>
      <c r="QAX701" s="1349"/>
      <c r="QAY701" s="1349"/>
      <c r="QAZ701" s="1349"/>
      <c r="QBA701" s="1349"/>
      <c r="QBB701" s="1349"/>
      <c r="QBC701" s="1349"/>
      <c r="QBD701" s="1349"/>
      <c r="QBE701" s="1349"/>
      <c r="QBF701" s="1349"/>
      <c r="QBG701" s="1349"/>
      <c r="QBH701" s="1349"/>
      <c r="QBI701" s="1349"/>
      <c r="QBJ701" s="1349"/>
      <c r="QBK701" s="1349"/>
      <c r="QBL701" s="1349"/>
      <c r="QBM701" s="1349"/>
      <c r="QBN701" s="1349"/>
      <c r="QBO701" s="1349"/>
      <c r="QBP701" s="1349"/>
      <c r="QBQ701" s="1349"/>
      <c r="QBR701" s="1349"/>
      <c r="QBS701" s="1349"/>
      <c r="QBT701" s="1349"/>
      <c r="QBU701" s="1349"/>
      <c r="QBV701" s="1349"/>
      <c r="QBW701" s="1349"/>
      <c r="QBX701" s="1349"/>
      <c r="QBY701" s="1349"/>
      <c r="QBZ701" s="1349"/>
      <c r="QCA701" s="1349"/>
      <c r="QCB701" s="1349"/>
      <c r="QCC701" s="1349"/>
      <c r="QCD701" s="1349"/>
      <c r="QCE701" s="1349"/>
      <c r="QCF701" s="1349"/>
      <c r="QCG701" s="1349"/>
      <c r="QCH701" s="1349"/>
      <c r="QCI701" s="1349"/>
      <c r="QCJ701" s="1349"/>
      <c r="QCK701" s="1349"/>
      <c r="QCL701" s="1349"/>
      <c r="QCM701" s="1349"/>
      <c r="QCN701" s="1349"/>
      <c r="QCO701" s="1349"/>
      <c r="QCP701" s="1349"/>
      <c r="QCQ701" s="1349"/>
      <c r="QCR701" s="1349"/>
      <c r="QCS701" s="1349"/>
      <c r="QCT701" s="1349"/>
      <c r="QCU701" s="1349"/>
      <c r="QCV701" s="1349"/>
      <c r="QCW701" s="1349"/>
      <c r="QCX701" s="1349"/>
      <c r="QCY701" s="1349"/>
      <c r="QCZ701" s="1349"/>
      <c r="QDA701" s="1349"/>
      <c r="QDB701" s="1349"/>
      <c r="QDC701" s="1349"/>
      <c r="QDD701" s="1349"/>
      <c r="QDE701" s="1349"/>
      <c r="QDF701" s="1349"/>
      <c r="QDG701" s="1349"/>
      <c r="QDH701" s="1349"/>
      <c r="QDI701" s="1349"/>
      <c r="QDJ701" s="1349"/>
      <c r="QDK701" s="1349"/>
      <c r="QDL701" s="1349"/>
      <c r="QDM701" s="1349"/>
      <c r="QDN701" s="1349"/>
      <c r="QDO701" s="1349"/>
      <c r="QDP701" s="1349"/>
      <c r="QDQ701" s="1349"/>
      <c r="QDR701" s="1349"/>
      <c r="QDS701" s="1349"/>
      <c r="QDT701" s="1349"/>
      <c r="QDU701" s="1349"/>
      <c r="QDV701" s="1349"/>
      <c r="QDW701" s="1349"/>
      <c r="QDX701" s="1349"/>
      <c r="QDY701" s="1349"/>
      <c r="QDZ701" s="1349"/>
      <c r="QEA701" s="1349"/>
      <c r="QEB701" s="1349"/>
      <c r="QEC701" s="1349"/>
      <c r="QED701" s="1349"/>
      <c r="QEE701" s="1349"/>
      <c r="QEF701" s="1349"/>
      <c r="QEG701" s="1349"/>
      <c r="QEH701" s="1349"/>
      <c r="QEI701" s="1349"/>
      <c r="QEJ701" s="1349"/>
      <c r="QEK701" s="1349"/>
      <c r="QEL701" s="1349"/>
      <c r="QEM701" s="1349"/>
      <c r="QEN701" s="1349"/>
      <c r="QEO701" s="1349"/>
      <c r="QEP701" s="1349"/>
      <c r="QEQ701" s="1349"/>
      <c r="QER701" s="1349"/>
      <c r="QES701" s="1349"/>
      <c r="QET701" s="1349"/>
      <c r="QEU701" s="1349"/>
      <c r="QEV701" s="1349"/>
      <c r="QEW701" s="1349"/>
      <c r="QEX701" s="1349"/>
      <c r="QEY701" s="1349"/>
      <c r="QEZ701" s="1349"/>
      <c r="QFA701" s="1349"/>
      <c r="QFB701" s="1349"/>
      <c r="QFC701" s="1349"/>
      <c r="QFD701" s="1349"/>
      <c r="QFE701" s="1349"/>
      <c r="QFF701" s="1349"/>
      <c r="QFG701" s="1349"/>
      <c r="QFH701" s="1349"/>
      <c r="QFI701" s="1349"/>
      <c r="QFJ701" s="1349"/>
      <c r="QFK701" s="1349"/>
      <c r="QFL701" s="1349"/>
      <c r="QFM701" s="1349"/>
      <c r="QFN701" s="1349"/>
      <c r="QFO701" s="1349"/>
      <c r="QFP701" s="1349"/>
      <c r="QFQ701" s="1349"/>
      <c r="QFR701" s="1349"/>
      <c r="QFS701" s="1349"/>
      <c r="QFT701" s="1349"/>
      <c r="QFU701" s="1349"/>
      <c r="QFV701" s="1349"/>
      <c r="QFW701" s="1349"/>
      <c r="QFX701" s="1349"/>
      <c r="QFY701" s="1349"/>
      <c r="QFZ701" s="1349"/>
      <c r="QGA701" s="1349"/>
      <c r="QGB701" s="1349"/>
      <c r="QGC701" s="1349"/>
      <c r="QGD701" s="1349"/>
      <c r="QGE701" s="1349"/>
      <c r="QGF701" s="1349"/>
      <c r="QGG701" s="1349"/>
      <c r="QGH701" s="1349"/>
      <c r="QGI701" s="1349"/>
      <c r="QGJ701" s="1349"/>
      <c r="QGK701" s="1349"/>
      <c r="QGL701" s="1349"/>
      <c r="QGM701" s="1349"/>
      <c r="QGN701" s="1349"/>
      <c r="QGO701" s="1349"/>
      <c r="QGP701" s="1349"/>
      <c r="QGQ701" s="1349"/>
      <c r="QGR701" s="1349"/>
      <c r="QGS701" s="1349"/>
      <c r="QGT701" s="1349"/>
      <c r="QGU701" s="1349"/>
      <c r="QGV701" s="1349"/>
      <c r="QGW701" s="1349"/>
      <c r="QGX701" s="1349"/>
      <c r="QGY701" s="1349"/>
      <c r="QGZ701" s="1349"/>
      <c r="QHA701" s="1349"/>
      <c r="QHB701" s="1349"/>
      <c r="QHC701" s="1349"/>
      <c r="QHD701" s="1349"/>
      <c r="QHE701" s="1349"/>
      <c r="QHF701" s="1349"/>
      <c r="QHG701" s="1349"/>
      <c r="QHH701" s="1349"/>
      <c r="QHI701" s="1349"/>
      <c r="QHJ701" s="1349"/>
      <c r="QHK701" s="1349"/>
      <c r="QHL701" s="1349"/>
      <c r="QHM701" s="1349"/>
      <c r="QHN701" s="1349"/>
      <c r="QHO701" s="1349"/>
      <c r="QHP701" s="1349"/>
      <c r="QHQ701" s="1349"/>
      <c r="QHR701" s="1349"/>
      <c r="QHS701" s="1349"/>
      <c r="QHT701" s="1349"/>
      <c r="QHU701" s="1349"/>
      <c r="QHV701" s="1349"/>
      <c r="QHW701" s="1349"/>
      <c r="QHX701" s="1349"/>
      <c r="QHY701" s="1349"/>
      <c r="QHZ701" s="1349"/>
      <c r="QIA701" s="1349"/>
      <c r="QIB701" s="1349"/>
      <c r="QIC701" s="1349"/>
      <c r="QID701" s="1349"/>
      <c r="QIE701" s="1349"/>
      <c r="QIF701" s="1349"/>
      <c r="QIG701" s="1349"/>
      <c r="QIH701" s="1349"/>
      <c r="QII701" s="1349"/>
      <c r="QIJ701" s="1349"/>
      <c r="QIK701" s="1349"/>
      <c r="QIL701" s="1349"/>
      <c r="QIM701" s="1349"/>
      <c r="QIN701" s="1349"/>
      <c r="QIO701" s="1349"/>
      <c r="QIP701" s="1349"/>
      <c r="QIQ701" s="1349"/>
      <c r="QIR701" s="1349"/>
      <c r="QIS701" s="1349"/>
      <c r="QIT701" s="1349"/>
      <c r="QIU701" s="1349"/>
      <c r="QIV701" s="1349"/>
      <c r="QIW701" s="1349"/>
      <c r="QIX701" s="1349"/>
      <c r="QIY701" s="1349"/>
      <c r="QIZ701" s="1349"/>
      <c r="QJA701" s="1349"/>
      <c r="QJB701" s="1349"/>
      <c r="QJC701" s="1349"/>
      <c r="QJD701" s="1349"/>
      <c r="QJE701" s="1349"/>
      <c r="QJF701" s="1349"/>
      <c r="QJG701" s="1349"/>
      <c r="QJH701" s="1349"/>
      <c r="QJI701" s="1349"/>
      <c r="QJJ701" s="1349"/>
      <c r="QJK701" s="1349"/>
      <c r="QJL701" s="1349"/>
      <c r="QJM701" s="1349"/>
      <c r="QJN701" s="1349"/>
      <c r="QJO701" s="1349"/>
      <c r="QJP701" s="1349"/>
      <c r="QJQ701" s="1349"/>
      <c r="QJR701" s="1349"/>
      <c r="QJS701" s="1349"/>
      <c r="QJT701" s="1349"/>
      <c r="QJU701" s="1349"/>
      <c r="QJV701" s="1349"/>
      <c r="QJW701" s="1349"/>
      <c r="QJX701" s="1349"/>
      <c r="QJY701" s="1349"/>
      <c r="QJZ701" s="1349"/>
      <c r="QKA701" s="1349"/>
      <c r="QKB701" s="1349"/>
      <c r="QKC701" s="1349"/>
      <c r="QKD701" s="1349"/>
      <c r="QKE701" s="1349"/>
      <c r="QKF701" s="1349"/>
      <c r="QKG701" s="1349"/>
      <c r="QKH701" s="1349"/>
      <c r="QKI701" s="1349"/>
      <c r="QKJ701" s="1349"/>
      <c r="QKK701" s="1349"/>
      <c r="QKL701" s="1349"/>
      <c r="QKM701" s="1349"/>
      <c r="QKN701" s="1349"/>
      <c r="QKO701" s="1349"/>
      <c r="QKP701" s="1349"/>
      <c r="QKQ701" s="1349"/>
      <c r="QKR701" s="1349"/>
      <c r="QKS701" s="1349"/>
      <c r="QKT701" s="1349"/>
      <c r="QKU701" s="1349"/>
      <c r="QKV701" s="1349"/>
      <c r="QKW701" s="1349"/>
      <c r="QKX701" s="1349"/>
      <c r="QKY701" s="1349"/>
      <c r="QKZ701" s="1349"/>
      <c r="QLA701" s="1349"/>
      <c r="QLB701" s="1349"/>
      <c r="QLC701" s="1349"/>
      <c r="QLD701" s="1349"/>
      <c r="QLE701" s="1349"/>
      <c r="QLF701" s="1349"/>
      <c r="QLG701" s="1349"/>
      <c r="QLH701" s="1349"/>
      <c r="QLI701" s="1349"/>
      <c r="QLJ701" s="1349"/>
      <c r="QLK701" s="1349"/>
      <c r="QLL701" s="1349"/>
      <c r="QLM701" s="1349"/>
      <c r="QLN701" s="1349"/>
      <c r="QLO701" s="1349"/>
      <c r="QLP701" s="1349"/>
      <c r="QLQ701" s="1349"/>
      <c r="QLR701" s="1349"/>
      <c r="QLS701" s="1349"/>
      <c r="QLT701" s="1349"/>
      <c r="QLU701" s="1349"/>
      <c r="QLV701" s="1349"/>
      <c r="QLW701" s="1349"/>
      <c r="QLX701" s="1349"/>
      <c r="QLY701" s="1349"/>
      <c r="QLZ701" s="1349"/>
      <c r="QMA701" s="1349"/>
      <c r="QMB701" s="1349"/>
      <c r="QMC701" s="1349"/>
      <c r="QMD701" s="1349"/>
      <c r="QME701" s="1349"/>
      <c r="QMF701" s="1349"/>
      <c r="QMG701" s="1349"/>
      <c r="QMH701" s="1349"/>
      <c r="QMI701" s="1349"/>
      <c r="QMJ701" s="1349"/>
      <c r="QMK701" s="1349"/>
      <c r="QML701" s="1349"/>
      <c r="QMM701" s="1349"/>
      <c r="QMN701" s="1349"/>
      <c r="QMO701" s="1349"/>
      <c r="QMP701" s="1349"/>
      <c r="QMQ701" s="1349"/>
      <c r="QMR701" s="1349"/>
      <c r="QMS701" s="1349"/>
      <c r="QMT701" s="1349"/>
      <c r="QMU701" s="1349"/>
      <c r="QMV701" s="1349"/>
      <c r="QMW701" s="1349"/>
      <c r="QMX701" s="1349"/>
      <c r="QMY701" s="1349"/>
      <c r="QMZ701" s="1349"/>
      <c r="QNA701" s="1349"/>
      <c r="QNB701" s="1349"/>
      <c r="QNC701" s="1349"/>
      <c r="QND701" s="1349"/>
      <c r="QNE701" s="1349"/>
      <c r="QNF701" s="1349"/>
      <c r="QNG701" s="1349"/>
      <c r="QNH701" s="1349"/>
      <c r="QNI701" s="1349"/>
      <c r="QNJ701" s="1349"/>
      <c r="QNK701" s="1349"/>
      <c r="QNL701" s="1349"/>
      <c r="QNM701" s="1349"/>
      <c r="QNN701" s="1349"/>
      <c r="QNO701" s="1349"/>
      <c r="QNP701" s="1349"/>
      <c r="QNQ701" s="1349"/>
      <c r="QNR701" s="1349"/>
      <c r="QNS701" s="1349"/>
      <c r="QNT701" s="1349"/>
      <c r="QNU701" s="1349"/>
      <c r="QNV701" s="1349"/>
      <c r="QNW701" s="1349"/>
      <c r="QNX701" s="1349"/>
      <c r="QNY701" s="1349"/>
      <c r="QNZ701" s="1349"/>
      <c r="QOA701" s="1349"/>
      <c r="QOB701" s="1349"/>
      <c r="QOC701" s="1349"/>
      <c r="QOD701" s="1349"/>
      <c r="QOE701" s="1349"/>
      <c r="QOF701" s="1349"/>
      <c r="QOG701" s="1349"/>
      <c r="QOH701" s="1349"/>
      <c r="QOI701" s="1349"/>
      <c r="QOJ701" s="1349"/>
      <c r="QOK701" s="1349"/>
      <c r="QOL701" s="1349"/>
      <c r="QOM701" s="1349"/>
      <c r="QON701" s="1349"/>
      <c r="QOO701" s="1349"/>
      <c r="QOP701" s="1349"/>
      <c r="QOQ701" s="1349"/>
      <c r="QOR701" s="1349"/>
      <c r="QOS701" s="1349"/>
      <c r="QOT701" s="1349"/>
      <c r="QOU701" s="1349"/>
      <c r="QOV701" s="1349"/>
      <c r="QOW701" s="1349"/>
      <c r="QOX701" s="1349"/>
      <c r="QOY701" s="1349"/>
      <c r="QOZ701" s="1349"/>
      <c r="QPA701" s="1349"/>
      <c r="QPB701" s="1349"/>
      <c r="QPC701" s="1349"/>
      <c r="QPD701" s="1349"/>
      <c r="QPE701" s="1349"/>
      <c r="QPF701" s="1349"/>
      <c r="QPG701" s="1349"/>
      <c r="QPH701" s="1349"/>
      <c r="QPI701" s="1349"/>
      <c r="QPJ701" s="1349"/>
      <c r="QPK701" s="1349"/>
      <c r="QPL701" s="1349"/>
      <c r="QPM701" s="1349"/>
      <c r="QPN701" s="1349"/>
      <c r="QPO701" s="1349"/>
      <c r="QPP701" s="1349"/>
      <c r="QPQ701" s="1349"/>
      <c r="QPR701" s="1349"/>
      <c r="QPS701" s="1349"/>
      <c r="QPT701" s="1349"/>
      <c r="QPU701" s="1349"/>
      <c r="QPV701" s="1349"/>
      <c r="QPW701" s="1349"/>
      <c r="QPX701" s="1349"/>
      <c r="QPY701" s="1349"/>
      <c r="QPZ701" s="1349"/>
      <c r="QQA701" s="1349"/>
      <c r="QQB701" s="1349"/>
      <c r="QQC701" s="1349"/>
      <c r="QQD701" s="1349"/>
      <c r="QQE701" s="1349"/>
      <c r="QQF701" s="1349"/>
      <c r="QQG701" s="1349"/>
      <c r="QQH701" s="1349"/>
      <c r="QQI701" s="1349"/>
      <c r="QQJ701" s="1349"/>
      <c r="QQK701" s="1349"/>
      <c r="QQL701" s="1349"/>
      <c r="QQM701" s="1349"/>
      <c r="QQN701" s="1349"/>
      <c r="QQO701" s="1349"/>
      <c r="QQP701" s="1349"/>
      <c r="QQQ701" s="1349"/>
      <c r="QQR701" s="1349"/>
      <c r="QQS701" s="1349"/>
      <c r="QQT701" s="1349"/>
      <c r="QQU701" s="1349"/>
      <c r="QQV701" s="1349"/>
      <c r="QQW701" s="1349"/>
      <c r="QQX701" s="1349"/>
      <c r="QQY701" s="1349"/>
      <c r="QQZ701" s="1349"/>
      <c r="QRA701" s="1349"/>
      <c r="QRB701" s="1349"/>
      <c r="QRC701" s="1349"/>
      <c r="QRD701" s="1349"/>
      <c r="QRE701" s="1349"/>
      <c r="QRF701" s="1349"/>
      <c r="QRG701" s="1349"/>
      <c r="QRH701" s="1349"/>
      <c r="QRI701" s="1349"/>
      <c r="QRJ701" s="1349"/>
      <c r="QRK701" s="1349"/>
      <c r="QRL701" s="1349"/>
      <c r="QRM701" s="1349"/>
      <c r="QRN701" s="1349"/>
      <c r="QRO701" s="1349"/>
      <c r="QRP701" s="1349"/>
      <c r="QRQ701" s="1349"/>
      <c r="QRR701" s="1349"/>
      <c r="QRS701" s="1349"/>
      <c r="QRT701" s="1349"/>
      <c r="QRU701" s="1349"/>
      <c r="QRV701" s="1349"/>
      <c r="QRW701" s="1349"/>
      <c r="QRX701" s="1349"/>
      <c r="QRY701" s="1349"/>
      <c r="QRZ701" s="1349"/>
      <c r="QSA701" s="1349"/>
      <c r="QSB701" s="1349"/>
      <c r="QSC701" s="1349"/>
      <c r="QSD701" s="1349"/>
      <c r="QSE701" s="1349"/>
      <c r="QSF701" s="1349"/>
      <c r="QSG701" s="1349"/>
      <c r="QSH701" s="1349"/>
      <c r="QSI701" s="1349"/>
      <c r="QSJ701" s="1349"/>
      <c r="QSK701" s="1349"/>
      <c r="QSL701" s="1349"/>
      <c r="QSM701" s="1349"/>
      <c r="QSN701" s="1349"/>
      <c r="QSO701" s="1349"/>
      <c r="QSP701" s="1349"/>
      <c r="QSQ701" s="1349"/>
      <c r="QSR701" s="1349"/>
      <c r="QSS701" s="1349"/>
      <c r="QST701" s="1349"/>
      <c r="QSU701" s="1349"/>
      <c r="QSV701" s="1349"/>
      <c r="QSW701" s="1349"/>
      <c r="QSX701" s="1349"/>
      <c r="QSY701" s="1349"/>
      <c r="QSZ701" s="1349"/>
      <c r="QTA701" s="1349"/>
      <c r="QTB701" s="1349"/>
      <c r="QTC701" s="1349"/>
      <c r="QTD701" s="1349"/>
      <c r="QTE701" s="1349"/>
      <c r="QTF701" s="1349"/>
      <c r="QTG701" s="1349"/>
      <c r="QTH701" s="1349"/>
      <c r="QTI701" s="1349"/>
      <c r="QTJ701" s="1349"/>
      <c r="QTK701" s="1349"/>
      <c r="QTL701" s="1349"/>
      <c r="QTM701" s="1349"/>
      <c r="QTN701" s="1349"/>
      <c r="QTO701" s="1349"/>
      <c r="QTP701" s="1349"/>
      <c r="QTQ701" s="1349"/>
      <c r="QTR701" s="1349"/>
      <c r="QTS701" s="1349"/>
      <c r="QTT701" s="1349"/>
      <c r="QTU701" s="1349"/>
      <c r="QTV701" s="1349"/>
      <c r="QTW701" s="1349"/>
      <c r="QTX701" s="1349"/>
      <c r="QTY701" s="1349"/>
      <c r="QTZ701" s="1349"/>
      <c r="QUA701" s="1349"/>
      <c r="QUB701" s="1349"/>
      <c r="QUC701" s="1349"/>
      <c r="QUD701" s="1349"/>
      <c r="QUE701" s="1349"/>
      <c r="QUF701" s="1349"/>
      <c r="QUG701" s="1349"/>
      <c r="QUH701" s="1349"/>
      <c r="QUI701" s="1349"/>
      <c r="QUJ701" s="1349"/>
      <c r="QUK701" s="1349"/>
      <c r="QUL701" s="1349"/>
      <c r="QUM701" s="1349"/>
      <c r="QUN701" s="1349"/>
      <c r="QUO701" s="1349"/>
      <c r="QUP701" s="1349"/>
      <c r="QUQ701" s="1349"/>
      <c r="QUR701" s="1349"/>
      <c r="QUS701" s="1349"/>
      <c r="QUT701" s="1349"/>
      <c r="QUU701" s="1349"/>
      <c r="QUV701" s="1349"/>
      <c r="QUW701" s="1349"/>
      <c r="QUX701" s="1349"/>
      <c r="QUY701" s="1349"/>
      <c r="QUZ701" s="1349"/>
      <c r="QVA701" s="1349"/>
      <c r="QVB701" s="1349"/>
      <c r="QVC701" s="1349"/>
      <c r="QVD701" s="1349"/>
      <c r="QVE701" s="1349"/>
      <c r="QVF701" s="1349"/>
      <c r="QVG701" s="1349"/>
      <c r="QVH701" s="1349"/>
      <c r="QVI701" s="1349"/>
      <c r="QVJ701" s="1349"/>
      <c r="QVK701" s="1349"/>
      <c r="QVL701" s="1349"/>
      <c r="QVM701" s="1349"/>
      <c r="QVN701" s="1349"/>
      <c r="QVO701" s="1349"/>
      <c r="QVP701" s="1349"/>
      <c r="QVQ701" s="1349"/>
      <c r="QVR701" s="1349"/>
      <c r="QVS701" s="1349"/>
      <c r="QVT701" s="1349"/>
      <c r="QVU701" s="1349"/>
      <c r="QVV701" s="1349"/>
      <c r="QVW701" s="1349"/>
      <c r="QVX701" s="1349"/>
      <c r="QVY701" s="1349"/>
      <c r="QVZ701" s="1349"/>
      <c r="QWA701" s="1349"/>
      <c r="QWB701" s="1349"/>
      <c r="QWC701" s="1349"/>
      <c r="QWD701" s="1349"/>
      <c r="QWE701" s="1349"/>
      <c r="QWF701" s="1349"/>
      <c r="QWG701" s="1349"/>
      <c r="QWH701" s="1349"/>
      <c r="QWI701" s="1349"/>
      <c r="QWJ701" s="1349"/>
      <c r="QWK701" s="1349"/>
      <c r="QWL701" s="1349"/>
      <c r="QWM701" s="1349"/>
      <c r="QWN701" s="1349"/>
      <c r="QWO701" s="1349"/>
      <c r="QWP701" s="1349"/>
      <c r="QWQ701" s="1349"/>
      <c r="QWR701" s="1349"/>
      <c r="QWS701" s="1349"/>
      <c r="QWT701" s="1349"/>
      <c r="QWU701" s="1349"/>
      <c r="QWV701" s="1349"/>
      <c r="QWW701" s="1349"/>
      <c r="QWX701" s="1349"/>
      <c r="QWY701" s="1349"/>
      <c r="QWZ701" s="1349"/>
      <c r="QXA701" s="1349"/>
      <c r="QXB701" s="1349"/>
      <c r="QXC701" s="1349"/>
      <c r="QXD701" s="1349"/>
      <c r="QXE701" s="1349"/>
      <c r="QXF701" s="1349"/>
      <c r="QXG701" s="1349"/>
      <c r="QXH701" s="1349"/>
      <c r="QXI701" s="1349"/>
      <c r="QXJ701" s="1349"/>
      <c r="QXK701" s="1349"/>
      <c r="QXL701" s="1349"/>
      <c r="QXM701" s="1349"/>
      <c r="QXN701" s="1349"/>
      <c r="QXO701" s="1349"/>
      <c r="QXP701" s="1349"/>
      <c r="QXQ701" s="1349"/>
      <c r="QXR701" s="1349"/>
      <c r="QXS701" s="1349"/>
      <c r="QXT701" s="1349"/>
      <c r="QXU701" s="1349"/>
      <c r="QXV701" s="1349"/>
      <c r="QXW701" s="1349"/>
      <c r="QXX701" s="1349"/>
      <c r="QXY701" s="1349"/>
      <c r="QXZ701" s="1349"/>
      <c r="QYA701" s="1349"/>
      <c r="QYB701" s="1349"/>
      <c r="QYC701" s="1349"/>
      <c r="QYD701" s="1349"/>
      <c r="QYE701" s="1349"/>
      <c r="QYF701" s="1349"/>
      <c r="QYG701" s="1349"/>
      <c r="QYH701" s="1349"/>
      <c r="QYI701" s="1349"/>
      <c r="QYJ701" s="1349"/>
      <c r="QYK701" s="1349"/>
      <c r="QYL701" s="1349"/>
      <c r="QYM701" s="1349"/>
      <c r="QYN701" s="1349"/>
      <c r="QYO701" s="1349"/>
      <c r="QYP701" s="1349"/>
      <c r="QYQ701" s="1349"/>
      <c r="QYR701" s="1349"/>
      <c r="QYS701" s="1349"/>
      <c r="QYT701" s="1349"/>
      <c r="QYU701" s="1349"/>
      <c r="QYV701" s="1349"/>
      <c r="QYW701" s="1349"/>
      <c r="QYX701" s="1349"/>
      <c r="QYY701" s="1349"/>
      <c r="QYZ701" s="1349"/>
      <c r="QZA701" s="1349"/>
      <c r="QZB701" s="1349"/>
      <c r="QZC701" s="1349"/>
      <c r="QZD701" s="1349"/>
      <c r="QZE701" s="1349"/>
      <c r="QZF701" s="1349"/>
      <c r="QZG701" s="1349"/>
      <c r="QZH701" s="1349"/>
      <c r="QZI701" s="1349"/>
      <c r="QZJ701" s="1349"/>
      <c r="QZK701" s="1349"/>
      <c r="QZL701" s="1349"/>
      <c r="QZM701" s="1349"/>
      <c r="QZN701" s="1349"/>
      <c r="QZO701" s="1349"/>
      <c r="QZP701" s="1349"/>
      <c r="QZQ701" s="1349"/>
      <c r="QZR701" s="1349"/>
      <c r="QZS701" s="1349"/>
      <c r="QZT701" s="1349"/>
      <c r="QZU701" s="1349"/>
      <c r="QZV701" s="1349"/>
      <c r="QZW701" s="1349"/>
      <c r="QZX701" s="1349"/>
      <c r="QZY701" s="1349"/>
      <c r="QZZ701" s="1349"/>
      <c r="RAA701" s="1349"/>
      <c r="RAB701" s="1349"/>
      <c r="RAC701" s="1349"/>
      <c r="RAD701" s="1349"/>
      <c r="RAE701" s="1349"/>
      <c r="RAF701" s="1349"/>
      <c r="RAG701" s="1349"/>
      <c r="RAH701" s="1349"/>
      <c r="RAI701" s="1349"/>
      <c r="RAJ701" s="1349"/>
      <c r="RAK701" s="1349"/>
      <c r="RAL701" s="1349"/>
      <c r="RAM701" s="1349"/>
      <c r="RAN701" s="1349"/>
      <c r="RAO701" s="1349"/>
      <c r="RAP701" s="1349"/>
      <c r="RAQ701" s="1349"/>
      <c r="RAR701" s="1349"/>
      <c r="RAS701" s="1349"/>
      <c r="RAT701" s="1349"/>
      <c r="RAU701" s="1349"/>
      <c r="RAV701" s="1349"/>
      <c r="RAW701" s="1349"/>
      <c r="RAX701" s="1349"/>
      <c r="RAY701" s="1349"/>
      <c r="RAZ701" s="1349"/>
      <c r="RBA701" s="1349"/>
      <c r="RBB701" s="1349"/>
      <c r="RBC701" s="1349"/>
      <c r="RBD701" s="1349"/>
      <c r="RBE701" s="1349"/>
      <c r="RBF701" s="1349"/>
      <c r="RBG701" s="1349"/>
      <c r="RBH701" s="1349"/>
      <c r="RBI701" s="1349"/>
      <c r="RBJ701" s="1349"/>
      <c r="RBK701" s="1349"/>
      <c r="RBL701" s="1349"/>
      <c r="RBM701" s="1349"/>
      <c r="RBN701" s="1349"/>
      <c r="RBO701" s="1349"/>
      <c r="RBP701" s="1349"/>
      <c r="RBQ701" s="1349"/>
      <c r="RBR701" s="1349"/>
      <c r="RBS701" s="1349"/>
      <c r="RBT701" s="1349"/>
      <c r="RBU701" s="1349"/>
      <c r="RBV701" s="1349"/>
      <c r="RBW701" s="1349"/>
      <c r="RBX701" s="1349"/>
      <c r="RBY701" s="1349"/>
      <c r="RBZ701" s="1349"/>
      <c r="RCA701" s="1349"/>
      <c r="RCB701" s="1349"/>
      <c r="RCC701" s="1349"/>
      <c r="RCD701" s="1349"/>
      <c r="RCE701" s="1349"/>
      <c r="RCF701" s="1349"/>
      <c r="RCG701" s="1349"/>
      <c r="RCH701" s="1349"/>
      <c r="RCI701" s="1349"/>
      <c r="RCJ701" s="1349"/>
      <c r="RCK701" s="1349"/>
      <c r="RCL701" s="1349"/>
      <c r="RCM701" s="1349"/>
      <c r="RCN701" s="1349"/>
      <c r="RCO701" s="1349"/>
      <c r="RCP701" s="1349"/>
      <c r="RCQ701" s="1349"/>
      <c r="RCR701" s="1349"/>
      <c r="RCS701" s="1349"/>
      <c r="RCT701" s="1349"/>
      <c r="RCU701" s="1349"/>
      <c r="RCV701" s="1349"/>
      <c r="RCW701" s="1349"/>
      <c r="RCX701" s="1349"/>
      <c r="RCY701" s="1349"/>
      <c r="RCZ701" s="1349"/>
      <c r="RDA701" s="1349"/>
      <c r="RDB701" s="1349"/>
      <c r="RDC701" s="1349"/>
      <c r="RDD701" s="1349"/>
      <c r="RDE701" s="1349"/>
      <c r="RDF701" s="1349"/>
      <c r="RDG701" s="1349"/>
      <c r="RDH701" s="1349"/>
      <c r="RDI701" s="1349"/>
      <c r="RDJ701" s="1349"/>
      <c r="RDK701" s="1349"/>
      <c r="RDL701" s="1349"/>
      <c r="RDM701" s="1349"/>
      <c r="RDN701" s="1349"/>
      <c r="RDO701" s="1349"/>
      <c r="RDP701" s="1349"/>
      <c r="RDQ701" s="1349"/>
      <c r="RDR701" s="1349"/>
      <c r="RDS701" s="1349"/>
      <c r="RDT701" s="1349"/>
      <c r="RDU701" s="1349"/>
      <c r="RDV701" s="1349"/>
      <c r="RDW701" s="1349"/>
      <c r="RDX701" s="1349"/>
      <c r="RDY701" s="1349"/>
      <c r="RDZ701" s="1349"/>
      <c r="REA701" s="1349"/>
      <c r="REB701" s="1349"/>
      <c r="REC701" s="1349"/>
      <c r="RED701" s="1349"/>
      <c r="REE701" s="1349"/>
      <c r="REF701" s="1349"/>
      <c r="REG701" s="1349"/>
      <c r="REH701" s="1349"/>
      <c r="REI701" s="1349"/>
      <c r="REJ701" s="1349"/>
      <c r="REK701" s="1349"/>
      <c r="REL701" s="1349"/>
      <c r="REM701" s="1349"/>
      <c r="REN701" s="1349"/>
      <c r="REO701" s="1349"/>
      <c r="REP701" s="1349"/>
      <c r="REQ701" s="1349"/>
      <c r="RER701" s="1349"/>
      <c r="RES701" s="1349"/>
      <c r="RET701" s="1349"/>
      <c r="REU701" s="1349"/>
      <c r="REV701" s="1349"/>
      <c r="REW701" s="1349"/>
      <c r="REX701" s="1349"/>
      <c r="REY701" s="1349"/>
      <c r="REZ701" s="1349"/>
      <c r="RFA701" s="1349"/>
      <c r="RFB701" s="1349"/>
      <c r="RFC701" s="1349"/>
      <c r="RFD701" s="1349"/>
      <c r="RFE701" s="1349"/>
      <c r="RFF701" s="1349"/>
      <c r="RFG701" s="1349"/>
      <c r="RFH701" s="1349"/>
      <c r="RFI701" s="1349"/>
      <c r="RFJ701" s="1349"/>
      <c r="RFK701" s="1349"/>
      <c r="RFL701" s="1349"/>
      <c r="RFM701" s="1349"/>
      <c r="RFN701" s="1349"/>
      <c r="RFO701" s="1349"/>
      <c r="RFP701" s="1349"/>
      <c r="RFQ701" s="1349"/>
      <c r="RFR701" s="1349"/>
      <c r="RFS701" s="1349"/>
      <c r="RFT701" s="1349"/>
      <c r="RFU701" s="1349"/>
      <c r="RFV701" s="1349"/>
      <c r="RFW701" s="1349"/>
      <c r="RFX701" s="1349"/>
      <c r="RFY701" s="1349"/>
      <c r="RFZ701" s="1349"/>
      <c r="RGA701" s="1349"/>
      <c r="RGB701" s="1349"/>
      <c r="RGC701" s="1349"/>
      <c r="RGD701" s="1349"/>
      <c r="RGE701" s="1349"/>
      <c r="RGF701" s="1349"/>
      <c r="RGG701" s="1349"/>
      <c r="RGH701" s="1349"/>
      <c r="RGI701" s="1349"/>
      <c r="RGJ701" s="1349"/>
      <c r="RGK701" s="1349"/>
      <c r="RGL701" s="1349"/>
      <c r="RGM701" s="1349"/>
      <c r="RGN701" s="1349"/>
      <c r="RGO701" s="1349"/>
      <c r="RGP701" s="1349"/>
      <c r="RGQ701" s="1349"/>
      <c r="RGR701" s="1349"/>
      <c r="RGS701" s="1349"/>
      <c r="RGT701" s="1349"/>
      <c r="RGU701" s="1349"/>
      <c r="RGV701" s="1349"/>
      <c r="RGW701" s="1349"/>
      <c r="RGX701" s="1349"/>
      <c r="RGY701" s="1349"/>
      <c r="RGZ701" s="1349"/>
      <c r="RHA701" s="1349"/>
      <c r="RHB701" s="1349"/>
      <c r="RHC701" s="1349"/>
      <c r="RHD701" s="1349"/>
      <c r="RHE701" s="1349"/>
      <c r="RHF701" s="1349"/>
      <c r="RHG701" s="1349"/>
      <c r="RHH701" s="1349"/>
      <c r="RHI701" s="1349"/>
      <c r="RHJ701" s="1349"/>
      <c r="RHK701" s="1349"/>
      <c r="RHL701" s="1349"/>
      <c r="RHM701" s="1349"/>
      <c r="RHN701" s="1349"/>
      <c r="RHO701" s="1349"/>
      <c r="RHP701" s="1349"/>
      <c r="RHQ701" s="1349"/>
      <c r="RHR701" s="1349"/>
      <c r="RHS701" s="1349"/>
      <c r="RHT701" s="1349"/>
      <c r="RHU701" s="1349"/>
      <c r="RHV701" s="1349"/>
      <c r="RHW701" s="1349"/>
      <c r="RHX701" s="1349"/>
      <c r="RHY701" s="1349"/>
      <c r="RHZ701" s="1349"/>
      <c r="RIA701" s="1349"/>
      <c r="RIB701" s="1349"/>
      <c r="RIC701" s="1349"/>
      <c r="RID701" s="1349"/>
      <c r="RIE701" s="1349"/>
      <c r="RIF701" s="1349"/>
      <c r="RIG701" s="1349"/>
      <c r="RIH701" s="1349"/>
      <c r="RII701" s="1349"/>
      <c r="RIJ701" s="1349"/>
      <c r="RIK701" s="1349"/>
      <c r="RIL701" s="1349"/>
      <c r="RIM701" s="1349"/>
      <c r="RIN701" s="1349"/>
      <c r="RIO701" s="1349"/>
      <c r="RIP701" s="1349"/>
      <c r="RIQ701" s="1349"/>
      <c r="RIR701" s="1349"/>
      <c r="RIS701" s="1349"/>
      <c r="RIT701" s="1349"/>
      <c r="RIU701" s="1349"/>
      <c r="RIV701" s="1349"/>
      <c r="RIW701" s="1349"/>
      <c r="RIX701" s="1349"/>
      <c r="RIY701" s="1349"/>
      <c r="RIZ701" s="1349"/>
      <c r="RJA701" s="1349"/>
      <c r="RJB701" s="1349"/>
      <c r="RJC701" s="1349"/>
      <c r="RJD701" s="1349"/>
      <c r="RJE701" s="1349"/>
      <c r="RJF701" s="1349"/>
      <c r="RJG701" s="1349"/>
      <c r="RJH701" s="1349"/>
      <c r="RJI701" s="1349"/>
      <c r="RJJ701" s="1349"/>
      <c r="RJK701" s="1349"/>
      <c r="RJL701" s="1349"/>
      <c r="RJM701" s="1349"/>
      <c r="RJN701" s="1349"/>
      <c r="RJO701" s="1349"/>
      <c r="RJP701" s="1349"/>
      <c r="RJQ701" s="1349"/>
      <c r="RJR701" s="1349"/>
      <c r="RJS701" s="1349"/>
      <c r="RJT701" s="1349"/>
      <c r="RJU701" s="1349"/>
      <c r="RJV701" s="1349"/>
      <c r="RJW701" s="1349"/>
      <c r="RJX701" s="1349"/>
      <c r="RJY701" s="1349"/>
      <c r="RJZ701" s="1349"/>
      <c r="RKA701" s="1349"/>
      <c r="RKB701" s="1349"/>
      <c r="RKC701" s="1349"/>
      <c r="RKD701" s="1349"/>
      <c r="RKE701" s="1349"/>
      <c r="RKF701" s="1349"/>
      <c r="RKG701" s="1349"/>
      <c r="RKH701" s="1349"/>
      <c r="RKI701" s="1349"/>
      <c r="RKJ701" s="1349"/>
      <c r="RKK701" s="1349"/>
      <c r="RKL701" s="1349"/>
      <c r="RKM701" s="1349"/>
      <c r="RKN701" s="1349"/>
      <c r="RKO701" s="1349"/>
      <c r="RKP701" s="1349"/>
      <c r="RKQ701" s="1349"/>
      <c r="RKR701" s="1349"/>
      <c r="RKS701" s="1349"/>
      <c r="RKT701" s="1349"/>
      <c r="RKU701" s="1349"/>
      <c r="RKV701" s="1349"/>
      <c r="RKW701" s="1349"/>
      <c r="RKX701" s="1349"/>
      <c r="RKY701" s="1349"/>
      <c r="RKZ701" s="1349"/>
      <c r="RLA701" s="1349"/>
      <c r="RLB701" s="1349"/>
      <c r="RLC701" s="1349"/>
      <c r="RLD701" s="1349"/>
      <c r="RLE701" s="1349"/>
      <c r="RLF701" s="1349"/>
      <c r="RLG701" s="1349"/>
      <c r="RLH701" s="1349"/>
      <c r="RLI701" s="1349"/>
      <c r="RLJ701" s="1349"/>
      <c r="RLK701" s="1349"/>
      <c r="RLL701" s="1349"/>
      <c r="RLM701" s="1349"/>
      <c r="RLN701" s="1349"/>
      <c r="RLO701" s="1349"/>
      <c r="RLP701" s="1349"/>
      <c r="RLQ701" s="1349"/>
      <c r="RLR701" s="1349"/>
      <c r="RLS701" s="1349"/>
      <c r="RLT701" s="1349"/>
      <c r="RLU701" s="1349"/>
      <c r="RLV701" s="1349"/>
      <c r="RLW701" s="1349"/>
      <c r="RLX701" s="1349"/>
      <c r="RLY701" s="1349"/>
      <c r="RLZ701" s="1349"/>
      <c r="RMA701" s="1349"/>
      <c r="RMB701" s="1349"/>
      <c r="RMC701" s="1349"/>
      <c r="RMD701" s="1349"/>
      <c r="RME701" s="1349"/>
      <c r="RMF701" s="1349"/>
      <c r="RMG701" s="1349"/>
      <c r="RMH701" s="1349"/>
      <c r="RMI701" s="1349"/>
      <c r="RMJ701" s="1349"/>
      <c r="RMK701" s="1349"/>
      <c r="RML701" s="1349"/>
      <c r="RMM701" s="1349"/>
      <c r="RMN701" s="1349"/>
      <c r="RMO701" s="1349"/>
      <c r="RMP701" s="1349"/>
      <c r="RMQ701" s="1349"/>
      <c r="RMR701" s="1349"/>
      <c r="RMS701" s="1349"/>
      <c r="RMT701" s="1349"/>
      <c r="RMU701" s="1349"/>
      <c r="RMV701" s="1349"/>
      <c r="RMW701" s="1349"/>
      <c r="RMX701" s="1349"/>
      <c r="RMY701" s="1349"/>
      <c r="RMZ701" s="1349"/>
      <c r="RNA701" s="1349"/>
      <c r="RNB701" s="1349"/>
      <c r="RNC701" s="1349"/>
      <c r="RND701" s="1349"/>
      <c r="RNE701" s="1349"/>
      <c r="RNF701" s="1349"/>
      <c r="RNG701" s="1349"/>
      <c r="RNH701" s="1349"/>
      <c r="RNI701" s="1349"/>
      <c r="RNJ701" s="1349"/>
      <c r="RNK701" s="1349"/>
      <c r="RNL701" s="1349"/>
      <c r="RNM701" s="1349"/>
      <c r="RNN701" s="1349"/>
      <c r="RNO701" s="1349"/>
      <c r="RNP701" s="1349"/>
      <c r="RNQ701" s="1349"/>
      <c r="RNR701" s="1349"/>
      <c r="RNS701" s="1349"/>
      <c r="RNT701" s="1349"/>
      <c r="RNU701" s="1349"/>
      <c r="RNV701" s="1349"/>
      <c r="RNW701" s="1349"/>
      <c r="RNX701" s="1349"/>
      <c r="RNY701" s="1349"/>
      <c r="RNZ701" s="1349"/>
      <c r="ROA701" s="1349"/>
      <c r="ROB701" s="1349"/>
      <c r="ROC701" s="1349"/>
      <c r="ROD701" s="1349"/>
      <c r="ROE701" s="1349"/>
      <c r="ROF701" s="1349"/>
      <c r="ROG701" s="1349"/>
      <c r="ROH701" s="1349"/>
      <c r="ROI701" s="1349"/>
      <c r="ROJ701" s="1349"/>
      <c r="ROK701" s="1349"/>
      <c r="ROL701" s="1349"/>
      <c r="ROM701" s="1349"/>
      <c r="RON701" s="1349"/>
      <c r="ROO701" s="1349"/>
      <c r="ROP701" s="1349"/>
      <c r="ROQ701" s="1349"/>
      <c r="ROR701" s="1349"/>
      <c r="ROS701" s="1349"/>
      <c r="ROT701" s="1349"/>
      <c r="ROU701" s="1349"/>
      <c r="ROV701" s="1349"/>
      <c r="ROW701" s="1349"/>
      <c r="ROX701" s="1349"/>
      <c r="ROY701" s="1349"/>
      <c r="ROZ701" s="1349"/>
      <c r="RPA701" s="1349"/>
      <c r="RPB701" s="1349"/>
      <c r="RPC701" s="1349"/>
      <c r="RPD701" s="1349"/>
      <c r="RPE701" s="1349"/>
      <c r="RPF701" s="1349"/>
      <c r="RPG701" s="1349"/>
      <c r="RPH701" s="1349"/>
      <c r="RPI701" s="1349"/>
      <c r="RPJ701" s="1349"/>
      <c r="RPK701" s="1349"/>
      <c r="RPL701" s="1349"/>
      <c r="RPM701" s="1349"/>
      <c r="RPN701" s="1349"/>
      <c r="RPO701" s="1349"/>
      <c r="RPP701" s="1349"/>
      <c r="RPQ701" s="1349"/>
      <c r="RPR701" s="1349"/>
      <c r="RPS701" s="1349"/>
      <c r="RPT701" s="1349"/>
      <c r="RPU701" s="1349"/>
      <c r="RPV701" s="1349"/>
      <c r="RPW701" s="1349"/>
      <c r="RPX701" s="1349"/>
      <c r="RPY701" s="1349"/>
      <c r="RPZ701" s="1349"/>
      <c r="RQA701" s="1349"/>
      <c r="RQB701" s="1349"/>
      <c r="RQC701" s="1349"/>
      <c r="RQD701" s="1349"/>
      <c r="RQE701" s="1349"/>
      <c r="RQF701" s="1349"/>
      <c r="RQG701" s="1349"/>
      <c r="RQH701" s="1349"/>
      <c r="RQI701" s="1349"/>
      <c r="RQJ701" s="1349"/>
      <c r="RQK701" s="1349"/>
      <c r="RQL701" s="1349"/>
      <c r="RQM701" s="1349"/>
      <c r="RQN701" s="1349"/>
      <c r="RQO701" s="1349"/>
      <c r="RQP701" s="1349"/>
      <c r="RQQ701" s="1349"/>
      <c r="RQR701" s="1349"/>
      <c r="RQS701" s="1349"/>
      <c r="RQT701" s="1349"/>
      <c r="RQU701" s="1349"/>
      <c r="RQV701" s="1349"/>
      <c r="RQW701" s="1349"/>
      <c r="RQX701" s="1349"/>
      <c r="RQY701" s="1349"/>
      <c r="RQZ701" s="1349"/>
      <c r="RRA701" s="1349"/>
      <c r="RRB701" s="1349"/>
      <c r="RRC701" s="1349"/>
      <c r="RRD701" s="1349"/>
      <c r="RRE701" s="1349"/>
      <c r="RRF701" s="1349"/>
      <c r="RRG701" s="1349"/>
      <c r="RRH701" s="1349"/>
      <c r="RRI701" s="1349"/>
      <c r="RRJ701" s="1349"/>
      <c r="RRK701" s="1349"/>
      <c r="RRL701" s="1349"/>
      <c r="RRM701" s="1349"/>
      <c r="RRN701" s="1349"/>
      <c r="RRO701" s="1349"/>
      <c r="RRP701" s="1349"/>
      <c r="RRQ701" s="1349"/>
      <c r="RRR701" s="1349"/>
      <c r="RRS701" s="1349"/>
      <c r="RRT701" s="1349"/>
      <c r="RRU701" s="1349"/>
      <c r="RRV701" s="1349"/>
      <c r="RRW701" s="1349"/>
      <c r="RRX701" s="1349"/>
      <c r="RRY701" s="1349"/>
      <c r="RRZ701" s="1349"/>
      <c r="RSA701" s="1349"/>
      <c r="RSB701" s="1349"/>
      <c r="RSC701" s="1349"/>
      <c r="RSD701" s="1349"/>
      <c r="RSE701" s="1349"/>
      <c r="RSF701" s="1349"/>
      <c r="RSG701" s="1349"/>
      <c r="RSH701" s="1349"/>
      <c r="RSI701" s="1349"/>
      <c r="RSJ701" s="1349"/>
      <c r="RSK701" s="1349"/>
      <c r="RSL701" s="1349"/>
      <c r="RSM701" s="1349"/>
      <c r="RSN701" s="1349"/>
      <c r="RSO701" s="1349"/>
      <c r="RSP701" s="1349"/>
      <c r="RSQ701" s="1349"/>
      <c r="RSR701" s="1349"/>
      <c r="RSS701" s="1349"/>
      <c r="RST701" s="1349"/>
      <c r="RSU701" s="1349"/>
      <c r="RSV701" s="1349"/>
      <c r="RSW701" s="1349"/>
      <c r="RSX701" s="1349"/>
      <c r="RSY701" s="1349"/>
      <c r="RSZ701" s="1349"/>
      <c r="RTA701" s="1349"/>
      <c r="RTB701" s="1349"/>
      <c r="RTC701" s="1349"/>
      <c r="RTD701" s="1349"/>
      <c r="RTE701" s="1349"/>
      <c r="RTF701" s="1349"/>
      <c r="RTG701" s="1349"/>
      <c r="RTH701" s="1349"/>
      <c r="RTI701" s="1349"/>
      <c r="RTJ701" s="1349"/>
      <c r="RTK701" s="1349"/>
      <c r="RTL701" s="1349"/>
      <c r="RTM701" s="1349"/>
      <c r="RTN701" s="1349"/>
      <c r="RTO701" s="1349"/>
      <c r="RTP701" s="1349"/>
      <c r="RTQ701" s="1349"/>
      <c r="RTR701" s="1349"/>
      <c r="RTS701" s="1349"/>
      <c r="RTT701" s="1349"/>
      <c r="RTU701" s="1349"/>
      <c r="RTV701" s="1349"/>
      <c r="RTW701" s="1349"/>
      <c r="RTX701" s="1349"/>
      <c r="RTY701" s="1349"/>
      <c r="RTZ701" s="1349"/>
      <c r="RUA701" s="1349"/>
      <c r="RUB701" s="1349"/>
      <c r="RUC701" s="1349"/>
      <c r="RUD701" s="1349"/>
      <c r="RUE701" s="1349"/>
      <c r="RUF701" s="1349"/>
      <c r="RUG701" s="1349"/>
      <c r="RUH701" s="1349"/>
      <c r="RUI701" s="1349"/>
      <c r="RUJ701" s="1349"/>
      <c r="RUK701" s="1349"/>
      <c r="RUL701" s="1349"/>
      <c r="RUM701" s="1349"/>
      <c r="RUN701" s="1349"/>
      <c r="RUO701" s="1349"/>
      <c r="RUP701" s="1349"/>
      <c r="RUQ701" s="1349"/>
      <c r="RUR701" s="1349"/>
      <c r="RUS701" s="1349"/>
      <c r="RUT701" s="1349"/>
      <c r="RUU701" s="1349"/>
      <c r="RUV701" s="1349"/>
      <c r="RUW701" s="1349"/>
      <c r="RUX701" s="1349"/>
      <c r="RUY701" s="1349"/>
      <c r="RUZ701" s="1349"/>
      <c r="RVA701" s="1349"/>
      <c r="RVB701" s="1349"/>
      <c r="RVC701" s="1349"/>
      <c r="RVD701" s="1349"/>
      <c r="RVE701" s="1349"/>
      <c r="RVF701" s="1349"/>
      <c r="RVG701" s="1349"/>
      <c r="RVH701" s="1349"/>
      <c r="RVI701" s="1349"/>
      <c r="RVJ701" s="1349"/>
      <c r="RVK701" s="1349"/>
      <c r="RVL701" s="1349"/>
      <c r="RVM701" s="1349"/>
      <c r="RVN701" s="1349"/>
      <c r="RVO701" s="1349"/>
      <c r="RVP701" s="1349"/>
      <c r="RVQ701" s="1349"/>
      <c r="RVR701" s="1349"/>
      <c r="RVS701" s="1349"/>
      <c r="RVT701" s="1349"/>
      <c r="RVU701" s="1349"/>
      <c r="RVV701" s="1349"/>
      <c r="RVW701" s="1349"/>
      <c r="RVX701" s="1349"/>
      <c r="RVY701" s="1349"/>
      <c r="RVZ701" s="1349"/>
      <c r="RWA701" s="1349"/>
      <c r="RWB701" s="1349"/>
      <c r="RWC701" s="1349"/>
      <c r="RWD701" s="1349"/>
      <c r="RWE701" s="1349"/>
      <c r="RWF701" s="1349"/>
      <c r="RWG701" s="1349"/>
      <c r="RWH701" s="1349"/>
      <c r="RWI701" s="1349"/>
      <c r="RWJ701" s="1349"/>
      <c r="RWK701" s="1349"/>
      <c r="RWL701" s="1349"/>
      <c r="RWM701" s="1349"/>
      <c r="RWN701" s="1349"/>
      <c r="RWO701" s="1349"/>
      <c r="RWP701" s="1349"/>
      <c r="RWQ701" s="1349"/>
      <c r="RWR701" s="1349"/>
      <c r="RWS701" s="1349"/>
      <c r="RWT701" s="1349"/>
      <c r="RWU701" s="1349"/>
      <c r="RWV701" s="1349"/>
      <c r="RWW701" s="1349"/>
      <c r="RWX701" s="1349"/>
      <c r="RWY701" s="1349"/>
      <c r="RWZ701" s="1349"/>
      <c r="RXA701" s="1349"/>
      <c r="RXB701" s="1349"/>
      <c r="RXC701" s="1349"/>
      <c r="RXD701" s="1349"/>
      <c r="RXE701" s="1349"/>
      <c r="RXF701" s="1349"/>
      <c r="RXG701" s="1349"/>
      <c r="RXH701" s="1349"/>
      <c r="RXI701" s="1349"/>
      <c r="RXJ701" s="1349"/>
      <c r="RXK701" s="1349"/>
      <c r="RXL701" s="1349"/>
      <c r="RXM701" s="1349"/>
      <c r="RXN701" s="1349"/>
      <c r="RXO701" s="1349"/>
      <c r="RXP701" s="1349"/>
      <c r="RXQ701" s="1349"/>
      <c r="RXR701" s="1349"/>
      <c r="RXS701" s="1349"/>
      <c r="RXT701" s="1349"/>
      <c r="RXU701" s="1349"/>
      <c r="RXV701" s="1349"/>
      <c r="RXW701" s="1349"/>
      <c r="RXX701" s="1349"/>
      <c r="RXY701" s="1349"/>
      <c r="RXZ701" s="1349"/>
      <c r="RYA701" s="1349"/>
      <c r="RYB701" s="1349"/>
      <c r="RYC701" s="1349"/>
      <c r="RYD701" s="1349"/>
      <c r="RYE701" s="1349"/>
      <c r="RYF701" s="1349"/>
      <c r="RYG701" s="1349"/>
      <c r="RYH701" s="1349"/>
      <c r="RYI701" s="1349"/>
      <c r="RYJ701" s="1349"/>
      <c r="RYK701" s="1349"/>
      <c r="RYL701" s="1349"/>
      <c r="RYM701" s="1349"/>
      <c r="RYN701" s="1349"/>
      <c r="RYO701" s="1349"/>
      <c r="RYP701" s="1349"/>
      <c r="RYQ701" s="1349"/>
      <c r="RYR701" s="1349"/>
      <c r="RYS701" s="1349"/>
      <c r="RYT701" s="1349"/>
      <c r="RYU701" s="1349"/>
      <c r="RYV701" s="1349"/>
      <c r="RYW701" s="1349"/>
      <c r="RYX701" s="1349"/>
      <c r="RYY701" s="1349"/>
      <c r="RYZ701" s="1349"/>
      <c r="RZA701" s="1349"/>
      <c r="RZB701" s="1349"/>
      <c r="RZC701" s="1349"/>
      <c r="RZD701" s="1349"/>
      <c r="RZE701" s="1349"/>
      <c r="RZF701" s="1349"/>
      <c r="RZG701" s="1349"/>
      <c r="RZH701" s="1349"/>
      <c r="RZI701" s="1349"/>
      <c r="RZJ701" s="1349"/>
      <c r="RZK701" s="1349"/>
      <c r="RZL701" s="1349"/>
      <c r="RZM701" s="1349"/>
      <c r="RZN701" s="1349"/>
      <c r="RZO701" s="1349"/>
      <c r="RZP701" s="1349"/>
      <c r="RZQ701" s="1349"/>
      <c r="RZR701" s="1349"/>
      <c r="RZS701" s="1349"/>
      <c r="RZT701" s="1349"/>
      <c r="RZU701" s="1349"/>
      <c r="RZV701" s="1349"/>
      <c r="RZW701" s="1349"/>
      <c r="RZX701" s="1349"/>
      <c r="RZY701" s="1349"/>
      <c r="RZZ701" s="1349"/>
      <c r="SAA701" s="1349"/>
      <c r="SAB701" s="1349"/>
      <c r="SAC701" s="1349"/>
      <c r="SAD701" s="1349"/>
      <c r="SAE701" s="1349"/>
      <c r="SAF701" s="1349"/>
      <c r="SAG701" s="1349"/>
      <c r="SAH701" s="1349"/>
      <c r="SAI701" s="1349"/>
      <c r="SAJ701" s="1349"/>
      <c r="SAK701" s="1349"/>
      <c r="SAL701" s="1349"/>
      <c r="SAM701" s="1349"/>
      <c r="SAN701" s="1349"/>
      <c r="SAO701" s="1349"/>
      <c r="SAP701" s="1349"/>
      <c r="SAQ701" s="1349"/>
      <c r="SAR701" s="1349"/>
      <c r="SAS701" s="1349"/>
      <c r="SAT701" s="1349"/>
      <c r="SAU701" s="1349"/>
      <c r="SAV701" s="1349"/>
      <c r="SAW701" s="1349"/>
      <c r="SAX701" s="1349"/>
      <c r="SAY701" s="1349"/>
      <c r="SAZ701" s="1349"/>
      <c r="SBA701" s="1349"/>
      <c r="SBB701" s="1349"/>
      <c r="SBC701" s="1349"/>
      <c r="SBD701" s="1349"/>
      <c r="SBE701" s="1349"/>
      <c r="SBF701" s="1349"/>
      <c r="SBG701" s="1349"/>
      <c r="SBH701" s="1349"/>
      <c r="SBI701" s="1349"/>
      <c r="SBJ701" s="1349"/>
      <c r="SBK701" s="1349"/>
      <c r="SBL701" s="1349"/>
      <c r="SBM701" s="1349"/>
      <c r="SBN701" s="1349"/>
      <c r="SBO701" s="1349"/>
      <c r="SBP701" s="1349"/>
      <c r="SBQ701" s="1349"/>
      <c r="SBR701" s="1349"/>
      <c r="SBS701" s="1349"/>
      <c r="SBT701" s="1349"/>
      <c r="SBU701" s="1349"/>
      <c r="SBV701" s="1349"/>
      <c r="SBW701" s="1349"/>
      <c r="SBX701" s="1349"/>
      <c r="SBY701" s="1349"/>
      <c r="SBZ701" s="1349"/>
      <c r="SCA701" s="1349"/>
      <c r="SCB701" s="1349"/>
      <c r="SCC701" s="1349"/>
      <c r="SCD701" s="1349"/>
      <c r="SCE701" s="1349"/>
      <c r="SCF701" s="1349"/>
      <c r="SCG701" s="1349"/>
      <c r="SCH701" s="1349"/>
      <c r="SCI701" s="1349"/>
      <c r="SCJ701" s="1349"/>
      <c r="SCK701" s="1349"/>
      <c r="SCL701" s="1349"/>
      <c r="SCM701" s="1349"/>
      <c r="SCN701" s="1349"/>
      <c r="SCO701" s="1349"/>
      <c r="SCP701" s="1349"/>
      <c r="SCQ701" s="1349"/>
      <c r="SCR701" s="1349"/>
      <c r="SCS701" s="1349"/>
      <c r="SCT701" s="1349"/>
      <c r="SCU701" s="1349"/>
      <c r="SCV701" s="1349"/>
      <c r="SCW701" s="1349"/>
      <c r="SCX701" s="1349"/>
      <c r="SCY701" s="1349"/>
      <c r="SCZ701" s="1349"/>
      <c r="SDA701" s="1349"/>
      <c r="SDB701" s="1349"/>
      <c r="SDC701" s="1349"/>
      <c r="SDD701" s="1349"/>
      <c r="SDE701" s="1349"/>
      <c r="SDF701" s="1349"/>
      <c r="SDG701" s="1349"/>
      <c r="SDH701" s="1349"/>
      <c r="SDI701" s="1349"/>
      <c r="SDJ701" s="1349"/>
      <c r="SDK701" s="1349"/>
      <c r="SDL701" s="1349"/>
      <c r="SDM701" s="1349"/>
      <c r="SDN701" s="1349"/>
      <c r="SDO701" s="1349"/>
      <c r="SDP701" s="1349"/>
      <c r="SDQ701" s="1349"/>
      <c r="SDR701" s="1349"/>
      <c r="SDS701" s="1349"/>
      <c r="SDT701" s="1349"/>
      <c r="SDU701" s="1349"/>
      <c r="SDV701" s="1349"/>
      <c r="SDW701" s="1349"/>
      <c r="SDX701" s="1349"/>
      <c r="SDY701" s="1349"/>
      <c r="SDZ701" s="1349"/>
      <c r="SEA701" s="1349"/>
      <c r="SEB701" s="1349"/>
      <c r="SEC701" s="1349"/>
      <c r="SED701" s="1349"/>
      <c r="SEE701" s="1349"/>
      <c r="SEF701" s="1349"/>
      <c r="SEG701" s="1349"/>
      <c r="SEH701" s="1349"/>
      <c r="SEI701" s="1349"/>
      <c r="SEJ701" s="1349"/>
      <c r="SEK701" s="1349"/>
      <c r="SEL701" s="1349"/>
      <c r="SEM701" s="1349"/>
      <c r="SEN701" s="1349"/>
      <c r="SEO701" s="1349"/>
      <c r="SEP701" s="1349"/>
      <c r="SEQ701" s="1349"/>
      <c r="SER701" s="1349"/>
      <c r="SES701" s="1349"/>
      <c r="SET701" s="1349"/>
      <c r="SEU701" s="1349"/>
      <c r="SEV701" s="1349"/>
      <c r="SEW701" s="1349"/>
      <c r="SEX701" s="1349"/>
      <c r="SEY701" s="1349"/>
      <c r="SEZ701" s="1349"/>
      <c r="SFA701" s="1349"/>
      <c r="SFB701" s="1349"/>
      <c r="SFC701" s="1349"/>
      <c r="SFD701" s="1349"/>
      <c r="SFE701" s="1349"/>
      <c r="SFF701" s="1349"/>
      <c r="SFG701" s="1349"/>
      <c r="SFH701" s="1349"/>
      <c r="SFI701" s="1349"/>
      <c r="SFJ701" s="1349"/>
      <c r="SFK701" s="1349"/>
      <c r="SFL701" s="1349"/>
      <c r="SFM701" s="1349"/>
      <c r="SFN701" s="1349"/>
      <c r="SFO701" s="1349"/>
      <c r="SFP701" s="1349"/>
      <c r="SFQ701" s="1349"/>
      <c r="SFR701" s="1349"/>
      <c r="SFS701" s="1349"/>
      <c r="SFT701" s="1349"/>
      <c r="SFU701" s="1349"/>
      <c r="SFV701" s="1349"/>
      <c r="SFW701" s="1349"/>
      <c r="SFX701" s="1349"/>
      <c r="SFY701" s="1349"/>
      <c r="SFZ701" s="1349"/>
      <c r="SGA701" s="1349"/>
      <c r="SGB701" s="1349"/>
      <c r="SGC701" s="1349"/>
      <c r="SGD701" s="1349"/>
      <c r="SGE701" s="1349"/>
      <c r="SGF701" s="1349"/>
      <c r="SGG701" s="1349"/>
      <c r="SGH701" s="1349"/>
      <c r="SGI701" s="1349"/>
      <c r="SGJ701" s="1349"/>
      <c r="SGK701" s="1349"/>
      <c r="SGL701" s="1349"/>
      <c r="SGM701" s="1349"/>
      <c r="SGN701" s="1349"/>
      <c r="SGO701" s="1349"/>
      <c r="SGP701" s="1349"/>
      <c r="SGQ701" s="1349"/>
      <c r="SGR701" s="1349"/>
      <c r="SGS701" s="1349"/>
      <c r="SGT701" s="1349"/>
      <c r="SGU701" s="1349"/>
      <c r="SGV701" s="1349"/>
      <c r="SGW701" s="1349"/>
      <c r="SGX701" s="1349"/>
      <c r="SGY701" s="1349"/>
      <c r="SGZ701" s="1349"/>
      <c r="SHA701" s="1349"/>
      <c r="SHB701" s="1349"/>
      <c r="SHC701" s="1349"/>
      <c r="SHD701" s="1349"/>
      <c r="SHE701" s="1349"/>
      <c r="SHF701" s="1349"/>
      <c r="SHG701" s="1349"/>
      <c r="SHH701" s="1349"/>
      <c r="SHI701" s="1349"/>
      <c r="SHJ701" s="1349"/>
      <c r="SHK701" s="1349"/>
      <c r="SHL701" s="1349"/>
      <c r="SHM701" s="1349"/>
      <c r="SHN701" s="1349"/>
      <c r="SHO701" s="1349"/>
      <c r="SHP701" s="1349"/>
      <c r="SHQ701" s="1349"/>
      <c r="SHR701" s="1349"/>
      <c r="SHS701" s="1349"/>
      <c r="SHT701" s="1349"/>
      <c r="SHU701" s="1349"/>
      <c r="SHV701" s="1349"/>
      <c r="SHW701" s="1349"/>
      <c r="SHX701" s="1349"/>
      <c r="SHY701" s="1349"/>
      <c r="SHZ701" s="1349"/>
      <c r="SIA701" s="1349"/>
      <c r="SIB701" s="1349"/>
      <c r="SIC701" s="1349"/>
      <c r="SID701" s="1349"/>
      <c r="SIE701" s="1349"/>
      <c r="SIF701" s="1349"/>
      <c r="SIG701" s="1349"/>
      <c r="SIH701" s="1349"/>
      <c r="SII701" s="1349"/>
      <c r="SIJ701" s="1349"/>
      <c r="SIK701" s="1349"/>
      <c r="SIL701" s="1349"/>
      <c r="SIM701" s="1349"/>
      <c r="SIN701" s="1349"/>
      <c r="SIO701" s="1349"/>
      <c r="SIP701" s="1349"/>
      <c r="SIQ701" s="1349"/>
      <c r="SIR701" s="1349"/>
      <c r="SIS701" s="1349"/>
      <c r="SIT701" s="1349"/>
      <c r="SIU701" s="1349"/>
      <c r="SIV701" s="1349"/>
      <c r="SIW701" s="1349"/>
      <c r="SIX701" s="1349"/>
      <c r="SIY701" s="1349"/>
      <c r="SIZ701" s="1349"/>
      <c r="SJA701" s="1349"/>
      <c r="SJB701" s="1349"/>
      <c r="SJC701" s="1349"/>
      <c r="SJD701" s="1349"/>
      <c r="SJE701" s="1349"/>
      <c r="SJF701" s="1349"/>
      <c r="SJG701" s="1349"/>
      <c r="SJH701" s="1349"/>
      <c r="SJI701" s="1349"/>
      <c r="SJJ701" s="1349"/>
      <c r="SJK701" s="1349"/>
      <c r="SJL701" s="1349"/>
      <c r="SJM701" s="1349"/>
      <c r="SJN701" s="1349"/>
      <c r="SJO701" s="1349"/>
      <c r="SJP701" s="1349"/>
      <c r="SJQ701" s="1349"/>
      <c r="SJR701" s="1349"/>
      <c r="SJS701" s="1349"/>
      <c r="SJT701" s="1349"/>
      <c r="SJU701" s="1349"/>
      <c r="SJV701" s="1349"/>
      <c r="SJW701" s="1349"/>
      <c r="SJX701" s="1349"/>
      <c r="SJY701" s="1349"/>
      <c r="SJZ701" s="1349"/>
      <c r="SKA701" s="1349"/>
      <c r="SKB701" s="1349"/>
      <c r="SKC701" s="1349"/>
      <c r="SKD701" s="1349"/>
      <c r="SKE701" s="1349"/>
      <c r="SKF701" s="1349"/>
      <c r="SKG701" s="1349"/>
      <c r="SKH701" s="1349"/>
      <c r="SKI701" s="1349"/>
      <c r="SKJ701" s="1349"/>
      <c r="SKK701" s="1349"/>
      <c r="SKL701" s="1349"/>
      <c r="SKM701" s="1349"/>
      <c r="SKN701" s="1349"/>
      <c r="SKO701" s="1349"/>
      <c r="SKP701" s="1349"/>
      <c r="SKQ701" s="1349"/>
      <c r="SKR701" s="1349"/>
      <c r="SKS701" s="1349"/>
      <c r="SKT701" s="1349"/>
      <c r="SKU701" s="1349"/>
      <c r="SKV701" s="1349"/>
      <c r="SKW701" s="1349"/>
      <c r="SKX701" s="1349"/>
      <c r="SKY701" s="1349"/>
      <c r="SKZ701" s="1349"/>
      <c r="SLA701" s="1349"/>
      <c r="SLB701" s="1349"/>
      <c r="SLC701" s="1349"/>
      <c r="SLD701" s="1349"/>
      <c r="SLE701" s="1349"/>
      <c r="SLF701" s="1349"/>
      <c r="SLG701" s="1349"/>
      <c r="SLH701" s="1349"/>
      <c r="SLI701" s="1349"/>
      <c r="SLJ701" s="1349"/>
      <c r="SLK701" s="1349"/>
      <c r="SLL701" s="1349"/>
      <c r="SLM701" s="1349"/>
      <c r="SLN701" s="1349"/>
      <c r="SLO701" s="1349"/>
      <c r="SLP701" s="1349"/>
      <c r="SLQ701" s="1349"/>
      <c r="SLR701" s="1349"/>
      <c r="SLS701" s="1349"/>
      <c r="SLT701" s="1349"/>
      <c r="SLU701" s="1349"/>
      <c r="SLV701" s="1349"/>
      <c r="SLW701" s="1349"/>
      <c r="SLX701" s="1349"/>
      <c r="SLY701" s="1349"/>
      <c r="SLZ701" s="1349"/>
      <c r="SMA701" s="1349"/>
      <c r="SMB701" s="1349"/>
      <c r="SMC701" s="1349"/>
      <c r="SMD701" s="1349"/>
      <c r="SME701" s="1349"/>
      <c r="SMF701" s="1349"/>
      <c r="SMG701" s="1349"/>
      <c r="SMH701" s="1349"/>
      <c r="SMI701" s="1349"/>
      <c r="SMJ701" s="1349"/>
      <c r="SMK701" s="1349"/>
      <c r="SML701" s="1349"/>
      <c r="SMM701" s="1349"/>
      <c r="SMN701" s="1349"/>
      <c r="SMO701" s="1349"/>
      <c r="SMP701" s="1349"/>
      <c r="SMQ701" s="1349"/>
      <c r="SMR701" s="1349"/>
      <c r="SMS701" s="1349"/>
      <c r="SMT701" s="1349"/>
      <c r="SMU701" s="1349"/>
      <c r="SMV701" s="1349"/>
      <c r="SMW701" s="1349"/>
      <c r="SMX701" s="1349"/>
      <c r="SMY701" s="1349"/>
      <c r="SMZ701" s="1349"/>
      <c r="SNA701" s="1349"/>
      <c r="SNB701" s="1349"/>
      <c r="SNC701" s="1349"/>
      <c r="SND701" s="1349"/>
      <c r="SNE701" s="1349"/>
      <c r="SNF701" s="1349"/>
      <c r="SNG701" s="1349"/>
      <c r="SNH701" s="1349"/>
      <c r="SNI701" s="1349"/>
      <c r="SNJ701" s="1349"/>
      <c r="SNK701" s="1349"/>
      <c r="SNL701" s="1349"/>
      <c r="SNM701" s="1349"/>
      <c r="SNN701" s="1349"/>
      <c r="SNO701" s="1349"/>
      <c r="SNP701" s="1349"/>
      <c r="SNQ701" s="1349"/>
      <c r="SNR701" s="1349"/>
      <c r="SNS701" s="1349"/>
      <c r="SNT701" s="1349"/>
      <c r="SNU701" s="1349"/>
      <c r="SNV701" s="1349"/>
      <c r="SNW701" s="1349"/>
      <c r="SNX701" s="1349"/>
      <c r="SNY701" s="1349"/>
      <c r="SNZ701" s="1349"/>
      <c r="SOA701" s="1349"/>
      <c r="SOB701" s="1349"/>
      <c r="SOC701" s="1349"/>
      <c r="SOD701" s="1349"/>
      <c r="SOE701" s="1349"/>
      <c r="SOF701" s="1349"/>
      <c r="SOG701" s="1349"/>
      <c r="SOH701" s="1349"/>
      <c r="SOI701" s="1349"/>
      <c r="SOJ701" s="1349"/>
      <c r="SOK701" s="1349"/>
      <c r="SOL701" s="1349"/>
      <c r="SOM701" s="1349"/>
      <c r="SON701" s="1349"/>
      <c r="SOO701" s="1349"/>
      <c r="SOP701" s="1349"/>
      <c r="SOQ701" s="1349"/>
      <c r="SOR701" s="1349"/>
      <c r="SOS701" s="1349"/>
      <c r="SOT701" s="1349"/>
      <c r="SOU701" s="1349"/>
      <c r="SOV701" s="1349"/>
      <c r="SOW701" s="1349"/>
      <c r="SOX701" s="1349"/>
      <c r="SOY701" s="1349"/>
      <c r="SOZ701" s="1349"/>
      <c r="SPA701" s="1349"/>
      <c r="SPB701" s="1349"/>
      <c r="SPC701" s="1349"/>
      <c r="SPD701" s="1349"/>
      <c r="SPE701" s="1349"/>
      <c r="SPF701" s="1349"/>
      <c r="SPG701" s="1349"/>
      <c r="SPH701" s="1349"/>
      <c r="SPI701" s="1349"/>
      <c r="SPJ701" s="1349"/>
      <c r="SPK701" s="1349"/>
      <c r="SPL701" s="1349"/>
      <c r="SPM701" s="1349"/>
      <c r="SPN701" s="1349"/>
      <c r="SPO701" s="1349"/>
      <c r="SPP701" s="1349"/>
      <c r="SPQ701" s="1349"/>
      <c r="SPR701" s="1349"/>
      <c r="SPS701" s="1349"/>
      <c r="SPT701" s="1349"/>
      <c r="SPU701" s="1349"/>
      <c r="SPV701" s="1349"/>
      <c r="SPW701" s="1349"/>
      <c r="SPX701" s="1349"/>
      <c r="SPY701" s="1349"/>
      <c r="SPZ701" s="1349"/>
      <c r="SQA701" s="1349"/>
      <c r="SQB701" s="1349"/>
      <c r="SQC701" s="1349"/>
      <c r="SQD701" s="1349"/>
      <c r="SQE701" s="1349"/>
      <c r="SQF701" s="1349"/>
      <c r="SQG701" s="1349"/>
      <c r="SQH701" s="1349"/>
      <c r="SQI701" s="1349"/>
      <c r="SQJ701" s="1349"/>
      <c r="SQK701" s="1349"/>
      <c r="SQL701" s="1349"/>
      <c r="SQM701" s="1349"/>
      <c r="SQN701" s="1349"/>
      <c r="SQO701" s="1349"/>
      <c r="SQP701" s="1349"/>
      <c r="SQQ701" s="1349"/>
      <c r="SQR701" s="1349"/>
      <c r="SQS701" s="1349"/>
      <c r="SQT701" s="1349"/>
      <c r="SQU701" s="1349"/>
      <c r="SQV701" s="1349"/>
      <c r="SQW701" s="1349"/>
      <c r="SQX701" s="1349"/>
      <c r="SQY701" s="1349"/>
      <c r="SQZ701" s="1349"/>
      <c r="SRA701" s="1349"/>
      <c r="SRB701" s="1349"/>
      <c r="SRC701" s="1349"/>
      <c r="SRD701" s="1349"/>
      <c r="SRE701" s="1349"/>
      <c r="SRF701" s="1349"/>
      <c r="SRG701" s="1349"/>
      <c r="SRH701" s="1349"/>
      <c r="SRI701" s="1349"/>
      <c r="SRJ701" s="1349"/>
      <c r="SRK701" s="1349"/>
      <c r="SRL701" s="1349"/>
      <c r="SRM701" s="1349"/>
      <c r="SRN701" s="1349"/>
      <c r="SRO701" s="1349"/>
      <c r="SRP701" s="1349"/>
      <c r="SRQ701" s="1349"/>
      <c r="SRR701" s="1349"/>
      <c r="SRS701" s="1349"/>
      <c r="SRT701" s="1349"/>
      <c r="SRU701" s="1349"/>
      <c r="SRV701" s="1349"/>
      <c r="SRW701" s="1349"/>
      <c r="SRX701" s="1349"/>
      <c r="SRY701" s="1349"/>
      <c r="SRZ701" s="1349"/>
      <c r="SSA701" s="1349"/>
      <c r="SSB701" s="1349"/>
      <c r="SSC701" s="1349"/>
      <c r="SSD701" s="1349"/>
      <c r="SSE701" s="1349"/>
      <c r="SSF701" s="1349"/>
      <c r="SSG701" s="1349"/>
      <c r="SSH701" s="1349"/>
      <c r="SSI701" s="1349"/>
      <c r="SSJ701" s="1349"/>
      <c r="SSK701" s="1349"/>
      <c r="SSL701" s="1349"/>
      <c r="SSM701" s="1349"/>
      <c r="SSN701" s="1349"/>
      <c r="SSO701" s="1349"/>
      <c r="SSP701" s="1349"/>
      <c r="SSQ701" s="1349"/>
      <c r="SSR701" s="1349"/>
      <c r="SSS701" s="1349"/>
      <c r="SST701" s="1349"/>
      <c r="SSU701" s="1349"/>
      <c r="SSV701" s="1349"/>
      <c r="SSW701" s="1349"/>
      <c r="SSX701" s="1349"/>
      <c r="SSY701" s="1349"/>
      <c r="SSZ701" s="1349"/>
      <c r="STA701" s="1349"/>
      <c r="STB701" s="1349"/>
      <c r="STC701" s="1349"/>
      <c r="STD701" s="1349"/>
      <c r="STE701" s="1349"/>
      <c r="STF701" s="1349"/>
      <c r="STG701" s="1349"/>
      <c r="STH701" s="1349"/>
      <c r="STI701" s="1349"/>
      <c r="STJ701" s="1349"/>
      <c r="STK701" s="1349"/>
      <c r="STL701" s="1349"/>
      <c r="STM701" s="1349"/>
      <c r="STN701" s="1349"/>
      <c r="STO701" s="1349"/>
      <c r="STP701" s="1349"/>
      <c r="STQ701" s="1349"/>
      <c r="STR701" s="1349"/>
      <c r="STS701" s="1349"/>
      <c r="STT701" s="1349"/>
      <c r="STU701" s="1349"/>
      <c r="STV701" s="1349"/>
      <c r="STW701" s="1349"/>
      <c r="STX701" s="1349"/>
      <c r="STY701" s="1349"/>
      <c r="STZ701" s="1349"/>
      <c r="SUA701" s="1349"/>
      <c r="SUB701" s="1349"/>
      <c r="SUC701" s="1349"/>
      <c r="SUD701" s="1349"/>
      <c r="SUE701" s="1349"/>
      <c r="SUF701" s="1349"/>
      <c r="SUG701" s="1349"/>
      <c r="SUH701" s="1349"/>
      <c r="SUI701" s="1349"/>
      <c r="SUJ701" s="1349"/>
      <c r="SUK701" s="1349"/>
      <c r="SUL701" s="1349"/>
      <c r="SUM701" s="1349"/>
      <c r="SUN701" s="1349"/>
      <c r="SUO701" s="1349"/>
      <c r="SUP701" s="1349"/>
      <c r="SUQ701" s="1349"/>
      <c r="SUR701" s="1349"/>
      <c r="SUS701" s="1349"/>
      <c r="SUT701" s="1349"/>
      <c r="SUU701" s="1349"/>
      <c r="SUV701" s="1349"/>
      <c r="SUW701" s="1349"/>
      <c r="SUX701" s="1349"/>
      <c r="SUY701" s="1349"/>
      <c r="SUZ701" s="1349"/>
      <c r="SVA701" s="1349"/>
      <c r="SVB701" s="1349"/>
      <c r="SVC701" s="1349"/>
      <c r="SVD701" s="1349"/>
      <c r="SVE701" s="1349"/>
      <c r="SVF701" s="1349"/>
      <c r="SVG701" s="1349"/>
      <c r="SVH701" s="1349"/>
      <c r="SVI701" s="1349"/>
      <c r="SVJ701" s="1349"/>
      <c r="SVK701" s="1349"/>
      <c r="SVL701" s="1349"/>
      <c r="SVM701" s="1349"/>
      <c r="SVN701" s="1349"/>
      <c r="SVO701" s="1349"/>
      <c r="SVP701" s="1349"/>
      <c r="SVQ701" s="1349"/>
      <c r="SVR701" s="1349"/>
      <c r="SVS701" s="1349"/>
      <c r="SVT701" s="1349"/>
      <c r="SVU701" s="1349"/>
      <c r="SVV701" s="1349"/>
      <c r="SVW701" s="1349"/>
      <c r="SVX701" s="1349"/>
      <c r="SVY701" s="1349"/>
      <c r="SVZ701" s="1349"/>
      <c r="SWA701" s="1349"/>
      <c r="SWB701" s="1349"/>
      <c r="SWC701" s="1349"/>
      <c r="SWD701" s="1349"/>
      <c r="SWE701" s="1349"/>
      <c r="SWF701" s="1349"/>
      <c r="SWG701" s="1349"/>
      <c r="SWH701" s="1349"/>
      <c r="SWI701" s="1349"/>
      <c r="SWJ701" s="1349"/>
      <c r="SWK701" s="1349"/>
      <c r="SWL701" s="1349"/>
      <c r="SWM701" s="1349"/>
      <c r="SWN701" s="1349"/>
      <c r="SWO701" s="1349"/>
      <c r="SWP701" s="1349"/>
      <c r="SWQ701" s="1349"/>
      <c r="SWR701" s="1349"/>
      <c r="SWS701" s="1349"/>
      <c r="SWT701" s="1349"/>
      <c r="SWU701" s="1349"/>
      <c r="SWV701" s="1349"/>
      <c r="SWW701" s="1349"/>
      <c r="SWX701" s="1349"/>
      <c r="SWY701" s="1349"/>
      <c r="SWZ701" s="1349"/>
      <c r="SXA701" s="1349"/>
      <c r="SXB701" s="1349"/>
      <c r="SXC701" s="1349"/>
      <c r="SXD701" s="1349"/>
      <c r="SXE701" s="1349"/>
      <c r="SXF701" s="1349"/>
      <c r="SXG701" s="1349"/>
      <c r="SXH701" s="1349"/>
      <c r="SXI701" s="1349"/>
      <c r="SXJ701" s="1349"/>
      <c r="SXK701" s="1349"/>
      <c r="SXL701" s="1349"/>
      <c r="SXM701" s="1349"/>
      <c r="SXN701" s="1349"/>
      <c r="SXO701" s="1349"/>
      <c r="SXP701" s="1349"/>
      <c r="SXQ701" s="1349"/>
      <c r="SXR701" s="1349"/>
      <c r="SXS701" s="1349"/>
      <c r="SXT701" s="1349"/>
      <c r="SXU701" s="1349"/>
      <c r="SXV701" s="1349"/>
      <c r="SXW701" s="1349"/>
      <c r="SXX701" s="1349"/>
      <c r="SXY701" s="1349"/>
      <c r="SXZ701" s="1349"/>
      <c r="SYA701" s="1349"/>
      <c r="SYB701" s="1349"/>
      <c r="SYC701" s="1349"/>
      <c r="SYD701" s="1349"/>
      <c r="SYE701" s="1349"/>
      <c r="SYF701" s="1349"/>
      <c r="SYG701" s="1349"/>
      <c r="SYH701" s="1349"/>
      <c r="SYI701" s="1349"/>
      <c r="SYJ701" s="1349"/>
      <c r="SYK701" s="1349"/>
      <c r="SYL701" s="1349"/>
      <c r="SYM701" s="1349"/>
      <c r="SYN701" s="1349"/>
      <c r="SYO701" s="1349"/>
      <c r="SYP701" s="1349"/>
      <c r="SYQ701" s="1349"/>
      <c r="SYR701" s="1349"/>
      <c r="SYS701" s="1349"/>
      <c r="SYT701" s="1349"/>
      <c r="SYU701" s="1349"/>
      <c r="SYV701" s="1349"/>
      <c r="SYW701" s="1349"/>
      <c r="SYX701" s="1349"/>
      <c r="SYY701" s="1349"/>
      <c r="SYZ701" s="1349"/>
      <c r="SZA701" s="1349"/>
      <c r="SZB701" s="1349"/>
      <c r="SZC701" s="1349"/>
      <c r="SZD701" s="1349"/>
      <c r="SZE701" s="1349"/>
      <c r="SZF701" s="1349"/>
      <c r="SZG701" s="1349"/>
      <c r="SZH701" s="1349"/>
      <c r="SZI701" s="1349"/>
      <c r="SZJ701" s="1349"/>
      <c r="SZK701" s="1349"/>
      <c r="SZL701" s="1349"/>
      <c r="SZM701" s="1349"/>
      <c r="SZN701" s="1349"/>
      <c r="SZO701" s="1349"/>
      <c r="SZP701" s="1349"/>
      <c r="SZQ701" s="1349"/>
      <c r="SZR701" s="1349"/>
      <c r="SZS701" s="1349"/>
      <c r="SZT701" s="1349"/>
      <c r="SZU701" s="1349"/>
      <c r="SZV701" s="1349"/>
      <c r="SZW701" s="1349"/>
      <c r="SZX701" s="1349"/>
      <c r="SZY701" s="1349"/>
      <c r="SZZ701" s="1349"/>
      <c r="TAA701" s="1349"/>
      <c r="TAB701" s="1349"/>
      <c r="TAC701" s="1349"/>
      <c r="TAD701" s="1349"/>
      <c r="TAE701" s="1349"/>
      <c r="TAF701" s="1349"/>
      <c r="TAG701" s="1349"/>
      <c r="TAH701" s="1349"/>
      <c r="TAI701" s="1349"/>
      <c r="TAJ701" s="1349"/>
      <c r="TAK701" s="1349"/>
      <c r="TAL701" s="1349"/>
      <c r="TAM701" s="1349"/>
      <c r="TAN701" s="1349"/>
      <c r="TAO701" s="1349"/>
      <c r="TAP701" s="1349"/>
      <c r="TAQ701" s="1349"/>
      <c r="TAR701" s="1349"/>
      <c r="TAS701" s="1349"/>
      <c r="TAT701" s="1349"/>
      <c r="TAU701" s="1349"/>
      <c r="TAV701" s="1349"/>
      <c r="TAW701" s="1349"/>
      <c r="TAX701" s="1349"/>
      <c r="TAY701" s="1349"/>
      <c r="TAZ701" s="1349"/>
      <c r="TBA701" s="1349"/>
      <c r="TBB701" s="1349"/>
      <c r="TBC701" s="1349"/>
      <c r="TBD701" s="1349"/>
      <c r="TBE701" s="1349"/>
      <c r="TBF701" s="1349"/>
      <c r="TBG701" s="1349"/>
      <c r="TBH701" s="1349"/>
      <c r="TBI701" s="1349"/>
      <c r="TBJ701" s="1349"/>
      <c r="TBK701" s="1349"/>
      <c r="TBL701" s="1349"/>
      <c r="TBM701" s="1349"/>
      <c r="TBN701" s="1349"/>
      <c r="TBO701" s="1349"/>
      <c r="TBP701" s="1349"/>
      <c r="TBQ701" s="1349"/>
      <c r="TBR701" s="1349"/>
      <c r="TBS701" s="1349"/>
      <c r="TBT701" s="1349"/>
      <c r="TBU701" s="1349"/>
      <c r="TBV701" s="1349"/>
      <c r="TBW701" s="1349"/>
      <c r="TBX701" s="1349"/>
      <c r="TBY701" s="1349"/>
      <c r="TBZ701" s="1349"/>
      <c r="TCA701" s="1349"/>
      <c r="TCB701" s="1349"/>
      <c r="TCC701" s="1349"/>
      <c r="TCD701" s="1349"/>
      <c r="TCE701" s="1349"/>
      <c r="TCF701" s="1349"/>
      <c r="TCG701" s="1349"/>
      <c r="TCH701" s="1349"/>
      <c r="TCI701" s="1349"/>
      <c r="TCJ701" s="1349"/>
      <c r="TCK701" s="1349"/>
      <c r="TCL701" s="1349"/>
      <c r="TCM701" s="1349"/>
      <c r="TCN701" s="1349"/>
      <c r="TCO701" s="1349"/>
      <c r="TCP701" s="1349"/>
      <c r="TCQ701" s="1349"/>
      <c r="TCR701" s="1349"/>
      <c r="TCS701" s="1349"/>
      <c r="TCT701" s="1349"/>
      <c r="TCU701" s="1349"/>
      <c r="TCV701" s="1349"/>
      <c r="TCW701" s="1349"/>
      <c r="TCX701" s="1349"/>
      <c r="TCY701" s="1349"/>
      <c r="TCZ701" s="1349"/>
      <c r="TDA701" s="1349"/>
      <c r="TDB701" s="1349"/>
      <c r="TDC701" s="1349"/>
      <c r="TDD701" s="1349"/>
      <c r="TDE701" s="1349"/>
      <c r="TDF701" s="1349"/>
      <c r="TDG701" s="1349"/>
      <c r="TDH701" s="1349"/>
      <c r="TDI701" s="1349"/>
      <c r="TDJ701" s="1349"/>
      <c r="TDK701" s="1349"/>
      <c r="TDL701" s="1349"/>
      <c r="TDM701" s="1349"/>
      <c r="TDN701" s="1349"/>
      <c r="TDO701" s="1349"/>
      <c r="TDP701" s="1349"/>
      <c r="TDQ701" s="1349"/>
      <c r="TDR701" s="1349"/>
      <c r="TDS701" s="1349"/>
      <c r="TDT701" s="1349"/>
      <c r="TDU701" s="1349"/>
      <c r="TDV701" s="1349"/>
      <c r="TDW701" s="1349"/>
      <c r="TDX701" s="1349"/>
      <c r="TDY701" s="1349"/>
      <c r="TDZ701" s="1349"/>
      <c r="TEA701" s="1349"/>
      <c r="TEB701" s="1349"/>
      <c r="TEC701" s="1349"/>
      <c r="TED701" s="1349"/>
      <c r="TEE701" s="1349"/>
      <c r="TEF701" s="1349"/>
      <c r="TEG701" s="1349"/>
      <c r="TEH701" s="1349"/>
      <c r="TEI701" s="1349"/>
      <c r="TEJ701" s="1349"/>
      <c r="TEK701" s="1349"/>
      <c r="TEL701" s="1349"/>
      <c r="TEM701" s="1349"/>
      <c r="TEN701" s="1349"/>
      <c r="TEO701" s="1349"/>
      <c r="TEP701" s="1349"/>
      <c r="TEQ701" s="1349"/>
      <c r="TER701" s="1349"/>
      <c r="TES701" s="1349"/>
      <c r="TET701" s="1349"/>
      <c r="TEU701" s="1349"/>
      <c r="TEV701" s="1349"/>
      <c r="TEW701" s="1349"/>
      <c r="TEX701" s="1349"/>
      <c r="TEY701" s="1349"/>
      <c r="TEZ701" s="1349"/>
      <c r="TFA701" s="1349"/>
      <c r="TFB701" s="1349"/>
      <c r="TFC701" s="1349"/>
      <c r="TFD701" s="1349"/>
      <c r="TFE701" s="1349"/>
      <c r="TFF701" s="1349"/>
      <c r="TFG701" s="1349"/>
      <c r="TFH701" s="1349"/>
      <c r="TFI701" s="1349"/>
      <c r="TFJ701" s="1349"/>
      <c r="TFK701" s="1349"/>
      <c r="TFL701" s="1349"/>
      <c r="TFM701" s="1349"/>
      <c r="TFN701" s="1349"/>
      <c r="TFO701" s="1349"/>
      <c r="TFP701" s="1349"/>
      <c r="TFQ701" s="1349"/>
      <c r="TFR701" s="1349"/>
      <c r="TFS701" s="1349"/>
      <c r="TFT701" s="1349"/>
      <c r="TFU701" s="1349"/>
      <c r="TFV701" s="1349"/>
      <c r="TFW701" s="1349"/>
      <c r="TFX701" s="1349"/>
      <c r="TFY701" s="1349"/>
      <c r="TFZ701" s="1349"/>
      <c r="TGA701" s="1349"/>
      <c r="TGB701" s="1349"/>
      <c r="TGC701" s="1349"/>
      <c r="TGD701" s="1349"/>
      <c r="TGE701" s="1349"/>
      <c r="TGF701" s="1349"/>
      <c r="TGG701" s="1349"/>
      <c r="TGH701" s="1349"/>
      <c r="TGI701" s="1349"/>
      <c r="TGJ701" s="1349"/>
      <c r="TGK701" s="1349"/>
      <c r="TGL701" s="1349"/>
      <c r="TGM701" s="1349"/>
      <c r="TGN701" s="1349"/>
      <c r="TGO701" s="1349"/>
      <c r="TGP701" s="1349"/>
      <c r="TGQ701" s="1349"/>
      <c r="TGR701" s="1349"/>
      <c r="TGS701" s="1349"/>
      <c r="TGT701" s="1349"/>
      <c r="TGU701" s="1349"/>
      <c r="TGV701" s="1349"/>
      <c r="TGW701" s="1349"/>
      <c r="TGX701" s="1349"/>
      <c r="TGY701" s="1349"/>
      <c r="TGZ701" s="1349"/>
      <c r="THA701" s="1349"/>
      <c r="THB701" s="1349"/>
      <c r="THC701" s="1349"/>
      <c r="THD701" s="1349"/>
      <c r="THE701" s="1349"/>
      <c r="THF701" s="1349"/>
      <c r="THG701" s="1349"/>
      <c r="THH701" s="1349"/>
      <c r="THI701" s="1349"/>
      <c r="THJ701" s="1349"/>
      <c r="THK701" s="1349"/>
      <c r="THL701" s="1349"/>
      <c r="THM701" s="1349"/>
      <c r="THN701" s="1349"/>
      <c r="THO701" s="1349"/>
      <c r="THP701" s="1349"/>
      <c r="THQ701" s="1349"/>
      <c r="THR701" s="1349"/>
      <c r="THS701" s="1349"/>
      <c r="THT701" s="1349"/>
      <c r="THU701" s="1349"/>
      <c r="THV701" s="1349"/>
      <c r="THW701" s="1349"/>
      <c r="THX701" s="1349"/>
      <c r="THY701" s="1349"/>
      <c r="THZ701" s="1349"/>
      <c r="TIA701" s="1349"/>
      <c r="TIB701" s="1349"/>
      <c r="TIC701" s="1349"/>
      <c r="TID701" s="1349"/>
      <c r="TIE701" s="1349"/>
      <c r="TIF701" s="1349"/>
      <c r="TIG701" s="1349"/>
      <c r="TIH701" s="1349"/>
      <c r="TII701" s="1349"/>
      <c r="TIJ701" s="1349"/>
      <c r="TIK701" s="1349"/>
      <c r="TIL701" s="1349"/>
      <c r="TIM701" s="1349"/>
      <c r="TIN701" s="1349"/>
      <c r="TIO701" s="1349"/>
      <c r="TIP701" s="1349"/>
      <c r="TIQ701" s="1349"/>
      <c r="TIR701" s="1349"/>
      <c r="TIS701" s="1349"/>
      <c r="TIT701" s="1349"/>
      <c r="TIU701" s="1349"/>
      <c r="TIV701" s="1349"/>
      <c r="TIW701" s="1349"/>
      <c r="TIX701" s="1349"/>
      <c r="TIY701" s="1349"/>
      <c r="TIZ701" s="1349"/>
      <c r="TJA701" s="1349"/>
      <c r="TJB701" s="1349"/>
      <c r="TJC701" s="1349"/>
      <c r="TJD701" s="1349"/>
      <c r="TJE701" s="1349"/>
      <c r="TJF701" s="1349"/>
      <c r="TJG701" s="1349"/>
      <c r="TJH701" s="1349"/>
      <c r="TJI701" s="1349"/>
      <c r="TJJ701" s="1349"/>
      <c r="TJK701" s="1349"/>
      <c r="TJL701" s="1349"/>
      <c r="TJM701" s="1349"/>
      <c r="TJN701" s="1349"/>
      <c r="TJO701" s="1349"/>
      <c r="TJP701" s="1349"/>
      <c r="TJQ701" s="1349"/>
      <c r="TJR701" s="1349"/>
      <c r="TJS701" s="1349"/>
      <c r="TJT701" s="1349"/>
      <c r="TJU701" s="1349"/>
      <c r="TJV701" s="1349"/>
      <c r="TJW701" s="1349"/>
      <c r="TJX701" s="1349"/>
      <c r="TJY701" s="1349"/>
      <c r="TJZ701" s="1349"/>
      <c r="TKA701" s="1349"/>
      <c r="TKB701" s="1349"/>
      <c r="TKC701" s="1349"/>
      <c r="TKD701" s="1349"/>
      <c r="TKE701" s="1349"/>
      <c r="TKF701" s="1349"/>
      <c r="TKG701" s="1349"/>
      <c r="TKH701" s="1349"/>
      <c r="TKI701" s="1349"/>
      <c r="TKJ701" s="1349"/>
      <c r="TKK701" s="1349"/>
      <c r="TKL701" s="1349"/>
      <c r="TKM701" s="1349"/>
      <c r="TKN701" s="1349"/>
      <c r="TKO701" s="1349"/>
      <c r="TKP701" s="1349"/>
      <c r="TKQ701" s="1349"/>
      <c r="TKR701" s="1349"/>
      <c r="TKS701" s="1349"/>
      <c r="TKT701" s="1349"/>
      <c r="TKU701" s="1349"/>
      <c r="TKV701" s="1349"/>
      <c r="TKW701" s="1349"/>
      <c r="TKX701" s="1349"/>
      <c r="TKY701" s="1349"/>
      <c r="TKZ701" s="1349"/>
      <c r="TLA701" s="1349"/>
      <c r="TLB701" s="1349"/>
      <c r="TLC701" s="1349"/>
      <c r="TLD701" s="1349"/>
      <c r="TLE701" s="1349"/>
      <c r="TLF701" s="1349"/>
      <c r="TLG701" s="1349"/>
      <c r="TLH701" s="1349"/>
      <c r="TLI701" s="1349"/>
      <c r="TLJ701" s="1349"/>
      <c r="TLK701" s="1349"/>
      <c r="TLL701" s="1349"/>
      <c r="TLM701" s="1349"/>
      <c r="TLN701" s="1349"/>
      <c r="TLO701" s="1349"/>
      <c r="TLP701" s="1349"/>
      <c r="TLQ701" s="1349"/>
      <c r="TLR701" s="1349"/>
      <c r="TLS701" s="1349"/>
      <c r="TLT701" s="1349"/>
      <c r="TLU701" s="1349"/>
      <c r="TLV701" s="1349"/>
      <c r="TLW701" s="1349"/>
      <c r="TLX701" s="1349"/>
      <c r="TLY701" s="1349"/>
      <c r="TLZ701" s="1349"/>
      <c r="TMA701" s="1349"/>
      <c r="TMB701" s="1349"/>
      <c r="TMC701" s="1349"/>
      <c r="TMD701" s="1349"/>
      <c r="TME701" s="1349"/>
      <c r="TMF701" s="1349"/>
      <c r="TMG701" s="1349"/>
      <c r="TMH701" s="1349"/>
      <c r="TMI701" s="1349"/>
      <c r="TMJ701" s="1349"/>
      <c r="TMK701" s="1349"/>
      <c r="TML701" s="1349"/>
      <c r="TMM701" s="1349"/>
      <c r="TMN701" s="1349"/>
      <c r="TMO701" s="1349"/>
      <c r="TMP701" s="1349"/>
      <c r="TMQ701" s="1349"/>
      <c r="TMR701" s="1349"/>
      <c r="TMS701" s="1349"/>
      <c r="TMT701" s="1349"/>
      <c r="TMU701" s="1349"/>
      <c r="TMV701" s="1349"/>
      <c r="TMW701" s="1349"/>
      <c r="TMX701" s="1349"/>
      <c r="TMY701" s="1349"/>
      <c r="TMZ701" s="1349"/>
      <c r="TNA701" s="1349"/>
      <c r="TNB701" s="1349"/>
      <c r="TNC701" s="1349"/>
      <c r="TND701" s="1349"/>
      <c r="TNE701" s="1349"/>
      <c r="TNF701" s="1349"/>
      <c r="TNG701" s="1349"/>
      <c r="TNH701" s="1349"/>
      <c r="TNI701" s="1349"/>
      <c r="TNJ701" s="1349"/>
      <c r="TNK701" s="1349"/>
      <c r="TNL701" s="1349"/>
      <c r="TNM701" s="1349"/>
      <c r="TNN701" s="1349"/>
      <c r="TNO701" s="1349"/>
      <c r="TNP701" s="1349"/>
      <c r="TNQ701" s="1349"/>
      <c r="TNR701" s="1349"/>
      <c r="TNS701" s="1349"/>
      <c r="TNT701" s="1349"/>
      <c r="TNU701" s="1349"/>
      <c r="TNV701" s="1349"/>
      <c r="TNW701" s="1349"/>
      <c r="TNX701" s="1349"/>
      <c r="TNY701" s="1349"/>
      <c r="TNZ701" s="1349"/>
      <c r="TOA701" s="1349"/>
      <c r="TOB701" s="1349"/>
      <c r="TOC701" s="1349"/>
      <c r="TOD701" s="1349"/>
      <c r="TOE701" s="1349"/>
      <c r="TOF701" s="1349"/>
      <c r="TOG701" s="1349"/>
      <c r="TOH701" s="1349"/>
      <c r="TOI701" s="1349"/>
      <c r="TOJ701" s="1349"/>
      <c r="TOK701" s="1349"/>
      <c r="TOL701" s="1349"/>
      <c r="TOM701" s="1349"/>
      <c r="TON701" s="1349"/>
      <c r="TOO701" s="1349"/>
      <c r="TOP701" s="1349"/>
      <c r="TOQ701" s="1349"/>
      <c r="TOR701" s="1349"/>
      <c r="TOS701" s="1349"/>
      <c r="TOT701" s="1349"/>
      <c r="TOU701" s="1349"/>
      <c r="TOV701" s="1349"/>
      <c r="TOW701" s="1349"/>
      <c r="TOX701" s="1349"/>
      <c r="TOY701" s="1349"/>
      <c r="TOZ701" s="1349"/>
      <c r="TPA701" s="1349"/>
      <c r="TPB701" s="1349"/>
      <c r="TPC701" s="1349"/>
      <c r="TPD701" s="1349"/>
      <c r="TPE701" s="1349"/>
      <c r="TPF701" s="1349"/>
      <c r="TPG701" s="1349"/>
      <c r="TPH701" s="1349"/>
      <c r="TPI701" s="1349"/>
      <c r="TPJ701" s="1349"/>
      <c r="TPK701" s="1349"/>
      <c r="TPL701" s="1349"/>
      <c r="TPM701" s="1349"/>
      <c r="TPN701" s="1349"/>
      <c r="TPO701" s="1349"/>
      <c r="TPP701" s="1349"/>
      <c r="TPQ701" s="1349"/>
      <c r="TPR701" s="1349"/>
      <c r="TPS701" s="1349"/>
      <c r="TPT701" s="1349"/>
      <c r="TPU701" s="1349"/>
      <c r="TPV701" s="1349"/>
      <c r="TPW701" s="1349"/>
      <c r="TPX701" s="1349"/>
      <c r="TPY701" s="1349"/>
      <c r="TPZ701" s="1349"/>
      <c r="TQA701" s="1349"/>
      <c r="TQB701" s="1349"/>
      <c r="TQC701" s="1349"/>
      <c r="TQD701" s="1349"/>
      <c r="TQE701" s="1349"/>
      <c r="TQF701" s="1349"/>
      <c r="TQG701" s="1349"/>
      <c r="TQH701" s="1349"/>
      <c r="TQI701" s="1349"/>
      <c r="TQJ701" s="1349"/>
      <c r="TQK701" s="1349"/>
      <c r="TQL701" s="1349"/>
      <c r="TQM701" s="1349"/>
      <c r="TQN701" s="1349"/>
      <c r="TQO701" s="1349"/>
      <c r="TQP701" s="1349"/>
      <c r="TQQ701" s="1349"/>
      <c r="TQR701" s="1349"/>
      <c r="TQS701" s="1349"/>
      <c r="TQT701" s="1349"/>
      <c r="TQU701" s="1349"/>
      <c r="TQV701" s="1349"/>
      <c r="TQW701" s="1349"/>
      <c r="TQX701" s="1349"/>
      <c r="TQY701" s="1349"/>
      <c r="TQZ701" s="1349"/>
      <c r="TRA701" s="1349"/>
      <c r="TRB701" s="1349"/>
      <c r="TRC701" s="1349"/>
      <c r="TRD701" s="1349"/>
      <c r="TRE701" s="1349"/>
      <c r="TRF701" s="1349"/>
      <c r="TRG701" s="1349"/>
      <c r="TRH701" s="1349"/>
      <c r="TRI701" s="1349"/>
      <c r="TRJ701" s="1349"/>
      <c r="TRK701" s="1349"/>
      <c r="TRL701" s="1349"/>
      <c r="TRM701" s="1349"/>
      <c r="TRN701" s="1349"/>
      <c r="TRO701" s="1349"/>
      <c r="TRP701" s="1349"/>
      <c r="TRQ701" s="1349"/>
      <c r="TRR701" s="1349"/>
      <c r="TRS701" s="1349"/>
      <c r="TRT701" s="1349"/>
      <c r="TRU701" s="1349"/>
      <c r="TRV701" s="1349"/>
      <c r="TRW701" s="1349"/>
      <c r="TRX701" s="1349"/>
      <c r="TRY701" s="1349"/>
      <c r="TRZ701" s="1349"/>
      <c r="TSA701" s="1349"/>
      <c r="TSB701" s="1349"/>
      <c r="TSC701" s="1349"/>
      <c r="TSD701" s="1349"/>
      <c r="TSE701" s="1349"/>
      <c r="TSF701" s="1349"/>
      <c r="TSG701" s="1349"/>
      <c r="TSH701" s="1349"/>
      <c r="TSI701" s="1349"/>
      <c r="TSJ701" s="1349"/>
      <c r="TSK701" s="1349"/>
      <c r="TSL701" s="1349"/>
      <c r="TSM701" s="1349"/>
      <c r="TSN701" s="1349"/>
      <c r="TSO701" s="1349"/>
      <c r="TSP701" s="1349"/>
      <c r="TSQ701" s="1349"/>
      <c r="TSR701" s="1349"/>
      <c r="TSS701" s="1349"/>
      <c r="TST701" s="1349"/>
      <c r="TSU701" s="1349"/>
      <c r="TSV701" s="1349"/>
      <c r="TSW701" s="1349"/>
      <c r="TSX701" s="1349"/>
      <c r="TSY701" s="1349"/>
      <c r="TSZ701" s="1349"/>
      <c r="TTA701" s="1349"/>
      <c r="TTB701" s="1349"/>
      <c r="TTC701" s="1349"/>
      <c r="TTD701" s="1349"/>
      <c r="TTE701" s="1349"/>
      <c r="TTF701" s="1349"/>
      <c r="TTG701" s="1349"/>
      <c r="TTH701" s="1349"/>
      <c r="TTI701" s="1349"/>
      <c r="TTJ701" s="1349"/>
      <c r="TTK701" s="1349"/>
      <c r="TTL701" s="1349"/>
      <c r="TTM701" s="1349"/>
      <c r="TTN701" s="1349"/>
      <c r="TTO701" s="1349"/>
      <c r="TTP701" s="1349"/>
      <c r="TTQ701" s="1349"/>
      <c r="TTR701" s="1349"/>
      <c r="TTS701" s="1349"/>
      <c r="TTT701" s="1349"/>
      <c r="TTU701" s="1349"/>
      <c r="TTV701" s="1349"/>
      <c r="TTW701" s="1349"/>
      <c r="TTX701" s="1349"/>
      <c r="TTY701" s="1349"/>
      <c r="TTZ701" s="1349"/>
      <c r="TUA701" s="1349"/>
      <c r="TUB701" s="1349"/>
      <c r="TUC701" s="1349"/>
      <c r="TUD701" s="1349"/>
      <c r="TUE701" s="1349"/>
      <c r="TUF701" s="1349"/>
      <c r="TUG701" s="1349"/>
      <c r="TUH701" s="1349"/>
      <c r="TUI701" s="1349"/>
      <c r="TUJ701" s="1349"/>
      <c r="TUK701" s="1349"/>
      <c r="TUL701" s="1349"/>
      <c r="TUM701" s="1349"/>
      <c r="TUN701" s="1349"/>
      <c r="TUO701" s="1349"/>
      <c r="TUP701" s="1349"/>
      <c r="TUQ701" s="1349"/>
      <c r="TUR701" s="1349"/>
      <c r="TUS701" s="1349"/>
      <c r="TUT701" s="1349"/>
      <c r="TUU701" s="1349"/>
      <c r="TUV701" s="1349"/>
      <c r="TUW701" s="1349"/>
      <c r="TUX701" s="1349"/>
      <c r="TUY701" s="1349"/>
      <c r="TUZ701" s="1349"/>
      <c r="TVA701" s="1349"/>
      <c r="TVB701" s="1349"/>
      <c r="TVC701" s="1349"/>
      <c r="TVD701" s="1349"/>
      <c r="TVE701" s="1349"/>
      <c r="TVF701" s="1349"/>
      <c r="TVG701" s="1349"/>
      <c r="TVH701" s="1349"/>
      <c r="TVI701" s="1349"/>
      <c r="TVJ701" s="1349"/>
      <c r="TVK701" s="1349"/>
      <c r="TVL701" s="1349"/>
      <c r="TVM701" s="1349"/>
      <c r="TVN701" s="1349"/>
      <c r="TVO701" s="1349"/>
      <c r="TVP701" s="1349"/>
      <c r="TVQ701" s="1349"/>
      <c r="TVR701" s="1349"/>
      <c r="TVS701" s="1349"/>
      <c r="TVT701" s="1349"/>
      <c r="TVU701" s="1349"/>
      <c r="TVV701" s="1349"/>
      <c r="TVW701" s="1349"/>
      <c r="TVX701" s="1349"/>
      <c r="TVY701" s="1349"/>
      <c r="TVZ701" s="1349"/>
      <c r="TWA701" s="1349"/>
      <c r="TWB701" s="1349"/>
      <c r="TWC701" s="1349"/>
      <c r="TWD701" s="1349"/>
      <c r="TWE701" s="1349"/>
      <c r="TWF701" s="1349"/>
      <c r="TWG701" s="1349"/>
      <c r="TWH701" s="1349"/>
      <c r="TWI701" s="1349"/>
      <c r="TWJ701" s="1349"/>
      <c r="TWK701" s="1349"/>
      <c r="TWL701" s="1349"/>
      <c r="TWM701" s="1349"/>
      <c r="TWN701" s="1349"/>
      <c r="TWO701" s="1349"/>
      <c r="TWP701" s="1349"/>
      <c r="TWQ701" s="1349"/>
      <c r="TWR701" s="1349"/>
      <c r="TWS701" s="1349"/>
      <c r="TWT701" s="1349"/>
      <c r="TWU701" s="1349"/>
      <c r="TWV701" s="1349"/>
      <c r="TWW701" s="1349"/>
      <c r="TWX701" s="1349"/>
      <c r="TWY701" s="1349"/>
      <c r="TWZ701" s="1349"/>
      <c r="TXA701" s="1349"/>
      <c r="TXB701" s="1349"/>
      <c r="TXC701" s="1349"/>
      <c r="TXD701" s="1349"/>
      <c r="TXE701" s="1349"/>
      <c r="TXF701" s="1349"/>
      <c r="TXG701" s="1349"/>
      <c r="TXH701" s="1349"/>
      <c r="TXI701" s="1349"/>
      <c r="TXJ701" s="1349"/>
      <c r="TXK701" s="1349"/>
      <c r="TXL701" s="1349"/>
      <c r="TXM701" s="1349"/>
      <c r="TXN701" s="1349"/>
      <c r="TXO701" s="1349"/>
      <c r="TXP701" s="1349"/>
      <c r="TXQ701" s="1349"/>
      <c r="TXR701" s="1349"/>
      <c r="TXS701" s="1349"/>
      <c r="TXT701" s="1349"/>
      <c r="TXU701" s="1349"/>
      <c r="TXV701" s="1349"/>
      <c r="TXW701" s="1349"/>
      <c r="TXX701" s="1349"/>
      <c r="TXY701" s="1349"/>
      <c r="TXZ701" s="1349"/>
      <c r="TYA701" s="1349"/>
      <c r="TYB701" s="1349"/>
      <c r="TYC701" s="1349"/>
      <c r="TYD701" s="1349"/>
      <c r="TYE701" s="1349"/>
      <c r="TYF701" s="1349"/>
      <c r="TYG701" s="1349"/>
      <c r="TYH701" s="1349"/>
      <c r="TYI701" s="1349"/>
      <c r="TYJ701" s="1349"/>
      <c r="TYK701" s="1349"/>
      <c r="TYL701" s="1349"/>
      <c r="TYM701" s="1349"/>
      <c r="TYN701" s="1349"/>
      <c r="TYO701" s="1349"/>
      <c r="TYP701" s="1349"/>
      <c r="TYQ701" s="1349"/>
      <c r="TYR701" s="1349"/>
      <c r="TYS701" s="1349"/>
      <c r="TYT701" s="1349"/>
      <c r="TYU701" s="1349"/>
      <c r="TYV701" s="1349"/>
      <c r="TYW701" s="1349"/>
      <c r="TYX701" s="1349"/>
      <c r="TYY701" s="1349"/>
      <c r="TYZ701" s="1349"/>
      <c r="TZA701" s="1349"/>
      <c r="TZB701" s="1349"/>
      <c r="TZC701" s="1349"/>
      <c r="TZD701" s="1349"/>
      <c r="TZE701" s="1349"/>
      <c r="TZF701" s="1349"/>
      <c r="TZG701" s="1349"/>
      <c r="TZH701" s="1349"/>
      <c r="TZI701" s="1349"/>
      <c r="TZJ701" s="1349"/>
      <c r="TZK701" s="1349"/>
      <c r="TZL701" s="1349"/>
      <c r="TZM701" s="1349"/>
      <c r="TZN701" s="1349"/>
      <c r="TZO701" s="1349"/>
      <c r="TZP701" s="1349"/>
      <c r="TZQ701" s="1349"/>
      <c r="TZR701" s="1349"/>
      <c r="TZS701" s="1349"/>
      <c r="TZT701" s="1349"/>
      <c r="TZU701" s="1349"/>
      <c r="TZV701" s="1349"/>
      <c r="TZW701" s="1349"/>
      <c r="TZX701" s="1349"/>
      <c r="TZY701" s="1349"/>
      <c r="TZZ701" s="1349"/>
      <c r="UAA701" s="1349"/>
      <c r="UAB701" s="1349"/>
      <c r="UAC701" s="1349"/>
      <c r="UAD701" s="1349"/>
      <c r="UAE701" s="1349"/>
      <c r="UAF701" s="1349"/>
      <c r="UAG701" s="1349"/>
      <c r="UAH701" s="1349"/>
      <c r="UAI701" s="1349"/>
      <c r="UAJ701" s="1349"/>
      <c r="UAK701" s="1349"/>
      <c r="UAL701" s="1349"/>
      <c r="UAM701" s="1349"/>
      <c r="UAN701" s="1349"/>
      <c r="UAO701" s="1349"/>
      <c r="UAP701" s="1349"/>
      <c r="UAQ701" s="1349"/>
      <c r="UAR701" s="1349"/>
      <c r="UAS701" s="1349"/>
      <c r="UAT701" s="1349"/>
      <c r="UAU701" s="1349"/>
      <c r="UAV701" s="1349"/>
      <c r="UAW701" s="1349"/>
      <c r="UAX701" s="1349"/>
      <c r="UAY701" s="1349"/>
      <c r="UAZ701" s="1349"/>
      <c r="UBA701" s="1349"/>
      <c r="UBB701" s="1349"/>
      <c r="UBC701" s="1349"/>
      <c r="UBD701" s="1349"/>
      <c r="UBE701" s="1349"/>
      <c r="UBF701" s="1349"/>
      <c r="UBG701" s="1349"/>
      <c r="UBH701" s="1349"/>
      <c r="UBI701" s="1349"/>
      <c r="UBJ701" s="1349"/>
      <c r="UBK701" s="1349"/>
      <c r="UBL701" s="1349"/>
      <c r="UBM701" s="1349"/>
      <c r="UBN701" s="1349"/>
      <c r="UBO701" s="1349"/>
      <c r="UBP701" s="1349"/>
      <c r="UBQ701" s="1349"/>
      <c r="UBR701" s="1349"/>
      <c r="UBS701" s="1349"/>
      <c r="UBT701" s="1349"/>
      <c r="UBU701" s="1349"/>
      <c r="UBV701" s="1349"/>
      <c r="UBW701" s="1349"/>
      <c r="UBX701" s="1349"/>
      <c r="UBY701" s="1349"/>
      <c r="UBZ701" s="1349"/>
      <c r="UCA701" s="1349"/>
      <c r="UCB701" s="1349"/>
      <c r="UCC701" s="1349"/>
      <c r="UCD701" s="1349"/>
      <c r="UCE701" s="1349"/>
      <c r="UCF701" s="1349"/>
      <c r="UCG701" s="1349"/>
      <c r="UCH701" s="1349"/>
      <c r="UCI701" s="1349"/>
      <c r="UCJ701" s="1349"/>
      <c r="UCK701" s="1349"/>
      <c r="UCL701" s="1349"/>
      <c r="UCM701" s="1349"/>
      <c r="UCN701" s="1349"/>
      <c r="UCO701" s="1349"/>
      <c r="UCP701" s="1349"/>
      <c r="UCQ701" s="1349"/>
      <c r="UCR701" s="1349"/>
      <c r="UCS701" s="1349"/>
      <c r="UCT701" s="1349"/>
      <c r="UCU701" s="1349"/>
      <c r="UCV701" s="1349"/>
      <c r="UCW701" s="1349"/>
      <c r="UCX701" s="1349"/>
      <c r="UCY701" s="1349"/>
      <c r="UCZ701" s="1349"/>
      <c r="UDA701" s="1349"/>
      <c r="UDB701" s="1349"/>
      <c r="UDC701" s="1349"/>
      <c r="UDD701" s="1349"/>
      <c r="UDE701" s="1349"/>
      <c r="UDF701" s="1349"/>
      <c r="UDG701" s="1349"/>
      <c r="UDH701" s="1349"/>
      <c r="UDI701" s="1349"/>
      <c r="UDJ701" s="1349"/>
      <c r="UDK701" s="1349"/>
      <c r="UDL701" s="1349"/>
      <c r="UDM701" s="1349"/>
      <c r="UDN701" s="1349"/>
      <c r="UDO701" s="1349"/>
      <c r="UDP701" s="1349"/>
      <c r="UDQ701" s="1349"/>
      <c r="UDR701" s="1349"/>
      <c r="UDS701" s="1349"/>
      <c r="UDT701" s="1349"/>
      <c r="UDU701" s="1349"/>
      <c r="UDV701" s="1349"/>
      <c r="UDW701" s="1349"/>
      <c r="UDX701" s="1349"/>
      <c r="UDY701" s="1349"/>
      <c r="UDZ701" s="1349"/>
      <c r="UEA701" s="1349"/>
      <c r="UEB701" s="1349"/>
      <c r="UEC701" s="1349"/>
      <c r="UED701" s="1349"/>
      <c r="UEE701" s="1349"/>
      <c r="UEF701" s="1349"/>
      <c r="UEG701" s="1349"/>
      <c r="UEH701" s="1349"/>
      <c r="UEI701" s="1349"/>
      <c r="UEJ701" s="1349"/>
      <c r="UEK701" s="1349"/>
      <c r="UEL701" s="1349"/>
      <c r="UEM701" s="1349"/>
      <c r="UEN701" s="1349"/>
      <c r="UEO701" s="1349"/>
      <c r="UEP701" s="1349"/>
      <c r="UEQ701" s="1349"/>
      <c r="UER701" s="1349"/>
      <c r="UES701" s="1349"/>
      <c r="UET701" s="1349"/>
      <c r="UEU701" s="1349"/>
      <c r="UEV701" s="1349"/>
      <c r="UEW701" s="1349"/>
      <c r="UEX701" s="1349"/>
      <c r="UEY701" s="1349"/>
      <c r="UEZ701" s="1349"/>
      <c r="UFA701" s="1349"/>
      <c r="UFB701" s="1349"/>
      <c r="UFC701" s="1349"/>
      <c r="UFD701" s="1349"/>
      <c r="UFE701" s="1349"/>
      <c r="UFF701" s="1349"/>
      <c r="UFG701" s="1349"/>
      <c r="UFH701" s="1349"/>
      <c r="UFI701" s="1349"/>
      <c r="UFJ701" s="1349"/>
      <c r="UFK701" s="1349"/>
      <c r="UFL701" s="1349"/>
      <c r="UFM701" s="1349"/>
      <c r="UFN701" s="1349"/>
      <c r="UFO701" s="1349"/>
      <c r="UFP701" s="1349"/>
      <c r="UFQ701" s="1349"/>
      <c r="UFR701" s="1349"/>
      <c r="UFS701" s="1349"/>
      <c r="UFT701" s="1349"/>
      <c r="UFU701" s="1349"/>
      <c r="UFV701" s="1349"/>
      <c r="UFW701" s="1349"/>
      <c r="UFX701" s="1349"/>
      <c r="UFY701" s="1349"/>
      <c r="UFZ701" s="1349"/>
      <c r="UGA701" s="1349"/>
      <c r="UGB701" s="1349"/>
      <c r="UGC701" s="1349"/>
      <c r="UGD701" s="1349"/>
      <c r="UGE701" s="1349"/>
      <c r="UGF701" s="1349"/>
      <c r="UGG701" s="1349"/>
      <c r="UGH701" s="1349"/>
      <c r="UGI701" s="1349"/>
      <c r="UGJ701" s="1349"/>
      <c r="UGK701" s="1349"/>
      <c r="UGL701" s="1349"/>
      <c r="UGM701" s="1349"/>
      <c r="UGN701" s="1349"/>
      <c r="UGO701" s="1349"/>
      <c r="UGP701" s="1349"/>
      <c r="UGQ701" s="1349"/>
      <c r="UGR701" s="1349"/>
      <c r="UGS701" s="1349"/>
      <c r="UGT701" s="1349"/>
      <c r="UGU701" s="1349"/>
      <c r="UGV701" s="1349"/>
      <c r="UGW701" s="1349"/>
      <c r="UGX701" s="1349"/>
      <c r="UGY701" s="1349"/>
      <c r="UGZ701" s="1349"/>
      <c r="UHA701" s="1349"/>
      <c r="UHB701" s="1349"/>
      <c r="UHC701" s="1349"/>
      <c r="UHD701" s="1349"/>
      <c r="UHE701" s="1349"/>
      <c r="UHF701" s="1349"/>
      <c r="UHG701" s="1349"/>
      <c r="UHH701" s="1349"/>
      <c r="UHI701" s="1349"/>
      <c r="UHJ701" s="1349"/>
      <c r="UHK701" s="1349"/>
      <c r="UHL701" s="1349"/>
      <c r="UHM701" s="1349"/>
      <c r="UHN701" s="1349"/>
      <c r="UHO701" s="1349"/>
      <c r="UHP701" s="1349"/>
      <c r="UHQ701" s="1349"/>
      <c r="UHR701" s="1349"/>
      <c r="UHS701" s="1349"/>
      <c r="UHT701" s="1349"/>
      <c r="UHU701" s="1349"/>
      <c r="UHV701" s="1349"/>
      <c r="UHW701" s="1349"/>
      <c r="UHX701" s="1349"/>
      <c r="UHY701" s="1349"/>
      <c r="UHZ701" s="1349"/>
      <c r="UIA701" s="1349"/>
      <c r="UIB701" s="1349"/>
      <c r="UIC701" s="1349"/>
      <c r="UID701" s="1349"/>
      <c r="UIE701" s="1349"/>
      <c r="UIF701" s="1349"/>
      <c r="UIG701" s="1349"/>
      <c r="UIH701" s="1349"/>
      <c r="UII701" s="1349"/>
      <c r="UIJ701" s="1349"/>
      <c r="UIK701" s="1349"/>
      <c r="UIL701" s="1349"/>
      <c r="UIM701" s="1349"/>
      <c r="UIN701" s="1349"/>
      <c r="UIO701" s="1349"/>
      <c r="UIP701" s="1349"/>
      <c r="UIQ701" s="1349"/>
      <c r="UIR701" s="1349"/>
      <c r="UIS701" s="1349"/>
      <c r="UIT701" s="1349"/>
      <c r="UIU701" s="1349"/>
      <c r="UIV701" s="1349"/>
      <c r="UIW701" s="1349"/>
      <c r="UIX701" s="1349"/>
      <c r="UIY701" s="1349"/>
      <c r="UIZ701" s="1349"/>
      <c r="UJA701" s="1349"/>
      <c r="UJB701" s="1349"/>
      <c r="UJC701" s="1349"/>
      <c r="UJD701" s="1349"/>
      <c r="UJE701" s="1349"/>
      <c r="UJF701" s="1349"/>
      <c r="UJG701" s="1349"/>
      <c r="UJH701" s="1349"/>
      <c r="UJI701" s="1349"/>
      <c r="UJJ701" s="1349"/>
      <c r="UJK701" s="1349"/>
      <c r="UJL701" s="1349"/>
      <c r="UJM701" s="1349"/>
      <c r="UJN701" s="1349"/>
      <c r="UJO701" s="1349"/>
      <c r="UJP701" s="1349"/>
      <c r="UJQ701" s="1349"/>
      <c r="UJR701" s="1349"/>
      <c r="UJS701" s="1349"/>
      <c r="UJT701" s="1349"/>
      <c r="UJU701" s="1349"/>
      <c r="UJV701" s="1349"/>
      <c r="UJW701" s="1349"/>
      <c r="UJX701" s="1349"/>
      <c r="UJY701" s="1349"/>
      <c r="UJZ701" s="1349"/>
      <c r="UKA701" s="1349"/>
      <c r="UKB701" s="1349"/>
      <c r="UKC701" s="1349"/>
      <c r="UKD701" s="1349"/>
      <c r="UKE701" s="1349"/>
      <c r="UKF701" s="1349"/>
      <c r="UKG701" s="1349"/>
      <c r="UKH701" s="1349"/>
      <c r="UKI701" s="1349"/>
      <c r="UKJ701" s="1349"/>
      <c r="UKK701" s="1349"/>
      <c r="UKL701" s="1349"/>
      <c r="UKM701" s="1349"/>
      <c r="UKN701" s="1349"/>
      <c r="UKO701" s="1349"/>
      <c r="UKP701" s="1349"/>
      <c r="UKQ701" s="1349"/>
      <c r="UKR701" s="1349"/>
      <c r="UKS701" s="1349"/>
      <c r="UKT701" s="1349"/>
      <c r="UKU701" s="1349"/>
      <c r="UKV701" s="1349"/>
      <c r="UKW701" s="1349"/>
      <c r="UKX701" s="1349"/>
      <c r="UKY701" s="1349"/>
      <c r="UKZ701" s="1349"/>
      <c r="ULA701" s="1349"/>
      <c r="ULB701" s="1349"/>
      <c r="ULC701" s="1349"/>
      <c r="ULD701" s="1349"/>
      <c r="ULE701" s="1349"/>
      <c r="ULF701" s="1349"/>
      <c r="ULG701" s="1349"/>
      <c r="ULH701" s="1349"/>
      <c r="ULI701" s="1349"/>
      <c r="ULJ701" s="1349"/>
      <c r="ULK701" s="1349"/>
      <c r="ULL701" s="1349"/>
      <c r="ULM701" s="1349"/>
      <c r="ULN701" s="1349"/>
      <c r="ULO701" s="1349"/>
      <c r="ULP701" s="1349"/>
      <c r="ULQ701" s="1349"/>
      <c r="ULR701" s="1349"/>
      <c r="ULS701" s="1349"/>
      <c r="ULT701" s="1349"/>
      <c r="ULU701" s="1349"/>
      <c r="ULV701" s="1349"/>
      <c r="ULW701" s="1349"/>
      <c r="ULX701" s="1349"/>
      <c r="ULY701" s="1349"/>
      <c r="ULZ701" s="1349"/>
      <c r="UMA701" s="1349"/>
      <c r="UMB701" s="1349"/>
      <c r="UMC701" s="1349"/>
      <c r="UMD701" s="1349"/>
      <c r="UME701" s="1349"/>
      <c r="UMF701" s="1349"/>
      <c r="UMG701" s="1349"/>
      <c r="UMH701" s="1349"/>
      <c r="UMI701" s="1349"/>
      <c r="UMJ701" s="1349"/>
      <c r="UMK701" s="1349"/>
      <c r="UML701" s="1349"/>
      <c r="UMM701" s="1349"/>
      <c r="UMN701" s="1349"/>
      <c r="UMO701" s="1349"/>
      <c r="UMP701" s="1349"/>
      <c r="UMQ701" s="1349"/>
      <c r="UMR701" s="1349"/>
      <c r="UMS701" s="1349"/>
      <c r="UMT701" s="1349"/>
      <c r="UMU701" s="1349"/>
      <c r="UMV701" s="1349"/>
      <c r="UMW701" s="1349"/>
      <c r="UMX701" s="1349"/>
      <c r="UMY701" s="1349"/>
      <c r="UMZ701" s="1349"/>
      <c r="UNA701" s="1349"/>
      <c r="UNB701" s="1349"/>
      <c r="UNC701" s="1349"/>
      <c r="UND701" s="1349"/>
      <c r="UNE701" s="1349"/>
      <c r="UNF701" s="1349"/>
      <c r="UNG701" s="1349"/>
      <c r="UNH701" s="1349"/>
      <c r="UNI701" s="1349"/>
      <c r="UNJ701" s="1349"/>
      <c r="UNK701" s="1349"/>
      <c r="UNL701" s="1349"/>
      <c r="UNM701" s="1349"/>
      <c r="UNN701" s="1349"/>
      <c r="UNO701" s="1349"/>
      <c r="UNP701" s="1349"/>
      <c r="UNQ701" s="1349"/>
      <c r="UNR701" s="1349"/>
      <c r="UNS701" s="1349"/>
      <c r="UNT701" s="1349"/>
      <c r="UNU701" s="1349"/>
      <c r="UNV701" s="1349"/>
      <c r="UNW701" s="1349"/>
      <c r="UNX701" s="1349"/>
      <c r="UNY701" s="1349"/>
      <c r="UNZ701" s="1349"/>
      <c r="UOA701" s="1349"/>
      <c r="UOB701" s="1349"/>
      <c r="UOC701" s="1349"/>
      <c r="UOD701" s="1349"/>
      <c r="UOE701" s="1349"/>
      <c r="UOF701" s="1349"/>
      <c r="UOG701" s="1349"/>
      <c r="UOH701" s="1349"/>
      <c r="UOI701" s="1349"/>
      <c r="UOJ701" s="1349"/>
      <c r="UOK701" s="1349"/>
      <c r="UOL701" s="1349"/>
      <c r="UOM701" s="1349"/>
      <c r="UON701" s="1349"/>
      <c r="UOO701" s="1349"/>
      <c r="UOP701" s="1349"/>
      <c r="UOQ701" s="1349"/>
      <c r="UOR701" s="1349"/>
      <c r="UOS701" s="1349"/>
      <c r="UOT701" s="1349"/>
      <c r="UOU701" s="1349"/>
      <c r="UOV701" s="1349"/>
      <c r="UOW701" s="1349"/>
      <c r="UOX701" s="1349"/>
      <c r="UOY701" s="1349"/>
      <c r="UOZ701" s="1349"/>
      <c r="UPA701" s="1349"/>
      <c r="UPB701" s="1349"/>
      <c r="UPC701" s="1349"/>
      <c r="UPD701" s="1349"/>
      <c r="UPE701" s="1349"/>
      <c r="UPF701" s="1349"/>
      <c r="UPG701" s="1349"/>
      <c r="UPH701" s="1349"/>
      <c r="UPI701" s="1349"/>
      <c r="UPJ701" s="1349"/>
      <c r="UPK701" s="1349"/>
      <c r="UPL701" s="1349"/>
      <c r="UPM701" s="1349"/>
      <c r="UPN701" s="1349"/>
      <c r="UPO701" s="1349"/>
      <c r="UPP701" s="1349"/>
      <c r="UPQ701" s="1349"/>
      <c r="UPR701" s="1349"/>
      <c r="UPS701" s="1349"/>
      <c r="UPT701" s="1349"/>
      <c r="UPU701" s="1349"/>
      <c r="UPV701" s="1349"/>
      <c r="UPW701" s="1349"/>
      <c r="UPX701" s="1349"/>
      <c r="UPY701" s="1349"/>
      <c r="UPZ701" s="1349"/>
      <c r="UQA701" s="1349"/>
      <c r="UQB701" s="1349"/>
      <c r="UQC701" s="1349"/>
      <c r="UQD701" s="1349"/>
      <c r="UQE701" s="1349"/>
      <c r="UQF701" s="1349"/>
      <c r="UQG701" s="1349"/>
      <c r="UQH701" s="1349"/>
      <c r="UQI701" s="1349"/>
      <c r="UQJ701" s="1349"/>
      <c r="UQK701" s="1349"/>
      <c r="UQL701" s="1349"/>
      <c r="UQM701" s="1349"/>
      <c r="UQN701" s="1349"/>
      <c r="UQO701" s="1349"/>
      <c r="UQP701" s="1349"/>
      <c r="UQQ701" s="1349"/>
      <c r="UQR701" s="1349"/>
      <c r="UQS701" s="1349"/>
      <c r="UQT701" s="1349"/>
      <c r="UQU701" s="1349"/>
      <c r="UQV701" s="1349"/>
      <c r="UQW701" s="1349"/>
      <c r="UQX701" s="1349"/>
      <c r="UQY701" s="1349"/>
      <c r="UQZ701" s="1349"/>
      <c r="URA701" s="1349"/>
      <c r="URB701" s="1349"/>
      <c r="URC701" s="1349"/>
      <c r="URD701" s="1349"/>
      <c r="URE701" s="1349"/>
      <c r="URF701" s="1349"/>
      <c r="URG701" s="1349"/>
      <c r="URH701" s="1349"/>
      <c r="URI701" s="1349"/>
      <c r="URJ701" s="1349"/>
      <c r="URK701" s="1349"/>
      <c r="URL701" s="1349"/>
      <c r="URM701" s="1349"/>
      <c r="URN701" s="1349"/>
      <c r="URO701" s="1349"/>
      <c r="URP701" s="1349"/>
      <c r="URQ701" s="1349"/>
      <c r="URR701" s="1349"/>
      <c r="URS701" s="1349"/>
      <c r="URT701" s="1349"/>
      <c r="URU701" s="1349"/>
      <c r="URV701" s="1349"/>
      <c r="URW701" s="1349"/>
      <c r="URX701" s="1349"/>
      <c r="URY701" s="1349"/>
      <c r="URZ701" s="1349"/>
      <c r="USA701" s="1349"/>
      <c r="USB701" s="1349"/>
      <c r="USC701" s="1349"/>
      <c r="USD701" s="1349"/>
      <c r="USE701" s="1349"/>
      <c r="USF701" s="1349"/>
      <c r="USG701" s="1349"/>
      <c r="USH701" s="1349"/>
      <c r="USI701" s="1349"/>
      <c r="USJ701" s="1349"/>
      <c r="USK701" s="1349"/>
      <c r="USL701" s="1349"/>
      <c r="USM701" s="1349"/>
      <c r="USN701" s="1349"/>
      <c r="USO701" s="1349"/>
      <c r="USP701" s="1349"/>
      <c r="USQ701" s="1349"/>
      <c r="USR701" s="1349"/>
      <c r="USS701" s="1349"/>
      <c r="UST701" s="1349"/>
      <c r="USU701" s="1349"/>
      <c r="USV701" s="1349"/>
      <c r="USW701" s="1349"/>
      <c r="USX701" s="1349"/>
      <c r="USY701" s="1349"/>
      <c r="USZ701" s="1349"/>
      <c r="UTA701" s="1349"/>
      <c r="UTB701" s="1349"/>
      <c r="UTC701" s="1349"/>
      <c r="UTD701" s="1349"/>
      <c r="UTE701" s="1349"/>
      <c r="UTF701" s="1349"/>
      <c r="UTG701" s="1349"/>
      <c r="UTH701" s="1349"/>
      <c r="UTI701" s="1349"/>
      <c r="UTJ701" s="1349"/>
      <c r="UTK701" s="1349"/>
      <c r="UTL701" s="1349"/>
      <c r="UTM701" s="1349"/>
      <c r="UTN701" s="1349"/>
      <c r="UTO701" s="1349"/>
      <c r="UTP701" s="1349"/>
      <c r="UTQ701" s="1349"/>
      <c r="UTR701" s="1349"/>
      <c r="UTS701" s="1349"/>
      <c r="UTT701" s="1349"/>
      <c r="UTU701" s="1349"/>
      <c r="UTV701" s="1349"/>
      <c r="UTW701" s="1349"/>
      <c r="UTX701" s="1349"/>
      <c r="UTY701" s="1349"/>
      <c r="UTZ701" s="1349"/>
      <c r="UUA701" s="1349"/>
      <c r="UUB701" s="1349"/>
      <c r="UUC701" s="1349"/>
      <c r="UUD701" s="1349"/>
      <c r="UUE701" s="1349"/>
      <c r="UUF701" s="1349"/>
      <c r="UUG701" s="1349"/>
      <c r="UUH701" s="1349"/>
      <c r="UUI701" s="1349"/>
      <c r="UUJ701" s="1349"/>
      <c r="UUK701" s="1349"/>
      <c r="UUL701" s="1349"/>
      <c r="UUM701" s="1349"/>
      <c r="UUN701" s="1349"/>
      <c r="UUO701" s="1349"/>
      <c r="UUP701" s="1349"/>
      <c r="UUQ701" s="1349"/>
      <c r="UUR701" s="1349"/>
      <c r="UUS701" s="1349"/>
      <c r="UUT701" s="1349"/>
      <c r="UUU701" s="1349"/>
      <c r="UUV701" s="1349"/>
      <c r="UUW701" s="1349"/>
      <c r="UUX701" s="1349"/>
      <c r="UUY701" s="1349"/>
      <c r="UUZ701" s="1349"/>
      <c r="UVA701" s="1349"/>
      <c r="UVB701" s="1349"/>
      <c r="UVC701" s="1349"/>
      <c r="UVD701" s="1349"/>
      <c r="UVE701" s="1349"/>
      <c r="UVF701" s="1349"/>
      <c r="UVG701" s="1349"/>
      <c r="UVH701" s="1349"/>
      <c r="UVI701" s="1349"/>
      <c r="UVJ701" s="1349"/>
      <c r="UVK701" s="1349"/>
      <c r="UVL701" s="1349"/>
      <c r="UVM701" s="1349"/>
      <c r="UVN701" s="1349"/>
      <c r="UVO701" s="1349"/>
      <c r="UVP701" s="1349"/>
      <c r="UVQ701" s="1349"/>
      <c r="UVR701" s="1349"/>
      <c r="UVS701" s="1349"/>
      <c r="UVT701" s="1349"/>
      <c r="UVU701" s="1349"/>
      <c r="UVV701" s="1349"/>
      <c r="UVW701" s="1349"/>
      <c r="UVX701" s="1349"/>
      <c r="UVY701" s="1349"/>
      <c r="UVZ701" s="1349"/>
      <c r="UWA701" s="1349"/>
      <c r="UWB701" s="1349"/>
      <c r="UWC701" s="1349"/>
      <c r="UWD701" s="1349"/>
      <c r="UWE701" s="1349"/>
      <c r="UWF701" s="1349"/>
      <c r="UWG701" s="1349"/>
      <c r="UWH701" s="1349"/>
      <c r="UWI701" s="1349"/>
      <c r="UWJ701" s="1349"/>
      <c r="UWK701" s="1349"/>
      <c r="UWL701" s="1349"/>
      <c r="UWM701" s="1349"/>
      <c r="UWN701" s="1349"/>
      <c r="UWO701" s="1349"/>
      <c r="UWP701" s="1349"/>
      <c r="UWQ701" s="1349"/>
      <c r="UWR701" s="1349"/>
      <c r="UWS701" s="1349"/>
      <c r="UWT701" s="1349"/>
      <c r="UWU701" s="1349"/>
      <c r="UWV701" s="1349"/>
      <c r="UWW701" s="1349"/>
      <c r="UWX701" s="1349"/>
      <c r="UWY701" s="1349"/>
      <c r="UWZ701" s="1349"/>
      <c r="UXA701" s="1349"/>
      <c r="UXB701" s="1349"/>
      <c r="UXC701" s="1349"/>
      <c r="UXD701" s="1349"/>
      <c r="UXE701" s="1349"/>
      <c r="UXF701" s="1349"/>
      <c r="UXG701" s="1349"/>
      <c r="UXH701" s="1349"/>
      <c r="UXI701" s="1349"/>
      <c r="UXJ701" s="1349"/>
      <c r="UXK701" s="1349"/>
      <c r="UXL701" s="1349"/>
      <c r="UXM701" s="1349"/>
      <c r="UXN701" s="1349"/>
      <c r="UXO701" s="1349"/>
      <c r="UXP701" s="1349"/>
      <c r="UXQ701" s="1349"/>
      <c r="UXR701" s="1349"/>
      <c r="UXS701" s="1349"/>
      <c r="UXT701" s="1349"/>
      <c r="UXU701" s="1349"/>
      <c r="UXV701" s="1349"/>
      <c r="UXW701" s="1349"/>
      <c r="UXX701" s="1349"/>
      <c r="UXY701" s="1349"/>
      <c r="UXZ701" s="1349"/>
      <c r="UYA701" s="1349"/>
      <c r="UYB701" s="1349"/>
      <c r="UYC701" s="1349"/>
      <c r="UYD701" s="1349"/>
      <c r="UYE701" s="1349"/>
      <c r="UYF701" s="1349"/>
      <c r="UYG701" s="1349"/>
      <c r="UYH701" s="1349"/>
      <c r="UYI701" s="1349"/>
      <c r="UYJ701" s="1349"/>
      <c r="UYK701" s="1349"/>
      <c r="UYL701" s="1349"/>
      <c r="UYM701" s="1349"/>
      <c r="UYN701" s="1349"/>
      <c r="UYO701" s="1349"/>
      <c r="UYP701" s="1349"/>
      <c r="UYQ701" s="1349"/>
      <c r="UYR701" s="1349"/>
      <c r="UYS701" s="1349"/>
      <c r="UYT701" s="1349"/>
      <c r="UYU701" s="1349"/>
      <c r="UYV701" s="1349"/>
      <c r="UYW701" s="1349"/>
      <c r="UYX701" s="1349"/>
      <c r="UYY701" s="1349"/>
      <c r="UYZ701" s="1349"/>
      <c r="UZA701" s="1349"/>
      <c r="UZB701" s="1349"/>
      <c r="UZC701" s="1349"/>
      <c r="UZD701" s="1349"/>
      <c r="UZE701" s="1349"/>
      <c r="UZF701" s="1349"/>
      <c r="UZG701" s="1349"/>
      <c r="UZH701" s="1349"/>
      <c r="UZI701" s="1349"/>
      <c r="UZJ701" s="1349"/>
      <c r="UZK701" s="1349"/>
      <c r="UZL701" s="1349"/>
      <c r="UZM701" s="1349"/>
      <c r="UZN701" s="1349"/>
      <c r="UZO701" s="1349"/>
      <c r="UZP701" s="1349"/>
      <c r="UZQ701" s="1349"/>
      <c r="UZR701" s="1349"/>
      <c r="UZS701" s="1349"/>
      <c r="UZT701" s="1349"/>
      <c r="UZU701" s="1349"/>
      <c r="UZV701" s="1349"/>
      <c r="UZW701" s="1349"/>
      <c r="UZX701" s="1349"/>
      <c r="UZY701" s="1349"/>
      <c r="UZZ701" s="1349"/>
      <c r="VAA701" s="1349"/>
      <c r="VAB701" s="1349"/>
      <c r="VAC701" s="1349"/>
      <c r="VAD701" s="1349"/>
      <c r="VAE701" s="1349"/>
      <c r="VAF701" s="1349"/>
      <c r="VAG701" s="1349"/>
      <c r="VAH701" s="1349"/>
      <c r="VAI701" s="1349"/>
      <c r="VAJ701" s="1349"/>
      <c r="VAK701" s="1349"/>
      <c r="VAL701" s="1349"/>
      <c r="VAM701" s="1349"/>
      <c r="VAN701" s="1349"/>
      <c r="VAO701" s="1349"/>
      <c r="VAP701" s="1349"/>
      <c r="VAQ701" s="1349"/>
      <c r="VAR701" s="1349"/>
      <c r="VAS701" s="1349"/>
      <c r="VAT701" s="1349"/>
      <c r="VAU701" s="1349"/>
      <c r="VAV701" s="1349"/>
      <c r="VAW701" s="1349"/>
      <c r="VAX701" s="1349"/>
      <c r="VAY701" s="1349"/>
      <c r="VAZ701" s="1349"/>
      <c r="VBA701" s="1349"/>
      <c r="VBB701" s="1349"/>
      <c r="VBC701" s="1349"/>
      <c r="VBD701" s="1349"/>
      <c r="VBE701" s="1349"/>
      <c r="VBF701" s="1349"/>
      <c r="VBG701" s="1349"/>
      <c r="VBH701" s="1349"/>
      <c r="VBI701" s="1349"/>
      <c r="VBJ701" s="1349"/>
      <c r="VBK701" s="1349"/>
      <c r="VBL701" s="1349"/>
      <c r="VBM701" s="1349"/>
      <c r="VBN701" s="1349"/>
      <c r="VBO701" s="1349"/>
      <c r="VBP701" s="1349"/>
      <c r="VBQ701" s="1349"/>
      <c r="VBR701" s="1349"/>
      <c r="VBS701" s="1349"/>
      <c r="VBT701" s="1349"/>
      <c r="VBU701" s="1349"/>
      <c r="VBV701" s="1349"/>
      <c r="VBW701" s="1349"/>
      <c r="VBX701" s="1349"/>
      <c r="VBY701" s="1349"/>
      <c r="VBZ701" s="1349"/>
      <c r="VCA701" s="1349"/>
      <c r="VCB701" s="1349"/>
      <c r="VCC701" s="1349"/>
      <c r="VCD701" s="1349"/>
      <c r="VCE701" s="1349"/>
      <c r="VCF701" s="1349"/>
      <c r="VCG701" s="1349"/>
      <c r="VCH701" s="1349"/>
      <c r="VCI701" s="1349"/>
      <c r="VCJ701" s="1349"/>
      <c r="VCK701" s="1349"/>
      <c r="VCL701" s="1349"/>
      <c r="VCM701" s="1349"/>
      <c r="VCN701" s="1349"/>
      <c r="VCO701" s="1349"/>
      <c r="VCP701" s="1349"/>
      <c r="VCQ701" s="1349"/>
      <c r="VCR701" s="1349"/>
      <c r="VCS701" s="1349"/>
      <c r="VCT701" s="1349"/>
      <c r="VCU701" s="1349"/>
      <c r="VCV701" s="1349"/>
      <c r="VCW701" s="1349"/>
      <c r="VCX701" s="1349"/>
      <c r="VCY701" s="1349"/>
      <c r="VCZ701" s="1349"/>
      <c r="VDA701" s="1349"/>
      <c r="VDB701" s="1349"/>
      <c r="VDC701" s="1349"/>
      <c r="VDD701" s="1349"/>
      <c r="VDE701" s="1349"/>
      <c r="VDF701" s="1349"/>
      <c r="VDG701" s="1349"/>
      <c r="VDH701" s="1349"/>
      <c r="VDI701" s="1349"/>
      <c r="VDJ701" s="1349"/>
      <c r="VDK701" s="1349"/>
      <c r="VDL701" s="1349"/>
      <c r="VDM701" s="1349"/>
      <c r="VDN701" s="1349"/>
      <c r="VDO701" s="1349"/>
      <c r="VDP701" s="1349"/>
      <c r="VDQ701" s="1349"/>
      <c r="VDR701" s="1349"/>
      <c r="VDS701" s="1349"/>
      <c r="VDT701" s="1349"/>
      <c r="VDU701" s="1349"/>
      <c r="VDV701" s="1349"/>
      <c r="VDW701" s="1349"/>
      <c r="VDX701" s="1349"/>
      <c r="VDY701" s="1349"/>
      <c r="VDZ701" s="1349"/>
      <c r="VEA701" s="1349"/>
      <c r="VEB701" s="1349"/>
      <c r="VEC701" s="1349"/>
      <c r="VED701" s="1349"/>
      <c r="VEE701" s="1349"/>
      <c r="VEF701" s="1349"/>
      <c r="VEG701" s="1349"/>
      <c r="VEH701" s="1349"/>
      <c r="VEI701" s="1349"/>
      <c r="VEJ701" s="1349"/>
      <c r="VEK701" s="1349"/>
      <c r="VEL701" s="1349"/>
      <c r="VEM701" s="1349"/>
      <c r="VEN701" s="1349"/>
      <c r="VEO701" s="1349"/>
      <c r="VEP701" s="1349"/>
      <c r="VEQ701" s="1349"/>
      <c r="VER701" s="1349"/>
      <c r="VES701" s="1349"/>
      <c r="VET701" s="1349"/>
      <c r="VEU701" s="1349"/>
      <c r="VEV701" s="1349"/>
      <c r="VEW701" s="1349"/>
      <c r="VEX701" s="1349"/>
      <c r="VEY701" s="1349"/>
      <c r="VEZ701" s="1349"/>
      <c r="VFA701" s="1349"/>
      <c r="VFB701" s="1349"/>
      <c r="VFC701" s="1349"/>
      <c r="VFD701" s="1349"/>
      <c r="VFE701" s="1349"/>
      <c r="VFF701" s="1349"/>
      <c r="VFG701" s="1349"/>
      <c r="VFH701" s="1349"/>
      <c r="VFI701" s="1349"/>
      <c r="VFJ701" s="1349"/>
      <c r="VFK701" s="1349"/>
      <c r="VFL701" s="1349"/>
      <c r="VFM701" s="1349"/>
      <c r="VFN701" s="1349"/>
      <c r="VFO701" s="1349"/>
      <c r="VFP701" s="1349"/>
      <c r="VFQ701" s="1349"/>
      <c r="VFR701" s="1349"/>
      <c r="VFS701" s="1349"/>
      <c r="VFT701" s="1349"/>
      <c r="VFU701" s="1349"/>
      <c r="VFV701" s="1349"/>
      <c r="VFW701" s="1349"/>
      <c r="VFX701" s="1349"/>
      <c r="VFY701" s="1349"/>
      <c r="VFZ701" s="1349"/>
      <c r="VGA701" s="1349"/>
      <c r="VGB701" s="1349"/>
      <c r="VGC701" s="1349"/>
      <c r="VGD701" s="1349"/>
      <c r="VGE701" s="1349"/>
      <c r="VGF701" s="1349"/>
      <c r="VGG701" s="1349"/>
      <c r="VGH701" s="1349"/>
      <c r="VGI701" s="1349"/>
      <c r="VGJ701" s="1349"/>
      <c r="VGK701" s="1349"/>
      <c r="VGL701" s="1349"/>
      <c r="VGM701" s="1349"/>
      <c r="VGN701" s="1349"/>
      <c r="VGO701" s="1349"/>
      <c r="VGP701" s="1349"/>
      <c r="VGQ701" s="1349"/>
      <c r="VGR701" s="1349"/>
      <c r="VGS701" s="1349"/>
      <c r="VGT701" s="1349"/>
      <c r="VGU701" s="1349"/>
      <c r="VGV701" s="1349"/>
      <c r="VGW701" s="1349"/>
      <c r="VGX701" s="1349"/>
      <c r="VGY701" s="1349"/>
      <c r="VGZ701" s="1349"/>
      <c r="VHA701" s="1349"/>
      <c r="VHB701" s="1349"/>
      <c r="VHC701" s="1349"/>
      <c r="VHD701" s="1349"/>
      <c r="VHE701" s="1349"/>
      <c r="VHF701" s="1349"/>
      <c r="VHG701" s="1349"/>
      <c r="VHH701" s="1349"/>
      <c r="VHI701" s="1349"/>
      <c r="VHJ701" s="1349"/>
      <c r="VHK701" s="1349"/>
      <c r="VHL701" s="1349"/>
      <c r="VHM701" s="1349"/>
      <c r="VHN701" s="1349"/>
      <c r="VHO701" s="1349"/>
      <c r="VHP701" s="1349"/>
      <c r="VHQ701" s="1349"/>
      <c r="VHR701" s="1349"/>
      <c r="VHS701" s="1349"/>
      <c r="VHT701" s="1349"/>
      <c r="VHU701" s="1349"/>
      <c r="VHV701" s="1349"/>
      <c r="VHW701" s="1349"/>
      <c r="VHX701" s="1349"/>
      <c r="VHY701" s="1349"/>
      <c r="VHZ701" s="1349"/>
      <c r="VIA701" s="1349"/>
      <c r="VIB701" s="1349"/>
      <c r="VIC701" s="1349"/>
      <c r="VID701" s="1349"/>
      <c r="VIE701" s="1349"/>
      <c r="VIF701" s="1349"/>
      <c r="VIG701" s="1349"/>
      <c r="VIH701" s="1349"/>
      <c r="VII701" s="1349"/>
      <c r="VIJ701" s="1349"/>
      <c r="VIK701" s="1349"/>
      <c r="VIL701" s="1349"/>
      <c r="VIM701" s="1349"/>
      <c r="VIN701" s="1349"/>
      <c r="VIO701" s="1349"/>
      <c r="VIP701" s="1349"/>
      <c r="VIQ701" s="1349"/>
      <c r="VIR701" s="1349"/>
      <c r="VIS701" s="1349"/>
      <c r="VIT701" s="1349"/>
      <c r="VIU701" s="1349"/>
      <c r="VIV701" s="1349"/>
      <c r="VIW701" s="1349"/>
      <c r="VIX701" s="1349"/>
      <c r="VIY701" s="1349"/>
      <c r="VIZ701" s="1349"/>
      <c r="VJA701" s="1349"/>
      <c r="VJB701" s="1349"/>
      <c r="VJC701" s="1349"/>
      <c r="VJD701" s="1349"/>
      <c r="VJE701" s="1349"/>
      <c r="VJF701" s="1349"/>
      <c r="VJG701" s="1349"/>
      <c r="VJH701" s="1349"/>
      <c r="VJI701" s="1349"/>
      <c r="VJJ701" s="1349"/>
      <c r="VJK701" s="1349"/>
      <c r="VJL701" s="1349"/>
      <c r="VJM701" s="1349"/>
      <c r="VJN701" s="1349"/>
      <c r="VJO701" s="1349"/>
      <c r="VJP701" s="1349"/>
      <c r="VJQ701" s="1349"/>
      <c r="VJR701" s="1349"/>
      <c r="VJS701" s="1349"/>
      <c r="VJT701" s="1349"/>
      <c r="VJU701" s="1349"/>
      <c r="VJV701" s="1349"/>
      <c r="VJW701" s="1349"/>
      <c r="VJX701" s="1349"/>
      <c r="VJY701" s="1349"/>
      <c r="VJZ701" s="1349"/>
      <c r="VKA701" s="1349"/>
      <c r="VKB701" s="1349"/>
      <c r="VKC701" s="1349"/>
      <c r="VKD701" s="1349"/>
      <c r="VKE701" s="1349"/>
      <c r="VKF701" s="1349"/>
      <c r="VKG701" s="1349"/>
      <c r="VKH701" s="1349"/>
      <c r="VKI701" s="1349"/>
      <c r="VKJ701" s="1349"/>
      <c r="VKK701" s="1349"/>
      <c r="VKL701" s="1349"/>
      <c r="VKM701" s="1349"/>
      <c r="VKN701" s="1349"/>
      <c r="VKO701" s="1349"/>
      <c r="VKP701" s="1349"/>
      <c r="VKQ701" s="1349"/>
      <c r="VKR701" s="1349"/>
      <c r="VKS701" s="1349"/>
      <c r="VKT701" s="1349"/>
      <c r="VKU701" s="1349"/>
      <c r="VKV701" s="1349"/>
      <c r="VKW701" s="1349"/>
      <c r="VKX701" s="1349"/>
      <c r="VKY701" s="1349"/>
      <c r="VKZ701" s="1349"/>
      <c r="VLA701" s="1349"/>
      <c r="VLB701" s="1349"/>
      <c r="VLC701" s="1349"/>
      <c r="VLD701" s="1349"/>
      <c r="VLE701" s="1349"/>
      <c r="VLF701" s="1349"/>
      <c r="VLG701" s="1349"/>
      <c r="VLH701" s="1349"/>
      <c r="VLI701" s="1349"/>
      <c r="VLJ701" s="1349"/>
      <c r="VLK701" s="1349"/>
      <c r="VLL701" s="1349"/>
      <c r="VLM701" s="1349"/>
      <c r="VLN701" s="1349"/>
      <c r="VLO701" s="1349"/>
      <c r="VLP701" s="1349"/>
      <c r="VLQ701" s="1349"/>
      <c r="VLR701" s="1349"/>
      <c r="VLS701" s="1349"/>
      <c r="VLT701" s="1349"/>
      <c r="VLU701" s="1349"/>
      <c r="VLV701" s="1349"/>
      <c r="VLW701" s="1349"/>
      <c r="VLX701" s="1349"/>
      <c r="VLY701" s="1349"/>
      <c r="VLZ701" s="1349"/>
      <c r="VMA701" s="1349"/>
      <c r="VMB701" s="1349"/>
      <c r="VMC701" s="1349"/>
      <c r="VMD701" s="1349"/>
      <c r="VME701" s="1349"/>
      <c r="VMF701" s="1349"/>
      <c r="VMG701" s="1349"/>
      <c r="VMH701" s="1349"/>
      <c r="VMI701" s="1349"/>
      <c r="VMJ701" s="1349"/>
      <c r="VMK701" s="1349"/>
      <c r="VML701" s="1349"/>
      <c r="VMM701" s="1349"/>
      <c r="VMN701" s="1349"/>
      <c r="VMO701" s="1349"/>
      <c r="VMP701" s="1349"/>
      <c r="VMQ701" s="1349"/>
      <c r="VMR701" s="1349"/>
      <c r="VMS701" s="1349"/>
      <c r="VMT701" s="1349"/>
      <c r="VMU701" s="1349"/>
      <c r="VMV701" s="1349"/>
      <c r="VMW701" s="1349"/>
      <c r="VMX701" s="1349"/>
      <c r="VMY701" s="1349"/>
      <c r="VMZ701" s="1349"/>
      <c r="VNA701" s="1349"/>
      <c r="VNB701" s="1349"/>
      <c r="VNC701" s="1349"/>
      <c r="VND701" s="1349"/>
      <c r="VNE701" s="1349"/>
      <c r="VNF701" s="1349"/>
      <c r="VNG701" s="1349"/>
      <c r="VNH701" s="1349"/>
      <c r="VNI701" s="1349"/>
      <c r="VNJ701" s="1349"/>
      <c r="VNK701" s="1349"/>
      <c r="VNL701" s="1349"/>
      <c r="VNM701" s="1349"/>
      <c r="VNN701" s="1349"/>
      <c r="VNO701" s="1349"/>
      <c r="VNP701" s="1349"/>
      <c r="VNQ701" s="1349"/>
      <c r="VNR701" s="1349"/>
      <c r="VNS701" s="1349"/>
      <c r="VNT701" s="1349"/>
      <c r="VNU701" s="1349"/>
      <c r="VNV701" s="1349"/>
      <c r="VNW701" s="1349"/>
      <c r="VNX701" s="1349"/>
      <c r="VNY701" s="1349"/>
      <c r="VNZ701" s="1349"/>
      <c r="VOA701" s="1349"/>
      <c r="VOB701" s="1349"/>
      <c r="VOC701" s="1349"/>
      <c r="VOD701" s="1349"/>
      <c r="VOE701" s="1349"/>
      <c r="VOF701" s="1349"/>
      <c r="VOG701" s="1349"/>
      <c r="VOH701" s="1349"/>
      <c r="VOI701" s="1349"/>
      <c r="VOJ701" s="1349"/>
      <c r="VOK701" s="1349"/>
      <c r="VOL701" s="1349"/>
      <c r="VOM701" s="1349"/>
      <c r="VON701" s="1349"/>
      <c r="VOO701" s="1349"/>
      <c r="VOP701" s="1349"/>
      <c r="VOQ701" s="1349"/>
      <c r="VOR701" s="1349"/>
      <c r="VOS701" s="1349"/>
      <c r="VOT701" s="1349"/>
      <c r="VOU701" s="1349"/>
      <c r="VOV701" s="1349"/>
      <c r="VOW701" s="1349"/>
      <c r="VOX701" s="1349"/>
      <c r="VOY701" s="1349"/>
      <c r="VOZ701" s="1349"/>
      <c r="VPA701" s="1349"/>
      <c r="VPB701" s="1349"/>
      <c r="VPC701" s="1349"/>
      <c r="VPD701" s="1349"/>
      <c r="VPE701" s="1349"/>
      <c r="VPF701" s="1349"/>
      <c r="VPG701" s="1349"/>
      <c r="VPH701" s="1349"/>
      <c r="VPI701" s="1349"/>
      <c r="VPJ701" s="1349"/>
      <c r="VPK701" s="1349"/>
      <c r="VPL701" s="1349"/>
      <c r="VPM701" s="1349"/>
      <c r="VPN701" s="1349"/>
      <c r="VPO701" s="1349"/>
      <c r="VPP701" s="1349"/>
      <c r="VPQ701" s="1349"/>
      <c r="VPR701" s="1349"/>
      <c r="VPS701" s="1349"/>
      <c r="VPT701" s="1349"/>
      <c r="VPU701" s="1349"/>
      <c r="VPV701" s="1349"/>
      <c r="VPW701" s="1349"/>
      <c r="VPX701" s="1349"/>
      <c r="VPY701" s="1349"/>
      <c r="VPZ701" s="1349"/>
      <c r="VQA701" s="1349"/>
      <c r="VQB701" s="1349"/>
      <c r="VQC701" s="1349"/>
      <c r="VQD701" s="1349"/>
      <c r="VQE701" s="1349"/>
      <c r="VQF701" s="1349"/>
      <c r="VQG701" s="1349"/>
      <c r="VQH701" s="1349"/>
      <c r="VQI701" s="1349"/>
      <c r="VQJ701" s="1349"/>
      <c r="VQK701" s="1349"/>
      <c r="VQL701" s="1349"/>
      <c r="VQM701" s="1349"/>
      <c r="VQN701" s="1349"/>
      <c r="VQO701" s="1349"/>
      <c r="VQP701" s="1349"/>
      <c r="VQQ701" s="1349"/>
      <c r="VQR701" s="1349"/>
      <c r="VQS701" s="1349"/>
      <c r="VQT701" s="1349"/>
      <c r="VQU701" s="1349"/>
      <c r="VQV701" s="1349"/>
      <c r="VQW701" s="1349"/>
      <c r="VQX701" s="1349"/>
      <c r="VQY701" s="1349"/>
      <c r="VQZ701" s="1349"/>
      <c r="VRA701" s="1349"/>
      <c r="VRB701" s="1349"/>
      <c r="VRC701" s="1349"/>
      <c r="VRD701" s="1349"/>
      <c r="VRE701" s="1349"/>
      <c r="VRF701" s="1349"/>
      <c r="VRG701" s="1349"/>
      <c r="VRH701" s="1349"/>
      <c r="VRI701" s="1349"/>
      <c r="VRJ701" s="1349"/>
      <c r="VRK701" s="1349"/>
      <c r="VRL701" s="1349"/>
      <c r="VRM701" s="1349"/>
      <c r="VRN701" s="1349"/>
      <c r="VRO701" s="1349"/>
      <c r="VRP701" s="1349"/>
      <c r="VRQ701" s="1349"/>
      <c r="VRR701" s="1349"/>
      <c r="VRS701" s="1349"/>
      <c r="VRT701" s="1349"/>
      <c r="VRU701" s="1349"/>
      <c r="VRV701" s="1349"/>
      <c r="VRW701" s="1349"/>
      <c r="VRX701" s="1349"/>
      <c r="VRY701" s="1349"/>
      <c r="VRZ701" s="1349"/>
      <c r="VSA701" s="1349"/>
      <c r="VSB701" s="1349"/>
      <c r="VSC701" s="1349"/>
      <c r="VSD701" s="1349"/>
      <c r="VSE701" s="1349"/>
      <c r="VSF701" s="1349"/>
      <c r="VSG701" s="1349"/>
      <c r="VSH701" s="1349"/>
      <c r="VSI701" s="1349"/>
      <c r="VSJ701" s="1349"/>
      <c r="VSK701" s="1349"/>
      <c r="VSL701" s="1349"/>
      <c r="VSM701" s="1349"/>
      <c r="VSN701" s="1349"/>
      <c r="VSO701" s="1349"/>
      <c r="VSP701" s="1349"/>
      <c r="VSQ701" s="1349"/>
      <c r="VSR701" s="1349"/>
      <c r="VSS701" s="1349"/>
      <c r="VST701" s="1349"/>
      <c r="VSU701" s="1349"/>
      <c r="VSV701" s="1349"/>
      <c r="VSW701" s="1349"/>
      <c r="VSX701" s="1349"/>
      <c r="VSY701" s="1349"/>
      <c r="VSZ701" s="1349"/>
      <c r="VTA701" s="1349"/>
      <c r="VTB701" s="1349"/>
      <c r="VTC701" s="1349"/>
      <c r="VTD701" s="1349"/>
      <c r="VTE701" s="1349"/>
      <c r="VTF701" s="1349"/>
      <c r="VTG701" s="1349"/>
      <c r="VTH701" s="1349"/>
      <c r="VTI701" s="1349"/>
      <c r="VTJ701" s="1349"/>
      <c r="VTK701" s="1349"/>
      <c r="VTL701" s="1349"/>
      <c r="VTM701" s="1349"/>
      <c r="VTN701" s="1349"/>
      <c r="VTO701" s="1349"/>
      <c r="VTP701" s="1349"/>
      <c r="VTQ701" s="1349"/>
      <c r="VTR701" s="1349"/>
      <c r="VTS701" s="1349"/>
      <c r="VTT701" s="1349"/>
      <c r="VTU701" s="1349"/>
      <c r="VTV701" s="1349"/>
      <c r="VTW701" s="1349"/>
      <c r="VTX701" s="1349"/>
      <c r="VTY701" s="1349"/>
      <c r="VTZ701" s="1349"/>
      <c r="VUA701" s="1349"/>
      <c r="VUB701" s="1349"/>
      <c r="VUC701" s="1349"/>
      <c r="VUD701" s="1349"/>
      <c r="VUE701" s="1349"/>
      <c r="VUF701" s="1349"/>
      <c r="VUG701" s="1349"/>
      <c r="VUH701" s="1349"/>
      <c r="VUI701" s="1349"/>
      <c r="VUJ701" s="1349"/>
      <c r="VUK701" s="1349"/>
      <c r="VUL701" s="1349"/>
      <c r="VUM701" s="1349"/>
      <c r="VUN701" s="1349"/>
      <c r="VUO701" s="1349"/>
      <c r="VUP701" s="1349"/>
      <c r="VUQ701" s="1349"/>
      <c r="VUR701" s="1349"/>
      <c r="VUS701" s="1349"/>
      <c r="VUT701" s="1349"/>
      <c r="VUU701" s="1349"/>
      <c r="VUV701" s="1349"/>
      <c r="VUW701" s="1349"/>
      <c r="VUX701" s="1349"/>
      <c r="VUY701" s="1349"/>
      <c r="VUZ701" s="1349"/>
      <c r="VVA701" s="1349"/>
      <c r="VVB701" s="1349"/>
      <c r="VVC701" s="1349"/>
      <c r="VVD701" s="1349"/>
      <c r="VVE701" s="1349"/>
      <c r="VVF701" s="1349"/>
      <c r="VVG701" s="1349"/>
      <c r="VVH701" s="1349"/>
      <c r="VVI701" s="1349"/>
      <c r="VVJ701" s="1349"/>
      <c r="VVK701" s="1349"/>
      <c r="VVL701" s="1349"/>
      <c r="VVM701" s="1349"/>
      <c r="VVN701" s="1349"/>
      <c r="VVO701" s="1349"/>
      <c r="VVP701" s="1349"/>
      <c r="VVQ701" s="1349"/>
      <c r="VVR701" s="1349"/>
      <c r="VVS701" s="1349"/>
      <c r="VVT701" s="1349"/>
      <c r="VVU701" s="1349"/>
      <c r="VVV701" s="1349"/>
      <c r="VVW701" s="1349"/>
      <c r="VVX701" s="1349"/>
      <c r="VVY701" s="1349"/>
      <c r="VVZ701" s="1349"/>
      <c r="VWA701" s="1349"/>
      <c r="VWB701" s="1349"/>
      <c r="VWC701" s="1349"/>
      <c r="VWD701" s="1349"/>
      <c r="VWE701" s="1349"/>
      <c r="VWF701" s="1349"/>
      <c r="VWG701" s="1349"/>
      <c r="VWH701" s="1349"/>
      <c r="VWI701" s="1349"/>
      <c r="VWJ701" s="1349"/>
      <c r="VWK701" s="1349"/>
      <c r="VWL701" s="1349"/>
      <c r="VWM701" s="1349"/>
      <c r="VWN701" s="1349"/>
      <c r="VWO701" s="1349"/>
      <c r="VWP701" s="1349"/>
      <c r="VWQ701" s="1349"/>
      <c r="VWR701" s="1349"/>
      <c r="VWS701" s="1349"/>
      <c r="VWT701" s="1349"/>
      <c r="VWU701" s="1349"/>
      <c r="VWV701" s="1349"/>
      <c r="VWW701" s="1349"/>
      <c r="VWX701" s="1349"/>
      <c r="VWY701" s="1349"/>
      <c r="VWZ701" s="1349"/>
      <c r="VXA701" s="1349"/>
      <c r="VXB701" s="1349"/>
      <c r="VXC701" s="1349"/>
      <c r="VXD701" s="1349"/>
      <c r="VXE701" s="1349"/>
      <c r="VXF701" s="1349"/>
      <c r="VXG701" s="1349"/>
      <c r="VXH701" s="1349"/>
      <c r="VXI701" s="1349"/>
      <c r="VXJ701" s="1349"/>
      <c r="VXK701" s="1349"/>
      <c r="VXL701" s="1349"/>
      <c r="VXM701" s="1349"/>
      <c r="VXN701" s="1349"/>
      <c r="VXO701" s="1349"/>
      <c r="VXP701" s="1349"/>
      <c r="VXQ701" s="1349"/>
      <c r="VXR701" s="1349"/>
      <c r="VXS701" s="1349"/>
      <c r="VXT701" s="1349"/>
      <c r="VXU701" s="1349"/>
      <c r="VXV701" s="1349"/>
      <c r="VXW701" s="1349"/>
      <c r="VXX701" s="1349"/>
      <c r="VXY701" s="1349"/>
      <c r="VXZ701" s="1349"/>
      <c r="VYA701" s="1349"/>
      <c r="VYB701" s="1349"/>
      <c r="VYC701" s="1349"/>
      <c r="VYD701" s="1349"/>
      <c r="VYE701" s="1349"/>
      <c r="VYF701" s="1349"/>
      <c r="VYG701" s="1349"/>
      <c r="VYH701" s="1349"/>
      <c r="VYI701" s="1349"/>
      <c r="VYJ701" s="1349"/>
      <c r="VYK701" s="1349"/>
      <c r="VYL701" s="1349"/>
      <c r="VYM701" s="1349"/>
      <c r="VYN701" s="1349"/>
      <c r="VYO701" s="1349"/>
      <c r="VYP701" s="1349"/>
      <c r="VYQ701" s="1349"/>
      <c r="VYR701" s="1349"/>
      <c r="VYS701" s="1349"/>
      <c r="VYT701" s="1349"/>
      <c r="VYU701" s="1349"/>
      <c r="VYV701" s="1349"/>
      <c r="VYW701" s="1349"/>
      <c r="VYX701" s="1349"/>
      <c r="VYY701" s="1349"/>
      <c r="VYZ701" s="1349"/>
      <c r="VZA701" s="1349"/>
      <c r="VZB701" s="1349"/>
      <c r="VZC701" s="1349"/>
      <c r="VZD701" s="1349"/>
      <c r="VZE701" s="1349"/>
      <c r="VZF701" s="1349"/>
      <c r="VZG701" s="1349"/>
      <c r="VZH701" s="1349"/>
      <c r="VZI701" s="1349"/>
      <c r="VZJ701" s="1349"/>
      <c r="VZK701" s="1349"/>
      <c r="VZL701" s="1349"/>
      <c r="VZM701" s="1349"/>
      <c r="VZN701" s="1349"/>
      <c r="VZO701" s="1349"/>
      <c r="VZP701" s="1349"/>
      <c r="VZQ701" s="1349"/>
      <c r="VZR701" s="1349"/>
      <c r="VZS701" s="1349"/>
      <c r="VZT701" s="1349"/>
      <c r="VZU701" s="1349"/>
      <c r="VZV701" s="1349"/>
      <c r="VZW701" s="1349"/>
      <c r="VZX701" s="1349"/>
      <c r="VZY701" s="1349"/>
      <c r="VZZ701" s="1349"/>
      <c r="WAA701" s="1349"/>
      <c r="WAB701" s="1349"/>
      <c r="WAC701" s="1349"/>
      <c r="WAD701" s="1349"/>
      <c r="WAE701" s="1349"/>
      <c r="WAF701" s="1349"/>
      <c r="WAG701" s="1349"/>
      <c r="WAH701" s="1349"/>
      <c r="WAI701" s="1349"/>
      <c r="WAJ701" s="1349"/>
      <c r="WAK701" s="1349"/>
      <c r="WAL701" s="1349"/>
      <c r="WAM701" s="1349"/>
      <c r="WAN701" s="1349"/>
      <c r="WAO701" s="1349"/>
      <c r="WAP701" s="1349"/>
      <c r="WAQ701" s="1349"/>
      <c r="WAR701" s="1349"/>
      <c r="WAS701" s="1349"/>
      <c r="WAT701" s="1349"/>
      <c r="WAU701" s="1349"/>
      <c r="WAV701" s="1349"/>
      <c r="WAW701" s="1349"/>
      <c r="WAX701" s="1349"/>
      <c r="WAY701" s="1349"/>
      <c r="WAZ701" s="1349"/>
      <c r="WBA701" s="1349"/>
      <c r="WBB701" s="1349"/>
      <c r="WBC701" s="1349"/>
      <c r="WBD701" s="1349"/>
      <c r="WBE701" s="1349"/>
      <c r="WBF701" s="1349"/>
      <c r="WBG701" s="1349"/>
      <c r="WBH701" s="1349"/>
      <c r="WBI701" s="1349"/>
      <c r="WBJ701" s="1349"/>
      <c r="WBK701" s="1349"/>
      <c r="WBL701" s="1349"/>
      <c r="WBM701" s="1349"/>
      <c r="WBN701" s="1349"/>
      <c r="WBO701" s="1349"/>
      <c r="WBP701" s="1349"/>
      <c r="WBQ701" s="1349"/>
      <c r="WBR701" s="1349"/>
      <c r="WBS701" s="1349"/>
      <c r="WBT701" s="1349"/>
      <c r="WBU701" s="1349"/>
      <c r="WBV701" s="1349"/>
      <c r="WBW701" s="1349"/>
      <c r="WBX701" s="1349"/>
      <c r="WBY701" s="1349"/>
      <c r="WBZ701" s="1349"/>
      <c r="WCA701" s="1349"/>
      <c r="WCB701" s="1349"/>
      <c r="WCC701" s="1349"/>
      <c r="WCD701" s="1349"/>
      <c r="WCE701" s="1349"/>
      <c r="WCF701" s="1349"/>
      <c r="WCG701" s="1349"/>
      <c r="WCH701" s="1349"/>
      <c r="WCI701" s="1349"/>
      <c r="WCJ701" s="1349"/>
      <c r="WCK701" s="1349"/>
      <c r="WCL701" s="1349"/>
      <c r="WCM701" s="1349"/>
      <c r="WCN701" s="1349"/>
      <c r="WCO701" s="1349"/>
      <c r="WCP701" s="1349"/>
      <c r="WCQ701" s="1349"/>
      <c r="WCR701" s="1349"/>
      <c r="WCS701" s="1349"/>
      <c r="WCT701" s="1349"/>
      <c r="WCU701" s="1349"/>
      <c r="WCV701" s="1349"/>
      <c r="WCW701" s="1349"/>
      <c r="WCX701" s="1349"/>
      <c r="WCY701" s="1349"/>
      <c r="WCZ701" s="1349"/>
      <c r="WDA701" s="1349"/>
      <c r="WDB701" s="1349"/>
      <c r="WDC701" s="1349"/>
      <c r="WDD701" s="1349"/>
      <c r="WDE701" s="1349"/>
      <c r="WDF701" s="1349"/>
      <c r="WDG701" s="1349"/>
      <c r="WDH701" s="1349"/>
      <c r="WDI701" s="1349"/>
      <c r="WDJ701" s="1349"/>
      <c r="WDK701" s="1349"/>
      <c r="WDL701" s="1349"/>
      <c r="WDM701" s="1349"/>
      <c r="WDN701" s="1349"/>
      <c r="WDO701" s="1349"/>
      <c r="WDP701" s="1349"/>
      <c r="WDQ701" s="1349"/>
      <c r="WDR701" s="1349"/>
      <c r="WDS701" s="1349"/>
      <c r="WDT701" s="1349"/>
      <c r="WDU701" s="1349"/>
      <c r="WDV701" s="1349"/>
      <c r="WDW701" s="1349"/>
      <c r="WDX701" s="1349"/>
      <c r="WDY701" s="1349"/>
      <c r="WDZ701" s="1349"/>
      <c r="WEA701" s="1349"/>
      <c r="WEB701" s="1349"/>
      <c r="WEC701" s="1349"/>
      <c r="WED701" s="1349"/>
      <c r="WEE701" s="1349"/>
      <c r="WEF701" s="1349"/>
      <c r="WEG701" s="1349"/>
      <c r="WEH701" s="1349"/>
      <c r="WEI701" s="1349"/>
      <c r="WEJ701" s="1349"/>
      <c r="WEK701" s="1349"/>
      <c r="WEL701" s="1349"/>
      <c r="WEM701" s="1349"/>
      <c r="WEN701" s="1349"/>
      <c r="WEO701" s="1349"/>
      <c r="WEP701" s="1349"/>
      <c r="WEQ701" s="1349"/>
      <c r="WER701" s="1349"/>
      <c r="WES701" s="1349"/>
      <c r="WET701" s="1349"/>
      <c r="WEU701" s="1349"/>
      <c r="WEV701" s="1349"/>
      <c r="WEW701" s="1349"/>
      <c r="WEX701" s="1349"/>
      <c r="WEY701" s="1349"/>
      <c r="WEZ701" s="1349"/>
      <c r="WFA701" s="1349"/>
      <c r="WFB701" s="1349"/>
      <c r="WFC701" s="1349"/>
      <c r="WFD701" s="1349"/>
      <c r="WFE701" s="1349"/>
      <c r="WFF701" s="1349"/>
      <c r="WFG701" s="1349"/>
      <c r="WFH701" s="1349"/>
      <c r="WFI701" s="1349"/>
      <c r="WFJ701" s="1349"/>
      <c r="WFK701" s="1349"/>
      <c r="WFL701" s="1349"/>
      <c r="WFM701" s="1349"/>
      <c r="WFN701" s="1349"/>
      <c r="WFO701" s="1349"/>
      <c r="WFP701" s="1349"/>
      <c r="WFQ701" s="1349"/>
      <c r="WFR701" s="1349"/>
      <c r="WFS701" s="1349"/>
      <c r="WFT701" s="1349"/>
      <c r="WFU701" s="1349"/>
      <c r="WFV701" s="1349"/>
      <c r="WFW701" s="1349"/>
      <c r="WFX701" s="1349"/>
      <c r="WFY701" s="1349"/>
      <c r="WFZ701" s="1349"/>
      <c r="WGA701" s="1349"/>
      <c r="WGB701" s="1349"/>
      <c r="WGC701" s="1349"/>
      <c r="WGD701" s="1349"/>
      <c r="WGE701" s="1349"/>
      <c r="WGF701" s="1349"/>
      <c r="WGG701" s="1349"/>
      <c r="WGH701" s="1349"/>
      <c r="WGI701" s="1349"/>
      <c r="WGJ701" s="1349"/>
      <c r="WGK701" s="1349"/>
      <c r="WGL701" s="1349"/>
      <c r="WGM701" s="1349"/>
      <c r="WGN701" s="1349"/>
      <c r="WGO701" s="1349"/>
      <c r="WGP701" s="1349"/>
      <c r="WGQ701" s="1349"/>
      <c r="WGR701" s="1349"/>
      <c r="WGS701" s="1349"/>
      <c r="WGT701" s="1349"/>
      <c r="WGU701" s="1349"/>
      <c r="WGV701" s="1349"/>
      <c r="WGW701" s="1349"/>
      <c r="WGX701" s="1349"/>
      <c r="WGY701" s="1349"/>
      <c r="WGZ701" s="1349"/>
      <c r="WHA701" s="1349"/>
      <c r="WHB701" s="1349"/>
      <c r="WHC701" s="1349"/>
      <c r="WHD701" s="1349"/>
      <c r="WHE701" s="1349"/>
      <c r="WHF701" s="1349"/>
      <c r="WHG701" s="1349"/>
      <c r="WHH701" s="1349"/>
      <c r="WHI701" s="1349"/>
      <c r="WHJ701" s="1349"/>
      <c r="WHK701" s="1349"/>
      <c r="WHL701" s="1349"/>
      <c r="WHM701" s="1349"/>
      <c r="WHN701" s="1349"/>
      <c r="WHO701" s="1349"/>
      <c r="WHP701" s="1349"/>
      <c r="WHQ701" s="1349"/>
      <c r="WHR701" s="1349"/>
      <c r="WHS701" s="1349"/>
      <c r="WHT701" s="1349"/>
      <c r="WHU701" s="1349"/>
      <c r="WHV701" s="1349"/>
      <c r="WHW701" s="1349"/>
      <c r="WHX701" s="1349"/>
      <c r="WHY701" s="1349"/>
      <c r="WHZ701" s="1349"/>
      <c r="WIA701" s="1349"/>
      <c r="WIB701" s="1349"/>
      <c r="WIC701" s="1349"/>
      <c r="WID701" s="1349"/>
      <c r="WIE701" s="1349"/>
      <c r="WIF701" s="1349"/>
      <c r="WIG701" s="1349"/>
      <c r="WIH701" s="1349"/>
      <c r="WII701" s="1349"/>
      <c r="WIJ701" s="1349"/>
      <c r="WIK701" s="1349"/>
      <c r="WIL701" s="1349"/>
      <c r="WIM701" s="1349"/>
      <c r="WIN701" s="1349"/>
      <c r="WIO701" s="1349"/>
      <c r="WIP701" s="1349"/>
      <c r="WIQ701" s="1349"/>
      <c r="WIR701" s="1349"/>
      <c r="WIS701" s="1349"/>
      <c r="WIT701" s="1349"/>
      <c r="WIU701" s="1349"/>
      <c r="WIV701" s="1349"/>
      <c r="WIW701" s="1349"/>
      <c r="WIX701" s="1349"/>
      <c r="WIY701" s="1349"/>
      <c r="WIZ701" s="1349"/>
      <c r="WJA701" s="1349"/>
      <c r="WJB701" s="1349"/>
      <c r="WJC701" s="1349"/>
      <c r="WJD701" s="1349"/>
      <c r="WJE701" s="1349"/>
      <c r="WJF701" s="1349"/>
      <c r="WJG701" s="1349"/>
      <c r="WJH701" s="1349"/>
      <c r="WJI701" s="1349"/>
      <c r="WJJ701" s="1349"/>
      <c r="WJK701" s="1349"/>
      <c r="WJL701" s="1349"/>
      <c r="WJM701" s="1349"/>
      <c r="WJN701" s="1349"/>
      <c r="WJO701" s="1349"/>
      <c r="WJP701" s="1349"/>
      <c r="WJQ701" s="1349"/>
      <c r="WJR701" s="1349"/>
      <c r="WJS701" s="1349"/>
      <c r="WJT701" s="1349"/>
      <c r="WJU701" s="1349"/>
      <c r="WJV701" s="1349"/>
      <c r="WJW701" s="1349"/>
      <c r="WJX701" s="1349"/>
      <c r="WJY701" s="1349"/>
      <c r="WJZ701" s="1349"/>
      <c r="WKA701" s="1349"/>
      <c r="WKB701" s="1349"/>
      <c r="WKC701" s="1349"/>
      <c r="WKD701" s="1349"/>
      <c r="WKE701" s="1349"/>
      <c r="WKF701" s="1349"/>
      <c r="WKG701" s="1349"/>
      <c r="WKH701" s="1349"/>
      <c r="WKI701" s="1349"/>
      <c r="WKJ701" s="1349"/>
      <c r="WKK701" s="1349"/>
      <c r="WKL701" s="1349"/>
      <c r="WKM701" s="1349"/>
      <c r="WKN701" s="1349"/>
      <c r="WKO701" s="1349"/>
      <c r="WKP701" s="1349"/>
      <c r="WKQ701" s="1349"/>
      <c r="WKR701" s="1349"/>
      <c r="WKS701" s="1349"/>
      <c r="WKT701" s="1349"/>
      <c r="WKU701" s="1349"/>
      <c r="WKV701" s="1349"/>
      <c r="WKW701" s="1349"/>
      <c r="WKX701" s="1349"/>
      <c r="WKY701" s="1349"/>
      <c r="WKZ701" s="1349"/>
      <c r="WLA701" s="1349"/>
      <c r="WLB701" s="1349"/>
      <c r="WLC701" s="1349"/>
      <c r="WLD701" s="1349"/>
      <c r="WLE701" s="1349"/>
      <c r="WLF701" s="1349"/>
      <c r="WLG701" s="1349"/>
      <c r="WLH701" s="1349"/>
      <c r="WLI701" s="1349"/>
      <c r="WLJ701" s="1349"/>
      <c r="WLK701" s="1349"/>
      <c r="WLL701" s="1349"/>
      <c r="WLM701" s="1349"/>
      <c r="WLN701" s="1349"/>
      <c r="WLO701" s="1349"/>
      <c r="WLP701" s="1349"/>
      <c r="WLQ701" s="1349"/>
      <c r="WLR701" s="1349"/>
      <c r="WLS701" s="1349"/>
      <c r="WLT701" s="1349"/>
      <c r="WLU701" s="1349"/>
      <c r="WLV701" s="1349"/>
      <c r="WLW701" s="1349"/>
      <c r="WLX701" s="1349"/>
      <c r="WLY701" s="1349"/>
      <c r="WLZ701" s="1349"/>
      <c r="WMA701" s="1349"/>
      <c r="WMB701" s="1349"/>
      <c r="WMC701" s="1349"/>
      <c r="WMD701" s="1349"/>
      <c r="WME701" s="1349"/>
      <c r="WMF701" s="1349"/>
      <c r="WMG701" s="1349"/>
      <c r="WMH701" s="1349"/>
      <c r="WMI701" s="1349"/>
      <c r="WMJ701" s="1349"/>
      <c r="WMK701" s="1349"/>
      <c r="WML701" s="1349"/>
      <c r="WMM701" s="1349"/>
      <c r="WMN701" s="1349"/>
      <c r="WMO701" s="1349"/>
      <c r="WMP701" s="1349"/>
      <c r="WMQ701" s="1349"/>
      <c r="WMR701" s="1349"/>
      <c r="WMS701" s="1349"/>
      <c r="WMT701" s="1349"/>
      <c r="WMU701" s="1349"/>
      <c r="WMV701" s="1349"/>
      <c r="WMW701" s="1349"/>
      <c r="WMX701" s="1349"/>
      <c r="WMY701" s="1349"/>
      <c r="WMZ701" s="1349"/>
      <c r="WNA701" s="1349"/>
      <c r="WNB701" s="1349"/>
      <c r="WNC701" s="1349"/>
      <c r="WND701" s="1349"/>
      <c r="WNE701" s="1349"/>
      <c r="WNF701" s="1349"/>
      <c r="WNG701" s="1349"/>
      <c r="WNH701" s="1349"/>
      <c r="WNI701" s="1349"/>
      <c r="WNJ701" s="1349"/>
      <c r="WNK701" s="1349"/>
      <c r="WNL701" s="1349"/>
      <c r="WNM701" s="1349"/>
      <c r="WNN701" s="1349"/>
      <c r="WNO701" s="1349"/>
      <c r="WNP701" s="1349"/>
      <c r="WNQ701" s="1349"/>
      <c r="WNR701" s="1349"/>
      <c r="WNS701" s="1349"/>
      <c r="WNT701" s="1349"/>
      <c r="WNU701" s="1349"/>
      <c r="WNV701" s="1349"/>
      <c r="WNW701" s="1349"/>
      <c r="WNX701" s="1349"/>
      <c r="WNY701" s="1349"/>
      <c r="WNZ701" s="1349"/>
      <c r="WOA701" s="1349"/>
      <c r="WOB701" s="1349"/>
      <c r="WOC701" s="1349"/>
      <c r="WOD701" s="1349"/>
      <c r="WOE701" s="1349"/>
      <c r="WOF701" s="1349"/>
      <c r="WOG701" s="1349"/>
      <c r="WOH701" s="1349"/>
      <c r="WOI701" s="1349"/>
      <c r="WOJ701" s="1349"/>
      <c r="WOK701" s="1349"/>
      <c r="WOL701" s="1349"/>
      <c r="WOM701" s="1349"/>
      <c r="WON701" s="1349"/>
      <c r="WOO701" s="1349"/>
      <c r="WOP701" s="1349"/>
      <c r="WOQ701" s="1349"/>
      <c r="WOR701" s="1349"/>
      <c r="WOS701" s="1349"/>
      <c r="WOT701" s="1349"/>
      <c r="WOU701" s="1349"/>
      <c r="WOV701" s="1349"/>
      <c r="WOW701" s="1349"/>
      <c r="WOX701" s="1349"/>
      <c r="WOY701" s="1349"/>
      <c r="WOZ701" s="1349"/>
      <c r="WPA701" s="1349"/>
      <c r="WPB701" s="1349"/>
      <c r="WPC701" s="1349"/>
      <c r="WPD701" s="1349"/>
      <c r="WPE701" s="1349"/>
      <c r="WPF701" s="1349"/>
      <c r="WPG701" s="1349"/>
      <c r="WPH701" s="1349"/>
      <c r="WPI701" s="1349"/>
      <c r="WPJ701" s="1349"/>
      <c r="WPK701" s="1349"/>
      <c r="WPL701" s="1349"/>
      <c r="WPM701" s="1349"/>
      <c r="WPN701" s="1349"/>
      <c r="WPO701" s="1349"/>
      <c r="WPP701" s="1349"/>
      <c r="WPQ701" s="1349"/>
      <c r="WPR701" s="1349"/>
      <c r="WPS701" s="1349"/>
      <c r="WPT701" s="1349"/>
      <c r="WPU701" s="1349"/>
      <c r="WPV701" s="1349"/>
      <c r="WPW701" s="1349"/>
      <c r="WPX701" s="1349"/>
      <c r="WPY701" s="1349"/>
      <c r="WPZ701" s="1349"/>
      <c r="WQA701" s="1349"/>
      <c r="WQB701" s="1349"/>
      <c r="WQC701" s="1349"/>
      <c r="WQD701" s="1349"/>
      <c r="WQE701" s="1349"/>
      <c r="WQF701" s="1349"/>
      <c r="WQG701" s="1349"/>
      <c r="WQH701" s="1349"/>
      <c r="WQI701" s="1349"/>
      <c r="WQJ701" s="1349"/>
      <c r="WQK701" s="1349"/>
      <c r="WQL701" s="1349"/>
      <c r="WQM701" s="1349"/>
      <c r="WQN701" s="1349"/>
      <c r="WQO701" s="1349"/>
      <c r="WQP701" s="1349"/>
      <c r="WQQ701" s="1349"/>
      <c r="WQR701" s="1349"/>
      <c r="WQS701" s="1349"/>
      <c r="WQT701" s="1349"/>
      <c r="WQU701" s="1349"/>
      <c r="WQV701" s="1349"/>
      <c r="WQW701" s="1349"/>
      <c r="WQX701" s="1349"/>
      <c r="WQY701" s="1349"/>
      <c r="WQZ701" s="1349"/>
      <c r="WRA701" s="1349"/>
      <c r="WRB701" s="1349"/>
      <c r="WRC701" s="1349"/>
      <c r="WRD701" s="1349"/>
      <c r="WRE701" s="1349"/>
      <c r="WRF701" s="1349"/>
      <c r="WRG701" s="1349"/>
      <c r="WRH701" s="1349"/>
      <c r="WRI701" s="1349"/>
      <c r="WRJ701" s="1349"/>
      <c r="WRK701" s="1349"/>
      <c r="WRL701" s="1349"/>
      <c r="WRM701" s="1349"/>
      <c r="WRN701" s="1349"/>
      <c r="WRO701" s="1349"/>
      <c r="WRP701" s="1349"/>
      <c r="WRQ701" s="1349"/>
      <c r="WRR701" s="1349"/>
      <c r="WRS701" s="1349"/>
      <c r="WRT701" s="1349"/>
      <c r="WRU701" s="1349"/>
      <c r="WRV701" s="1349"/>
      <c r="WRW701" s="1349"/>
      <c r="WRX701" s="1349"/>
      <c r="WRY701" s="1349"/>
      <c r="WRZ701" s="1349"/>
      <c r="WSA701" s="1349"/>
      <c r="WSB701" s="1349"/>
      <c r="WSC701" s="1349"/>
      <c r="WSD701" s="1349"/>
      <c r="WSE701" s="1349"/>
      <c r="WSF701" s="1349"/>
      <c r="WSG701" s="1349"/>
      <c r="WSH701" s="1349"/>
      <c r="WSI701" s="1349"/>
      <c r="WSJ701" s="1349"/>
      <c r="WSK701" s="1349"/>
      <c r="WSL701" s="1349"/>
      <c r="WSM701" s="1349"/>
      <c r="WSN701" s="1349"/>
      <c r="WSO701" s="1349"/>
      <c r="WSP701" s="1349"/>
      <c r="WSQ701" s="1349"/>
      <c r="WSR701" s="1349"/>
      <c r="WSS701" s="1349"/>
      <c r="WST701" s="1349"/>
      <c r="WSU701" s="1349"/>
      <c r="WSV701" s="1349"/>
      <c r="WSW701" s="1349"/>
      <c r="WSX701" s="1349"/>
      <c r="WSY701" s="1349"/>
      <c r="WSZ701" s="1349"/>
      <c r="WTA701" s="1349"/>
      <c r="WTB701" s="1349"/>
      <c r="WTC701" s="1349"/>
      <c r="WTD701" s="1349"/>
      <c r="WTE701" s="1349"/>
      <c r="WTF701" s="1349"/>
      <c r="WTG701" s="1349"/>
      <c r="WTH701" s="1349"/>
      <c r="WTI701" s="1349"/>
      <c r="WTJ701" s="1349"/>
      <c r="WTK701" s="1349"/>
      <c r="WTL701" s="1349"/>
      <c r="WTM701" s="1349"/>
      <c r="WTN701" s="1349"/>
      <c r="WTO701" s="1349"/>
      <c r="WTP701" s="1349"/>
      <c r="WTQ701" s="1349"/>
      <c r="WTR701" s="1349"/>
      <c r="WTS701" s="1349"/>
      <c r="WTT701" s="1349"/>
      <c r="WTU701" s="1349"/>
      <c r="WTV701" s="1349"/>
      <c r="WTW701" s="1349"/>
      <c r="WTX701" s="1349"/>
      <c r="WTY701" s="1349"/>
      <c r="WTZ701" s="1349"/>
      <c r="WUA701" s="1349"/>
      <c r="WUB701" s="1349"/>
      <c r="WUC701" s="1349"/>
      <c r="WUD701" s="1349"/>
      <c r="WUE701" s="1349"/>
      <c r="WUF701" s="1349"/>
      <c r="WUG701" s="1349"/>
      <c r="WUH701" s="1349"/>
      <c r="WUI701" s="1349"/>
      <c r="WUJ701" s="1349"/>
      <c r="WUK701" s="1349"/>
      <c r="WUL701" s="1349"/>
      <c r="WUM701" s="1349"/>
      <c r="WUN701" s="1349"/>
      <c r="WUO701" s="1349"/>
      <c r="WUP701" s="1349"/>
      <c r="WUQ701" s="1349"/>
      <c r="WUR701" s="1349"/>
      <c r="WUS701" s="1349"/>
      <c r="WUT701" s="1349"/>
      <c r="WUU701" s="1349"/>
      <c r="WUV701" s="1349"/>
      <c r="WUW701" s="1349"/>
      <c r="WUX701" s="1349"/>
      <c r="WUY701" s="1349"/>
      <c r="WUZ701" s="1349"/>
      <c r="WVA701" s="1349"/>
      <c r="WVB701" s="1349"/>
      <c r="WVC701" s="1349"/>
      <c r="WVD701" s="1349"/>
      <c r="WVE701" s="1349"/>
      <c r="WVF701" s="1349"/>
      <c r="WVG701" s="1349"/>
      <c r="WVH701" s="1349"/>
      <c r="WVI701" s="1349"/>
      <c r="WVJ701" s="1349"/>
      <c r="WVK701" s="1349"/>
      <c r="WVL701" s="1349"/>
      <c r="WVM701" s="1349"/>
      <c r="WVN701" s="1349"/>
      <c r="WVO701" s="1349"/>
      <c r="WVP701" s="1349"/>
      <c r="WVQ701" s="1349"/>
      <c r="WVR701" s="1349"/>
      <c r="WVS701" s="1349"/>
      <c r="WVT701" s="1349"/>
      <c r="WVU701" s="1349"/>
      <c r="WVV701" s="1349"/>
      <c r="WVW701" s="1349"/>
      <c r="WVX701" s="1349"/>
      <c r="WVY701" s="1349"/>
      <c r="WVZ701" s="1349"/>
      <c r="WWA701" s="1349"/>
      <c r="WWB701" s="1349"/>
      <c r="WWC701" s="1349"/>
      <c r="WWD701" s="1349"/>
      <c r="WWE701" s="1349"/>
      <c r="WWF701" s="1349"/>
      <c r="WWG701" s="1349"/>
      <c r="WWH701" s="1349"/>
      <c r="WWI701" s="1349"/>
      <c r="WWJ701" s="1349"/>
      <c r="WWK701" s="1349"/>
      <c r="WWL701" s="1349"/>
      <c r="WWM701" s="1349"/>
      <c r="WWN701" s="1349"/>
      <c r="WWO701" s="1349"/>
      <c r="WWP701" s="1349"/>
      <c r="WWQ701" s="1349"/>
      <c r="WWR701" s="1349"/>
      <c r="WWS701" s="1349"/>
      <c r="WWT701" s="1349"/>
      <c r="WWU701" s="1349"/>
      <c r="WWV701" s="1349"/>
      <c r="WWW701" s="1349"/>
      <c r="WWX701" s="1349"/>
      <c r="WWY701" s="1349"/>
      <c r="WWZ701" s="1349"/>
      <c r="WXA701" s="1349"/>
      <c r="WXB701" s="1349"/>
      <c r="WXC701" s="1349"/>
      <c r="WXD701" s="1349"/>
      <c r="WXE701" s="1349"/>
      <c r="WXF701" s="1349"/>
      <c r="WXG701" s="1349"/>
      <c r="WXH701" s="1349"/>
      <c r="WXI701" s="1349"/>
      <c r="WXJ701" s="1349"/>
      <c r="WXK701" s="1349"/>
      <c r="WXL701" s="1349"/>
      <c r="WXM701" s="1349"/>
      <c r="WXN701" s="1349"/>
      <c r="WXO701" s="1349"/>
      <c r="WXP701" s="1349"/>
      <c r="WXQ701" s="1349"/>
      <c r="WXR701" s="1349"/>
      <c r="WXS701" s="1349"/>
      <c r="WXT701" s="1349"/>
      <c r="WXU701" s="1349"/>
      <c r="WXV701" s="1349"/>
      <c r="WXW701" s="1349"/>
      <c r="WXX701" s="1349"/>
      <c r="WXY701" s="1349"/>
      <c r="WXZ701" s="1349"/>
      <c r="WYA701" s="1349"/>
      <c r="WYB701" s="1349"/>
      <c r="WYC701" s="1349"/>
      <c r="WYD701" s="1349"/>
      <c r="WYE701" s="1349"/>
      <c r="WYF701" s="1349"/>
      <c r="WYG701" s="1349"/>
      <c r="WYH701" s="1349"/>
      <c r="WYI701" s="1349"/>
      <c r="WYJ701" s="1349"/>
      <c r="WYK701" s="1349"/>
      <c r="WYL701" s="1349"/>
      <c r="WYM701" s="1349"/>
      <c r="WYN701" s="1349"/>
      <c r="WYO701" s="1349"/>
      <c r="WYP701" s="1349"/>
      <c r="WYQ701" s="1349"/>
      <c r="WYR701" s="1349"/>
      <c r="WYS701" s="1349"/>
      <c r="WYT701" s="1349"/>
      <c r="WYU701" s="1349"/>
      <c r="WYV701" s="1349"/>
      <c r="WYW701" s="1349"/>
      <c r="WYX701" s="1349"/>
      <c r="WYY701" s="1349"/>
      <c r="WYZ701" s="1349"/>
      <c r="WZA701" s="1349"/>
      <c r="WZB701" s="1349"/>
      <c r="WZC701" s="1349"/>
      <c r="WZD701" s="1349"/>
      <c r="WZE701" s="1349"/>
      <c r="WZF701" s="1349"/>
      <c r="WZG701" s="1349"/>
      <c r="WZH701" s="1349"/>
      <c r="WZI701" s="1349"/>
      <c r="WZJ701" s="1349"/>
      <c r="WZK701" s="1349"/>
      <c r="WZL701" s="1349"/>
      <c r="WZM701" s="1349"/>
      <c r="WZN701" s="1349"/>
      <c r="WZO701" s="1349"/>
      <c r="WZP701" s="1349"/>
      <c r="WZQ701" s="1349"/>
      <c r="WZR701" s="1349"/>
      <c r="WZS701" s="1349"/>
      <c r="WZT701" s="1349"/>
      <c r="WZU701" s="1349"/>
      <c r="WZV701" s="1349"/>
      <c r="WZW701" s="1349"/>
      <c r="WZX701" s="1349"/>
      <c r="WZY701" s="1349"/>
      <c r="WZZ701" s="1349"/>
      <c r="XAA701" s="1349"/>
      <c r="XAB701" s="1349"/>
      <c r="XAC701" s="1349"/>
      <c r="XAD701" s="1349"/>
      <c r="XAE701" s="1349"/>
      <c r="XAF701" s="1349"/>
      <c r="XAG701" s="1349"/>
      <c r="XAH701" s="1349"/>
      <c r="XAI701" s="1349"/>
      <c r="XAJ701" s="1349"/>
      <c r="XAK701" s="1349"/>
      <c r="XAL701" s="1349"/>
      <c r="XAM701" s="1349"/>
      <c r="XAN701" s="1349"/>
      <c r="XAO701" s="1349"/>
      <c r="XAP701" s="1349"/>
      <c r="XAQ701" s="1349"/>
      <c r="XAR701" s="1349"/>
      <c r="XAS701" s="1349"/>
      <c r="XAT701" s="1349"/>
      <c r="XAU701" s="1349"/>
      <c r="XAV701" s="1349"/>
      <c r="XAW701" s="1349"/>
      <c r="XAX701" s="1349"/>
      <c r="XAY701" s="1349"/>
      <c r="XAZ701" s="1349"/>
      <c r="XBA701" s="1349"/>
      <c r="XBB701" s="1349"/>
      <c r="XBC701" s="1349"/>
      <c r="XBD701" s="1349"/>
      <c r="XBE701" s="1349"/>
      <c r="XBF701" s="1349"/>
      <c r="XBG701" s="1349"/>
      <c r="XBH701" s="1349"/>
      <c r="XBI701" s="1349"/>
      <c r="XBJ701" s="1349"/>
      <c r="XBK701" s="1349"/>
      <c r="XBL701" s="1349"/>
      <c r="XBM701" s="1349"/>
      <c r="XBN701" s="1349"/>
      <c r="XBO701" s="1349"/>
      <c r="XBP701" s="1349"/>
      <c r="XBQ701" s="1349"/>
      <c r="XBR701" s="1349"/>
      <c r="XBS701" s="1349"/>
      <c r="XBT701" s="1349"/>
      <c r="XBU701" s="1349"/>
      <c r="XBV701" s="1349"/>
      <c r="XBW701" s="1349"/>
      <c r="XBX701" s="1349"/>
      <c r="XBY701" s="1349"/>
      <c r="XBZ701" s="1349"/>
      <c r="XCA701" s="1349"/>
      <c r="XCB701" s="1349"/>
      <c r="XCC701" s="1349"/>
      <c r="XCD701" s="1349"/>
      <c r="XCE701" s="1349"/>
      <c r="XCF701" s="1349"/>
      <c r="XCG701" s="1349"/>
      <c r="XCH701" s="1349"/>
      <c r="XCI701" s="1349"/>
      <c r="XCJ701" s="1349"/>
      <c r="XCK701" s="1349"/>
      <c r="XCL701" s="1349"/>
      <c r="XCM701" s="1349"/>
      <c r="XCN701" s="1349"/>
      <c r="XCO701" s="1349"/>
      <c r="XCP701" s="1349"/>
      <c r="XCQ701" s="1349"/>
      <c r="XCR701" s="1349"/>
      <c r="XCS701" s="1349"/>
      <c r="XCT701" s="1349"/>
      <c r="XCU701" s="1349"/>
      <c r="XCV701" s="1349"/>
      <c r="XCW701" s="1349"/>
      <c r="XCX701" s="1349"/>
      <c r="XCY701" s="1349"/>
      <c r="XCZ701" s="1349"/>
      <c r="XDA701" s="1349"/>
      <c r="XDB701" s="1349"/>
      <c r="XDC701" s="1349"/>
    </row>
    <row r="702" spans="1:16331" s="1337" customFormat="1" ht="75.599999999999994">
      <c r="A702" s="1281"/>
      <c r="B702" s="1267" t="s">
        <v>1103</v>
      </c>
      <c r="C702" s="1268">
        <f>SUM(C703:C723)</f>
        <v>275527858</v>
      </c>
      <c r="D702" s="1268">
        <f t="shared" ref="D702:Y702" si="342">SUM(D703:D723)</f>
        <v>51533210</v>
      </c>
      <c r="E702" s="1268">
        <f t="shared" si="342"/>
        <v>10276646</v>
      </c>
      <c r="F702" s="1268">
        <f t="shared" si="342"/>
        <v>19380639</v>
      </c>
      <c r="G702" s="1268">
        <f t="shared" si="342"/>
        <v>0</v>
      </c>
      <c r="H702" s="1268">
        <f t="shared" si="342"/>
        <v>4930265</v>
      </c>
      <c r="I702" s="1268">
        <f t="shared" si="342"/>
        <v>7255101</v>
      </c>
      <c r="J702" s="1268">
        <f t="shared" si="342"/>
        <v>9690559</v>
      </c>
      <c r="K702" s="1278">
        <f t="shared" si="342"/>
        <v>0</v>
      </c>
      <c r="L702" s="1268">
        <f t="shared" si="342"/>
        <v>996631</v>
      </c>
      <c r="M702" s="1278">
        <f t="shared" si="342"/>
        <v>0</v>
      </c>
      <c r="N702" s="1268">
        <f t="shared" si="342"/>
        <v>0</v>
      </c>
      <c r="O702" s="1268">
        <f t="shared" si="342"/>
        <v>5628.5599999999995</v>
      </c>
      <c r="P702" s="1268">
        <f t="shared" si="342"/>
        <v>19365609</v>
      </c>
      <c r="Q702" s="1268">
        <f t="shared" si="342"/>
        <v>0</v>
      </c>
      <c r="R702" s="1268">
        <f t="shared" si="342"/>
        <v>0</v>
      </c>
      <c r="S702" s="1268">
        <f t="shared" si="342"/>
        <v>43130.18</v>
      </c>
      <c r="T702" s="1268">
        <f t="shared" si="342"/>
        <v>183619491</v>
      </c>
      <c r="U702" s="1268">
        <f t="shared" si="342"/>
        <v>0</v>
      </c>
      <c r="V702" s="1268">
        <f t="shared" si="342"/>
        <v>0</v>
      </c>
      <c r="W702" s="1268">
        <v>0</v>
      </c>
      <c r="X702" s="1268">
        <f t="shared" si="342"/>
        <v>20012917</v>
      </c>
      <c r="Y702" s="1268">
        <f t="shared" si="342"/>
        <v>0</v>
      </c>
    </row>
    <row r="703" spans="1:16331" s="1287" customFormat="1" ht="75.599999999999994">
      <c r="A703" s="1281">
        <v>1</v>
      </c>
      <c r="B703" s="1267" t="s">
        <v>2473</v>
      </c>
      <c r="C703" s="1289">
        <f>D703+N703+P703+R703+T703+V703+X703+L703</f>
        <v>30227553</v>
      </c>
      <c r="D703" s="1289">
        <f>SUM(E703:J703)</f>
        <v>0</v>
      </c>
      <c r="E703" s="1328">
        <v>0</v>
      </c>
      <c r="F703" s="1328">
        <v>0</v>
      </c>
      <c r="G703" s="1328">
        <v>0</v>
      </c>
      <c r="H703" s="1328">
        <v>0</v>
      </c>
      <c r="I703" s="1328">
        <v>0</v>
      </c>
      <c r="J703" s="1328">
        <v>0</v>
      </c>
      <c r="K703" s="1329">
        <v>0</v>
      </c>
      <c r="L703" s="1328">
        <v>0</v>
      </c>
      <c r="M703" s="1329">
        <v>0</v>
      </c>
      <c r="N703" s="1328">
        <v>0</v>
      </c>
      <c r="O703" s="1328">
        <v>0</v>
      </c>
      <c r="P703" s="1328">
        <v>0</v>
      </c>
      <c r="Q703" s="1328">
        <v>0</v>
      </c>
      <c r="R703" s="1328">
        <v>0</v>
      </c>
      <c r="S703" s="1289">
        <v>5848</v>
      </c>
      <c r="T703" s="1289">
        <v>28031980</v>
      </c>
      <c r="U703" s="1328">
        <v>0</v>
      </c>
      <c r="V703" s="1328">
        <v>0</v>
      </c>
      <c r="W703" s="1328">
        <v>0</v>
      </c>
      <c r="X703" s="1289">
        <v>2195573</v>
      </c>
      <c r="Y703" s="1289">
        <v>0</v>
      </c>
    </row>
    <row r="704" spans="1:16331" s="1287" customFormat="1" ht="75.599999999999994">
      <c r="A704" s="1281">
        <v>2</v>
      </c>
      <c r="B704" s="1267" t="s">
        <v>2315</v>
      </c>
      <c r="C704" s="1289">
        <f t="shared" ref="C704:C723" si="343">D704+N704+P704+R704+T704+V704+X704+L704</f>
        <v>3430773</v>
      </c>
      <c r="D704" s="1289">
        <f t="shared" ref="D704:D723" si="344">SUM(E704:J704)</f>
        <v>0</v>
      </c>
      <c r="E704" s="1328">
        <v>0</v>
      </c>
      <c r="F704" s="1328">
        <v>0</v>
      </c>
      <c r="G704" s="1328">
        <v>0</v>
      </c>
      <c r="H704" s="1328">
        <v>0</v>
      </c>
      <c r="I704" s="1328">
        <v>0</v>
      </c>
      <c r="J704" s="1328">
        <v>0</v>
      </c>
      <c r="K704" s="1329">
        <v>0</v>
      </c>
      <c r="L704" s="1328">
        <v>0</v>
      </c>
      <c r="M704" s="1329">
        <v>0</v>
      </c>
      <c r="N704" s="1328">
        <v>0</v>
      </c>
      <c r="O704" s="1289">
        <v>860</v>
      </c>
      <c r="P704" s="1289">
        <v>3181579</v>
      </c>
      <c r="Q704" s="1328">
        <v>0</v>
      </c>
      <c r="R704" s="1328">
        <v>0</v>
      </c>
      <c r="S704" s="1328">
        <v>0</v>
      </c>
      <c r="T704" s="1328">
        <v>0</v>
      </c>
      <c r="U704" s="1328">
        <v>0</v>
      </c>
      <c r="V704" s="1328">
        <v>0</v>
      </c>
      <c r="W704" s="1328">
        <v>0</v>
      </c>
      <c r="X704" s="1289">
        <v>249194</v>
      </c>
      <c r="Y704" s="1289">
        <v>0</v>
      </c>
    </row>
    <row r="705" spans="1:25" s="1287" customFormat="1">
      <c r="A705" s="1281">
        <v>3</v>
      </c>
      <c r="B705" s="1267" t="s">
        <v>325</v>
      </c>
      <c r="C705" s="1289">
        <f t="shared" si="343"/>
        <v>36905734</v>
      </c>
      <c r="D705" s="1289">
        <f t="shared" si="344"/>
        <v>0</v>
      </c>
      <c r="E705" s="1328">
        <v>0</v>
      </c>
      <c r="F705" s="1328">
        <v>0</v>
      </c>
      <c r="G705" s="1328">
        <v>0</v>
      </c>
      <c r="H705" s="1328">
        <v>0</v>
      </c>
      <c r="I705" s="1328">
        <v>0</v>
      </c>
      <c r="J705" s="1328">
        <v>0</v>
      </c>
      <c r="K705" s="1329">
        <v>0</v>
      </c>
      <c r="L705" s="1328">
        <v>0</v>
      </c>
      <c r="M705" s="1329">
        <v>0</v>
      </c>
      <c r="N705" s="1328">
        <v>0</v>
      </c>
      <c r="O705" s="1328">
        <v>0</v>
      </c>
      <c r="P705" s="1328">
        <v>0</v>
      </c>
      <c r="Q705" s="1328">
        <v>0</v>
      </c>
      <c r="R705" s="1328">
        <v>0</v>
      </c>
      <c r="S705" s="1289">
        <v>7140</v>
      </c>
      <c r="T705" s="1289">
        <v>34225092</v>
      </c>
      <c r="U705" s="1328">
        <v>0</v>
      </c>
      <c r="V705" s="1328">
        <v>0</v>
      </c>
      <c r="W705" s="1328">
        <v>0</v>
      </c>
      <c r="X705" s="1289">
        <v>2680642</v>
      </c>
      <c r="Y705" s="1289">
        <v>0</v>
      </c>
    </row>
    <row r="706" spans="1:25" s="1280" customFormat="1" ht="45.6" customHeight="1">
      <c r="A706" s="1281">
        <v>4</v>
      </c>
      <c r="B706" s="1267" t="s">
        <v>1902</v>
      </c>
      <c r="C706" s="1289">
        <f t="shared" si="343"/>
        <v>14681142</v>
      </c>
      <c r="D706" s="1289">
        <f t="shared" si="344"/>
        <v>0</v>
      </c>
      <c r="E706" s="1328">
        <v>0</v>
      </c>
      <c r="F706" s="1328">
        <v>0</v>
      </c>
      <c r="G706" s="1328">
        <v>0</v>
      </c>
      <c r="H706" s="1328">
        <v>0</v>
      </c>
      <c r="I706" s="1328">
        <v>0</v>
      </c>
      <c r="J706" s="1328">
        <v>0</v>
      </c>
      <c r="K706" s="1329">
        <v>0</v>
      </c>
      <c r="L706" s="1328">
        <v>0</v>
      </c>
      <c r="M706" s="1329">
        <v>0</v>
      </c>
      <c r="N706" s="1328">
        <v>0</v>
      </c>
      <c r="O706" s="1328">
        <v>0</v>
      </c>
      <c r="P706" s="1328">
        <v>0</v>
      </c>
      <c r="Q706" s="1328">
        <v>0</v>
      </c>
      <c r="R706" s="1328">
        <v>0</v>
      </c>
      <c r="S706" s="1289">
        <v>2840.3</v>
      </c>
      <c r="T706" s="1289">
        <v>13614780</v>
      </c>
      <c r="U706" s="1328">
        <v>0</v>
      </c>
      <c r="V706" s="1328">
        <v>0</v>
      </c>
      <c r="W706" s="1328">
        <v>0</v>
      </c>
      <c r="X706" s="1289">
        <v>1066362</v>
      </c>
      <c r="Y706" s="1289">
        <v>0</v>
      </c>
    </row>
    <row r="707" spans="1:25" s="1280" customFormat="1" ht="50.4" customHeight="1">
      <c r="A707" s="1281">
        <v>5</v>
      </c>
      <c r="B707" s="1267" t="s">
        <v>1903</v>
      </c>
      <c r="C707" s="1289">
        <f t="shared" si="343"/>
        <v>11866538</v>
      </c>
      <c r="D707" s="1289">
        <f t="shared" si="344"/>
        <v>0</v>
      </c>
      <c r="E707" s="1328">
        <v>0</v>
      </c>
      <c r="F707" s="1328">
        <v>0</v>
      </c>
      <c r="G707" s="1328">
        <v>0</v>
      </c>
      <c r="H707" s="1328">
        <v>0</v>
      </c>
      <c r="I707" s="1328">
        <v>0</v>
      </c>
      <c r="J707" s="1328">
        <v>0</v>
      </c>
      <c r="K707" s="1329">
        <v>0</v>
      </c>
      <c r="L707" s="1328">
        <v>0</v>
      </c>
      <c r="M707" s="1329">
        <v>0</v>
      </c>
      <c r="N707" s="1328">
        <v>0</v>
      </c>
      <c r="O707" s="1328">
        <v>0</v>
      </c>
      <c r="P707" s="1328">
        <v>0</v>
      </c>
      <c r="Q707" s="1328">
        <v>0</v>
      </c>
      <c r="R707" s="1328">
        <v>0</v>
      </c>
      <c r="S707" s="1289">
        <v>2295.77</v>
      </c>
      <c r="T707" s="1289">
        <v>11004614</v>
      </c>
      <c r="U707" s="1328">
        <v>0</v>
      </c>
      <c r="V707" s="1328">
        <v>0</v>
      </c>
      <c r="W707" s="1328">
        <v>0</v>
      </c>
      <c r="X707" s="1289">
        <v>861924</v>
      </c>
      <c r="Y707" s="1289">
        <v>0</v>
      </c>
    </row>
    <row r="708" spans="1:25" s="1280" customFormat="1">
      <c r="A708" s="1281">
        <v>6</v>
      </c>
      <c r="B708" s="1267" t="s">
        <v>1904</v>
      </c>
      <c r="C708" s="1289">
        <f t="shared" si="343"/>
        <v>4092143</v>
      </c>
      <c r="D708" s="1289">
        <f t="shared" si="344"/>
        <v>3794911</v>
      </c>
      <c r="E708" s="1328">
        <v>0</v>
      </c>
      <c r="F708" s="1328">
        <v>0</v>
      </c>
      <c r="G708" s="1328">
        <v>0</v>
      </c>
      <c r="H708" s="1328">
        <v>0</v>
      </c>
      <c r="I708" s="1289">
        <v>2324836</v>
      </c>
      <c r="J708" s="1289">
        <v>1470075</v>
      </c>
      <c r="K708" s="1329">
        <v>0</v>
      </c>
      <c r="L708" s="1328">
        <v>0</v>
      </c>
      <c r="M708" s="1329">
        <v>0</v>
      </c>
      <c r="N708" s="1328">
        <v>0</v>
      </c>
      <c r="O708" s="1328">
        <v>0</v>
      </c>
      <c r="P708" s="1328">
        <v>0</v>
      </c>
      <c r="Q708" s="1328">
        <v>0</v>
      </c>
      <c r="R708" s="1328">
        <v>0</v>
      </c>
      <c r="S708" s="1328">
        <v>0</v>
      </c>
      <c r="T708" s="1328">
        <v>0</v>
      </c>
      <c r="U708" s="1328">
        <v>0</v>
      </c>
      <c r="V708" s="1328">
        <v>0</v>
      </c>
      <c r="W708" s="1328">
        <v>0</v>
      </c>
      <c r="X708" s="1289">
        <v>297232</v>
      </c>
      <c r="Y708" s="1289">
        <v>0</v>
      </c>
    </row>
    <row r="709" spans="1:25" s="1280" customFormat="1">
      <c r="A709" s="1281">
        <v>7</v>
      </c>
      <c r="B709" s="1267" t="s">
        <v>1905</v>
      </c>
      <c r="C709" s="1289">
        <f t="shared" si="343"/>
        <v>21208937</v>
      </c>
      <c r="D709" s="1289">
        <f t="shared" si="344"/>
        <v>0</v>
      </c>
      <c r="E709" s="1328">
        <v>0</v>
      </c>
      <c r="F709" s="1328">
        <v>0</v>
      </c>
      <c r="G709" s="1328">
        <v>0</v>
      </c>
      <c r="H709" s="1328">
        <v>0</v>
      </c>
      <c r="I709" s="1328">
        <v>0</v>
      </c>
      <c r="J709" s="1328">
        <v>0</v>
      </c>
      <c r="K709" s="1329">
        <v>0</v>
      </c>
      <c r="L709" s="1328">
        <v>0</v>
      </c>
      <c r="M709" s="1329">
        <v>0</v>
      </c>
      <c r="N709" s="1328">
        <v>0</v>
      </c>
      <c r="O709" s="1289">
        <v>1256.7</v>
      </c>
      <c r="P709" s="1289">
        <v>4649175</v>
      </c>
      <c r="Q709" s="1328">
        <v>0</v>
      </c>
      <c r="R709" s="1328">
        <v>0</v>
      </c>
      <c r="S709" s="1289">
        <v>3133.3</v>
      </c>
      <c r="T709" s="1289">
        <v>15019255</v>
      </c>
      <c r="U709" s="1328">
        <v>0</v>
      </c>
      <c r="V709" s="1328">
        <v>0</v>
      </c>
      <c r="W709" s="1328">
        <v>0</v>
      </c>
      <c r="X709" s="1289">
        <v>1540507</v>
      </c>
      <c r="Y709" s="1289">
        <v>0</v>
      </c>
    </row>
    <row r="710" spans="1:25" s="1280" customFormat="1" ht="47.4" customHeight="1">
      <c r="A710" s="1281">
        <v>8</v>
      </c>
      <c r="B710" s="1267" t="s">
        <v>264</v>
      </c>
      <c r="C710" s="1289">
        <f t="shared" si="343"/>
        <v>4018741</v>
      </c>
      <c r="D710" s="1289">
        <f t="shared" si="344"/>
        <v>0</v>
      </c>
      <c r="E710" s="1328">
        <v>0</v>
      </c>
      <c r="F710" s="1328">
        <v>0</v>
      </c>
      <c r="G710" s="1328">
        <v>0</v>
      </c>
      <c r="H710" s="1328">
        <v>0</v>
      </c>
      <c r="I710" s="1328">
        <v>0</v>
      </c>
      <c r="J710" s="1328">
        <v>0</v>
      </c>
      <c r="K710" s="1329">
        <v>0</v>
      </c>
      <c r="L710" s="1328">
        <v>0</v>
      </c>
      <c r="M710" s="1329">
        <v>0</v>
      </c>
      <c r="N710" s="1328">
        <v>0</v>
      </c>
      <c r="O710" s="1289">
        <v>1187.3599999999999</v>
      </c>
      <c r="P710" s="1289">
        <v>3726840</v>
      </c>
      <c r="Q710" s="1328">
        <v>0</v>
      </c>
      <c r="R710" s="1328">
        <v>0</v>
      </c>
      <c r="S710" s="1328">
        <v>0</v>
      </c>
      <c r="T710" s="1328">
        <v>0</v>
      </c>
      <c r="U710" s="1328">
        <v>0</v>
      </c>
      <c r="V710" s="1328">
        <v>0</v>
      </c>
      <c r="W710" s="1328">
        <v>0</v>
      </c>
      <c r="X710" s="1289">
        <v>291901</v>
      </c>
      <c r="Y710" s="1289">
        <v>0</v>
      </c>
    </row>
    <row r="711" spans="1:25" s="1280" customFormat="1">
      <c r="A711" s="1281">
        <v>9</v>
      </c>
      <c r="B711" s="1267" t="s">
        <v>1906</v>
      </c>
      <c r="C711" s="1289">
        <f t="shared" si="343"/>
        <v>39573749</v>
      </c>
      <c r="D711" s="1289">
        <f t="shared" si="344"/>
        <v>0</v>
      </c>
      <c r="E711" s="1328">
        <v>0</v>
      </c>
      <c r="F711" s="1328">
        <v>0</v>
      </c>
      <c r="G711" s="1328">
        <v>0</v>
      </c>
      <c r="H711" s="1328">
        <v>0</v>
      </c>
      <c r="I711" s="1328">
        <v>0</v>
      </c>
      <c r="J711" s="1328">
        <v>0</v>
      </c>
      <c r="K711" s="1329">
        <v>0</v>
      </c>
      <c r="L711" s="1328">
        <v>0</v>
      </c>
      <c r="M711" s="1329">
        <v>0</v>
      </c>
      <c r="N711" s="1328">
        <v>0</v>
      </c>
      <c r="O711" s="1328">
        <v>0</v>
      </c>
      <c r="P711" s="1328">
        <v>0</v>
      </c>
      <c r="Q711" s="1328">
        <v>0</v>
      </c>
      <c r="R711" s="1328">
        <v>0</v>
      </c>
      <c r="S711" s="1289">
        <v>7656.17</v>
      </c>
      <c r="T711" s="1289">
        <v>36699317</v>
      </c>
      <c r="U711" s="1328">
        <v>0</v>
      </c>
      <c r="V711" s="1328">
        <v>0</v>
      </c>
      <c r="W711" s="1328">
        <v>0</v>
      </c>
      <c r="X711" s="1289">
        <v>2874432</v>
      </c>
      <c r="Y711" s="1289">
        <v>0</v>
      </c>
    </row>
    <row r="712" spans="1:25" s="1280" customFormat="1">
      <c r="A712" s="1281">
        <v>10</v>
      </c>
      <c r="B712" s="1267" t="s">
        <v>2236</v>
      </c>
      <c r="C712" s="1289">
        <f t="shared" si="343"/>
        <v>15399460</v>
      </c>
      <c r="D712" s="1289">
        <f t="shared" si="344"/>
        <v>0</v>
      </c>
      <c r="E712" s="1328">
        <v>0</v>
      </c>
      <c r="F712" s="1328">
        <v>0</v>
      </c>
      <c r="G712" s="1328">
        <v>0</v>
      </c>
      <c r="H712" s="1328">
        <v>0</v>
      </c>
      <c r="I712" s="1328">
        <v>0</v>
      </c>
      <c r="J712" s="1328">
        <v>0</v>
      </c>
      <c r="K712" s="1329">
        <v>0</v>
      </c>
      <c r="L712" s="1328">
        <v>0</v>
      </c>
      <c r="M712" s="1329">
        <v>0</v>
      </c>
      <c r="N712" s="1328">
        <v>0</v>
      </c>
      <c r="O712" s="1328">
        <v>0</v>
      </c>
      <c r="P712" s="1328">
        <v>0</v>
      </c>
      <c r="Q712" s="1328">
        <v>0</v>
      </c>
      <c r="R712" s="1328">
        <v>0</v>
      </c>
      <c r="S712" s="1289">
        <v>2979.27</v>
      </c>
      <c r="T712" s="1289">
        <v>14280923</v>
      </c>
      <c r="U712" s="1328">
        <v>0</v>
      </c>
      <c r="V712" s="1328">
        <v>0</v>
      </c>
      <c r="W712" s="1328">
        <v>0</v>
      </c>
      <c r="X712" s="1289">
        <v>1118537</v>
      </c>
      <c r="Y712" s="1289">
        <v>0</v>
      </c>
    </row>
    <row r="713" spans="1:25" s="1280" customFormat="1">
      <c r="A713" s="1281">
        <v>11</v>
      </c>
      <c r="B713" s="1267" t="s">
        <v>1907</v>
      </c>
      <c r="C713" s="1289">
        <f t="shared" si="343"/>
        <v>7346435</v>
      </c>
      <c r="D713" s="1289">
        <f t="shared" si="344"/>
        <v>6812828</v>
      </c>
      <c r="E713" s="1289">
        <v>3925851</v>
      </c>
      <c r="F713" s="1328">
        <v>0</v>
      </c>
      <c r="G713" s="1328">
        <v>0</v>
      </c>
      <c r="H713" s="1328">
        <v>0</v>
      </c>
      <c r="I713" s="1328">
        <v>0</v>
      </c>
      <c r="J713" s="1289">
        <v>2886977</v>
      </c>
      <c r="K713" s="1329">
        <v>0</v>
      </c>
      <c r="L713" s="1328">
        <v>0</v>
      </c>
      <c r="M713" s="1329">
        <v>0</v>
      </c>
      <c r="N713" s="1328">
        <v>0</v>
      </c>
      <c r="O713" s="1328">
        <v>0</v>
      </c>
      <c r="P713" s="1328">
        <v>0</v>
      </c>
      <c r="Q713" s="1328">
        <v>0</v>
      </c>
      <c r="R713" s="1328">
        <v>0</v>
      </c>
      <c r="S713" s="1328">
        <v>0</v>
      </c>
      <c r="T713" s="1328">
        <v>0</v>
      </c>
      <c r="U713" s="1328">
        <v>0</v>
      </c>
      <c r="V713" s="1328">
        <v>0</v>
      </c>
      <c r="W713" s="1328">
        <v>0</v>
      </c>
      <c r="X713" s="1289">
        <v>533607</v>
      </c>
      <c r="Y713" s="1289">
        <v>0</v>
      </c>
    </row>
    <row r="714" spans="1:25" s="1280" customFormat="1">
      <c r="A714" s="1281">
        <v>12</v>
      </c>
      <c r="B714" s="1267" t="s">
        <v>1908</v>
      </c>
      <c r="C714" s="1289">
        <f t="shared" si="343"/>
        <v>16634339</v>
      </c>
      <c r="D714" s="1289">
        <f t="shared" si="344"/>
        <v>11195664</v>
      </c>
      <c r="E714" s="1289">
        <v>1879908</v>
      </c>
      <c r="F714" s="1289">
        <v>3560829</v>
      </c>
      <c r="G714" s="1328">
        <v>0</v>
      </c>
      <c r="H714" s="1289">
        <v>2186244</v>
      </c>
      <c r="I714" s="1289">
        <v>2186244</v>
      </c>
      <c r="J714" s="1289">
        <v>1382439</v>
      </c>
      <c r="K714" s="1329">
        <v>0</v>
      </c>
      <c r="L714" s="1289">
        <v>489407</v>
      </c>
      <c r="M714" s="1329">
        <v>0</v>
      </c>
      <c r="N714" s="1328">
        <v>0</v>
      </c>
      <c r="O714" s="1328">
        <v>0</v>
      </c>
      <c r="P714" s="1328">
        <v>0</v>
      </c>
      <c r="Q714" s="1328">
        <v>0</v>
      </c>
      <c r="R714" s="1328">
        <v>0</v>
      </c>
      <c r="S714" s="1289">
        <v>1516</v>
      </c>
      <c r="T714" s="1289">
        <v>3741037</v>
      </c>
      <c r="U714" s="1328">
        <v>0</v>
      </c>
      <c r="V714" s="1328">
        <v>0</v>
      </c>
      <c r="W714" s="1328">
        <v>0</v>
      </c>
      <c r="X714" s="1289">
        <v>1208231</v>
      </c>
      <c r="Y714" s="1289">
        <v>0</v>
      </c>
    </row>
    <row r="715" spans="1:25" s="1280" customFormat="1">
      <c r="A715" s="1281">
        <v>13</v>
      </c>
      <c r="B715" s="1267" t="s">
        <v>1909</v>
      </c>
      <c r="C715" s="1289">
        <f t="shared" si="343"/>
        <v>10683407</v>
      </c>
      <c r="D715" s="1289">
        <f t="shared" si="344"/>
        <v>6529766</v>
      </c>
      <c r="E715" s="1328">
        <v>0</v>
      </c>
      <c r="F715" s="1289">
        <v>4703645</v>
      </c>
      <c r="G715" s="1328">
        <v>0</v>
      </c>
      <c r="H715" s="1328">
        <v>0</v>
      </c>
      <c r="I715" s="1328">
        <v>0</v>
      </c>
      <c r="J715" s="1289">
        <v>1826121</v>
      </c>
      <c r="K715" s="1329">
        <v>0</v>
      </c>
      <c r="L715" s="1328">
        <v>0</v>
      </c>
      <c r="M715" s="1329">
        <v>0</v>
      </c>
      <c r="N715" s="1328">
        <v>0</v>
      </c>
      <c r="O715" s="1289">
        <v>913</v>
      </c>
      <c r="P715" s="1289">
        <v>3377653</v>
      </c>
      <c r="Q715" s="1328">
        <v>0</v>
      </c>
      <c r="R715" s="1328">
        <v>0</v>
      </c>
      <c r="S715" s="1328">
        <v>0</v>
      </c>
      <c r="T715" s="1328">
        <v>0</v>
      </c>
      <c r="U715" s="1328">
        <v>0</v>
      </c>
      <c r="V715" s="1328">
        <v>0</v>
      </c>
      <c r="W715" s="1328">
        <v>0</v>
      </c>
      <c r="X715" s="1289">
        <v>775988</v>
      </c>
      <c r="Y715" s="1289">
        <v>0</v>
      </c>
    </row>
    <row r="716" spans="1:25" s="1280" customFormat="1" ht="58.8" customHeight="1">
      <c r="A716" s="1281">
        <v>14</v>
      </c>
      <c r="B716" s="1267" t="s">
        <v>1910</v>
      </c>
      <c r="C716" s="1289">
        <f t="shared" si="343"/>
        <v>5852161</v>
      </c>
      <c r="D716" s="1289">
        <f t="shared" si="344"/>
        <v>5427090</v>
      </c>
      <c r="E716" s="1328">
        <v>0</v>
      </c>
      <c r="F716" s="1289">
        <v>5427090</v>
      </c>
      <c r="G716" s="1328">
        <v>0</v>
      </c>
      <c r="H716" s="1328">
        <v>0</v>
      </c>
      <c r="I716" s="1328">
        <v>0</v>
      </c>
      <c r="J716" s="1328">
        <v>0</v>
      </c>
      <c r="K716" s="1329">
        <v>0</v>
      </c>
      <c r="L716" s="1328">
        <v>0</v>
      </c>
      <c r="M716" s="1329">
        <v>0</v>
      </c>
      <c r="N716" s="1328">
        <v>0</v>
      </c>
      <c r="O716" s="1328">
        <v>0</v>
      </c>
      <c r="P716" s="1328">
        <v>0</v>
      </c>
      <c r="Q716" s="1328">
        <v>0</v>
      </c>
      <c r="R716" s="1328">
        <v>0</v>
      </c>
      <c r="S716" s="1328">
        <v>0</v>
      </c>
      <c r="T716" s="1328">
        <v>0</v>
      </c>
      <c r="U716" s="1328">
        <v>0</v>
      </c>
      <c r="V716" s="1328">
        <v>0</v>
      </c>
      <c r="W716" s="1328">
        <v>0</v>
      </c>
      <c r="X716" s="1289">
        <v>425071</v>
      </c>
      <c r="Y716" s="1289">
        <v>0</v>
      </c>
    </row>
    <row r="717" spans="1:25" s="1280" customFormat="1" ht="56.4" customHeight="1">
      <c r="A717" s="1281">
        <v>15</v>
      </c>
      <c r="B717" s="1267" t="s">
        <v>1911</v>
      </c>
      <c r="C717" s="1289">
        <f t="shared" si="343"/>
        <v>3488103</v>
      </c>
      <c r="D717" s="1289">
        <f t="shared" si="344"/>
        <v>937314</v>
      </c>
      <c r="E717" s="1289">
        <v>937314</v>
      </c>
      <c r="F717" s="1328">
        <v>0</v>
      </c>
      <c r="G717" s="1328">
        <v>0</v>
      </c>
      <c r="H717" s="1328">
        <v>0</v>
      </c>
      <c r="I717" s="1328">
        <v>0</v>
      </c>
      <c r="J717" s="1328">
        <v>0</v>
      </c>
      <c r="K717" s="1329">
        <v>0</v>
      </c>
      <c r="L717" s="1328">
        <v>0</v>
      </c>
      <c r="M717" s="1329">
        <v>0</v>
      </c>
      <c r="N717" s="1328">
        <v>0</v>
      </c>
      <c r="O717" s="1328">
        <v>0</v>
      </c>
      <c r="P717" s="1328">
        <v>0</v>
      </c>
      <c r="Q717" s="1328">
        <v>0</v>
      </c>
      <c r="R717" s="1328">
        <v>0</v>
      </c>
      <c r="S717" s="1289">
        <v>931</v>
      </c>
      <c r="T717" s="1289">
        <v>2297431</v>
      </c>
      <c r="U717" s="1328">
        <v>0</v>
      </c>
      <c r="V717" s="1328">
        <v>0</v>
      </c>
      <c r="W717" s="1328">
        <v>0</v>
      </c>
      <c r="X717" s="1289">
        <v>253358</v>
      </c>
      <c r="Y717" s="1289">
        <v>0</v>
      </c>
    </row>
    <row r="718" spans="1:25" s="1280" customFormat="1" ht="75.599999999999994">
      <c r="A718" s="1281">
        <v>16</v>
      </c>
      <c r="B718" s="1267" t="s">
        <v>2474</v>
      </c>
      <c r="C718" s="1289">
        <f t="shared" si="343"/>
        <v>3795072</v>
      </c>
      <c r="D718" s="1289">
        <f t="shared" si="344"/>
        <v>0</v>
      </c>
      <c r="E718" s="1328">
        <v>0</v>
      </c>
      <c r="F718" s="1328">
        <v>0</v>
      </c>
      <c r="G718" s="1328">
        <v>0</v>
      </c>
      <c r="H718" s="1328">
        <v>0</v>
      </c>
      <c r="I718" s="1328">
        <v>0</v>
      </c>
      <c r="J718" s="1328">
        <v>0</v>
      </c>
      <c r="K718" s="1329">
        <v>0</v>
      </c>
      <c r="L718" s="1328">
        <v>0</v>
      </c>
      <c r="M718" s="1329">
        <v>0</v>
      </c>
      <c r="N718" s="1328">
        <v>0</v>
      </c>
      <c r="O718" s="1289">
        <v>693.81</v>
      </c>
      <c r="P718" s="1289">
        <v>2177704</v>
      </c>
      <c r="Q718" s="1328">
        <v>0</v>
      </c>
      <c r="R718" s="1328">
        <v>0</v>
      </c>
      <c r="S718" s="1289">
        <v>543.71</v>
      </c>
      <c r="T718" s="1289">
        <v>1341714</v>
      </c>
      <c r="U718" s="1328">
        <v>0</v>
      </c>
      <c r="V718" s="1328">
        <v>0</v>
      </c>
      <c r="W718" s="1328">
        <v>0</v>
      </c>
      <c r="X718" s="1289">
        <v>275654</v>
      </c>
      <c r="Y718" s="1289">
        <v>0</v>
      </c>
    </row>
    <row r="719" spans="1:25" s="1280" customFormat="1" ht="54" customHeight="1">
      <c r="A719" s="1281">
        <v>17</v>
      </c>
      <c r="B719" s="1267" t="s">
        <v>1913</v>
      </c>
      <c r="C719" s="1289">
        <f t="shared" si="343"/>
        <v>13906531</v>
      </c>
      <c r="D719" s="1289">
        <f t="shared" si="344"/>
        <v>5313177</v>
      </c>
      <c r="E719" s="1289">
        <v>1835833</v>
      </c>
      <c r="F719" s="1289">
        <v>3477344</v>
      </c>
      <c r="G719" s="1328">
        <v>0</v>
      </c>
      <c r="H719" s="1328">
        <v>0</v>
      </c>
      <c r="I719" s="1328">
        <v>0</v>
      </c>
      <c r="J719" s="1328">
        <v>0</v>
      </c>
      <c r="K719" s="1329">
        <v>0</v>
      </c>
      <c r="L719" s="1328">
        <v>0</v>
      </c>
      <c r="M719" s="1329">
        <v>0</v>
      </c>
      <c r="N719" s="1328">
        <v>0</v>
      </c>
      <c r="O719" s="1328">
        <v>0</v>
      </c>
      <c r="P719" s="1328">
        <v>0</v>
      </c>
      <c r="Q719" s="1328">
        <v>0</v>
      </c>
      <c r="R719" s="1328">
        <v>0</v>
      </c>
      <c r="S719" s="1289">
        <v>1852.01</v>
      </c>
      <c r="T719" s="1289">
        <v>7583255</v>
      </c>
      <c r="U719" s="1328">
        <v>0</v>
      </c>
      <c r="V719" s="1328">
        <v>0</v>
      </c>
      <c r="W719" s="1328">
        <v>0</v>
      </c>
      <c r="X719" s="1289">
        <v>1010099</v>
      </c>
      <c r="Y719" s="1289">
        <v>0</v>
      </c>
    </row>
    <row r="720" spans="1:25" s="1280" customFormat="1">
      <c r="A720" s="1281">
        <v>18</v>
      </c>
      <c r="B720" s="1267" t="s">
        <v>294</v>
      </c>
      <c r="C720" s="1289">
        <f t="shared" si="343"/>
        <v>3934409</v>
      </c>
      <c r="D720" s="1289">
        <f t="shared" si="344"/>
        <v>3648635</v>
      </c>
      <c r="E720" s="1328">
        <v>0</v>
      </c>
      <c r="F720" s="1328">
        <v>0</v>
      </c>
      <c r="G720" s="1328">
        <v>0</v>
      </c>
      <c r="H720" s="1289">
        <v>1386083</v>
      </c>
      <c r="I720" s="1289">
        <v>1386083</v>
      </c>
      <c r="J720" s="1289">
        <v>876469</v>
      </c>
      <c r="K720" s="1329">
        <v>0</v>
      </c>
      <c r="L720" s="1328">
        <v>0</v>
      </c>
      <c r="M720" s="1329">
        <v>0</v>
      </c>
      <c r="N720" s="1328">
        <v>0</v>
      </c>
      <c r="O720" s="1328">
        <v>0</v>
      </c>
      <c r="P720" s="1328">
        <v>0</v>
      </c>
      <c r="Q720" s="1328">
        <v>0</v>
      </c>
      <c r="R720" s="1328">
        <v>0</v>
      </c>
      <c r="S720" s="1328">
        <v>0</v>
      </c>
      <c r="T720" s="1328">
        <v>0</v>
      </c>
      <c r="U720" s="1328">
        <v>0</v>
      </c>
      <c r="V720" s="1328">
        <v>0</v>
      </c>
      <c r="W720" s="1328">
        <v>0</v>
      </c>
      <c r="X720" s="1289">
        <v>285774</v>
      </c>
      <c r="Y720" s="1289">
        <v>0</v>
      </c>
    </row>
    <row r="721" spans="1:25" s="1280" customFormat="1">
      <c r="A721" s="1281">
        <v>19</v>
      </c>
      <c r="B721" s="1267" t="s">
        <v>1914</v>
      </c>
      <c r="C721" s="1289">
        <f t="shared" si="343"/>
        <v>17016051</v>
      </c>
      <c r="D721" s="1289">
        <f t="shared" si="344"/>
        <v>0</v>
      </c>
      <c r="E721" s="1328">
        <v>0</v>
      </c>
      <c r="F721" s="1328">
        <v>0</v>
      </c>
      <c r="G721" s="1328">
        <v>0</v>
      </c>
      <c r="H721" s="1328">
        <v>0</v>
      </c>
      <c r="I721" s="1328">
        <v>0</v>
      </c>
      <c r="J721" s="1328">
        <v>0</v>
      </c>
      <c r="K721" s="1329">
        <v>0</v>
      </c>
      <c r="L721" s="1328">
        <v>0</v>
      </c>
      <c r="M721" s="1329">
        <v>0</v>
      </c>
      <c r="N721" s="1328">
        <v>0</v>
      </c>
      <c r="O721" s="1328">
        <v>0</v>
      </c>
      <c r="P721" s="1328">
        <v>0</v>
      </c>
      <c r="Q721" s="1328">
        <v>0</v>
      </c>
      <c r="R721" s="1328">
        <v>0</v>
      </c>
      <c r="S721" s="1289">
        <v>6394.65</v>
      </c>
      <c r="T721" s="1289">
        <v>15780093</v>
      </c>
      <c r="U721" s="1328">
        <v>0</v>
      </c>
      <c r="V721" s="1328">
        <v>0</v>
      </c>
      <c r="W721" s="1328">
        <v>0</v>
      </c>
      <c r="X721" s="1289">
        <v>1235958</v>
      </c>
      <c r="Y721" s="1289">
        <v>0</v>
      </c>
    </row>
    <row r="722" spans="1:25" s="1280" customFormat="1">
      <c r="A722" s="1281">
        <v>20</v>
      </c>
      <c r="B722" s="1267" t="s">
        <v>1915</v>
      </c>
      <c r="C722" s="1289">
        <f t="shared" si="343"/>
        <v>8045555</v>
      </c>
      <c r="D722" s="1289">
        <f t="shared" si="344"/>
        <v>6953944</v>
      </c>
      <c r="E722" s="1289">
        <v>1167664</v>
      </c>
      <c r="F722" s="1289">
        <v>2211731</v>
      </c>
      <c r="G722" s="1328">
        <v>0</v>
      </c>
      <c r="H722" s="1289">
        <v>1357938</v>
      </c>
      <c r="I722" s="1289">
        <v>1357938</v>
      </c>
      <c r="J722" s="1289">
        <v>858673</v>
      </c>
      <c r="K722" s="1329">
        <v>0</v>
      </c>
      <c r="L722" s="1289">
        <v>507224</v>
      </c>
      <c r="M722" s="1329">
        <v>0</v>
      </c>
      <c r="N722" s="1328">
        <v>0</v>
      </c>
      <c r="O722" s="1328">
        <v>0</v>
      </c>
      <c r="P722" s="1328">
        <v>0</v>
      </c>
      <c r="Q722" s="1328">
        <v>0</v>
      </c>
      <c r="R722" s="1328">
        <v>0</v>
      </c>
      <c r="S722" s="1328">
        <v>0</v>
      </c>
      <c r="T722" s="1328">
        <v>0</v>
      </c>
      <c r="U722" s="1328">
        <v>0</v>
      </c>
      <c r="V722" s="1328">
        <v>0</v>
      </c>
      <c r="W722" s="1328">
        <v>0</v>
      </c>
      <c r="X722" s="1289">
        <v>584387</v>
      </c>
      <c r="Y722" s="1289">
        <v>0</v>
      </c>
    </row>
    <row r="723" spans="1:25" s="1280" customFormat="1">
      <c r="A723" s="1281">
        <v>21</v>
      </c>
      <c r="B723" s="1267" t="s">
        <v>1916</v>
      </c>
      <c r="C723" s="1289">
        <f t="shared" si="343"/>
        <v>3421025</v>
      </c>
      <c r="D723" s="1289">
        <f t="shared" si="344"/>
        <v>919881</v>
      </c>
      <c r="E723" s="1289">
        <v>530076</v>
      </c>
      <c r="F723" s="1328">
        <v>0</v>
      </c>
      <c r="G723" s="1328">
        <v>0</v>
      </c>
      <c r="H723" s="1328">
        <v>0</v>
      </c>
      <c r="I723" s="1328">
        <v>0</v>
      </c>
      <c r="J723" s="1289">
        <v>389805</v>
      </c>
      <c r="K723" s="1329">
        <v>0</v>
      </c>
      <c r="L723" s="1328">
        <v>0</v>
      </c>
      <c r="M723" s="1329">
        <v>0</v>
      </c>
      <c r="N723" s="1328">
        <v>0</v>
      </c>
      <c r="O723" s="1289">
        <v>717.69</v>
      </c>
      <c r="P723" s="1289">
        <v>2252658</v>
      </c>
      <c r="Q723" s="1328">
        <v>0</v>
      </c>
      <c r="R723" s="1328">
        <v>0</v>
      </c>
      <c r="S723" s="1328">
        <v>0</v>
      </c>
      <c r="T723" s="1328">
        <v>0</v>
      </c>
      <c r="U723" s="1328">
        <v>0</v>
      </c>
      <c r="V723" s="1328">
        <v>0</v>
      </c>
      <c r="W723" s="1328">
        <v>0</v>
      </c>
      <c r="X723" s="1289">
        <v>248486</v>
      </c>
      <c r="Y723" s="1289">
        <v>0</v>
      </c>
    </row>
    <row r="724" spans="1:25" s="1280" customFormat="1" ht="113.4">
      <c r="A724" s="1281"/>
      <c r="B724" s="1267" t="s">
        <v>1619</v>
      </c>
      <c r="C724" s="1268">
        <f>SUM(C725:C744)</f>
        <v>39453351</v>
      </c>
      <c r="D724" s="1268">
        <f t="shared" ref="D724:Y724" si="345">SUM(D725:D744)</f>
        <v>159633</v>
      </c>
      <c r="E724" s="1268">
        <f t="shared" si="345"/>
        <v>0</v>
      </c>
      <c r="F724" s="1268">
        <f t="shared" si="345"/>
        <v>0</v>
      </c>
      <c r="G724" s="1268">
        <f t="shared" si="345"/>
        <v>0</v>
      </c>
      <c r="H724" s="1268">
        <f t="shared" si="345"/>
        <v>0</v>
      </c>
      <c r="I724" s="1268">
        <f t="shared" si="345"/>
        <v>0</v>
      </c>
      <c r="J724" s="1268">
        <f t="shared" si="345"/>
        <v>159633</v>
      </c>
      <c r="K724" s="1278">
        <f t="shared" si="345"/>
        <v>0</v>
      </c>
      <c r="L724" s="1268">
        <f t="shared" si="345"/>
        <v>0</v>
      </c>
      <c r="M724" s="1278">
        <f t="shared" si="345"/>
        <v>0</v>
      </c>
      <c r="N724" s="1268">
        <f t="shared" si="345"/>
        <v>0</v>
      </c>
      <c r="O724" s="1268">
        <f t="shared" si="345"/>
        <v>9778.75</v>
      </c>
      <c r="P724" s="1268">
        <f t="shared" si="345"/>
        <v>27682085</v>
      </c>
      <c r="Q724" s="1268">
        <f t="shared" si="345"/>
        <v>300</v>
      </c>
      <c r="R724" s="1268">
        <f t="shared" si="345"/>
        <v>405394</v>
      </c>
      <c r="S724" s="1268">
        <f t="shared" si="345"/>
        <v>3357.21</v>
      </c>
      <c r="T724" s="1268">
        <f t="shared" si="345"/>
        <v>8284595</v>
      </c>
      <c r="U724" s="1268">
        <f t="shared" si="345"/>
        <v>0</v>
      </c>
      <c r="V724" s="1268">
        <f t="shared" si="345"/>
        <v>0</v>
      </c>
      <c r="W724" s="1328">
        <v>0</v>
      </c>
      <c r="X724" s="1268">
        <f t="shared" si="345"/>
        <v>2921644</v>
      </c>
      <c r="Y724" s="1268">
        <f t="shared" si="345"/>
        <v>0</v>
      </c>
    </row>
    <row r="725" spans="1:25" s="1280" customFormat="1">
      <c r="A725" s="1281">
        <v>22</v>
      </c>
      <c r="B725" s="1267" t="s">
        <v>1493</v>
      </c>
      <c r="C725" s="1268">
        <f t="shared" ref="C725" si="346">D725+N725+P725+R725+T725+V725+X725</f>
        <v>2944031</v>
      </c>
      <c r="D725" s="1268">
        <f t="shared" ref="D725" si="347">SUM(E725:J725)</f>
        <v>0</v>
      </c>
      <c r="E725" s="1289">
        <v>0</v>
      </c>
      <c r="F725" s="1289">
        <v>0</v>
      </c>
      <c r="G725" s="1289">
        <v>0</v>
      </c>
      <c r="H725" s="1289">
        <v>0</v>
      </c>
      <c r="I725" s="1289">
        <v>0</v>
      </c>
      <c r="J725" s="1289">
        <v>0</v>
      </c>
      <c r="K725" s="1278">
        <v>0</v>
      </c>
      <c r="L725" s="1289">
        <v>0</v>
      </c>
      <c r="M725" s="1278">
        <v>0</v>
      </c>
      <c r="N725" s="1289">
        <v>0</v>
      </c>
      <c r="O725" s="1289">
        <v>0</v>
      </c>
      <c r="P725" s="1289">
        <v>0</v>
      </c>
      <c r="Q725" s="1289">
        <v>0</v>
      </c>
      <c r="R725" s="1289">
        <v>0</v>
      </c>
      <c r="S725" s="1289">
        <v>1106.3699999999999</v>
      </c>
      <c r="T725" s="1289">
        <v>2730192</v>
      </c>
      <c r="U725" s="1289">
        <v>0</v>
      </c>
      <c r="V725" s="1289">
        <v>0</v>
      </c>
      <c r="W725" s="1328">
        <v>0</v>
      </c>
      <c r="X725" s="1289">
        <v>213839</v>
      </c>
      <c r="Y725" s="1289">
        <v>0</v>
      </c>
    </row>
    <row r="726" spans="1:25" s="1280" customFormat="1">
      <c r="A726" s="1281">
        <v>23</v>
      </c>
      <c r="B726" s="1267" t="s">
        <v>1494</v>
      </c>
      <c r="C726" s="1268">
        <f t="shared" ref="C726:C739" si="348">D726+N726+P726+R726+T726+V726+X726</f>
        <v>2617271</v>
      </c>
      <c r="D726" s="1268">
        <f t="shared" ref="D726:D739" si="349">SUM(E726:J726)</f>
        <v>0</v>
      </c>
      <c r="E726" s="1289">
        <v>0</v>
      </c>
      <c r="F726" s="1289">
        <v>0</v>
      </c>
      <c r="G726" s="1289">
        <v>0</v>
      </c>
      <c r="H726" s="1289">
        <v>0</v>
      </c>
      <c r="I726" s="1289">
        <v>0</v>
      </c>
      <c r="J726" s="1289">
        <v>0</v>
      </c>
      <c r="K726" s="1278">
        <v>0</v>
      </c>
      <c r="L726" s="1289">
        <v>0</v>
      </c>
      <c r="M726" s="1278">
        <v>0</v>
      </c>
      <c r="N726" s="1289">
        <v>0</v>
      </c>
      <c r="O726" s="1289">
        <v>963.24</v>
      </c>
      <c r="P726" s="1289">
        <v>2427166</v>
      </c>
      <c r="Q726" s="1289">
        <v>0</v>
      </c>
      <c r="R726" s="1289">
        <v>0</v>
      </c>
      <c r="S726" s="1289">
        <v>0</v>
      </c>
      <c r="T726" s="1289">
        <v>0</v>
      </c>
      <c r="U726" s="1289">
        <v>0</v>
      </c>
      <c r="V726" s="1289">
        <v>0</v>
      </c>
      <c r="W726" s="1328">
        <v>0</v>
      </c>
      <c r="X726" s="1289">
        <v>190105</v>
      </c>
      <c r="Y726" s="1289">
        <v>0</v>
      </c>
    </row>
    <row r="727" spans="1:25" s="1280" customFormat="1" ht="40.200000000000003" customHeight="1">
      <c r="A727" s="1281">
        <v>24</v>
      </c>
      <c r="B727" s="1267" t="s">
        <v>1917</v>
      </c>
      <c r="C727" s="1268">
        <f t="shared" si="348"/>
        <v>1255325</v>
      </c>
      <c r="D727" s="1268">
        <f t="shared" si="349"/>
        <v>0</v>
      </c>
      <c r="E727" s="1289">
        <v>0</v>
      </c>
      <c r="F727" s="1289">
        <v>0</v>
      </c>
      <c r="G727" s="1289">
        <v>0</v>
      </c>
      <c r="H727" s="1289">
        <v>0</v>
      </c>
      <c r="I727" s="1289">
        <v>0</v>
      </c>
      <c r="J727" s="1289">
        <v>0</v>
      </c>
      <c r="K727" s="1278">
        <v>0</v>
      </c>
      <c r="L727" s="1289">
        <v>0</v>
      </c>
      <c r="M727" s="1278">
        <v>0</v>
      </c>
      <c r="N727" s="1289">
        <v>0</v>
      </c>
      <c r="O727" s="1289">
        <v>462</v>
      </c>
      <c r="P727" s="1289">
        <v>1164145</v>
      </c>
      <c r="Q727" s="1289">
        <v>0</v>
      </c>
      <c r="R727" s="1289">
        <v>0</v>
      </c>
      <c r="S727" s="1289">
        <v>0</v>
      </c>
      <c r="T727" s="1289">
        <v>0</v>
      </c>
      <c r="U727" s="1289">
        <v>0</v>
      </c>
      <c r="V727" s="1289">
        <v>0</v>
      </c>
      <c r="W727" s="1328">
        <v>0</v>
      </c>
      <c r="X727" s="1289">
        <v>91180</v>
      </c>
      <c r="Y727" s="1289">
        <v>0</v>
      </c>
    </row>
    <row r="728" spans="1:25" s="1280" customFormat="1" ht="45.6" customHeight="1">
      <c r="A728" s="1281">
        <v>25</v>
      </c>
      <c r="B728" s="1267" t="s">
        <v>1495</v>
      </c>
      <c r="C728" s="1268">
        <f t="shared" si="348"/>
        <v>4603059</v>
      </c>
      <c r="D728" s="1268">
        <f t="shared" si="349"/>
        <v>0</v>
      </c>
      <c r="E728" s="1289">
        <v>0</v>
      </c>
      <c r="F728" s="1289">
        <v>0</v>
      </c>
      <c r="G728" s="1289">
        <v>0</v>
      </c>
      <c r="H728" s="1289">
        <v>0</v>
      </c>
      <c r="I728" s="1289">
        <v>0</v>
      </c>
      <c r="J728" s="1289">
        <v>0</v>
      </c>
      <c r="K728" s="1278">
        <v>0</v>
      </c>
      <c r="L728" s="1289">
        <v>0</v>
      </c>
      <c r="M728" s="1278">
        <v>0</v>
      </c>
      <c r="N728" s="1289">
        <v>0</v>
      </c>
      <c r="O728" s="1289">
        <v>1360</v>
      </c>
      <c r="P728" s="1289">
        <v>4268717</v>
      </c>
      <c r="Q728" s="1289">
        <v>0</v>
      </c>
      <c r="R728" s="1289">
        <v>0</v>
      </c>
      <c r="S728" s="1289">
        <v>0</v>
      </c>
      <c r="T728" s="1289">
        <v>0</v>
      </c>
      <c r="U728" s="1289">
        <v>0</v>
      </c>
      <c r="V728" s="1289">
        <v>0</v>
      </c>
      <c r="W728" s="1328">
        <v>0</v>
      </c>
      <c r="X728" s="1289">
        <v>334342</v>
      </c>
      <c r="Y728" s="1289">
        <v>0</v>
      </c>
    </row>
    <row r="729" spans="1:25" s="1280" customFormat="1" ht="75.599999999999994">
      <c r="A729" s="1281">
        <v>26</v>
      </c>
      <c r="B729" s="1267" t="s">
        <v>2475</v>
      </c>
      <c r="C729" s="1268">
        <f t="shared" si="348"/>
        <v>437146</v>
      </c>
      <c r="D729" s="1268">
        <f t="shared" si="349"/>
        <v>0</v>
      </c>
      <c r="E729" s="1289">
        <v>0</v>
      </c>
      <c r="F729" s="1289">
        <v>0</v>
      </c>
      <c r="G729" s="1289">
        <v>0</v>
      </c>
      <c r="H729" s="1289">
        <v>0</v>
      </c>
      <c r="I729" s="1289">
        <v>0</v>
      </c>
      <c r="J729" s="1289">
        <v>0</v>
      </c>
      <c r="K729" s="1278">
        <v>0</v>
      </c>
      <c r="L729" s="1289">
        <v>0</v>
      </c>
      <c r="M729" s="1278">
        <v>0</v>
      </c>
      <c r="N729" s="1289">
        <v>0</v>
      </c>
      <c r="O729" s="1289">
        <v>0</v>
      </c>
      <c r="P729" s="1289">
        <v>0</v>
      </c>
      <c r="Q729" s="1289">
        <v>300</v>
      </c>
      <c r="R729" s="1289">
        <v>405394</v>
      </c>
      <c r="S729" s="1289">
        <v>0</v>
      </c>
      <c r="T729" s="1289">
        <v>0</v>
      </c>
      <c r="U729" s="1289">
        <v>0</v>
      </c>
      <c r="V729" s="1289">
        <v>0</v>
      </c>
      <c r="W729" s="1328">
        <v>0</v>
      </c>
      <c r="X729" s="1289">
        <v>31752</v>
      </c>
      <c r="Y729" s="1289">
        <v>0</v>
      </c>
    </row>
    <row r="730" spans="1:25" s="1280" customFormat="1">
      <c r="A730" s="1281">
        <v>27</v>
      </c>
      <c r="B730" s="1267" t="s">
        <v>1188</v>
      </c>
      <c r="C730" s="1268">
        <f t="shared" si="348"/>
        <v>60340</v>
      </c>
      <c r="D730" s="1268">
        <f t="shared" si="349"/>
        <v>0</v>
      </c>
      <c r="E730" s="1289">
        <v>0</v>
      </c>
      <c r="F730" s="1289">
        <v>0</v>
      </c>
      <c r="G730" s="1289">
        <v>0</v>
      </c>
      <c r="H730" s="1289">
        <v>0</v>
      </c>
      <c r="I730" s="1289">
        <v>0</v>
      </c>
      <c r="J730" s="1289">
        <v>0</v>
      </c>
      <c r="K730" s="1278">
        <v>0</v>
      </c>
      <c r="L730" s="1289">
        <v>0</v>
      </c>
      <c r="M730" s="1278">
        <v>0</v>
      </c>
      <c r="N730" s="1289">
        <v>0</v>
      </c>
      <c r="O730" s="1289">
        <v>0</v>
      </c>
      <c r="P730" s="1289">
        <v>0</v>
      </c>
      <c r="Q730" s="1289">
        <v>0</v>
      </c>
      <c r="R730" s="1289">
        <v>0</v>
      </c>
      <c r="S730" s="1289">
        <v>0</v>
      </c>
      <c r="T730" s="1289">
        <v>0</v>
      </c>
      <c r="U730" s="1289">
        <v>0</v>
      </c>
      <c r="V730" s="1289">
        <v>0</v>
      </c>
      <c r="W730" s="1328">
        <v>0</v>
      </c>
      <c r="X730" s="1289">
        <v>60340</v>
      </c>
      <c r="Y730" s="1289">
        <v>0</v>
      </c>
    </row>
    <row r="731" spans="1:25" s="1280" customFormat="1">
      <c r="A731" s="1281">
        <v>28</v>
      </c>
      <c r="B731" s="1267" t="s">
        <v>1019</v>
      </c>
      <c r="C731" s="1268">
        <f t="shared" si="348"/>
        <v>977101</v>
      </c>
      <c r="D731" s="1268">
        <f t="shared" si="349"/>
        <v>0</v>
      </c>
      <c r="E731" s="1289">
        <v>0</v>
      </c>
      <c r="F731" s="1289">
        <v>0</v>
      </c>
      <c r="G731" s="1289">
        <v>0</v>
      </c>
      <c r="H731" s="1289">
        <v>0</v>
      </c>
      <c r="I731" s="1289">
        <v>0</v>
      </c>
      <c r="J731" s="1289">
        <v>0</v>
      </c>
      <c r="K731" s="1278">
        <v>0</v>
      </c>
      <c r="L731" s="1289">
        <v>0</v>
      </c>
      <c r="M731" s="1278">
        <v>0</v>
      </c>
      <c r="N731" s="1289">
        <v>0</v>
      </c>
      <c r="O731" s="1289">
        <v>288.69</v>
      </c>
      <c r="P731" s="1289">
        <v>906129</v>
      </c>
      <c r="Q731" s="1289">
        <v>0</v>
      </c>
      <c r="R731" s="1289">
        <v>0</v>
      </c>
      <c r="S731" s="1289">
        <v>0</v>
      </c>
      <c r="T731" s="1289">
        <v>0</v>
      </c>
      <c r="U731" s="1289">
        <v>0</v>
      </c>
      <c r="V731" s="1289">
        <v>0</v>
      </c>
      <c r="W731" s="1328">
        <v>0</v>
      </c>
      <c r="X731" s="1289">
        <v>70972</v>
      </c>
      <c r="Y731" s="1289">
        <v>0</v>
      </c>
    </row>
    <row r="732" spans="1:25" s="1280" customFormat="1" ht="75.599999999999994">
      <c r="A732" s="1281">
        <v>29</v>
      </c>
      <c r="B732" s="1267" t="s">
        <v>2476</v>
      </c>
      <c r="C732" s="1268">
        <f t="shared" si="348"/>
        <v>806809</v>
      </c>
      <c r="D732" s="1268">
        <f t="shared" si="349"/>
        <v>0</v>
      </c>
      <c r="E732" s="1289">
        <v>0</v>
      </c>
      <c r="F732" s="1289">
        <v>0</v>
      </c>
      <c r="G732" s="1289">
        <v>0</v>
      </c>
      <c r="H732" s="1289">
        <v>0</v>
      </c>
      <c r="I732" s="1289">
        <v>0</v>
      </c>
      <c r="J732" s="1289">
        <v>0</v>
      </c>
      <c r="K732" s="1278">
        <v>0</v>
      </c>
      <c r="L732" s="1289">
        <v>0</v>
      </c>
      <c r="M732" s="1278">
        <v>0</v>
      </c>
      <c r="N732" s="1289">
        <v>0</v>
      </c>
      <c r="O732" s="1289">
        <v>0</v>
      </c>
      <c r="P732" s="1289">
        <v>0</v>
      </c>
      <c r="Q732" s="1289">
        <v>0</v>
      </c>
      <c r="R732" s="1289">
        <v>0</v>
      </c>
      <c r="S732" s="1289">
        <v>303.2</v>
      </c>
      <c r="T732" s="1289">
        <v>748207</v>
      </c>
      <c r="U732" s="1289">
        <v>0</v>
      </c>
      <c r="V732" s="1289">
        <v>0</v>
      </c>
      <c r="W732" s="1328">
        <v>0</v>
      </c>
      <c r="X732" s="1289">
        <v>58602</v>
      </c>
      <c r="Y732" s="1289">
        <v>0</v>
      </c>
    </row>
    <row r="733" spans="1:25" s="1280" customFormat="1">
      <c r="A733" s="1281">
        <v>30</v>
      </c>
      <c r="B733" s="1267" t="s">
        <v>1496</v>
      </c>
      <c r="C733" s="1268">
        <f t="shared" si="348"/>
        <v>1187996</v>
      </c>
      <c r="D733" s="1268">
        <f t="shared" si="349"/>
        <v>0</v>
      </c>
      <c r="E733" s="1289">
        <v>0</v>
      </c>
      <c r="F733" s="1289">
        <v>0</v>
      </c>
      <c r="G733" s="1289">
        <v>0</v>
      </c>
      <c r="H733" s="1289">
        <v>0</v>
      </c>
      <c r="I733" s="1289">
        <v>0</v>
      </c>
      <c r="J733" s="1289">
        <v>0</v>
      </c>
      <c r="K733" s="1278">
        <v>0</v>
      </c>
      <c r="L733" s="1289">
        <v>0</v>
      </c>
      <c r="M733" s="1278">
        <v>0</v>
      </c>
      <c r="N733" s="1289">
        <v>0</v>
      </c>
      <c r="O733" s="1289">
        <v>351</v>
      </c>
      <c r="P733" s="1289">
        <v>1101706</v>
      </c>
      <c r="Q733" s="1289">
        <v>0</v>
      </c>
      <c r="R733" s="1289">
        <v>0</v>
      </c>
      <c r="S733" s="1289">
        <v>0</v>
      </c>
      <c r="T733" s="1289">
        <v>0</v>
      </c>
      <c r="U733" s="1289">
        <v>0</v>
      </c>
      <c r="V733" s="1289">
        <v>0</v>
      </c>
      <c r="W733" s="1328">
        <v>0</v>
      </c>
      <c r="X733" s="1289">
        <v>86290</v>
      </c>
      <c r="Y733" s="1289">
        <v>0</v>
      </c>
    </row>
    <row r="734" spans="1:25" s="1280" customFormat="1">
      <c r="A734" s="1281">
        <v>31</v>
      </c>
      <c r="B734" s="1267" t="s">
        <v>1131</v>
      </c>
      <c r="C734" s="1268">
        <f t="shared" si="348"/>
        <v>1556917</v>
      </c>
      <c r="D734" s="1268">
        <f t="shared" si="349"/>
        <v>0</v>
      </c>
      <c r="E734" s="1289">
        <v>0</v>
      </c>
      <c r="F734" s="1289">
        <v>0</v>
      </c>
      <c r="G734" s="1289">
        <v>0</v>
      </c>
      <c r="H734" s="1289">
        <v>0</v>
      </c>
      <c r="I734" s="1289">
        <v>0</v>
      </c>
      <c r="J734" s="1289">
        <v>0</v>
      </c>
      <c r="K734" s="1278">
        <v>0</v>
      </c>
      <c r="L734" s="1289">
        <v>0</v>
      </c>
      <c r="M734" s="1278">
        <v>0</v>
      </c>
      <c r="N734" s="1289">
        <v>0</v>
      </c>
      <c r="O734" s="1289">
        <v>460</v>
      </c>
      <c r="P734" s="1289">
        <v>1443831</v>
      </c>
      <c r="Q734" s="1289">
        <v>0</v>
      </c>
      <c r="R734" s="1289">
        <v>0</v>
      </c>
      <c r="S734" s="1289">
        <v>0</v>
      </c>
      <c r="T734" s="1289">
        <v>0</v>
      </c>
      <c r="U734" s="1289">
        <v>0</v>
      </c>
      <c r="V734" s="1289">
        <v>0</v>
      </c>
      <c r="W734" s="1328">
        <v>0</v>
      </c>
      <c r="X734" s="1289">
        <v>113086</v>
      </c>
      <c r="Y734" s="1289">
        <v>0</v>
      </c>
    </row>
    <row r="735" spans="1:25" s="1280" customFormat="1">
      <c r="A735" s="1281">
        <v>32</v>
      </c>
      <c r="B735" s="1267" t="s">
        <v>1497</v>
      </c>
      <c r="C735" s="1268">
        <f t="shared" si="348"/>
        <v>2510650</v>
      </c>
      <c r="D735" s="1268">
        <f t="shared" si="349"/>
        <v>0</v>
      </c>
      <c r="E735" s="1289">
        <v>0</v>
      </c>
      <c r="F735" s="1289">
        <v>0</v>
      </c>
      <c r="G735" s="1289">
        <v>0</v>
      </c>
      <c r="H735" s="1289">
        <v>0</v>
      </c>
      <c r="I735" s="1289">
        <v>0</v>
      </c>
      <c r="J735" s="1289">
        <v>0</v>
      </c>
      <c r="K735" s="1278">
        <v>0</v>
      </c>
      <c r="L735" s="1289">
        <v>0</v>
      </c>
      <c r="M735" s="1278">
        <v>0</v>
      </c>
      <c r="N735" s="1289">
        <v>0</v>
      </c>
      <c r="O735" s="1289">
        <v>924</v>
      </c>
      <c r="P735" s="1289">
        <v>2328289</v>
      </c>
      <c r="Q735" s="1289">
        <v>0</v>
      </c>
      <c r="R735" s="1289">
        <v>0</v>
      </c>
      <c r="S735" s="1289">
        <v>0</v>
      </c>
      <c r="T735" s="1289">
        <v>0</v>
      </c>
      <c r="U735" s="1289">
        <v>0</v>
      </c>
      <c r="V735" s="1289">
        <v>0</v>
      </c>
      <c r="W735" s="1328">
        <v>0</v>
      </c>
      <c r="X735" s="1289">
        <v>182361</v>
      </c>
      <c r="Y735" s="1289">
        <v>0</v>
      </c>
    </row>
    <row r="736" spans="1:25" s="1280" customFormat="1" ht="113.4">
      <c r="A736" s="1281">
        <v>33</v>
      </c>
      <c r="B736" s="1267" t="s">
        <v>2477</v>
      </c>
      <c r="C736" s="1268">
        <f t="shared" si="348"/>
        <v>1124771</v>
      </c>
      <c r="D736" s="1268">
        <f t="shared" si="349"/>
        <v>0</v>
      </c>
      <c r="E736" s="1289">
        <v>0</v>
      </c>
      <c r="F736" s="1289">
        <v>0</v>
      </c>
      <c r="G736" s="1289">
        <v>0</v>
      </c>
      <c r="H736" s="1289">
        <v>0</v>
      </c>
      <c r="I736" s="1289">
        <v>0</v>
      </c>
      <c r="J736" s="1289">
        <v>0</v>
      </c>
      <c r="K736" s="1278">
        <v>0</v>
      </c>
      <c r="L736" s="1289">
        <v>0</v>
      </c>
      <c r="M736" s="1278">
        <v>0</v>
      </c>
      <c r="N736" s="1289">
        <v>0</v>
      </c>
      <c r="O736" s="1289">
        <v>332.32</v>
      </c>
      <c r="P736" s="1289">
        <v>1043073</v>
      </c>
      <c r="Q736" s="1289">
        <v>0</v>
      </c>
      <c r="R736" s="1289">
        <v>0</v>
      </c>
      <c r="S736" s="1289">
        <v>0</v>
      </c>
      <c r="T736" s="1289">
        <v>0</v>
      </c>
      <c r="U736" s="1289">
        <v>0</v>
      </c>
      <c r="V736" s="1289">
        <v>0</v>
      </c>
      <c r="W736" s="1328">
        <v>0</v>
      </c>
      <c r="X736" s="1289">
        <v>81698</v>
      </c>
      <c r="Y736" s="1289">
        <v>0</v>
      </c>
    </row>
    <row r="737" spans="1:25" s="1280" customFormat="1">
      <c r="A737" s="1281">
        <v>34</v>
      </c>
      <c r="B737" s="1267" t="s">
        <v>1499</v>
      </c>
      <c r="C737" s="1268">
        <f t="shared" si="348"/>
        <v>5182636</v>
      </c>
      <c r="D737" s="1268">
        <f t="shared" si="349"/>
        <v>0</v>
      </c>
      <c r="E737" s="1289">
        <v>0</v>
      </c>
      <c r="F737" s="1289">
        <v>0</v>
      </c>
      <c r="G737" s="1289">
        <v>0</v>
      </c>
      <c r="H737" s="1289">
        <v>0</v>
      </c>
      <c r="I737" s="1289">
        <v>0</v>
      </c>
      <c r="J737" s="1289">
        <v>0</v>
      </c>
      <c r="K737" s="1278">
        <v>0</v>
      </c>
      <c r="L737" s="1289">
        <v>0</v>
      </c>
      <c r="M737" s="1278">
        <v>0</v>
      </c>
      <c r="N737" s="1289">
        <v>0</v>
      </c>
      <c r="O737" s="1289">
        <v>0</v>
      </c>
      <c r="P737" s="1289">
        <v>0</v>
      </c>
      <c r="Q737" s="1289">
        <v>0</v>
      </c>
      <c r="R737" s="1289">
        <v>0</v>
      </c>
      <c r="S737" s="1289">
        <v>1947.64</v>
      </c>
      <c r="T737" s="1289">
        <v>4806196</v>
      </c>
      <c r="U737" s="1289">
        <v>0</v>
      </c>
      <c r="V737" s="1289">
        <v>0</v>
      </c>
      <c r="W737" s="1328">
        <v>0</v>
      </c>
      <c r="X737" s="1289">
        <v>376440</v>
      </c>
      <c r="Y737" s="1289">
        <v>0</v>
      </c>
    </row>
    <row r="738" spans="1:25" s="1280" customFormat="1" ht="75.599999999999994">
      <c r="A738" s="1281">
        <v>35</v>
      </c>
      <c r="B738" s="1267" t="s">
        <v>2316</v>
      </c>
      <c r="C738" s="1268">
        <f t="shared" si="348"/>
        <v>609228</v>
      </c>
      <c r="D738" s="1268">
        <f t="shared" si="349"/>
        <v>0</v>
      </c>
      <c r="E738" s="1289">
        <v>0</v>
      </c>
      <c r="F738" s="1289">
        <v>0</v>
      </c>
      <c r="G738" s="1289">
        <v>0</v>
      </c>
      <c r="H738" s="1289">
        <v>0</v>
      </c>
      <c r="I738" s="1289">
        <v>0</v>
      </c>
      <c r="J738" s="1289">
        <v>0</v>
      </c>
      <c r="K738" s="1278">
        <v>0</v>
      </c>
      <c r="L738" s="1289">
        <v>0</v>
      </c>
      <c r="M738" s="1278">
        <v>0</v>
      </c>
      <c r="N738" s="1289">
        <v>0</v>
      </c>
      <c r="O738" s="1289">
        <v>180</v>
      </c>
      <c r="P738" s="1289">
        <v>564977</v>
      </c>
      <c r="Q738" s="1289">
        <v>0</v>
      </c>
      <c r="R738" s="1289">
        <v>0</v>
      </c>
      <c r="S738" s="1289">
        <v>0</v>
      </c>
      <c r="T738" s="1289">
        <v>0</v>
      </c>
      <c r="U738" s="1289">
        <v>0</v>
      </c>
      <c r="V738" s="1289">
        <v>0</v>
      </c>
      <c r="W738" s="1328">
        <v>0</v>
      </c>
      <c r="X738" s="1289">
        <v>44251</v>
      </c>
      <c r="Y738" s="1289">
        <v>0</v>
      </c>
    </row>
    <row r="739" spans="1:25" s="1280" customFormat="1" ht="75.599999999999994">
      <c r="A739" s="1281">
        <v>36</v>
      </c>
      <c r="B739" s="1267" t="s">
        <v>2478</v>
      </c>
      <c r="C739" s="1268">
        <f t="shared" si="348"/>
        <v>1465413</v>
      </c>
      <c r="D739" s="1268">
        <f t="shared" si="349"/>
        <v>0</v>
      </c>
      <c r="E739" s="1289">
        <v>0</v>
      </c>
      <c r="F739" s="1289">
        <v>0</v>
      </c>
      <c r="G739" s="1289">
        <v>0</v>
      </c>
      <c r="H739" s="1289">
        <v>0</v>
      </c>
      <c r="I739" s="1289">
        <v>0</v>
      </c>
      <c r="J739" s="1289">
        <v>0</v>
      </c>
      <c r="K739" s="1278">
        <v>0</v>
      </c>
      <c r="L739" s="1289">
        <v>0</v>
      </c>
      <c r="M739" s="1278">
        <v>0</v>
      </c>
      <c r="N739" s="1289">
        <v>0</v>
      </c>
      <c r="O739" s="1289">
        <v>300</v>
      </c>
      <c r="P739" s="1289">
        <v>1358973</v>
      </c>
      <c r="Q739" s="1289">
        <v>0</v>
      </c>
      <c r="R739" s="1289">
        <v>0</v>
      </c>
      <c r="S739" s="1289">
        <v>0</v>
      </c>
      <c r="T739" s="1289">
        <v>0</v>
      </c>
      <c r="U739" s="1289">
        <v>0</v>
      </c>
      <c r="V739" s="1289">
        <v>0</v>
      </c>
      <c r="W739" s="1328">
        <v>0</v>
      </c>
      <c r="X739" s="1289">
        <v>106440</v>
      </c>
      <c r="Y739" s="1289">
        <v>0</v>
      </c>
    </row>
    <row r="740" spans="1:25" s="1280" customFormat="1">
      <c r="A740" s="1281">
        <v>37</v>
      </c>
      <c r="B740" s="1267" t="s">
        <v>1489</v>
      </c>
      <c r="C740" s="1268">
        <f t="shared" ref="C740:C744" si="350">D740+N740+P740+R740+T740+V740+X740</f>
        <v>1560301</v>
      </c>
      <c r="D740" s="1268">
        <f t="shared" ref="D740:D744" si="351">SUM(E740:J740)</f>
        <v>0</v>
      </c>
      <c r="E740" s="1289">
        <v>0</v>
      </c>
      <c r="F740" s="1289">
        <v>0</v>
      </c>
      <c r="G740" s="1289">
        <v>0</v>
      </c>
      <c r="H740" s="1289">
        <v>0</v>
      </c>
      <c r="I740" s="1289">
        <v>0</v>
      </c>
      <c r="J740" s="1289">
        <v>0</v>
      </c>
      <c r="K740" s="1278">
        <v>0</v>
      </c>
      <c r="L740" s="1289">
        <v>0</v>
      </c>
      <c r="M740" s="1278">
        <v>0</v>
      </c>
      <c r="N740" s="1289">
        <v>0</v>
      </c>
      <c r="O740" s="1289">
        <v>461</v>
      </c>
      <c r="P740" s="1289">
        <v>1446969</v>
      </c>
      <c r="Q740" s="1289">
        <v>0</v>
      </c>
      <c r="R740" s="1289">
        <v>0</v>
      </c>
      <c r="S740" s="1289">
        <v>0</v>
      </c>
      <c r="T740" s="1289">
        <v>0</v>
      </c>
      <c r="U740" s="1289">
        <v>0</v>
      </c>
      <c r="V740" s="1289">
        <v>0</v>
      </c>
      <c r="W740" s="1328">
        <v>0</v>
      </c>
      <c r="X740" s="1289">
        <v>113332</v>
      </c>
      <c r="Y740" s="1289">
        <v>0</v>
      </c>
    </row>
    <row r="741" spans="1:25" s="1280" customFormat="1" ht="75.599999999999994">
      <c r="A741" s="1281">
        <v>38</v>
      </c>
      <c r="B741" s="1267" t="s">
        <v>2479</v>
      </c>
      <c r="C741" s="1268">
        <f t="shared" si="350"/>
        <v>6113596</v>
      </c>
      <c r="D741" s="1268">
        <f t="shared" si="351"/>
        <v>0</v>
      </c>
      <c r="E741" s="1289">
        <v>0</v>
      </c>
      <c r="F741" s="1289">
        <v>0</v>
      </c>
      <c r="G741" s="1289">
        <v>0</v>
      </c>
      <c r="H741" s="1289">
        <v>0</v>
      </c>
      <c r="I741" s="1289">
        <v>0</v>
      </c>
      <c r="J741" s="1289">
        <v>0</v>
      </c>
      <c r="K741" s="1278">
        <v>0</v>
      </c>
      <c r="L741" s="1289">
        <v>0</v>
      </c>
      <c r="M741" s="1278">
        <v>0</v>
      </c>
      <c r="N741" s="1289">
        <v>0</v>
      </c>
      <c r="O741" s="1289">
        <v>2250</v>
      </c>
      <c r="P741" s="1289">
        <v>5669536</v>
      </c>
      <c r="Q741" s="1289">
        <v>0</v>
      </c>
      <c r="R741" s="1289">
        <v>0</v>
      </c>
      <c r="S741" s="1289">
        <v>0</v>
      </c>
      <c r="T741" s="1289">
        <v>0</v>
      </c>
      <c r="U741" s="1289">
        <v>0</v>
      </c>
      <c r="V741" s="1289">
        <v>0</v>
      </c>
      <c r="W741" s="1328">
        <v>0</v>
      </c>
      <c r="X741" s="1289">
        <v>444060</v>
      </c>
      <c r="Y741" s="1289">
        <v>0</v>
      </c>
    </row>
    <row r="742" spans="1:25" s="1280" customFormat="1" ht="85.2" customHeight="1">
      <c r="A742" s="1281">
        <v>39</v>
      </c>
      <c r="B742" s="1267" t="s">
        <v>2480</v>
      </c>
      <c r="C742" s="1268">
        <f t="shared" si="350"/>
        <v>2553309</v>
      </c>
      <c r="D742" s="1268">
        <f t="shared" si="351"/>
        <v>0</v>
      </c>
      <c r="E742" s="1289">
        <v>0</v>
      </c>
      <c r="F742" s="1289">
        <v>0</v>
      </c>
      <c r="G742" s="1289">
        <v>0</v>
      </c>
      <c r="H742" s="1289">
        <v>0</v>
      </c>
      <c r="I742" s="1289">
        <v>0</v>
      </c>
      <c r="J742" s="1289">
        <v>0</v>
      </c>
      <c r="K742" s="1278">
        <v>0</v>
      </c>
      <c r="L742" s="1289">
        <v>0</v>
      </c>
      <c r="M742" s="1278">
        <v>0</v>
      </c>
      <c r="N742" s="1289">
        <v>0</v>
      </c>
      <c r="O742" s="1289">
        <v>939.7</v>
      </c>
      <c r="P742" s="1289">
        <v>2367850</v>
      </c>
      <c r="Q742" s="1289">
        <v>0</v>
      </c>
      <c r="R742" s="1289">
        <v>0</v>
      </c>
      <c r="S742" s="1289">
        <v>0</v>
      </c>
      <c r="T742" s="1289">
        <v>0</v>
      </c>
      <c r="U742" s="1289">
        <v>0</v>
      </c>
      <c r="V742" s="1289">
        <v>0</v>
      </c>
      <c r="W742" s="1328">
        <v>0</v>
      </c>
      <c r="X742" s="1289">
        <v>185459</v>
      </c>
      <c r="Y742" s="1289">
        <v>0</v>
      </c>
    </row>
    <row r="743" spans="1:25" s="1280" customFormat="1" ht="87.6" customHeight="1">
      <c r="A743" s="1281">
        <v>40</v>
      </c>
      <c r="B743" s="1267" t="s">
        <v>2481</v>
      </c>
      <c r="C743" s="1268">
        <f t="shared" si="350"/>
        <v>172136</v>
      </c>
      <c r="D743" s="1268">
        <f t="shared" si="351"/>
        <v>159633</v>
      </c>
      <c r="E743" s="1289">
        <v>0</v>
      </c>
      <c r="F743" s="1289">
        <v>0</v>
      </c>
      <c r="G743" s="1289">
        <v>0</v>
      </c>
      <c r="H743" s="1289">
        <v>0</v>
      </c>
      <c r="I743" s="1289">
        <v>0</v>
      </c>
      <c r="J743" s="1289">
        <v>159633</v>
      </c>
      <c r="K743" s="1278">
        <v>0</v>
      </c>
      <c r="L743" s="1289">
        <v>0</v>
      </c>
      <c r="M743" s="1278">
        <v>0</v>
      </c>
      <c r="N743" s="1289">
        <v>0</v>
      </c>
      <c r="O743" s="1289">
        <v>0</v>
      </c>
      <c r="P743" s="1289">
        <v>0</v>
      </c>
      <c r="Q743" s="1289">
        <v>0</v>
      </c>
      <c r="R743" s="1289">
        <v>0</v>
      </c>
      <c r="S743" s="1289">
        <v>0</v>
      </c>
      <c r="T743" s="1289">
        <v>0</v>
      </c>
      <c r="U743" s="1289">
        <v>0</v>
      </c>
      <c r="V743" s="1289">
        <v>0</v>
      </c>
      <c r="W743" s="1328">
        <v>0</v>
      </c>
      <c r="X743" s="1289">
        <v>12503</v>
      </c>
      <c r="Y743" s="1289">
        <v>0</v>
      </c>
    </row>
    <row r="744" spans="1:25" s="1280" customFormat="1" ht="97.2" customHeight="1">
      <c r="A744" s="1281">
        <v>41</v>
      </c>
      <c r="B744" s="1267" t="s">
        <v>2483</v>
      </c>
      <c r="C744" s="1268">
        <f t="shared" si="350"/>
        <v>1715316</v>
      </c>
      <c r="D744" s="1268">
        <f t="shared" si="351"/>
        <v>0</v>
      </c>
      <c r="E744" s="1289">
        <v>0</v>
      </c>
      <c r="F744" s="1289">
        <v>0</v>
      </c>
      <c r="G744" s="1289">
        <v>0</v>
      </c>
      <c r="H744" s="1289">
        <v>0</v>
      </c>
      <c r="I744" s="1289">
        <v>0</v>
      </c>
      <c r="J744" s="1289">
        <v>0</v>
      </c>
      <c r="K744" s="1278">
        <v>0</v>
      </c>
      <c r="L744" s="1289">
        <v>0</v>
      </c>
      <c r="M744" s="1278">
        <v>0</v>
      </c>
      <c r="N744" s="1289">
        <v>0</v>
      </c>
      <c r="O744" s="1289">
        <v>506.8</v>
      </c>
      <c r="P744" s="1289">
        <v>1590724</v>
      </c>
      <c r="Q744" s="1289">
        <v>0</v>
      </c>
      <c r="R744" s="1289">
        <v>0</v>
      </c>
      <c r="S744" s="1289">
        <v>0</v>
      </c>
      <c r="T744" s="1289">
        <v>0</v>
      </c>
      <c r="U744" s="1289">
        <v>0</v>
      </c>
      <c r="V744" s="1289">
        <v>0</v>
      </c>
      <c r="W744" s="1328">
        <v>0</v>
      </c>
      <c r="X744" s="1289">
        <v>124592</v>
      </c>
      <c r="Y744" s="1289">
        <v>0</v>
      </c>
    </row>
    <row r="745" spans="1:25" s="1299" customFormat="1" ht="75.599999999999994">
      <c r="A745" s="1281"/>
      <c r="B745" s="1277" t="s">
        <v>2482</v>
      </c>
      <c r="C745" s="1268">
        <f>SUM(C746:C758)</f>
        <v>27018448</v>
      </c>
      <c r="D745" s="1268">
        <f t="shared" ref="D745:Y745" si="352">SUM(D746:D758)</f>
        <v>11297528</v>
      </c>
      <c r="E745" s="1268">
        <f t="shared" si="352"/>
        <v>0</v>
      </c>
      <c r="F745" s="1268">
        <f t="shared" si="352"/>
        <v>11050878</v>
      </c>
      <c r="G745" s="1268">
        <f t="shared" si="352"/>
        <v>0</v>
      </c>
      <c r="H745" s="1268">
        <f t="shared" si="352"/>
        <v>246650</v>
      </c>
      <c r="I745" s="1268">
        <f t="shared" si="352"/>
        <v>0</v>
      </c>
      <c r="J745" s="1268">
        <f t="shared" si="352"/>
        <v>0</v>
      </c>
      <c r="K745" s="1278">
        <f t="shared" si="352"/>
        <v>0</v>
      </c>
      <c r="L745" s="1268">
        <f t="shared" si="352"/>
        <v>0</v>
      </c>
      <c r="M745" s="1278">
        <f t="shared" si="352"/>
        <v>0</v>
      </c>
      <c r="N745" s="1268">
        <f t="shared" si="352"/>
        <v>0</v>
      </c>
      <c r="O745" s="1268">
        <f t="shared" si="352"/>
        <v>4755.8500000000004</v>
      </c>
      <c r="P745" s="1268">
        <f t="shared" si="352"/>
        <v>13702964</v>
      </c>
      <c r="Q745" s="1268">
        <f t="shared" si="352"/>
        <v>0</v>
      </c>
      <c r="R745" s="1268">
        <f t="shared" si="352"/>
        <v>0</v>
      </c>
      <c r="S745" s="1268">
        <f t="shared" si="352"/>
        <v>0</v>
      </c>
      <c r="T745" s="1268">
        <f t="shared" si="352"/>
        <v>0</v>
      </c>
      <c r="U745" s="1268">
        <f t="shared" si="352"/>
        <v>0</v>
      </c>
      <c r="V745" s="1268">
        <f t="shared" si="352"/>
        <v>0</v>
      </c>
      <c r="W745" s="1328">
        <v>0</v>
      </c>
      <c r="X745" s="1268">
        <f t="shared" si="352"/>
        <v>2017956</v>
      </c>
      <c r="Y745" s="1268">
        <f t="shared" si="352"/>
        <v>0</v>
      </c>
    </row>
    <row r="746" spans="1:25" s="1299" customFormat="1" ht="50.4" customHeight="1">
      <c r="A746" s="1281">
        <v>42</v>
      </c>
      <c r="B746" s="1267" t="s">
        <v>1428</v>
      </c>
      <c r="C746" s="1268">
        <f>D746+N746+P746+R746+T746+V746+X746</f>
        <v>265969</v>
      </c>
      <c r="D746" s="1268">
        <f>SUM(E746:J746)</f>
        <v>246650</v>
      </c>
      <c r="E746" s="1268">
        <v>0</v>
      </c>
      <c r="F746" s="1268">
        <v>0</v>
      </c>
      <c r="G746" s="1268">
        <v>0</v>
      </c>
      <c r="H746" s="1268">
        <v>246650</v>
      </c>
      <c r="I746" s="1268">
        <v>0</v>
      </c>
      <c r="J746" s="1268">
        <v>0</v>
      </c>
      <c r="K746" s="1278">
        <v>0</v>
      </c>
      <c r="L746" s="1268">
        <v>0</v>
      </c>
      <c r="M746" s="1278">
        <v>0</v>
      </c>
      <c r="N746" s="1268">
        <v>0</v>
      </c>
      <c r="O746" s="1268">
        <v>0</v>
      </c>
      <c r="P746" s="1268">
        <v>0</v>
      </c>
      <c r="Q746" s="1268">
        <v>0</v>
      </c>
      <c r="R746" s="1268">
        <v>0</v>
      </c>
      <c r="S746" s="1268">
        <v>0</v>
      </c>
      <c r="T746" s="1268">
        <v>0</v>
      </c>
      <c r="U746" s="1268">
        <v>0</v>
      </c>
      <c r="V746" s="1268">
        <v>0</v>
      </c>
      <c r="W746" s="1328">
        <v>0</v>
      </c>
      <c r="X746" s="1268">
        <v>19319</v>
      </c>
      <c r="Y746" s="1268">
        <v>0</v>
      </c>
    </row>
    <row r="747" spans="1:25" s="1299" customFormat="1" ht="54" customHeight="1">
      <c r="A747" s="1281">
        <v>43</v>
      </c>
      <c r="B747" s="1267" t="s">
        <v>1920</v>
      </c>
      <c r="C747" s="1268">
        <f t="shared" ref="C747:C757" si="353">D747+N747+P747+R747+T747+V747+X747</f>
        <v>11916426</v>
      </c>
      <c r="D747" s="1268">
        <f t="shared" ref="D747:D757" si="354">SUM(E747:J747)</f>
        <v>11050878</v>
      </c>
      <c r="E747" s="1268">
        <v>0</v>
      </c>
      <c r="F747" s="1268">
        <v>11050878</v>
      </c>
      <c r="G747" s="1268">
        <v>0</v>
      </c>
      <c r="H747" s="1268">
        <v>0</v>
      </c>
      <c r="I747" s="1268">
        <v>0</v>
      </c>
      <c r="J747" s="1268">
        <v>0</v>
      </c>
      <c r="K747" s="1278">
        <v>0</v>
      </c>
      <c r="L747" s="1268">
        <v>0</v>
      </c>
      <c r="M747" s="1278">
        <v>0</v>
      </c>
      <c r="N747" s="1268">
        <v>0</v>
      </c>
      <c r="O747" s="1268">
        <v>0</v>
      </c>
      <c r="P747" s="1268">
        <v>0</v>
      </c>
      <c r="Q747" s="1268">
        <v>0</v>
      </c>
      <c r="R747" s="1268">
        <v>0</v>
      </c>
      <c r="S747" s="1268">
        <v>0</v>
      </c>
      <c r="T747" s="1268">
        <v>0</v>
      </c>
      <c r="U747" s="1268">
        <v>0</v>
      </c>
      <c r="V747" s="1268">
        <v>0</v>
      </c>
      <c r="W747" s="1328">
        <v>0</v>
      </c>
      <c r="X747" s="1268">
        <v>865548</v>
      </c>
      <c r="Y747" s="1268">
        <v>0</v>
      </c>
    </row>
    <row r="748" spans="1:25" s="1299" customFormat="1" ht="55.8" customHeight="1">
      <c r="A748" s="1281">
        <v>44</v>
      </c>
      <c r="B748" s="1267" t="s">
        <v>1921</v>
      </c>
      <c r="C748" s="1268">
        <f t="shared" si="353"/>
        <v>566752</v>
      </c>
      <c r="D748" s="1268">
        <f t="shared" si="354"/>
        <v>0</v>
      </c>
      <c r="E748" s="1268">
        <v>0</v>
      </c>
      <c r="F748" s="1268">
        <v>0</v>
      </c>
      <c r="G748" s="1268">
        <v>0</v>
      </c>
      <c r="H748" s="1268">
        <v>0</v>
      </c>
      <c r="I748" s="1268">
        <v>0</v>
      </c>
      <c r="J748" s="1268">
        <v>0</v>
      </c>
      <c r="K748" s="1278">
        <v>0</v>
      </c>
      <c r="L748" s="1268">
        <v>0</v>
      </c>
      <c r="M748" s="1278">
        <v>0</v>
      </c>
      <c r="N748" s="1268">
        <v>0</v>
      </c>
      <c r="O748" s="1268">
        <v>167.45</v>
      </c>
      <c r="P748" s="1268">
        <v>525586</v>
      </c>
      <c r="Q748" s="1268">
        <v>0</v>
      </c>
      <c r="R748" s="1268">
        <v>0</v>
      </c>
      <c r="S748" s="1268">
        <v>0</v>
      </c>
      <c r="T748" s="1268">
        <v>0</v>
      </c>
      <c r="U748" s="1268">
        <v>0</v>
      </c>
      <c r="V748" s="1268">
        <v>0</v>
      </c>
      <c r="W748" s="1328">
        <v>0</v>
      </c>
      <c r="X748" s="1268">
        <v>41166</v>
      </c>
      <c r="Y748" s="1268">
        <v>0</v>
      </c>
    </row>
    <row r="749" spans="1:25" s="1299" customFormat="1" ht="43.8" customHeight="1">
      <c r="A749" s="1281">
        <v>45</v>
      </c>
      <c r="B749" s="1267" t="s">
        <v>1922</v>
      </c>
      <c r="C749" s="1268">
        <f t="shared" si="353"/>
        <v>1415102</v>
      </c>
      <c r="D749" s="1268">
        <f t="shared" si="354"/>
        <v>0</v>
      </c>
      <c r="E749" s="1268">
        <v>0</v>
      </c>
      <c r="F749" s="1268">
        <v>0</v>
      </c>
      <c r="G749" s="1268">
        <v>0</v>
      </c>
      <c r="H749" s="1268">
        <v>0</v>
      </c>
      <c r="I749" s="1268">
        <v>0</v>
      </c>
      <c r="J749" s="1268">
        <v>0</v>
      </c>
      <c r="K749" s="1278">
        <v>0</v>
      </c>
      <c r="L749" s="1268">
        <v>0</v>
      </c>
      <c r="M749" s="1278">
        <v>0</v>
      </c>
      <c r="N749" s="1268">
        <v>0</v>
      </c>
      <c r="O749" s="1268">
        <v>418.1</v>
      </c>
      <c r="P749" s="1268">
        <v>1312316</v>
      </c>
      <c r="Q749" s="1268">
        <v>0</v>
      </c>
      <c r="R749" s="1268">
        <v>0</v>
      </c>
      <c r="S749" s="1268">
        <v>0</v>
      </c>
      <c r="T749" s="1268">
        <v>0</v>
      </c>
      <c r="U749" s="1268">
        <v>0</v>
      </c>
      <c r="V749" s="1268">
        <v>0</v>
      </c>
      <c r="W749" s="1328">
        <v>0</v>
      </c>
      <c r="X749" s="1268">
        <v>102786</v>
      </c>
      <c r="Y749" s="1268">
        <v>0</v>
      </c>
    </row>
    <row r="750" spans="1:25" s="1299" customFormat="1" ht="48" customHeight="1">
      <c r="A750" s="1281">
        <v>46</v>
      </c>
      <c r="B750" s="1267" t="s">
        <v>1434</v>
      </c>
      <c r="C750" s="1268">
        <f t="shared" si="353"/>
        <v>2391096</v>
      </c>
      <c r="D750" s="1268">
        <f t="shared" si="354"/>
        <v>0</v>
      </c>
      <c r="E750" s="1268">
        <v>0</v>
      </c>
      <c r="F750" s="1268">
        <v>0</v>
      </c>
      <c r="G750" s="1268">
        <v>0</v>
      </c>
      <c r="H750" s="1268">
        <v>0</v>
      </c>
      <c r="I750" s="1268">
        <v>0</v>
      </c>
      <c r="J750" s="1268">
        <v>0</v>
      </c>
      <c r="K750" s="1278">
        <v>0</v>
      </c>
      <c r="L750" s="1268">
        <v>0</v>
      </c>
      <c r="M750" s="1278">
        <v>0</v>
      </c>
      <c r="N750" s="1268">
        <v>0</v>
      </c>
      <c r="O750" s="1268">
        <v>880</v>
      </c>
      <c r="P750" s="1268">
        <v>2217419</v>
      </c>
      <c r="Q750" s="1268">
        <v>0</v>
      </c>
      <c r="R750" s="1268">
        <v>0</v>
      </c>
      <c r="S750" s="1268">
        <v>0</v>
      </c>
      <c r="T750" s="1268">
        <v>0</v>
      </c>
      <c r="U750" s="1268">
        <v>0</v>
      </c>
      <c r="V750" s="1268">
        <v>0</v>
      </c>
      <c r="W750" s="1328">
        <v>0</v>
      </c>
      <c r="X750" s="1268">
        <v>173677</v>
      </c>
      <c r="Y750" s="1268">
        <v>0</v>
      </c>
    </row>
    <row r="751" spans="1:25" s="1299" customFormat="1" ht="81.599999999999994" customHeight="1">
      <c r="A751" s="1281">
        <v>47</v>
      </c>
      <c r="B751" s="1267" t="s">
        <v>1435</v>
      </c>
      <c r="C751" s="1268">
        <f t="shared" si="353"/>
        <v>59818</v>
      </c>
      <c r="D751" s="1268">
        <f t="shared" si="354"/>
        <v>0</v>
      </c>
      <c r="E751" s="1268">
        <v>0</v>
      </c>
      <c r="F751" s="1268">
        <v>0</v>
      </c>
      <c r="G751" s="1268">
        <v>0</v>
      </c>
      <c r="H751" s="1268">
        <v>0</v>
      </c>
      <c r="I751" s="1268">
        <v>0</v>
      </c>
      <c r="J751" s="1268">
        <v>0</v>
      </c>
      <c r="K751" s="1278">
        <v>0</v>
      </c>
      <c r="L751" s="1268">
        <v>0</v>
      </c>
      <c r="M751" s="1278">
        <v>0</v>
      </c>
      <c r="N751" s="1268">
        <v>0</v>
      </c>
      <c r="O751" s="1268">
        <v>0</v>
      </c>
      <c r="P751" s="1268">
        <v>0</v>
      </c>
      <c r="Q751" s="1268">
        <v>0</v>
      </c>
      <c r="R751" s="1268">
        <v>0</v>
      </c>
      <c r="S751" s="1268">
        <v>0</v>
      </c>
      <c r="T751" s="1268">
        <v>0</v>
      </c>
      <c r="U751" s="1268">
        <v>0</v>
      </c>
      <c r="V751" s="1268">
        <v>0</v>
      </c>
      <c r="W751" s="1328">
        <v>0</v>
      </c>
      <c r="X751" s="1268">
        <v>59818</v>
      </c>
      <c r="Y751" s="1268">
        <v>0</v>
      </c>
    </row>
    <row r="752" spans="1:25" s="1299" customFormat="1" ht="46.2" customHeight="1">
      <c r="A752" s="1281">
        <v>48</v>
      </c>
      <c r="B752" s="1267" t="s">
        <v>1436</v>
      </c>
      <c r="C752" s="1268">
        <f t="shared" si="353"/>
        <v>2495129</v>
      </c>
      <c r="D752" s="1268">
        <f t="shared" si="354"/>
        <v>0</v>
      </c>
      <c r="E752" s="1268">
        <v>0</v>
      </c>
      <c r="F752" s="1268">
        <v>0</v>
      </c>
      <c r="G752" s="1268">
        <v>0</v>
      </c>
      <c r="H752" s="1268">
        <v>0</v>
      </c>
      <c r="I752" s="1268">
        <v>0</v>
      </c>
      <c r="J752" s="1268">
        <v>0</v>
      </c>
      <c r="K752" s="1278">
        <v>0</v>
      </c>
      <c r="L752" s="1268">
        <v>0</v>
      </c>
      <c r="M752" s="1278">
        <v>0</v>
      </c>
      <c r="N752" s="1268">
        <v>0</v>
      </c>
      <c r="O752" s="1268">
        <v>737.2</v>
      </c>
      <c r="P752" s="1268">
        <v>2313896</v>
      </c>
      <c r="Q752" s="1268">
        <v>0</v>
      </c>
      <c r="R752" s="1268">
        <v>0</v>
      </c>
      <c r="S752" s="1268">
        <v>0</v>
      </c>
      <c r="T752" s="1268">
        <v>0</v>
      </c>
      <c r="U752" s="1268">
        <v>0</v>
      </c>
      <c r="V752" s="1268">
        <v>0</v>
      </c>
      <c r="W752" s="1328">
        <v>0</v>
      </c>
      <c r="X752" s="1268">
        <v>181233</v>
      </c>
      <c r="Y752" s="1268">
        <v>0</v>
      </c>
    </row>
    <row r="753" spans="1:25" s="1299" customFormat="1" ht="81.599999999999994" customHeight="1">
      <c r="A753" s="1281">
        <v>49</v>
      </c>
      <c r="B753" s="1267" t="s">
        <v>1437</v>
      </c>
      <c r="C753" s="1268">
        <f t="shared" si="353"/>
        <v>862736</v>
      </c>
      <c r="D753" s="1268">
        <f t="shared" si="354"/>
        <v>0</v>
      </c>
      <c r="E753" s="1268">
        <v>0</v>
      </c>
      <c r="F753" s="1268">
        <v>0</v>
      </c>
      <c r="G753" s="1268">
        <v>0</v>
      </c>
      <c r="H753" s="1268">
        <v>0</v>
      </c>
      <c r="I753" s="1268">
        <v>0</v>
      </c>
      <c r="J753" s="1268">
        <v>0</v>
      </c>
      <c r="K753" s="1278">
        <v>0</v>
      </c>
      <c r="L753" s="1268">
        <v>0</v>
      </c>
      <c r="M753" s="1278">
        <v>0</v>
      </c>
      <c r="N753" s="1268">
        <v>0</v>
      </c>
      <c r="O753" s="1268">
        <v>386.3</v>
      </c>
      <c r="P753" s="1268">
        <v>800071</v>
      </c>
      <c r="Q753" s="1268">
        <v>0</v>
      </c>
      <c r="R753" s="1268">
        <v>0</v>
      </c>
      <c r="S753" s="1268">
        <v>0</v>
      </c>
      <c r="T753" s="1268">
        <v>0</v>
      </c>
      <c r="U753" s="1268">
        <v>0</v>
      </c>
      <c r="V753" s="1268">
        <v>0</v>
      </c>
      <c r="W753" s="1328">
        <v>0</v>
      </c>
      <c r="X753" s="1268">
        <v>62665</v>
      </c>
      <c r="Y753" s="1268">
        <v>0</v>
      </c>
    </row>
    <row r="754" spans="1:25" s="1280" customFormat="1" ht="42.6" customHeight="1">
      <c r="A754" s="1281">
        <v>50</v>
      </c>
      <c r="B754" s="1267" t="s">
        <v>1430</v>
      </c>
      <c r="C754" s="1268">
        <f t="shared" si="353"/>
        <v>1604978</v>
      </c>
      <c r="D754" s="1268">
        <f t="shared" si="354"/>
        <v>0</v>
      </c>
      <c r="E754" s="1268">
        <v>0</v>
      </c>
      <c r="F754" s="1268">
        <v>0</v>
      </c>
      <c r="G754" s="1268">
        <v>0</v>
      </c>
      <c r="H754" s="1268">
        <v>0</v>
      </c>
      <c r="I754" s="1268">
        <v>0</v>
      </c>
      <c r="J754" s="1268">
        <v>0</v>
      </c>
      <c r="K754" s="1278">
        <v>0</v>
      </c>
      <c r="L754" s="1268">
        <v>0</v>
      </c>
      <c r="M754" s="1278">
        <v>0</v>
      </c>
      <c r="N754" s="1268">
        <v>0</v>
      </c>
      <c r="O754" s="1268">
        <v>474.2</v>
      </c>
      <c r="P754" s="1268">
        <v>1488401</v>
      </c>
      <c r="Q754" s="1268">
        <v>0</v>
      </c>
      <c r="R754" s="1268">
        <v>0</v>
      </c>
      <c r="S754" s="1268">
        <v>0</v>
      </c>
      <c r="T754" s="1268">
        <v>0</v>
      </c>
      <c r="U754" s="1268">
        <v>0</v>
      </c>
      <c r="V754" s="1268">
        <v>0</v>
      </c>
      <c r="W754" s="1328">
        <v>0</v>
      </c>
      <c r="X754" s="1268">
        <v>116577</v>
      </c>
      <c r="Y754" s="1268">
        <v>0</v>
      </c>
    </row>
    <row r="755" spans="1:25" s="1280" customFormat="1" ht="42.6" customHeight="1">
      <c r="A755" s="1281">
        <v>51</v>
      </c>
      <c r="B755" s="1267" t="s">
        <v>1431</v>
      </c>
      <c r="C755" s="1268">
        <f t="shared" si="353"/>
        <v>1167688</v>
      </c>
      <c r="D755" s="1268">
        <f t="shared" si="354"/>
        <v>0</v>
      </c>
      <c r="E755" s="1268">
        <v>0</v>
      </c>
      <c r="F755" s="1268">
        <v>0</v>
      </c>
      <c r="G755" s="1268">
        <v>0</v>
      </c>
      <c r="H755" s="1268">
        <v>0</v>
      </c>
      <c r="I755" s="1268">
        <v>0</v>
      </c>
      <c r="J755" s="1268">
        <v>0</v>
      </c>
      <c r="K755" s="1278">
        <v>0</v>
      </c>
      <c r="L755" s="1268">
        <v>0</v>
      </c>
      <c r="M755" s="1278">
        <v>0</v>
      </c>
      <c r="N755" s="1268">
        <v>0</v>
      </c>
      <c r="O755" s="1268">
        <v>345</v>
      </c>
      <c r="P755" s="1268">
        <v>1082873</v>
      </c>
      <c r="Q755" s="1268">
        <v>0</v>
      </c>
      <c r="R755" s="1268">
        <v>0</v>
      </c>
      <c r="S755" s="1268">
        <v>0</v>
      </c>
      <c r="T755" s="1268">
        <v>0</v>
      </c>
      <c r="U755" s="1268">
        <v>0</v>
      </c>
      <c r="V755" s="1268">
        <v>0</v>
      </c>
      <c r="W755" s="1328">
        <v>0</v>
      </c>
      <c r="X755" s="1268">
        <v>84815</v>
      </c>
      <c r="Y755" s="1268">
        <v>0</v>
      </c>
    </row>
    <row r="756" spans="1:25" s="1280" customFormat="1">
      <c r="A756" s="1281">
        <v>52</v>
      </c>
      <c r="B756" s="1267" t="s">
        <v>1432</v>
      </c>
      <c r="C756" s="1268">
        <f t="shared" si="353"/>
        <v>1235380</v>
      </c>
      <c r="D756" s="1268">
        <f t="shared" si="354"/>
        <v>0</v>
      </c>
      <c r="E756" s="1268">
        <v>0</v>
      </c>
      <c r="F756" s="1268">
        <v>0</v>
      </c>
      <c r="G756" s="1268">
        <v>0</v>
      </c>
      <c r="H756" s="1268">
        <v>0</v>
      </c>
      <c r="I756" s="1268">
        <v>0</v>
      </c>
      <c r="J756" s="1268">
        <v>0</v>
      </c>
      <c r="K756" s="1278">
        <v>0</v>
      </c>
      <c r="L756" s="1268">
        <v>0</v>
      </c>
      <c r="M756" s="1278">
        <v>0</v>
      </c>
      <c r="N756" s="1268">
        <v>0</v>
      </c>
      <c r="O756" s="1268">
        <v>365</v>
      </c>
      <c r="P756" s="1268">
        <v>1145648</v>
      </c>
      <c r="Q756" s="1268">
        <v>0</v>
      </c>
      <c r="R756" s="1268">
        <v>0</v>
      </c>
      <c r="S756" s="1268">
        <v>0</v>
      </c>
      <c r="T756" s="1268">
        <v>0</v>
      </c>
      <c r="U756" s="1268">
        <v>0</v>
      </c>
      <c r="V756" s="1268">
        <v>0</v>
      </c>
      <c r="W756" s="1328">
        <v>0</v>
      </c>
      <c r="X756" s="1268">
        <v>89732</v>
      </c>
      <c r="Y756" s="1268">
        <v>0</v>
      </c>
    </row>
    <row r="757" spans="1:25" s="1280" customFormat="1">
      <c r="A757" s="1281">
        <v>53</v>
      </c>
      <c r="B757" s="1267" t="s">
        <v>1433</v>
      </c>
      <c r="C757" s="1268">
        <f t="shared" si="353"/>
        <v>1863563</v>
      </c>
      <c r="D757" s="1268">
        <f t="shared" si="354"/>
        <v>0</v>
      </c>
      <c r="E757" s="1268">
        <v>0</v>
      </c>
      <c r="F757" s="1268">
        <v>0</v>
      </c>
      <c r="G757" s="1268">
        <v>0</v>
      </c>
      <c r="H757" s="1268">
        <v>0</v>
      </c>
      <c r="I757" s="1268">
        <v>0</v>
      </c>
      <c r="J757" s="1268">
        <v>0</v>
      </c>
      <c r="K757" s="1278">
        <v>0</v>
      </c>
      <c r="L757" s="1268">
        <v>0</v>
      </c>
      <c r="M757" s="1278">
        <v>0</v>
      </c>
      <c r="N757" s="1268">
        <v>0</v>
      </c>
      <c r="O757" s="1268">
        <v>550.6</v>
      </c>
      <c r="P757" s="1268">
        <v>1728203</v>
      </c>
      <c r="Q757" s="1268">
        <v>0</v>
      </c>
      <c r="R757" s="1268">
        <v>0</v>
      </c>
      <c r="S757" s="1268">
        <v>0</v>
      </c>
      <c r="T757" s="1268">
        <v>0</v>
      </c>
      <c r="U757" s="1268">
        <v>0</v>
      </c>
      <c r="V757" s="1268">
        <v>0</v>
      </c>
      <c r="W757" s="1328">
        <v>0</v>
      </c>
      <c r="X757" s="1268">
        <v>135360</v>
      </c>
      <c r="Y757" s="1268">
        <v>0</v>
      </c>
    </row>
    <row r="758" spans="1:25" s="1280" customFormat="1" ht="49.2" customHeight="1">
      <c r="A758" s="1281">
        <v>54</v>
      </c>
      <c r="B758" s="1267" t="s">
        <v>1872</v>
      </c>
      <c r="C758" s="1268">
        <f>D758+N758+P758+R758+T758+V758+X758</f>
        <v>1173811</v>
      </c>
      <c r="D758" s="1268">
        <f>SUM(E758:J758)</f>
        <v>0</v>
      </c>
      <c r="E758" s="1268">
        <v>0</v>
      </c>
      <c r="F758" s="1268">
        <v>0</v>
      </c>
      <c r="G758" s="1268">
        <v>0</v>
      </c>
      <c r="H758" s="1268">
        <v>0</v>
      </c>
      <c r="I758" s="1268">
        <v>0</v>
      </c>
      <c r="J758" s="1268">
        <v>0</v>
      </c>
      <c r="K758" s="1278">
        <v>0</v>
      </c>
      <c r="L758" s="1268">
        <v>0</v>
      </c>
      <c r="M758" s="1278">
        <v>0</v>
      </c>
      <c r="N758" s="1268">
        <v>0</v>
      </c>
      <c r="O758" s="1268">
        <v>432</v>
      </c>
      <c r="P758" s="1268">
        <v>1088551</v>
      </c>
      <c r="Q758" s="1268">
        <v>0</v>
      </c>
      <c r="R758" s="1268">
        <v>0</v>
      </c>
      <c r="S758" s="1268">
        <v>0</v>
      </c>
      <c r="T758" s="1268">
        <v>0</v>
      </c>
      <c r="U758" s="1268">
        <v>0</v>
      </c>
      <c r="V758" s="1268">
        <v>0</v>
      </c>
      <c r="W758" s="1328">
        <v>0</v>
      </c>
      <c r="X758" s="1268">
        <v>85260</v>
      </c>
      <c r="Y758" s="1268">
        <v>0</v>
      </c>
    </row>
    <row r="759" spans="1:25" s="1299" customFormat="1" ht="75.599999999999994">
      <c r="A759" s="1281"/>
      <c r="B759" s="1267" t="s">
        <v>1163</v>
      </c>
      <c r="C759" s="1268">
        <f>C760+C761+C762</f>
        <v>11450500</v>
      </c>
      <c r="D759" s="1268">
        <f t="shared" ref="D759:Y759" si="355">D760+D761+D762</f>
        <v>10342156</v>
      </c>
      <c r="E759" s="1268">
        <f t="shared" si="355"/>
        <v>0</v>
      </c>
      <c r="F759" s="1268">
        <f t="shared" si="355"/>
        <v>10342156</v>
      </c>
      <c r="G759" s="1268">
        <f t="shared" si="355"/>
        <v>0</v>
      </c>
      <c r="H759" s="1268">
        <f t="shared" si="355"/>
        <v>0</v>
      </c>
      <c r="I759" s="1268">
        <f t="shared" si="355"/>
        <v>0</v>
      </c>
      <c r="J759" s="1268">
        <f t="shared" si="355"/>
        <v>0</v>
      </c>
      <c r="K759" s="1278">
        <v>0</v>
      </c>
      <c r="L759" s="1268">
        <v>0</v>
      </c>
      <c r="M759" s="1278">
        <v>0</v>
      </c>
      <c r="N759" s="1268">
        <f t="shared" si="355"/>
        <v>0</v>
      </c>
      <c r="O759" s="1268">
        <f t="shared" si="355"/>
        <v>0</v>
      </c>
      <c r="P759" s="1268">
        <f t="shared" si="355"/>
        <v>0</v>
      </c>
      <c r="Q759" s="1268">
        <f t="shared" si="355"/>
        <v>0</v>
      </c>
      <c r="R759" s="1268">
        <f t="shared" si="355"/>
        <v>0</v>
      </c>
      <c r="S759" s="1268">
        <f t="shared" si="355"/>
        <v>0</v>
      </c>
      <c r="T759" s="1268">
        <f t="shared" si="355"/>
        <v>0</v>
      </c>
      <c r="U759" s="1268">
        <f t="shared" si="355"/>
        <v>0</v>
      </c>
      <c r="V759" s="1268">
        <f t="shared" si="355"/>
        <v>0</v>
      </c>
      <c r="W759" s="1328">
        <v>0</v>
      </c>
      <c r="X759" s="1268">
        <f t="shared" si="355"/>
        <v>831705</v>
      </c>
      <c r="Y759" s="1268">
        <f t="shared" si="355"/>
        <v>0</v>
      </c>
    </row>
    <row r="760" spans="1:25" s="1299" customFormat="1">
      <c r="A760" s="1281">
        <v>55</v>
      </c>
      <c r="B760" s="1277" t="s">
        <v>1525</v>
      </c>
      <c r="C760" s="1268">
        <f>D760+N760+P760+R760+T760+V760+X760+L760</f>
        <v>3746481</v>
      </c>
      <c r="D760" s="1268">
        <f>SUM(E760:J760)</f>
        <v>3197717</v>
      </c>
      <c r="E760" s="1268">
        <v>0</v>
      </c>
      <c r="F760" s="1268">
        <v>3197717</v>
      </c>
      <c r="G760" s="1268">
        <v>0</v>
      </c>
      <c r="H760" s="1268">
        <v>0</v>
      </c>
      <c r="I760" s="1268">
        <v>0</v>
      </c>
      <c r="J760" s="1268">
        <v>0</v>
      </c>
      <c r="K760" s="1278">
        <v>1</v>
      </c>
      <c r="L760" s="1268">
        <v>276639</v>
      </c>
      <c r="M760" s="1278">
        <v>0</v>
      </c>
      <c r="N760" s="1268">
        <v>0</v>
      </c>
      <c r="O760" s="1268">
        <v>0</v>
      </c>
      <c r="P760" s="1268">
        <v>0</v>
      </c>
      <c r="Q760" s="1268">
        <v>0</v>
      </c>
      <c r="R760" s="1268">
        <v>0</v>
      </c>
      <c r="S760" s="1268">
        <v>0</v>
      </c>
      <c r="T760" s="1268">
        <v>0</v>
      </c>
      <c r="U760" s="1268">
        <v>0</v>
      </c>
      <c r="V760" s="1268">
        <v>0</v>
      </c>
      <c r="W760" s="1328">
        <v>0</v>
      </c>
      <c r="X760" s="1268">
        <f>21667+250458</f>
        <v>272125</v>
      </c>
      <c r="Y760" s="1268">
        <v>0</v>
      </c>
    </row>
    <row r="761" spans="1:25" s="1299" customFormat="1">
      <c r="A761" s="1281">
        <v>56</v>
      </c>
      <c r="B761" s="1277" t="s">
        <v>1526</v>
      </c>
      <c r="C761" s="1268">
        <f>D761+N761+P761+R761+T761+V761+X761</f>
        <v>3892752</v>
      </c>
      <c r="D761" s="1268">
        <f>SUM(E761:J761)</f>
        <v>3610003</v>
      </c>
      <c r="E761" s="1268">
        <v>0</v>
      </c>
      <c r="F761" s="1268">
        <v>3610003</v>
      </c>
      <c r="G761" s="1268">
        <v>0</v>
      </c>
      <c r="H761" s="1268">
        <v>0</v>
      </c>
      <c r="I761" s="1268">
        <v>0</v>
      </c>
      <c r="J761" s="1268">
        <v>0</v>
      </c>
      <c r="K761" s="1278">
        <v>0</v>
      </c>
      <c r="L761" s="1268">
        <v>0</v>
      </c>
      <c r="M761" s="1278">
        <v>0</v>
      </c>
      <c r="N761" s="1268">
        <v>0</v>
      </c>
      <c r="O761" s="1268">
        <v>0</v>
      </c>
      <c r="P761" s="1268">
        <v>0</v>
      </c>
      <c r="Q761" s="1268">
        <v>0</v>
      </c>
      <c r="R761" s="1268">
        <v>0</v>
      </c>
      <c r="S761" s="1268">
        <v>0</v>
      </c>
      <c r="T761" s="1268">
        <v>0</v>
      </c>
      <c r="U761" s="1268">
        <v>0</v>
      </c>
      <c r="V761" s="1268">
        <v>0</v>
      </c>
      <c r="W761" s="1328">
        <v>0</v>
      </c>
      <c r="X761" s="1268">
        <v>282749</v>
      </c>
      <c r="Y761" s="1268">
        <v>0</v>
      </c>
    </row>
    <row r="762" spans="1:25" s="1299" customFormat="1">
      <c r="A762" s="1281">
        <v>57</v>
      </c>
      <c r="B762" s="1277" t="s">
        <v>1527</v>
      </c>
      <c r="C762" s="1268">
        <f>D762+N762+P762+R762+T762+V762+X762</f>
        <v>3811267</v>
      </c>
      <c r="D762" s="1268">
        <f>SUM(E762:J762)</f>
        <v>3534436</v>
      </c>
      <c r="E762" s="1268">
        <v>0</v>
      </c>
      <c r="F762" s="1268">
        <v>3534436</v>
      </c>
      <c r="G762" s="1268">
        <v>0</v>
      </c>
      <c r="H762" s="1268">
        <v>0</v>
      </c>
      <c r="I762" s="1268">
        <v>0</v>
      </c>
      <c r="J762" s="1268">
        <v>0</v>
      </c>
      <c r="K762" s="1278">
        <v>0</v>
      </c>
      <c r="L762" s="1268">
        <v>0</v>
      </c>
      <c r="M762" s="1278">
        <v>0</v>
      </c>
      <c r="N762" s="1268">
        <v>0</v>
      </c>
      <c r="O762" s="1268">
        <v>0</v>
      </c>
      <c r="P762" s="1268">
        <v>0</v>
      </c>
      <c r="Q762" s="1268">
        <v>0</v>
      </c>
      <c r="R762" s="1268">
        <v>0</v>
      </c>
      <c r="S762" s="1268">
        <v>0</v>
      </c>
      <c r="T762" s="1268">
        <v>0</v>
      </c>
      <c r="U762" s="1268">
        <v>0</v>
      </c>
      <c r="V762" s="1268">
        <v>0</v>
      </c>
      <c r="W762" s="1328">
        <v>0</v>
      </c>
      <c r="X762" s="1268">
        <v>276831</v>
      </c>
      <c r="Y762" s="1268">
        <v>0</v>
      </c>
    </row>
    <row r="763" spans="1:25" s="1299" customFormat="1" ht="75.599999999999994">
      <c r="A763" s="1281"/>
      <c r="B763" s="1277" t="s">
        <v>1681</v>
      </c>
      <c r="C763" s="1268">
        <f>C764+C765</f>
        <v>3519986</v>
      </c>
      <c r="D763" s="1268">
        <f t="shared" ref="D763:Y763" si="356">D764+D765</f>
        <v>0</v>
      </c>
      <c r="E763" s="1268">
        <f t="shared" si="356"/>
        <v>0</v>
      </c>
      <c r="F763" s="1268">
        <f t="shared" si="356"/>
        <v>0</v>
      </c>
      <c r="G763" s="1268">
        <f t="shared" si="356"/>
        <v>0</v>
      </c>
      <c r="H763" s="1268">
        <f t="shared" si="356"/>
        <v>0</v>
      </c>
      <c r="I763" s="1268">
        <f t="shared" si="356"/>
        <v>0</v>
      </c>
      <c r="J763" s="1268">
        <f t="shared" si="356"/>
        <v>0</v>
      </c>
      <c r="K763" s="1278">
        <f t="shared" si="356"/>
        <v>0</v>
      </c>
      <c r="L763" s="1268">
        <f t="shared" si="356"/>
        <v>0</v>
      </c>
      <c r="M763" s="1278">
        <f t="shared" si="356"/>
        <v>0</v>
      </c>
      <c r="N763" s="1268">
        <f t="shared" si="356"/>
        <v>0</v>
      </c>
      <c r="O763" s="1268">
        <f t="shared" si="356"/>
        <v>1040</v>
      </c>
      <c r="P763" s="1268">
        <f t="shared" si="356"/>
        <v>3264313</v>
      </c>
      <c r="Q763" s="1268">
        <f t="shared" si="356"/>
        <v>0</v>
      </c>
      <c r="R763" s="1268">
        <f t="shared" si="356"/>
        <v>0</v>
      </c>
      <c r="S763" s="1268">
        <f t="shared" si="356"/>
        <v>0</v>
      </c>
      <c r="T763" s="1268">
        <f t="shared" si="356"/>
        <v>0</v>
      </c>
      <c r="U763" s="1268">
        <f t="shared" si="356"/>
        <v>0</v>
      </c>
      <c r="V763" s="1268">
        <f t="shared" si="356"/>
        <v>0</v>
      </c>
      <c r="W763" s="1328">
        <v>0</v>
      </c>
      <c r="X763" s="1268">
        <f t="shared" si="356"/>
        <v>255673</v>
      </c>
      <c r="Y763" s="1268">
        <f t="shared" si="356"/>
        <v>0</v>
      </c>
    </row>
    <row r="764" spans="1:25" s="1299" customFormat="1">
      <c r="A764" s="1281">
        <v>58</v>
      </c>
      <c r="B764" s="1277" t="s">
        <v>619</v>
      </c>
      <c r="C764" s="1268">
        <f>D764+N764+P764+R764+T764+V764+X764</f>
        <v>1556917</v>
      </c>
      <c r="D764" s="1268">
        <f>SUM(E764:J764)</f>
        <v>0</v>
      </c>
      <c r="E764" s="1268">
        <v>0</v>
      </c>
      <c r="F764" s="1268">
        <v>0</v>
      </c>
      <c r="G764" s="1268">
        <v>0</v>
      </c>
      <c r="H764" s="1268">
        <v>0</v>
      </c>
      <c r="I764" s="1268">
        <v>0</v>
      </c>
      <c r="J764" s="1268">
        <v>0</v>
      </c>
      <c r="K764" s="1278">
        <v>0</v>
      </c>
      <c r="L764" s="1268">
        <v>0</v>
      </c>
      <c r="M764" s="1278">
        <v>0</v>
      </c>
      <c r="N764" s="1293">
        <v>0</v>
      </c>
      <c r="O764" s="1268">
        <v>460</v>
      </c>
      <c r="P764" s="1268">
        <v>1443831</v>
      </c>
      <c r="Q764" s="1268">
        <v>0</v>
      </c>
      <c r="R764" s="1268">
        <v>0</v>
      </c>
      <c r="S764" s="1268">
        <v>0</v>
      </c>
      <c r="T764" s="1268">
        <v>0</v>
      </c>
      <c r="U764" s="1268">
        <v>0</v>
      </c>
      <c r="V764" s="1268">
        <v>0</v>
      </c>
      <c r="W764" s="1328">
        <v>0</v>
      </c>
      <c r="X764" s="1268">
        <v>113086</v>
      </c>
      <c r="Y764" s="1268">
        <v>0</v>
      </c>
    </row>
    <row r="765" spans="1:25" s="1299" customFormat="1">
      <c r="A765" s="1281">
        <v>59</v>
      </c>
      <c r="B765" s="1277" t="s">
        <v>1529</v>
      </c>
      <c r="C765" s="1268">
        <f>D765+N765+P765+R765+T765+V765+X765</f>
        <v>1963069</v>
      </c>
      <c r="D765" s="1268">
        <f>SUM(E765:J765)</f>
        <v>0</v>
      </c>
      <c r="E765" s="1268">
        <v>0</v>
      </c>
      <c r="F765" s="1268">
        <v>0</v>
      </c>
      <c r="G765" s="1268">
        <v>0</v>
      </c>
      <c r="H765" s="1268">
        <v>0</v>
      </c>
      <c r="I765" s="1268">
        <v>0</v>
      </c>
      <c r="J765" s="1268">
        <v>0</v>
      </c>
      <c r="K765" s="1278">
        <v>0</v>
      </c>
      <c r="L765" s="1268">
        <v>0</v>
      </c>
      <c r="M765" s="1278">
        <v>0</v>
      </c>
      <c r="N765" s="1293">
        <v>0</v>
      </c>
      <c r="O765" s="1268">
        <v>580</v>
      </c>
      <c r="P765" s="1268">
        <v>1820482</v>
      </c>
      <c r="Q765" s="1268">
        <v>0</v>
      </c>
      <c r="R765" s="1268">
        <v>0</v>
      </c>
      <c r="S765" s="1268">
        <v>0</v>
      </c>
      <c r="T765" s="1268">
        <v>0</v>
      </c>
      <c r="U765" s="1268">
        <v>0</v>
      </c>
      <c r="V765" s="1268">
        <v>0</v>
      </c>
      <c r="W765" s="1328">
        <v>0</v>
      </c>
      <c r="X765" s="1268">
        <v>142587</v>
      </c>
      <c r="Y765" s="1268">
        <v>0</v>
      </c>
    </row>
    <row r="766" spans="1:25" s="1299" customFormat="1">
      <c r="A766" s="1281"/>
      <c r="B766" s="1267" t="s">
        <v>41</v>
      </c>
      <c r="C766" s="1268">
        <f>C767</f>
        <v>20749518</v>
      </c>
      <c r="D766" s="1268">
        <f t="shared" ref="D766:Y766" si="357">D767</f>
        <v>5251564</v>
      </c>
      <c r="E766" s="1268">
        <f t="shared" si="357"/>
        <v>936801</v>
      </c>
      <c r="F766" s="1268">
        <f t="shared" si="357"/>
        <v>1774441</v>
      </c>
      <c r="G766" s="1268">
        <f t="shared" si="357"/>
        <v>761966</v>
      </c>
      <c r="H766" s="1268">
        <f t="shared" si="357"/>
        <v>1089455</v>
      </c>
      <c r="I766" s="1268">
        <f t="shared" si="357"/>
        <v>0</v>
      </c>
      <c r="J766" s="1268">
        <f t="shared" si="357"/>
        <v>688901</v>
      </c>
      <c r="K766" s="1278">
        <v>0</v>
      </c>
      <c r="L766" s="1268">
        <v>0</v>
      </c>
      <c r="M766" s="1278">
        <v>0</v>
      </c>
      <c r="N766" s="1268">
        <f t="shared" si="357"/>
        <v>0</v>
      </c>
      <c r="O766" s="1268">
        <f t="shared" si="357"/>
        <v>2021.4899999999998</v>
      </c>
      <c r="P766" s="1268">
        <f t="shared" si="357"/>
        <v>7794317</v>
      </c>
      <c r="Q766" s="1268">
        <f t="shared" si="357"/>
        <v>0</v>
      </c>
      <c r="R766" s="1268">
        <f t="shared" si="357"/>
        <v>0</v>
      </c>
      <c r="S766" s="1268">
        <f t="shared" si="357"/>
        <v>2511.04</v>
      </c>
      <c r="T766" s="1268">
        <f t="shared" si="357"/>
        <v>6196500</v>
      </c>
      <c r="U766" s="1268">
        <f t="shared" si="357"/>
        <v>0</v>
      </c>
      <c r="V766" s="1268">
        <f t="shared" si="357"/>
        <v>0</v>
      </c>
      <c r="W766" s="1328">
        <v>0</v>
      </c>
      <c r="X766" s="1268">
        <f t="shared" si="357"/>
        <v>1507137</v>
      </c>
      <c r="Y766" s="1268">
        <f t="shared" si="357"/>
        <v>0</v>
      </c>
    </row>
    <row r="767" spans="1:25" s="1299" customFormat="1" ht="100.2" customHeight="1">
      <c r="A767" s="1281"/>
      <c r="B767" s="1267" t="s">
        <v>1075</v>
      </c>
      <c r="C767" s="1289">
        <f>SUM(C768:C772)</f>
        <v>20749518</v>
      </c>
      <c r="D767" s="1289">
        <f t="shared" ref="D767:Y767" si="358">SUM(D768:D772)</f>
        <v>5251564</v>
      </c>
      <c r="E767" s="1289">
        <f t="shared" si="358"/>
        <v>936801</v>
      </c>
      <c r="F767" s="1289">
        <f t="shared" si="358"/>
        <v>1774441</v>
      </c>
      <c r="G767" s="1289">
        <f t="shared" si="358"/>
        <v>761966</v>
      </c>
      <c r="H767" s="1289">
        <f t="shared" si="358"/>
        <v>1089455</v>
      </c>
      <c r="I767" s="1289">
        <f t="shared" si="358"/>
        <v>0</v>
      </c>
      <c r="J767" s="1289">
        <f t="shared" si="358"/>
        <v>688901</v>
      </c>
      <c r="K767" s="1278">
        <f t="shared" si="358"/>
        <v>0</v>
      </c>
      <c r="L767" s="1289">
        <f t="shared" si="358"/>
        <v>0</v>
      </c>
      <c r="M767" s="1278">
        <f t="shared" si="358"/>
        <v>0</v>
      </c>
      <c r="N767" s="1289">
        <f t="shared" si="358"/>
        <v>0</v>
      </c>
      <c r="O767" s="1289">
        <f t="shared" si="358"/>
        <v>2021.4899999999998</v>
      </c>
      <c r="P767" s="1289">
        <f t="shared" si="358"/>
        <v>7794317</v>
      </c>
      <c r="Q767" s="1289">
        <f t="shared" si="358"/>
        <v>0</v>
      </c>
      <c r="R767" s="1289">
        <f t="shared" si="358"/>
        <v>0</v>
      </c>
      <c r="S767" s="1289">
        <f t="shared" si="358"/>
        <v>2511.04</v>
      </c>
      <c r="T767" s="1289">
        <f t="shared" si="358"/>
        <v>6196500</v>
      </c>
      <c r="U767" s="1289">
        <f t="shared" si="358"/>
        <v>0</v>
      </c>
      <c r="V767" s="1289">
        <f t="shared" si="358"/>
        <v>0</v>
      </c>
      <c r="W767" s="1328">
        <v>0</v>
      </c>
      <c r="X767" s="1289">
        <f t="shared" si="358"/>
        <v>1507137</v>
      </c>
      <c r="Y767" s="1289">
        <f t="shared" si="358"/>
        <v>0</v>
      </c>
    </row>
    <row r="768" spans="1:25" s="1299" customFormat="1">
      <c r="A768" s="1281">
        <v>60</v>
      </c>
      <c r="B768" s="1267" t="s">
        <v>1880</v>
      </c>
      <c r="C768" s="1268">
        <f>D768+N768+P768+R768+T768+V768+X768</f>
        <v>6681834</v>
      </c>
      <c r="D768" s="1268">
        <f>SUM(E768:J768)</f>
        <v>0</v>
      </c>
      <c r="E768" s="1268">
        <v>0</v>
      </c>
      <c r="F768" s="1268">
        <v>0</v>
      </c>
      <c r="G768" s="1268">
        <v>0</v>
      </c>
      <c r="H768" s="1268">
        <v>0</v>
      </c>
      <c r="I768" s="1268">
        <v>0</v>
      </c>
      <c r="J768" s="1268">
        <v>0</v>
      </c>
      <c r="K768" s="1278">
        <v>0</v>
      </c>
      <c r="L768" s="1268">
        <v>0</v>
      </c>
      <c r="M768" s="1278">
        <v>0</v>
      </c>
      <c r="N768" s="1268">
        <v>0</v>
      </c>
      <c r="O768" s="1268">
        <v>0</v>
      </c>
      <c r="P768" s="1268">
        <v>0</v>
      </c>
      <c r="Q768" s="1268">
        <v>0</v>
      </c>
      <c r="R768" s="1268">
        <v>0</v>
      </c>
      <c r="S768" s="1268">
        <v>2511.04</v>
      </c>
      <c r="T768" s="1268">
        <v>6196500</v>
      </c>
      <c r="U768" s="1268">
        <v>0</v>
      </c>
      <c r="V768" s="1268">
        <v>0</v>
      </c>
      <c r="W768" s="1328">
        <v>0</v>
      </c>
      <c r="X768" s="1268">
        <v>485334</v>
      </c>
      <c r="Y768" s="1268">
        <v>0</v>
      </c>
    </row>
    <row r="769" spans="1:25" s="1299" customFormat="1">
      <c r="A769" s="1281">
        <v>61</v>
      </c>
      <c r="B769" s="1267" t="s">
        <v>1923</v>
      </c>
      <c r="C769" s="1268">
        <f t="shared" ref="C769:C772" si="359">D769+N769+P769+R769+T769+V769+X769</f>
        <v>2771746</v>
      </c>
      <c r="D769" s="1268">
        <f t="shared" ref="D769:D772" si="360">SUM(E769:J769)</f>
        <v>0</v>
      </c>
      <c r="E769" s="1268">
        <v>0</v>
      </c>
      <c r="F769" s="1268">
        <v>0</v>
      </c>
      <c r="G769" s="1268">
        <v>0</v>
      </c>
      <c r="H769" s="1268">
        <v>0</v>
      </c>
      <c r="I769" s="1268">
        <v>0</v>
      </c>
      <c r="J769" s="1268">
        <v>0</v>
      </c>
      <c r="K769" s="1278">
        <v>0</v>
      </c>
      <c r="L769" s="1268">
        <v>0</v>
      </c>
      <c r="M769" s="1278">
        <v>0</v>
      </c>
      <c r="N769" s="1268">
        <v>0</v>
      </c>
      <c r="O769" s="1268">
        <v>694.8</v>
      </c>
      <c r="P769" s="1268">
        <v>2570421</v>
      </c>
      <c r="Q769" s="1268">
        <v>0</v>
      </c>
      <c r="R769" s="1268">
        <v>0</v>
      </c>
      <c r="S769" s="1268">
        <v>0</v>
      </c>
      <c r="T769" s="1268">
        <v>0</v>
      </c>
      <c r="U769" s="1268">
        <v>0</v>
      </c>
      <c r="V769" s="1268">
        <v>0</v>
      </c>
      <c r="W769" s="1328">
        <v>0</v>
      </c>
      <c r="X769" s="1268">
        <v>201325</v>
      </c>
      <c r="Y769" s="1268">
        <v>0</v>
      </c>
    </row>
    <row r="770" spans="1:25" s="1299" customFormat="1">
      <c r="A770" s="1281">
        <v>62</v>
      </c>
      <c r="B770" s="1267" t="s">
        <v>1924</v>
      </c>
      <c r="C770" s="1268">
        <f t="shared" si="359"/>
        <v>1857606</v>
      </c>
      <c r="D770" s="1268">
        <f t="shared" si="360"/>
        <v>0</v>
      </c>
      <c r="E770" s="1268">
        <v>0</v>
      </c>
      <c r="F770" s="1268">
        <v>0</v>
      </c>
      <c r="G770" s="1268">
        <v>0</v>
      </c>
      <c r="H770" s="1268">
        <v>0</v>
      </c>
      <c r="I770" s="1268">
        <v>0</v>
      </c>
      <c r="J770" s="1268">
        <v>0</v>
      </c>
      <c r="K770" s="1278">
        <v>0</v>
      </c>
      <c r="L770" s="1268">
        <v>0</v>
      </c>
      <c r="M770" s="1278">
        <v>0</v>
      </c>
      <c r="N770" s="1268">
        <v>0</v>
      </c>
      <c r="O770" s="1268">
        <v>380.29</v>
      </c>
      <c r="P770" s="1268">
        <v>1722679</v>
      </c>
      <c r="Q770" s="1268">
        <v>0</v>
      </c>
      <c r="R770" s="1268">
        <v>0</v>
      </c>
      <c r="S770" s="1268">
        <v>0</v>
      </c>
      <c r="T770" s="1268">
        <v>0</v>
      </c>
      <c r="U770" s="1268">
        <v>0</v>
      </c>
      <c r="V770" s="1268">
        <v>0</v>
      </c>
      <c r="W770" s="1328">
        <v>0</v>
      </c>
      <c r="X770" s="1268">
        <v>134927</v>
      </c>
      <c r="Y770" s="1268">
        <v>0</v>
      </c>
    </row>
    <row r="771" spans="1:25" s="1299" customFormat="1" ht="75.599999999999994">
      <c r="A771" s="1281">
        <v>63</v>
      </c>
      <c r="B771" s="1267" t="s">
        <v>2484</v>
      </c>
      <c r="C771" s="1268">
        <f t="shared" si="359"/>
        <v>5662886</v>
      </c>
      <c r="D771" s="1268">
        <f t="shared" si="360"/>
        <v>5251564</v>
      </c>
      <c r="E771" s="1268">
        <v>936801</v>
      </c>
      <c r="F771" s="1268">
        <v>1774441</v>
      </c>
      <c r="G771" s="1268">
        <v>761966</v>
      </c>
      <c r="H771" s="1268">
        <v>1089455</v>
      </c>
      <c r="I771" s="1268">
        <v>0</v>
      </c>
      <c r="J771" s="1268">
        <v>688901</v>
      </c>
      <c r="K771" s="1278">
        <v>0</v>
      </c>
      <c r="L771" s="1268">
        <v>0</v>
      </c>
      <c r="M771" s="1278">
        <v>0</v>
      </c>
      <c r="N771" s="1268">
        <v>0</v>
      </c>
      <c r="O771" s="1268">
        <v>0</v>
      </c>
      <c r="P771" s="1268">
        <v>0</v>
      </c>
      <c r="Q771" s="1268">
        <v>0</v>
      </c>
      <c r="R771" s="1268">
        <v>0</v>
      </c>
      <c r="S771" s="1268">
        <v>0</v>
      </c>
      <c r="T771" s="1268">
        <v>0</v>
      </c>
      <c r="U771" s="1268">
        <v>0</v>
      </c>
      <c r="V771" s="1268">
        <v>0</v>
      </c>
      <c r="W771" s="1328">
        <v>0</v>
      </c>
      <c r="X771" s="1268">
        <v>411322</v>
      </c>
      <c r="Y771" s="1268">
        <v>0</v>
      </c>
    </row>
    <row r="772" spans="1:25" s="1299" customFormat="1">
      <c r="A772" s="1281">
        <v>64</v>
      </c>
      <c r="B772" s="1267" t="s">
        <v>1926</v>
      </c>
      <c r="C772" s="1268">
        <f t="shared" si="359"/>
        <v>3775446</v>
      </c>
      <c r="D772" s="1268">
        <f t="shared" si="360"/>
        <v>0</v>
      </c>
      <c r="E772" s="1268">
        <v>0</v>
      </c>
      <c r="F772" s="1268">
        <v>0</v>
      </c>
      <c r="G772" s="1268">
        <v>0</v>
      </c>
      <c r="H772" s="1268">
        <v>0</v>
      </c>
      <c r="I772" s="1268">
        <v>0</v>
      </c>
      <c r="J772" s="1268">
        <v>0</v>
      </c>
      <c r="K772" s="1278">
        <v>0</v>
      </c>
      <c r="L772" s="1268">
        <v>0</v>
      </c>
      <c r="M772" s="1278">
        <v>0</v>
      </c>
      <c r="N772" s="1268">
        <v>0</v>
      </c>
      <c r="O772" s="1268">
        <v>946.4</v>
      </c>
      <c r="P772" s="1268">
        <v>3501217</v>
      </c>
      <c r="Q772" s="1268">
        <v>0</v>
      </c>
      <c r="R772" s="1268">
        <v>0</v>
      </c>
      <c r="S772" s="1268">
        <v>0</v>
      </c>
      <c r="T772" s="1268">
        <v>0</v>
      </c>
      <c r="U772" s="1268">
        <v>0</v>
      </c>
      <c r="V772" s="1268">
        <v>0</v>
      </c>
      <c r="W772" s="1328">
        <v>0</v>
      </c>
      <c r="X772" s="1268">
        <v>274229</v>
      </c>
      <c r="Y772" s="1268">
        <v>0</v>
      </c>
    </row>
    <row r="773" spans="1:25" s="1299" customFormat="1">
      <c r="A773" s="1281"/>
      <c r="B773" s="1277" t="s">
        <v>68</v>
      </c>
      <c r="C773" s="1268">
        <f>C774</f>
        <v>363137</v>
      </c>
      <c r="D773" s="1268">
        <f t="shared" ref="D773:Y773" si="361">D774</f>
        <v>336761</v>
      </c>
      <c r="E773" s="1268">
        <f t="shared" si="361"/>
        <v>336761</v>
      </c>
      <c r="F773" s="1268">
        <f t="shared" si="361"/>
        <v>0</v>
      </c>
      <c r="G773" s="1268">
        <f t="shared" si="361"/>
        <v>0</v>
      </c>
      <c r="H773" s="1268">
        <f t="shared" si="361"/>
        <v>0</v>
      </c>
      <c r="I773" s="1268">
        <f t="shared" si="361"/>
        <v>0</v>
      </c>
      <c r="J773" s="1268">
        <f t="shared" si="361"/>
        <v>0</v>
      </c>
      <c r="K773" s="1278">
        <v>0</v>
      </c>
      <c r="L773" s="1268">
        <v>0</v>
      </c>
      <c r="M773" s="1278">
        <v>0</v>
      </c>
      <c r="N773" s="1268">
        <f t="shared" si="361"/>
        <v>0</v>
      </c>
      <c r="O773" s="1268">
        <f t="shared" si="361"/>
        <v>0</v>
      </c>
      <c r="P773" s="1268">
        <f t="shared" si="361"/>
        <v>0</v>
      </c>
      <c r="Q773" s="1268">
        <f t="shared" si="361"/>
        <v>0</v>
      </c>
      <c r="R773" s="1268">
        <f t="shared" si="361"/>
        <v>0</v>
      </c>
      <c r="S773" s="1268">
        <f t="shared" si="361"/>
        <v>0</v>
      </c>
      <c r="T773" s="1268">
        <f t="shared" si="361"/>
        <v>0</v>
      </c>
      <c r="U773" s="1268">
        <f t="shared" si="361"/>
        <v>0</v>
      </c>
      <c r="V773" s="1268">
        <f t="shared" si="361"/>
        <v>0</v>
      </c>
      <c r="W773" s="1328">
        <v>0</v>
      </c>
      <c r="X773" s="1268">
        <f t="shared" si="361"/>
        <v>26376</v>
      </c>
      <c r="Y773" s="1268">
        <f t="shared" si="361"/>
        <v>0</v>
      </c>
    </row>
    <row r="774" spans="1:25" s="1299" customFormat="1" ht="75.599999999999994">
      <c r="A774" s="1281"/>
      <c r="B774" s="1267" t="s">
        <v>1076</v>
      </c>
      <c r="C774" s="1268">
        <f>C775+C776</f>
        <v>363137</v>
      </c>
      <c r="D774" s="1268">
        <f t="shared" ref="D774:Y774" si="362">D775+D776</f>
        <v>336761</v>
      </c>
      <c r="E774" s="1268">
        <f t="shared" si="362"/>
        <v>336761</v>
      </c>
      <c r="F774" s="1268">
        <f t="shared" si="362"/>
        <v>0</v>
      </c>
      <c r="G774" s="1268">
        <f t="shared" si="362"/>
        <v>0</v>
      </c>
      <c r="H774" s="1268">
        <f t="shared" si="362"/>
        <v>0</v>
      </c>
      <c r="I774" s="1268">
        <f t="shared" si="362"/>
        <v>0</v>
      </c>
      <c r="J774" s="1268">
        <f t="shared" si="362"/>
        <v>0</v>
      </c>
      <c r="K774" s="1278">
        <f t="shared" si="362"/>
        <v>0</v>
      </c>
      <c r="L774" s="1268">
        <f t="shared" si="362"/>
        <v>0</v>
      </c>
      <c r="M774" s="1278">
        <f t="shared" si="362"/>
        <v>0</v>
      </c>
      <c r="N774" s="1268">
        <f t="shared" si="362"/>
        <v>0</v>
      </c>
      <c r="O774" s="1268">
        <f t="shared" si="362"/>
        <v>0</v>
      </c>
      <c r="P774" s="1268">
        <f t="shared" si="362"/>
        <v>0</v>
      </c>
      <c r="Q774" s="1268">
        <f t="shared" si="362"/>
        <v>0</v>
      </c>
      <c r="R774" s="1268">
        <f t="shared" si="362"/>
        <v>0</v>
      </c>
      <c r="S774" s="1268">
        <f t="shared" si="362"/>
        <v>0</v>
      </c>
      <c r="T774" s="1268">
        <f t="shared" si="362"/>
        <v>0</v>
      </c>
      <c r="U774" s="1268">
        <f t="shared" si="362"/>
        <v>0</v>
      </c>
      <c r="V774" s="1268">
        <f t="shared" si="362"/>
        <v>0</v>
      </c>
      <c r="W774" s="1328">
        <v>0</v>
      </c>
      <c r="X774" s="1268">
        <f t="shared" si="362"/>
        <v>26376</v>
      </c>
      <c r="Y774" s="1268">
        <f t="shared" si="362"/>
        <v>0</v>
      </c>
    </row>
    <row r="775" spans="1:25" s="1299" customFormat="1">
      <c r="A775" s="1281">
        <v>65</v>
      </c>
      <c r="B775" s="1277" t="s">
        <v>1571</v>
      </c>
      <c r="C775" s="1268">
        <f t="shared" ref="C775" si="363">D775+N775+P775+R775+T775+V775+X775</f>
        <v>241432</v>
      </c>
      <c r="D775" s="1268">
        <f t="shared" ref="D775" si="364">SUM(E775:J775)</f>
        <v>223896</v>
      </c>
      <c r="E775" s="1268">
        <v>223896</v>
      </c>
      <c r="F775" s="1268">
        <v>0</v>
      </c>
      <c r="G775" s="1268">
        <v>0</v>
      </c>
      <c r="H775" s="1268">
        <v>0</v>
      </c>
      <c r="I775" s="1268">
        <v>0</v>
      </c>
      <c r="J775" s="1268">
        <v>0</v>
      </c>
      <c r="K775" s="1278">
        <v>0</v>
      </c>
      <c r="L775" s="1268">
        <v>0</v>
      </c>
      <c r="M775" s="1278">
        <v>0</v>
      </c>
      <c r="N775" s="1268">
        <v>0</v>
      </c>
      <c r="O775" s="1268">
        <v>0</v>
      </c>
      <c r="P775" s="1268">
        <v>0</v>
      </c>
      <c r="Q775" s="1268">
        <v>0</v>
      </c>
      <c r="R775" s="1268">
        <v>0</v>
      </c>
      <c r="S775" s="1268">
        <v>0</v>
      </c>
      <c r="T775" s="1268">
        <v>0</v>
      </c>
      <c r="U775" s="1268">
        <v>0</v>
      </c>
      <c r="V775" s="1268">
        <v>0</v>
      </c>
      <c r="W775" s="1328">
        <v>0</v>
      </c>
      <c r="X775" s="1268">
        <v>17536</v>
      </c>
      <c r="Y775" s="1268">
        <v>0</v>
      </c>
    </row>
    <row r="776" spans="1:25" s="1299" customFormat="1">
      <c r="A776" s="1281">
        <v>66</v>
      </c>
      <c r="B776" s="1277" t="s">
        <v>1572</v>
      </c>
      <c r="C776" s="1268">
        <f t="shared" ref="C776" si="365">D776+N776+P776+R776+T776+V776+X776</f>
        <v>121705</v>
      </c>
      <c r="D776" s="1268">
        <f t="shared" ref="D776" si="366">SUM(E776:J776)</f>
        <v>112865</v>
      </c>
      <c r="E776" s="1268">
        <v>112865</v>
      </c>
      <c r="F776" s="1268">
        <v>0</v>
      </c>
      <c r="G776" s="1268">
        <v>0</v>
      </c>
      <c r="H776" s="1268">
        <v>0</v>
      </c>
      <c r="I776" s="1268">
        <v>0</v>
      </c>
      <c r="J776" s="1268">
        <v>0</v>
      </c>
      <c r="K776" s="1278">
        <v>0</v>
      </c>
      <c r="L776" s="1268">
        <v>0</v>
      </c>
      <c r="M776" s="1278">
        <v>0</v>
      </c>
      <c r="N776" s="1268">
        <v>0</v>
      </c>
      <c r="O776" s="1268">
        <v>0</v>
      </c>
      <c r="P776" s="1268">
        <v>0</v>
      </c>
      <c r="Q776" s="1268">
        <v>0</v>
      </c>
      <c r="R776" s="1268">
        <v>0</v>
      </c>
      <c r="S776" s="1268">
        <v>0</v>
      </c>
      <c r="T776" s="1268">
        <v>0</v>
      </c>
      <c r="U776" s="1268">
        <v>0</v>
      </c>
      <c r="V776" s="1268">
        <v>0</v>
      </c>
      <c r="W776" s="1328">
        <v>0</v>
      </c>
      <c r="X776" s="1268">
        <v>8840</v>
      </c>
      <c r="Y776" s="1268">
        <v>0</v>
      </c>
    </row>
    <row r="777" spans="1:25" s="1299" customFormat="1">
      <c r="A777" s="1281"/>
      <c r="B777" s="1277" t="s">
        <v>43</v>
      </c>
      <c r="C777" s="1268">
        <f>C778</f>
        <v>18020534</v>
      </c>
      <c r="D777" s="1268">
        <f t="shared" ref="D777:Y777" si="367">D778</f>
        <v>7038634</v>
      </c>
      <c r="E777" s="1268">
        <f t="shared" si="367"/>
        <v>378564</v>
      </c>
      <c r="F777" s="1268">
        <f t="shared" si="367"/>
        <v>6381683</v>
      </c>
      <c r="G777" s="1268">
        <f t="shared" si="367"/>
        <v>0</v>
      </c>
      <c r="H777" s="1268">
        <f t="shared" si="367"/>
        <v>0</v>
      </c>
      <c r="I777" s="1268">
        <f t="shared" si="367"/>
        <v>0</v>
      </c>
      <c r="J777" s="1268">
        <f t="shared" si="367"/>
        <v>278387</v>
      </c>
      <c r="K777" s="1278">
        <f t="shared" si="367"/>
        <v>0</v>
      </c>
      <c r="L777" s="1268">
        <f t="shared" si="367"/>
        <v>0</v>
      </c>
      <c r="M777" s="1278">
        <f t="shared" si="367"/>
        <v>0</v>
      </c>
      <c r="N777" s="1268">
        <f t="shared" si="367"/>
        <v>0</v>
      </c>
      <c r="O777" s="1268">
        <f t="shared" si="367"/>
        <v>3293.6000000000004</v>
      </c>
      <c r="P777" s="1268">
        <f t="shared" si="367"/>
        <v>9560835</v>
      </c>
      <c r="Q777" s="1268">
        <f t="shared" si="367"/>
        <v>0</v>
      </c>
      <c r="R777" s="1268">
        <f t="shared" si="367"/>
        <v>0</v>
      </c>
      <c r="S777" s="1268">
        <f t="shared" si="367"/>
        <v>0</v>
      </c>
      <c r="T777" s="1268">
        <f t="shared" si="367"/>
        <v>0</v>
      </c>
      <c r="U777" s="1268">
        <f t="shared" si="367"/>
        <v>0</v>
      </c>
      <c r="V777" s="1268">
        <f t="shared" si="367"/>
        <v>0</v>
      </c>
      <c r="W777" s="1328">
        <v>0</v>
      </c>
      <c r="X777" s="1268">
        <f t="shared" si="367"/>
        <v>1421065</v>
      </c>
      <c r="Y777" s="1268">
        <f t="shared" si="367"/>
        <v>0</v>
      </c>
    </row>
    <row r="778" spans="1:25" s="1299" customFormat="1" ht="120" customHeight="1">
      <c r="A778" s="1281"/>
      <c r="B778" s="1277" t="s">
        <v>1115</v>
      </c>
      <c r="C778" s="1289">
        <f>SUM(C779:C787)</f>
        <v>18020534</v>
      </c>
      <c r="D778" s="1289">
        <f t="shared" ref="D778:Y778" si="368">SUM(D779:D787)</f>
        <v>7038634</v>
      </c>
      <c r="E778" s="1289">
        <f t="shared" si="368"/>
        <v>378564</v>
      </c>
      <c r="F778" s="1289">
        <f t="shared" si="368"/>
        <v>6381683</v>
      </c>
      <c r="G778" s="1289">
        <f t="shared" si="368"/>
        <v>0</v>
      </c>
      <c r="H778" s="1289">
        <f t="shared" si="368"/>
        <v>0</v>
      </c>
      <c r="I778" s="1289">
        <f t="shared" si="368"/>
        <v>0</v>
      </c>
      <c r="J778" s="1289">
        <f t="shared" si="368"/>
        <v>278387</v>
      </c>
      <c r="K778" s="1278">
        <f t="shared" si="368"/>
        <v>0</v>
      </c>
      <c r="L778" s="1289">
        <f t="shared" si="368"/>
        <v>0</v>
      </c>
      <c r="M778" s="1278">
        <f t="shared" si="368"/>
        <v>0</v>
      </c>
      <c r="N778" s="1289">
        <f t="shared" si="368"/>
        <v>0</v>
      </c>
      <c r="O778" s="1289">
        <f t="shared" si="368"/>
        <v>3293.6000000000004</v>
      </c>
      <c r="P778" s="1289">
        <f t="shared" si="368"/>
        <v>9560835</v>
      </c>
      <c r="Q778" s="1289">
        <f t="shared" si="368"/>
        <v>0</v>
      </c>
      <c r="R778" s="1289">
        <f t="shared" si="368"/>
        <v>0</v>
      </c>
      <c r="S778" s="1289">
        <f t="shared" si="368"/>
        <v>0</v>
      </c>
      <c r="T778" s="1289">
        <f t="shared" si="368"/>
        <v>0</v>
      </c>
      <c r="U778" s="1289">
        <f t="shared" si="368"/>
        <v>0</v>
      </c>
      <c r="V778" s="1289">
        <f t="shared" si="368"/>
        <v>0</v>
      </c>
      <c r="W778" s="1328">
        <v>0</v>
      </c>
      <c r="X778" s="1289">
        <f t="shared" si="368"/>
        <v>1421065</v>
      </c>
      <c r="Y778" s="1289">
        <f t="shared" si="368"/>
        <v>0</v>
      </c>
    </row>
    <row r="779" spans="1:25" s="1299" customFormat="1">
      <c r="A779" s="1281">
        <v>67</v>
      </c>
      <c r="B779" s="1350" t="s">
        <v>1537</v>
      </c>
      <c r="C779" s="1268">
        <f t="shared" ref="C779:C783" si="369">D779+N779+P779+R779+T779+V779+X779</f>
        <v>1523071</v>
      </c>
      <c r="D779" s="1268">
        <f t="shared" ref="D779:D783" si="370">SUM(E779:J779)</f>
        <v>0</v>
      </c>
      <c r="E779" s="1268">
        <v>0</v>
      </c>
      <c r="F779" s="1268">
        <v>0</v>
      </c>
      <c r="G779" s="1268">
        <v>0</v>
      </c>
      <c r="H779" s="1268">
        <v>0</v>
      </c>
      <c r="I779" s="1268">
        <v>0</v>
      </c>
      <c r="J779" s="1268">
        <v>0</v>
      </c>
      <c r="K779" s="1278">
        <v>0</v>
      </c>
      <c r="L779" s="1268">
        <v>0</v>
      </c>
      <c r="M779" s="1278">
        <v>0</v>
      </c>
      <c r="N779" s="1268">
        <v>0</v>
      </c>
      <c r="O779" s="1268">
        <v>450</v>
      </c>
      <c r="P779" s="1268">
        <v>1412443</v>
      </c>
      <c r="Q779" s="1268">
        <v>0</v>
      </c>
      <c r="R779" s="1268">
        <v>0</v>
      </c>
      <c r="S779" s="1268">
        <v>0</v>
      </c>
      <c r="T779" s="1268">
        <v>0</v>
      </c>
      <c r="U779" s="1268">
        <v>0</v>
      </c>
      <c r="V779" s="1268">
        <v>0</v>
      </c>
      <c r="W779" s="1328">
        <v>0</v>
      </c>
      <c r="X779" s="1268">
        <v>110628</v>
      </c>
      <c r="Y779" s="1268">
        <v>0</v>
      </c>
    </row>
    <row r="780" spans="1:25" s="1299" customFormat="1">
      <c r="A780" s="1281">
        <v>68</v>
      </c>
      <c r="B780" s="1277" t="s">
        <v>1538</v>
      </c>
      <c r="C780" s="1268">
        <f t="shared" si="369"/>
        <v>1967908</v>
      </c>
      <c r="D780" s="1268">
        <f t="shared" si="370"/>
        <v>0</v>
      </c>
      <c r="E780" s="1268">
        <v>0</v>
      </c>
      <c r="F780" s="1268">
        <v>0</v>
      </c>
      <c r="G780" s="1268">
        <v>0</v>
      </c>
      <c r="H780" s="1268">
        <v>0</v>
      </c>
      <c r="I780" s="1268">
        <v>0</v>
      </c>
      <c r="J780" s="1268">
        <v>0</v>
      </c>
      <c r="K780" s="1278">
        <v>0</v>
      </c>
      <c r="L780" s="1268">
        <v>0</v>
      </c>
      <c r="M780" s="1278">
        <v>0</v>
      </c>
      <c r="N780" s="1268">
        <v>0</v>
      </c>
      <c r="O780" s="1268">
        <v>493.3</v>
      </c>
      <c r="P780" s="1268">
        <v>1824969</v>
      </c>
      <c r="Q780" s="1268">
        <v>0</v>
      </c>
      <c r="R780" s="1268">
        <v>0</v>
      </c>
      <c r="S780" s="1268">
        <v>0</v>
      </c>
      <c r="T780" s="1268">
        <v>0</v>
      </c>
      <c r="U780" s="1268">
        <v>0</v>
      </c>
      <c r="V780" s="1268">
        <v>0</v>
      </c>
      <c r="W780" s="1328">
        <v>0</v>
      </c>
      <c r="X780" s="1268">
        <v>142939</v>
      </c>
      <c r="Y780" s="1268">
        <v>0</v>
      </c>
    </row>
    <row r="781" spans="1:25" s="1299" customFormat="1">
      <c r="A781" s="1281">
        <v>69</v>
      </c>
      <c r="B781" s="1277" t="s">
        <v>1927</v>
      </c>
      <c r="C781" s="1268">
        <f t="shared" si="369"/>
        <v>2193560</v>
      </c>
      <c r="D781" s="1268">
        <f t="shared" si="370"/>
        <v>0</v>
      </c>
      <c r="E781" s="1268">
        <v>0</v>
      </c>
      <c r="F781" s="1268">
        <v>0</v>
      </c>
      <c r="G781" s="1268">
        <v>0</v>
      </c>
      <c r="H781" s="1268">
        <v>0</v>
      </c>
      <c r="I781" s="1268">
        <v>0</v>
      </c>
      <c r="J781" s="1268">
        <v>0</v>
      </c>
      <c r="K781" s="1278">
        <v>0</v>
      </c>
      <c r="L781" s="1268">
        <v>0</v>
      </c>
      <c r="M781" s="1278">
        <v>0</v>
      </c>
      <c r="N781" s="1268">
        <v>0</v>
      </c>
      <c r="O781" s="1268">
        <v>648.1</v>
      </c>
      <c r="P781" s="1268">
        <v>2034231</v>
      </c>
      <c r="Q781" s="1268">
        <v>0</v>
      </c>
      <c r="R781" s="1268">
        <v>0</v>
      </c>
      <c r="S781" s="1268">
        <v>0</v>
      </c>
      <c r="T781" s="1268">
        <v>0</v>
      </c>
      <c r="U781" s="1268">
        <v>0</v>
      </c>
      <c r="V781" s="1268">
        <v>0</v>
      </c>
      <c r="W781" s="1328">
        <v>0</v>
      </c>
      <c r="X781" s="1268">
        <v>159329</v>
      </c>
      <c r="Y781" s="1268">
        <v>0</v>
      </c>
    </row>
    <row r="782" spans="1:25" s="1299" customFormat="1">
      <c r="A782" s="1281">
        <v>70</v>
      </c>
      <c r="B782" s="1277" t="s">
        <v>1450</v>
      </c>
      <c r="C782" s="1268">
        <f t="shared" si="369"/>
        <v>53033</v>
      </c>
      <c r="D782" s="1268">
        <f t="shared" si="370"/>
        <v>0</v>
      </c>
      <c r="E782" s="1268">
        <v>0</v>
      </c>
      <c r="F782" s="1268">
        <v>0</v>
      </c>
      <c r="G782" s="1268">
        <v>0</v>
      </c>
      <c r="H782" s="1268">
        <v>0</v>
      </c>
      <c r="I782" s="1268">
        <v>0</v>
      </c>
      <c r="J782" s="1268">
        <v>0</v>
      </c>
      <c r="K782" s="1278">
        <v>0</v>
      </c>
      <c r="L782" s="1268">
        <v>0</v>
      </c>
      <c r="M782" s="1278">
        <v>0</v>
      </c>
      <c r="N782" s="1268">
        <v>0</v>
      </c>
      <c r="O782" s="1268">
        <v>0</v>
      </c>
      <c r="P782" s="1268">
        <v>0</v>
      </c>
      <c r="Q782" s="1268">
        <v>0</v>
      </c>
      <c r="R782" s="1268">
        <v>0</v>
      </c>
      <c r="S782" s="1268">
        <v>0</v>
      </c>
      <c r="T782" s="1268">
        <v>0</v>
      </c>
      <c r="U782" s="1268">
        <v>0</v>
      </c>
      <c r="V782" s="1268">
        <v>0</v>
      </c>
      <c r="W782" s="1328">
        <v>0</v>
      </c>
      <c r="X782" s="1268">
        <v>53033</v>
      </c>
      <c r="Y782" s="1268">
        <v>0</v>
      </c>
    </row>
    <row r="783" spans="1:25" s="1299" customFormat="1">
      <c r="A783" s="1281">
        <v>71</v>
      </c>
      <c r="B783" s="1277" t="s">
        <v>1032</v>
      </c>
      <c r="C783" s="1268">
        <f t="shared" si="369"/>
        <v>67897</v>
      </c>
      <c r="D783" s="1268">
        <f t="shared" si="370"/>
        <v>0</v>
      </c>
      <c r="E783" s="1268">
        <v>0</v>
      </c>
      <c r="F783" s="1268">
        <v>0</v>
      </c>
      <c r="G783" s="1268">
        <v>0</v>
      </c>
      <c r="H783" s="1268">
        <v>0</v>
      </c>
      <c r="I783" s="1268">
        <v>0</v>
      </c>
      <c r="J783" s="1268">
        <v>0</v>
      </c>
      <c r="K783" s="1278">
        <v>0</v>
      </c>
      <c r="L783" s="1268">
        <v>0</v>
      </c>
      <c r="M783" s="1278">
        <v>0</v>
      </c>
      <c r="N783" s="1268">
        <v>0</v>
      </c>
      <c r="O783" s="1268">
        <v>0</v>
      </c>
      <c r="P783" s="1268">
        <v>0</v>
      </c>
      <c r="Q783" s="1268">
        <v>0</v>
      </c>
      <c r="R783" s="1268">
        <v>0</v>
      </c>
      <c r="S783" s="1268">
        <v>0</v>
      </c>
      <c r="T783" s="1268">
        <v>0</v>
      </c>
      <c r="U783" s="1268">
        <v>0</v>
      </c>
      <c r="V783" s="1268">
        <v>0</v>
      </c>
      <c r="W783" s="1328">
        <v>0</v>
      </c>
      <c r="X783" s="1268">
        <v>67897</v>
      </c>
      <c r="Y783" s="1268">
        <v>0</v>
      </c>
    </row>
    <row r="784" spans="1:25" s="1299" customFormat="1">
      <c r="A784" s="1281">
        <v>72</v>
      </c>
      <c r="B784" s="1277" t="s">
        <v>758</v>
      </c>
      <c r="C784" s="1268">
        <f t="shared" ref="C784:C787" si="371">D784+N784+P784+R784+T784+V784+X784</f>
        <v>708406</v>
      </c>
      <c r="D784" s="1268">
        <f t="shared" ref="D784:D787" si="372">SUM(E784:J784)</f>
        <v>656951</v>
      </c>
      <c r="E784" s="1268">
        <v>378564</v>
      </c>
      <c r="F784" s="1268">
        <v>0</v>
      </c>
      <c r="G784" s="1268">
        <v>0</v>
      </c>
      <c r="H784" s="1268">
        <v>0</v>
      </c>
      <c r="I784" s="1268">
        <v>0</v>
      </c>
      <c r="J784" s="1268">
        <v>278387</v>
      </c>
      <c r="K784" s="1278">
        <v>0</v>
      </c>
      <c r="L784" s="1268">
        <v>0</v>
      </c>
      <c r="M784" s="1278">
        <v>0</v>
      </c>
      <c r="N784" s="1268">
        <v>0</v>
      </c>
      <c r="O784" s="1268">
        <v>0</v>
      </c>
      <c r="P784" s="1268">
        <v>0</v>
      </c>
      <c r="Q784" s="1268">
        <v>0</v>
      </c>
      <c r="R784" s="1268">
        <v>0</v>
      </c>
      <c r="S784" s="1268">
        <v>0</v>
      </c>
      <c r="T784" s="1268">
        <v>0</v>
      </c>
      <c r="U784" s="1268">
        <v>0</v>
      </c>
      <c r="V784" s="1268">
        <v>0</v>
      </c>
      <c r="W784" s="1328">
        <v>0</v>
      </c>
      <c r="X784" s="1268">
        <v>51455</v>
      </c>
      <c r="Y784" s="1268">
        <v>0</v>
      </c>
    </row>
    <row r="785" spans="1:25" s="1299" customFormat="1">
      <c r="A785" s="1281">
        <v>73</v>
      </c>
      <c r="B785" s="1277" t="s">
        <v>1539</v>
      </c>
      <c r="C785" s="1268">
        <f t="shared" si="371"/>
        <v>2037865</v>
      </c>
      <c r="D785" s="1268">
        <f t="shared" si="372"/>
        <v>0</v>
      </c>
      <c r="E785" s="1268">
        <v>0</v>
      </c>
      <c r="F785" s="1268">
        <v>0</v>
      </c>
      <c r="G785" s="1268">
        <v>0</v>
      </c>
      <c r="H785" s="1268">
        <v>0</v>
      </c>
      <c r="I785" s="1268">
        <v>0</v>
      </c>
      <c r="J785" s="1268">
        <v>0</v>
      </c>
      <c r="K785" s="1278">
        <v>0</v>
      </c>
      <c r="L785" s="1268">
        <v>0</v>
      </c>
      <c r="M785" s="1278">
        <v>0</v>
      </c>
      <c r="N785" s="1268">
        <v>0</v>
      </c>
      <c r="O785" s="1268">
        <v>750</v>
      </c>
      <c r="P785" s="1268">
        <v>1889845</v>
      </c>
      <c r="Q785" s="1268">
        <v>0</v>
      </c>
      <c r="R785" s="1268">
        <v>0</v>
      </c>
      <c r="S785" s="1268">
        <v>0</v>
      </c>
      <c r="T785" s="1268">
        <v>0</v>
      </c>
      <c r="U785" s="1268">
        <v>0</v>
      </c>
      <c r="V785" s="1268">
        <v>0</v>
      </c>
      <c r="W785" s="1328">
        <v>0</v>
      </c>
      <c r="X785" s="1268">
        <v>148020</v>
      </c>
      <c r="Y785" s="1268">
        <v>0</v>
      </c>
    </row>
    <row r="786" spans="1:25" s="1299" customFormat="1">
      <c r="A786" s="1281">
        <v>74</v>
      </c>
      <c r="B786" s="1277" t="s">
        <v>1419</v>
      </c>
      <c r="C786" s="1268">
        <f t="shared" si="371"/>
        <v>2587273</v>
      </c>
      <c r="D786" s="1268">
        <f t="shared" si="372"/>
        <v>0</v>
      </c>
      <c r="E786" s="1268">
        <v>0</v>
      </c>
      <c r="F786" s="1268">
        <v>0</v>
      </c>
      <c r="G786" s="1268">
        <v>0</v>
      </c>
      <c r="H786" s="1268">
        <v>0</v>
      </c>
      <c r="I786" s="1268">
        <v>0</v>
      </c>
      <c r="J786" s="1268">
        <v>0</v>
      </c>
      <c r="K786" s="1278">
        <v>0</v>
      </c>
      <c r="L786" s="1268">
        <v>0</v>
      </c>
      <c r="M786" s="1278">
        <v>0</v>
      </c>
      <c r="N786" s="1268">
        <v>0</v>
      </c>
      <c r="O786" s="1268">
        <v>952.2</v>
      </c>
      <c r="P786" s="1268">
        <v>2399347</v>
      </c>
      <c r="Q786" s="1268">
        <v>0</v>
      </c>
      <c r="R786" s="1268">
        <v>0</v>
      </c>
      <c r="S786" s="1268">
        <v>0</v>
      </c>
      <c r="T786" s="1268">
        <v>0</v>
      </c>
      <c r="U786" s="1268">
        <v>0</v>
      </c>
      <c r="V786" s="1268">
        <v>0</v>
      </c>
      <c r="W786" s="1328">
        <v>0</v>
      </c>
      <c r="X786" s="1268">
        <v>187926</v>
      </c>
      <c r="Y786" s="1268">
        <v>0</v>
      </c>
    </row>
    <row r="787" spans="1:25" s="1280" customFormat="1">
      <c r="A787" s="1281">
        <v>75</v>
      </c>
      <c r="B787" s="1277" t="s">
        <v>1540</v>
      </c>
      <c r="C787" s="1268">
        <f t="shared" si="371"/>
        <v>6881521</v>
      </c>
      <c r="D787" s="1268">
        <f t="shared" si="372"/>
        <v>6381683</v>
      </c>
      <c r="E787" s="1268">
        <v>0</v>
      </c>
      <c r="F787" s="1268">
        <v>6381683</v>
      </c>
      <c r="G787" s="1268">
        <v>0</v>
      </c>
      <c r="H787" s="1268">
        <v>0</v>
      </c>
      <c r="I787" s="1268">
        <v>0</v>
      </c>
      <c r="J787" s="1268">
        <v>0</v>
      </c>
      <c r="K787" s="1278">
        <v>0</v>
      </c>
      <c r="L787" s="1268">
        <v>0</v>
      </c>
      <c r="M787" s="1278">
        <v>0</v>
      </c>
      <c r="N787" s="1268">
        <v>0</v>
      </c>
      <c r="O787" s="1268">
        <v>0</v>
      </c>
      <c r="P787" s="1268">
        <v>0</v>
      </c>
      <c r="Q787" s="1268">
        <v>0</v>
      </c>
      <c r="R787" s="1268">
        <v>0</v>
      </c>
      <c r="S787" s="1268">
        <v>0</v>
      </c>
      <c r="T787" s="1268">
        <v>0</v>
      </c>
      <c r="U787" s="1268">
        <v>0</v>
      </c>
      <c r="V787" s="1268">
        <v>0</v>
      </c>
      <c r="W787" s="1328">
        <v>0</v>
      </c>
      <c r="X787" s="1268">
        <v>499838</v>
      </c>
      <c r="Y787" s="1268">
        <v>0</v>
      </c>
    </row>
    <row r="788" spans="1:25" s="1287" customFormat="1" ht="75.599999999999994">
      <c r="A788" s="1281"/>
      <c r="B788" s="1277" t="s">
        <v>1588</v>
      </c>
      <c r="C788" s="1268">
        <f>C789+C790</f>
        <v>3652572</v>
      </c>
      <c r="D788" s="1268">
        <f t="shared" ref="D788:Y788" si="373">D789+D790</f>
        <v>0</v>
      </c>
      <c r="E788" s="1268">
        <f t="shared" si="373"/>
        <v>0</v>
      </c>
      <c r="F788" s="1268">
        <f t="shared" si="373"/>
        <v>0</v>
      </c>
      <c r="G788" s="1268">
        <f t="shared" si="373"/>
        <v>0</v>
      </c>
      <c r="H788" s="1268">
        <f t="shared" si="373"/>
        <v>0</v>
      </c>
      <c r="I788" s="1268">
        <f t="shared" si="373"/>
        <v>0</v>
      </c>
      <c r="J788" s="1268">
        <f t="shared" si="373"/>
        <v>0</v>
      </c>
      <c r="K788" s="1278">
        <f t="shared" si="373"/>
        <v>0</v>
      </c>
      <c r="L788" s="1268">
        <f t="shared" si="373"/>
        <v>0</v>
      </c>
      <c r="M788" s="1278">
        <f t="shared" si="373"/>
        <v>0</v>
      </c>
      <c r="N788" s="1268">
        <f t="shared" si="373"/>
        <v>0</v>
      </c>
      <c r="O788" s="1268">
        <f t="shared" si="373"/>
        <v>723</v>
      </c>
      <c r="P788" s="1268">
        <f t="shared" si="373"/>
        <v>2269325</v>
      </c>
      <c r="Q788" s="1268">
        <f t="shared" si="373"/>
        <v>0</v>
      </c>
      <c r="R788" s="1268">
        <f t="shared" si="373"/>
        <v>0</v>
      </c>
      <c r="S788" s="1268">
        <f t="shared" si="373"/>
        <v>453.03</v>
      </c>
      <c r="T788" s="1268">
        <f t="shared" si="373"/>
        <v>1117943</v>
      </c>
      <c r="U788" s="1268">
        <f t="shared" si="373"/>
        <v>0</v>
      </c>
      <c r="V788" s="1268">
        <f t="shared" si="373"/>
        <v>0</v>
      </c>
      <c r="W788" s="1328">
        <v>0</v>
      </c>
      <c r="X788" s="1268">
        <f t="shared" si="373"/>
        <v>265304</v>
      </c>
      <c r="Y788" s="1268">
        <f t="shared" si="373"/>
        <v>0</v>
      </c>
    </row>
    <row r="789" spans="1:25" s="1287" customFormat="1">
      <c r="A789" s="1281">
        <v>76</v>
      </c>
      <c r="B789" s="1277" t="s">
        <v>1294</v>
      </c>
      <c r="C789" s="1268">
        <f>D789+N789+P789+R789+T789+V789+X789</f>
        <v>1205505</v>
      </c>
      <c r="D789" s="1268">
        <v>0</v>
      </c>
      <c r="E789" s="1268">
        <v>0</v>
      </c>
      <c r="F789" s="1268">
        <v>0</v>
      </c>
      <c r="G789" s="1268">
        <v>0</v>
      </c>
      <c r="H789" s="1268">
        <v>0</v>
      </c>
      <c r="I789" s="1268">
        <v>0</v>
      </c>
      <c r="J789" s="1268">
        <v>0</v>
      </c>
      <c r="K789" s="1278">
        <v>0</v>
      </c>
      <c r="L789" s="1268">
        <v>0</v>
      </c>
      <c r="M789" s="1278">
        <v>0</v>
      </c>
      <c r="N789" s="1268">
        <v>0</v>
      </c>
      <c r="O789" s="1268">
        <v>0</v>
      </c>
      <c r="P789" s="1268">
        <v>0</v>
      </c>
      <c r="Q789" s="1268">
        <v>0</v>
      </c>
      <c r="R789" s="1268">
        <v>0</v>
      </c>
      <c r="S789" s="1268">
        <v>453.03</v>
      </c>
      <c r="T789" s="1268">
        <v>1117943</v>
      </c>
      <c r="U789" s="1268">
        <v>0</v>
      </c>
      <c r="V789" s="1268">
        <v>0</v>
      </c>
      <c r="W789" s="1328">
        <v>0</v>
      </c>
      <c r="X789" s="1268">
        <v>87562</v>
      </c>
      <c r="Y789" s="1268">
        <v>0</v>
      </c>
    </row>
    <row r="790" spans="1:25" s="1287" customFormat="1">
      <c r="A790" s="1281">
        <v>77</v>
      </c>
      <c r="B790" s="1277" t="s">
        <v>1295</v>
      </c>
      <c r="C790" s="1268">
        <f>D790+N790+P790+R790+T790+V790+X790</f>
        <v>2447067</v>
      </c>
      <c r="D790" s="1268">
        <v>0</v>
      </c>
      <c r="E790" s="1268">
        <v>0</v>
      </c>
      <c r="F790" s="1268">
        <v>0</v>
      </c>
      <c r="G790" s="1268">
        <v>0</v>
      </c>
      <c r="H790" s="1268">
        <v>0</v>
      </c>
      <c r="I790" s="1268">
        <v>0</v>
      </c>
      <c r="J790" s="1268">
        <v>0</v>
      </c>
      <c r="K790" s="1278">
        <v>0</v>
      </c>
      <c r="L790" s="1268">
        <v>0</v>
      </c>
      <c r="M790" s="1278">
        <v>0</v>
      </c>
      <c r="N790" s="1268">
        <v>0</v>
      </c>
      <c r="O790" s="1268">
        <v>723</v>
      </c>
      <c r="P790" s="1268">
        <v>2269325</v>
      </c>
      <c r="Q790" s="1268">
        <v>0</v>
      </c>
      <c r="R790" s="1268">
        <v>0</v>
      </c>
      <c r="S790" s="1268">
        <v>0</v>
      </c>
      <c r="T790" s="1268">
        <v>0</v>
      </c>
      <c r="U790" s="1268">
        <v>0</v>
      </c>
      <c r="V790" s="1268">
        <v>0</v>
      </c>
      <c r="W790" s="1328">
        <v>0</v>
      </c>
      <c r="X790" s="1268">
        <v>177742</v>
      </c>
      <c r="Y790" s="1268">
        <v>0</v>
      </c>
    </row>
    <row r="791" spans="1:25" s="1287" customFormat="1">
      <c r="A791" s="1281"/>
      <c r="B791" s="1277" t="s">
        <v>46</v>
      </c>
      <c r="C791" s="1268">
        <f>C792</f>
        <v>2262435</v>
      </c>
      <c r="D791" s="1268">
        <f t="shared" ref="D791:Y792" si="374">D792</f>
        <v>2098103</v>
      </c>
      <c r="E791" s="1268">
        <f t="shared" si="374"/>
        <v>0</v>
      </c>
      <c r="F791" s="1268">
        <f t="shared" si="374"/>
        <v>2098103</v>
      </c>
      <c r="G791" s="1268">
        <f t="shared" si="374"/>
        <v>0</v>
      </c>
      <c r="H791" s="1268">
        <f t="shared" si="374"/>
        <v>0</v>
      </c>
      <c r="I791" s="1268">
        <f t="shared" si="374"/>
        <v>0</v>
      </c>
      <c r="J791" s="1268">
        <f t="shared" si="374"/>
        <v>0</v>
      </c>
      <c r="K791" s="1278">
        <v>0</v>
      </c>
      <c r="L791" s="1268">
        <v>0</v>
      </c>
      <c r="M791" s="1278">
        <f t="shared" si="374"/>
        <v>0</v>
      </c>
      <c r="N791" s="1268">
        <f t="shared" si="374"/>
        <v>0</v>
      </c>
      <c r="O791" s="1268">
        <f t="shared" si="374"/>
        <v>0</v>
      </c>
      <c r="P791" s="1268">
        <f t="shared" si="374"/>
        <v>0</v>
      </c>
      <c r="Q791" s="1268">
        <f t="shared" si="374"/>
        <v>0</v>
      </c>
      <c r="R791" s="1268">
        <f t="shared" si="374"/>
        <v>0</v>
      </c>
      <c r="S791" s="1268">
        <f t="shared" si="374"/>
        <v>0</v>
      </c>
      <c r="T791" s="1268">
        <f t="shared" si="374"/>
        <v>0</v>
      </c>
      <c r="U791" s="1268">
        <f t="shared" si="374"/>
        <v>0</v>
      </c>
      <c r="V791" s="1268">
        <f t="shared" si="374"/>
        <v>0</v>
      </c>
      <c r="W791" s="1328">
        <v>0</v>
      </c>
      <c r="X791" s="1268">
        <f t="shared" si="374"/>
        <v>164332</v>
      </c>
      <c r="Y791" s="1268">
        <f t="shared" si="374"/>
        <v>0</v>
      </c>
    </row>
    <row r="792" spans="1:25" s="1287" customFormat="1" ht="123" customHeight="1">
      <c r="A792" s="1281"/>
      <c r="B792" s="1277" t="s">
        <v>1077</v>
      </c>
      <c r="C792" s="1268">
        <f>C793</f>
        <v>2262435</v>
      </c>
      <c r="D792" s="1268">
        <f t="shared" si="374"/>
        <v>2098103</v>
      </c>
      <c r="E792" s="1268">
        <f t="shared" si="374"/>
        <v>0</v>
      </c>
      <c r="F792" s="1268">
        <f t="shared" si="374"/>
        <v>2098103</v>
      </c>
      <c r="G792" s="1268">
        <f t="shared" si="374"/>
        <v>0</v>
      </c>
      <c r="H792" s="1268">
        <f t="shared" si="374"/>
        <v>0</v>
      </c>
      <c r="I792" s="1268">
        <f t="shared" si="374"/>
        <v>0</v>
      </c>
      <c r="J792" s="1268">
        <f t="shared" si="374"/>
        <v>0</v>
      </c>
      <c r="K792" s="1278">
        <f t="shared" si="374"/>
        <v>0</v>
      </c>
      <c r="L792" s="1268">
        <f t="shared" si="374"/>
        <v>0</v>
      </c>
      <c r="M792" s="1278">
        <f t="shared" si="374"/>
        <v>0</v>
      </c>
      <c r="N792" s="1268">
        <f t="shared" si="374"/>
        <v>0</v>
      </c>
      <c r="O792" s="1268">
        <f t="shared" si="374"/>
        <v>0</v>
      </c>
      <c r="P792" s="1268">
        <f t="shared" si="374"/>
        <v>0</v>
      </c>
      <c r="Q792" s="1268">
        <f t="shared" si="374"/>
        <v>0</v>
      </c>
      <c r="R792" s="1268">
        <f t="shared" si="374"/>
        <v>0</v>
      </c>
      <c r="S792" s="1268">
        <f t="shared" si="374"/>
        <v>0</v>
      </c>
      <c r="T792" s="1268">
        <f t="shared" si="374"/>
        <v>0</v>
      </c>
      <c r="U792" s="1268">
        <f t="shared" si="374"/>
        <v>0</v>
      </c>
      <c r="V792" s="1268">
        <f t="shared" si="374"/>
        <v>0</v>
      </c>
      <c r="W792" s="1328">
        <v>0</v>
      </c>
      <c r="X792" s="1268">
        <f t="shared" si="374"/>
        <v>164332</v>
      </c>
      <c r="Y792" s="1268">
        <f t="shared" si="374"/>
        <v>0</v>
      </c>
    </row>
    <row r="793" spans="1:25" s="1287" customFormat="1">
      <c r="A793" s="1281">
        <v>78</v>
      </c>
      <c r="B793" s="1277" t="s">
        <v>1281</v>
      </c>
      <c r="C793" s="1268">
        <f t="shared" ref="C793" si="375">D793+N793+P793+R793+T793+V793+X793</f>
        <v>2262435</v>
      </c>
      <c r="D793" s="1268">
        <f t="shared" ref="D793" si="376">SUM(E793:J793)</f>
        <v>2098103</v>
      </c>
      <c r="E793" s="1268">
        <v>0</v>
      </c>
      <c r="F793" s="1268">
        <v>2098103</v>
      </c>
      <c r="G793" s="1268">
        <v>0</v>
      </c>
      <c r="H793" s="1268">
        <v>0</v>
      </c>
      <c r="I793" s="1268">
        <v>0</v>
      </c>
      <c r="J793" s="1268">
        <v>0</v>
      </c>
      <c r="K793" s="1278">
        <v>0</v>
      </c>
      <c r="L793" s="1268">
        <v>0</v>
      </c>
      <c r="M793" s="1278">
        <v>0</v>
      </c>
      <c r="N793" s="1268">
        <v>0</v>
      </c>
      <c r="O793" s="1268">
        <v>0</v>
      </c>
      <c r="P793" s="1268">
        <v>0</v>
      </c>
      <c r="Q793" s="1268">
        <v>0</v>
      </c>
      <c r="R793" s="1268">
        <v>0</v>
      </c>
      <c r="S793" s="1268">
        <v>0</v>
      </c>
      <c r="T793" s="1268">
        <v>0</v>
      </c>
      <c r="U793" s="1268">
        <v>0</v>
      </c>
      <c r="V793" s="1268">
        <v>0</v>
      </c>
      <c r="W793" s="1328">
        <v>0</v>
      </c>
      <c r="X793" s="1268">
        <v>164332</v>
      </c>
      <c r="Y793" s="1268">
        <v>0</v>
      </c>
    </row>
    <row r="794" spans="1:25" s="1287" customFormat="1" ht="75.599999999999994">
      <c r="A794" s="1281"/>
      <c r="B794" s="1277" t="s">
        <v>2012</v>
      </c>
      <c r="C794" s="1268">
        <f>C795+C796</f>
        <v>4283052</v>
      </c>
      <c r="D794" s="1268">
        <f t="shared" ref="D794:Y794" si="377">D795+D796</f>
        <v>538804</v>
      </c>
      <c r="E794" s="1268">
        <f t="shared" si="377"/>
        <v>538804</v>
      </c>
      <c r="F794" s="1268">
        <f t="shared" si="377"/>
        <v>0</v>
      </c>
      <c r="G794" s="1268">
        <f t="shared" si="377"/>
        <v>0</v>
      </c>
      <c r="H794" s="1268">
        <f t="shared" si="377"/>
        <v>0</v>
      </c>
      <c r="I794" s="1268">
        <f t="shared" si="377"/>
        <v>0</v>
      </c>
      <c r="J794" s="1268">
        <f t="shared" si="377"/>
        <v>0</v>
      </c>
      <c r="K794" s="1278">
        <f t="shared" si="377"/>
        <v>0</v>
      </c>
      <c r="L794" s="1268">
        <f t="shared" si="377"/>
        <v>0</v>
      </c>
      <c r="M794" s="1278">
        <f t="shared" si="377"/>
        <v>0</v>
      </c>
      <c r="N794" s="1268">
        <f t="shared" si="377"/>
        <v>0</v>
      </c>
      <c r="O794" s="1268">
        <f t="shared" si="377"/>
        <v>1220</v>
      </c>
      <c r="P794" s="1268">
        <f t="shared" si="377"/>
        <v>3433150</v>
      </c>
      <c r="Q794" s="1268">
        <f t="shared" si="377"/>
        <v>0</v>
      </c>
      <c r="R794" s="1268">
        <f t="shared" si="377"/>
        <v>0</v>
      </c>
      <c r="S794" s="1268">
        <f t="shared" si="377"/>
        <v>0</v>
      </c>
      <c r="T794" s="1268">
        <f t="shared" si="377"/>
        <v>0</v>
      </c>
      <c r="U794" s="1268">
        <f t="shared" si="377"/>
        <v>0</v>
      </c>
      <c r="V794" s="1268">
        <f t="shared" si="377"/>
        <v>0</v>
      </c>
      <c r="W794" s="1328">
        <v>0</v>
      </c>
      <c r="X794" s="1268">
        <f t="shared" si="377"/>
        <v>311098</v>
      </c>
      <c r="Y794" s="1268">
        <f t="shared" si="377"/>
        <v>0</v>
      </c>
    </row>
    <row r="795" spans="1:25" s="1287" customFormat="1">
      <c r="A795" s="1281">
        <v>79</v>
      </c>
      <c r="B795" s="1277" t="s">
        <v>1264</v>
      </c>
      <c r="C795" s="1268">
        <f>D795+N795+P795+R795+T795+V795+X795</f>
        <v>1738978</v>
      </c>
      <c r="D795" s="1268">
        <v>0</v>
      </c>
      <c r="E795" s="1268">
        <v>0</v>
      </c>
      <c r="F795" s="1268">
        <v>0</v>
      </c>
      <c r="G795" s="1268">
        <v>0</v>
      </c>
      <c r="H795" s="1268">
        <v>0</v>
      </c>
      <c r="I795" s="1268">
        <v>0</v>
      </c>
      <c r="J795" s="1268">
        <v>0</v>
      </c>
      <c r="K795" s="1278">
        <v>0</v>
      </c>
      <c r="L795" s="1268">
        <v>0</v>
      </c>
      <c r="M795" s="1278">
        <v>0</v>
      </c>
      <c r="N795" s="1268">
        <v>0</v>
      </c>
      <c r="O795" s="1268">
        <v>640</v>
      </c>
      <c r="P795" s="1268">
        <v>1612668</v>
      </c>
      <c r="Q795" s="1268">
        <v>0</v>
      </c>
      <c r="R795" s="1268">
        <v>0</v>
      </c>
      <c r="S795" s="1268">
        <v>0</v>
      </c>
      <c r="T795" s="1268">
        <v>0</v>
      </c>
      <c r="U795" s="1268">
        <v>0</v>
      </c>
      <c r="V795" s="1268">
        <v>0</v>
      </c>
      <c r="W795" s="1328">
        <v>0</v>
      </c>
      <c r="X795" s="1268">
        <v>126310</v>
      </c>
      <c r="Y795" s="1268">
        <v>0</v>
      </c>
    </row>
    <row r="796" spans="1:25" s="1280" customFormat="1">
      <c r="A796" s="1281">
        <v>80</v>
      </c>
      <c r="B796" s="1267" t="s">
        <v>1261</v>
      </c>
      <c r="C796" s="1268">
        <f>D796+N796+P796+R796+T796+V796+X796</f>
        <v>2544074</v>
      </c>
      <c r="D796" s="1268">
        <f>SUM(E796:J796)</f>
        <v>538804</v>
      </c>
      <c r="E796" s="1268">
        <v>538804</v>
      </c>
      <c r="F796" s="1268">
        <v>0</v>
      </c>
      <c r="G796" s="1268">
        <v>0</v>
      </c>
      <c r="H796" s="1268">
        <v>0</v>
      </c>
      <c r="I796" s="1268">
        <v>0</v>
      </c>
      <c r="J796" s="1268">
        <v>0</v>
      </c>
      <c r="K796" s="1278">
        <v>0</v>
      </c>
      <c r="L796" s="1268">
        <v>0</v>
      </c>
      <c r="M796" s="1278">
        <v>0</v>
      </c>
      <c r="N796" s="1268">
        <v>0</v>
      </c>
      <c r="O796" s="1268">
        <v>580</v>
      </c>
      <c r="P796" s="1268">
        <v>1820482</v>
      </c>
      <c r="Q796" s="1268">
        <v>0</v>
      </c>
      <c r="R796" s="1268">
        <v>0</v>
      </c>
      <c r="S796" s="1268">
        <v>0</v>
      </c>
      <c r="T796" s="1268">
        <v>0</v>
      </c>
      <c r="U796" s="1268">
        <v>0</v>
      </c>
      <c r="V796" s="1268">
        <v>0</v>
      </c>
      <c r="W796" s="1328">
        <v>0</v>
      </c>
      <c r="X796" s="1268">
        <v>184788</v>
      </c>
      <c r="Y796" s="1268">
        <v>0</v>
      </c>
    </row>
    <row r="797" spans="1:25" s="1287" customFormat="1">
      <c r="A797" s="1281"/>
      <c r="B797" s="1277" t="s">
        <v>49</v>
      </c>
      <c r="C797" s="1268">
        <f>C798+C800</f>
        <v>3929574</v>
      </c>
      <c r="D797" s="1268">
        <f t="shared" ref="D797:Y797" si="378">D798+D800</f>
        <v>0</v>
      </c>
      <c r="E797" s="1268">
        <f t="shared" si="378"/>
        <v>0</v>
      </c>
      <c r="F797" s="1268">
        <f t="shared" si="378"/>
        <v>0</v>
      </c>
      <c r="G797" s="1268">
        <f t="shared" si="378"/>
        <v>0</v>
      </c>
      <c r="H797" s="1268">
        <f t="shared" si="378"/>
        <v>0</v>
      </c>
      <c r="I797" s="1268">
        <f t="shared" si="378"/>
        <v>0</v>
      </c>
      <c r="J797" s="1268">
        <f t="shared" si="378"/>
        <v>0</v>
      </c>
      <c r="K797" s="1278">
        <f t="shared" si="378"/>
        <v>0</v>
      </c>
      <c r="L797" s="1268">
        <f t="shared" si="378"/>
        <v>0</v>
      </c>
      <c r="M797" s="1278">
        <f t="shared" si="378"/>
        <v>0</v>
      </c>
      <c r="N797" s="1268">
        <f t="shared" si="378"/>
        <v>0</v>
      </c>
      <c r="O797" s="1268">
        <f t="shared" si="378"/>
        <v>1303</v>
      </c>
      <c r="P797" s="1268">
        <f t="shared" si="378"/>
        <v>3644150</v>
      </c>
      <c r="Q797" s="1268">
        <f t="shared" si="378"/>
        <v>0</v>
      </c>
      <c r="R797" s="1268">
        <f t="shared" si="378"/>
        <v>0</v>
      </c>
      <c r="S797" s="1268">
        <f t="shared" si="378"/>
        <v>0</v>
      </c>
      <c r="T797" s="1268">
        <f t="shared" si="378"/>
        <v>0</v>
      </c>
      <c r="U797" s="1268">
        <f t="shared" si="378"/>
        <v>0</v>
      </c>
      <c r="V797" s="1268">
        <f t="shared" si="378"/>
        <v>0</v>
      </c>
      <c r="W797" s="1328">
        <v>0</v>
      </c>
      <c r="X797" s="1268">
        <f t="shared" si="378"/>
        <v>285424</v>
      </c>
      <c r="Y797" s="1268">
        <f t="shared" si="378"/>
        <v>0</v>
      </c>
    </row>
    <row r="798" spans="1:25" s="1287" customFormat="1" ht="94.8" customHeight="1">
      <c r="A798" s="1281"/>
      <c r="B798" s="1277" t="s">
        <v>1079</v>
      </c>
      <c r="C798" s="1268">
        <f>C799</f>
        <v>1973223</v>
      </c>
      <c r="D798" s="1268">
        <f t="shared" ref="D798:Y798" si="379">D799</f>
        <v>0</v>
      </c>
      <c r="E798" s="1268">
        <f t="shared" si="379"/>
        <v>0</v>
      </c>
      <c r="F798" s="1268">
        <f t="shared" si="379"/>
        <v>0</v>
      </c>
      <c r="G798" s="1268">
        <f t="shared" si="379"/>
        <v>0</v>
      </c>
      <c r="H798" s="1268">
        <f t="shared" si="379"/>
        <v>0</v>
      </c>
      <c r="I798" s="1268">
        <f t="shared" si="379"/>
        <v>0</v>
      </c>
      <c r="J798" s="1268">
        <f t="shared" si="379"/>
        <v>0</v>
      </c>
      <c r="K798" s="1278">
        <v>0</v>
      </c>
      <c r="L798" s="1268">
        <v>0</v>
      </c>
      <c r="M798" s="1278">
        <v>0</v>
      </c>
      <c r="N798" s="1268">
        <f t="shared" si="379"/>
        <v>0</v>
      </c>
      <c r="O798" s="1268">
        <f t="shared" si="379"/>
        <v>583</v>
      </c>
      <c r="P798" s="1268">
        <f t="shared" si="379"/>
        <v>1829898</v>
      </c>
      <c r="Q798" s="1268">
        <f t="shared" si="379"/>
        <v>0</v>
      </c>
      <c r="R798" s="1268">
        <f t="shared" si="379"/>
        <v>0</v>
      </c>
      <c r="S798" s="1268">
        <f t="shared" si="379"/>
        <v>0</v>
      </c>
      <c r="T798" s="1268">
        <f t="shared" si="379"/>
        <v>0</v>
      </c>
      <c r="U798" s="1268">
        <f t="shared" si="379"/>
        <v>0</v>
      </c>
      <c r="V798" s="1268">
        <f t="shared" si="379"/>
        <v>0</v>
      </c>
      <c r="W798" s="1328">
        <v>0</v>
      </c>
      <c r="X798" s="1268">
        <f t="shared" si="379"/>
        <v>143325</v>
      </c>
      <c r="Y798" s="1268">
        <f t="shared" si="379"/>
        <v>0</v>
      </c>
    </row>
    <row r="799" spans="1:25" s="1287" customFormat="1">
      <c r="A799" s="1281">
        <v>81</v>
      </c>
      <c r="B799" s="1277" t="s">
        <v>1255</v>
      </c>
      <c r="C799" s="1268">
        <f>D799+N799+P799+R799+T799+V799+X799</f>
        <v>1973223</v>
      </c>
      <c r="D799" s="1268">
        <v>0</v>
      </c>
      <c r="E799" s="1268">
        <v>0</v>
      </c>
      <c r="F799" s="1268">
        <v>0</v>
      </c>
      <c r="G799" s="1268">
        <v>0</v>
      </c>
      <c r="H799" s="1268">
        <v>0</v>
      </c>
      <c r="I799" s="1268">
        <v>0</v>
      </c>
      <c r="J799" s="1268">
        <v>0</v>
      </c>
      <c r="K799" s="1278">
        <v>0</v>
      </c>
      <c r="L799" s="1268">
        <v>0</v>
      </c>
      <c r="M799" s="1278">
        <v>0</v>
      </c>
      <c r="N799" s="1268">
        <v>0</v>
      </c>
      <c r="O799" s="1268">
        <v>583</v>
      </c>
      <c r="P799" s="1268">
        <v>1829898</v>
      </c>
      <c r="Q799" s="1268">
        <v>0</v>
      </c>
      <c r="R799" s="1268">
        <v>0</v>
      </c>
      <c r="S799" s="1268">
        <v>0</v>
      </c>
      <c r="T799" s="1268">
        <v>0</v>
      </c>
      <c r="U799" s="1268">
        <v>0</v>
      </c>
      <c r="V799" s="1268">
        <v>0</v>
      </c>
      <c r="W799" s="1328">
        <v>0</v>
      </c>
      <c r="X799" s="1268">
        <v>143325</v>
      </c>
      <c r="Y799" s="1268">
        <v>0</v>
      </c>
    </row>
    <row r="800" spans="1:25" s="1287" customFormat="1" ht="113.4">
      <c r="A800" s="1281"/>
      <c r="B800" s="1277" t="s">
        <v>1165</v>
      </c>
      <c r="C800" s="1268">
        <f>C801</f>
        <v>1956351</v>
      </c>
      <c r="D800" s="1268">
        <f t="shared" ref="D800:Y800" si="380">D801</f>
        <v>0</v>
      </c>
      <c r="E800" s="1268">
        <f t="shared" si="380"/>
        <v>0</v>
      </c>
      <c r="F800" s="1268">
        <f t="shared" si="380"/>
        <v>0</v>
      </c>
      <c r="G800" s="1268">
        <f t="shared" si="380"/>
        <v>0</v>
      </c>
      <c r="H800" s="1268">
        <f t="shared" si="380"/>
        <v>0</v>
      </c>
      <c r="I800" s="1268">
        <f t="shared" si="380"/>
        <v>0</v>
      </c>
      <c r="J800" s="1268">
        <f t="shared" si="380"/>
        <v>0</v>
      </c>
      <c r="K800" s="1278">
        <f t="shared" si="380"/>
        <v>0</v>
      </c>
      <c r="L800" s="1268">
        <f t="shared" si="380"/>
        <v>0</v>
      </c>
      <c r="M800" s="1278">
        <f t="shared" si="380"/>
        <v>0</v>
      </c>
      <c r="N800" s="1268">
        <f t="shared" si="380"/>
        <v>0</v>
      </c>
      <c r="O800" s="1268">
        <f t="shared" si="380"/>
        <v>720</v>
      </c>
      <c r="P800" s="1268">
        <f t="shared" si="380"/>
        <v>1814252</v>
      </c>
      <c r="Q800" s="1268">
        <f t="shared" si="380"/>
        <v>0</v>
      </c>
      <c r="R800" s="1268">
        <f t="shared" si="380"/>
        <v>0</v>
      </c>
      <c r="S800" s="1268">
        <f t="shared" si="380"/>
        <v>0</v>
      </c>
      <c r="T800" s="1268">
        <f t="shared" si="380"/>
        <v>0</v>
      </c>
      <c r="U800" s="1268">
        <f t="shared" si="380"/>
        <v>0</v>
      </c>
      <c r="V800" s="1268">
        <f t="shared" si="380"/>
        <v>0</v>
      </c>
      <c r="W800" s="1328">
        <v>0</v>
      </c>
      <c r="X800" s="1268">
        <f t="shared" si="380"/>
        <v>142099</v>
      </c>
      <c r="Y800" s="1268">
        <f t="shared" si="380"/>
        <v>0</v>
      </c>
    </row>
    <row r="801" spans="1:25" s="1287" customFormat="1">
      <c r="A801" s="1281">
        <v>82</v>
      </c>
      <c r="B801" s="1267" t="s">
        <v>1323</v>
      </c>
      <c r="C801" s="1268">
        <f>D801+N801+P801+R801+T801+V801+X801</f>
        <v>1956351</v>
      </c>
      <c r="D801" s="1268">
        <v>0</v>
      </c>
      <c r="E801" s="1268">
        <v>0</v>
      </c>
      <c r="F801" s="1268">
        <v>0</v>
      </c>
      <c r="G801" s="1268">
        <v>0</v>
      </c>
      <c r="H801" s="1268">
        <v>0</v>
      </c>
      <c r="I801" s="1268">
        <v>0</v>
      </c>
      <c r="J801" s="1268">
        <v>0</v>
      </c>
      <c r="K801" s="1278">
        <v>0</v>
      </c>
      <c r="L801" s="1268">
        <v>0</v>
      </c>
      <c r="M801" s="1278">
        <v>0</v>
      </c>
      <c r="N801" s="1268">
        <v>0</v>
      </c>
      <c r="O801" s="1268">
        <v>720</v>
      </c>
      <c r="P801" s="1268">
        <v>1814252</v>
      </c>
      <c r="Q801" s="1268">
        <v>0</v>
      </c>
      <c r="R801" s="1268">
        <v>0</v>
      </c>
      <c r="S801" s="1268">
        <v>0</v>
      </c>
      <c r="T801" s="1268">
        <v>0</v>
      </c>
      <c r="U801" s="1268">
        <v>0</v>
      </c>
      <c r="V801" s="1268">
        <v>0</v>
      </c>
      <c r="W801" s="1328">
        <v>0</v>
      </c>
      <c r="X801" s="1268">
        <v>142099</v>
      </c>
      <c r="Y801" s="1268">
        <v>0</v>
      </c>
    </row>
    <row r="802" spans="1:25" s="1287" customFormat="1">
      <c r="A802" s="1281"/>
      <c r="B802" s="1277" t="s">
        <v>50</v>
      </c>
      <c r="C802" s="1268">
        <f>C803</f>
        <v>7674183</v>
      </c>
      <c r="D802" s="1268">
        <f t="shared" ref="D802:Y802" si="381">D803</f>
        <v>0</v>
      </c>
      <c r="E802" s="1268">
        <f t="shared" si="381"/>
        <v>0</v>
      </c>
      <c r="F802" s="1268">
        <f t="shared" si="381"/>
        <v>0</v>
      </c>
      <c r="G802" s="1268">
        <f t="shared" si="381"/>
        <v>0</v>
      </c>
      <c r="H802" s="1268">
        <f t="shared" si="381"/>
        <v>0</v>
      </c>
      <c r="I802" s="1268">
        <f t="shared" si="381"/>
        <v>0</v>
      </c>
      <c r="J802" s="1268">
        <f t="shared" si="381"/>
        <v>0</v>
      </c>
      <c r="K802" s="1278">
        <v>0</v>
      </c>
      <c r="L802" s="1268">
        <v>0</v>
      </c>
      <c r="M802" s="1278">
        <v>0</v>
      </c>
      <c r="N802" s="1268">
        <f t="shared" si="381"/>
        <v>0</v>
      </c>
      <c r="O802" s="1268">
        <f t="shared" si="381"/>
        <v>2562</v>
      </c>
      <c r="P802" s="1268">
        <f t="shared" si="381"/>
        <v>7116770</v>
      </c>
      <c r="Q802" s="1268">
        <f t="shared" si="381"/>
        <v>0</v>
      </c>
      <c r="R802" s="1268">
        <f t="shared" si="381"/>
        <v>0</v>
      </c>
      <c r="S802" s="1268">
        <f t="shared" si="381"/>
        <v>0</v>
      </c>
      <c r="T802" s="1268">
        <f t="shared" si="381"/>
        <v>0</v>
      </c>
      <c r="U802" s="1268">
        <f t="shared" si="381"/>
        <v>0</v>
      </c>
      <c r="V802" s="1268">
        <f t="shared" si="381"/>
        <v>0</v>
      </c>
      <c r="W802" s="1328">
        <v>0</v>
      </c>
      <c r="X802" s="1268">
        <f t="shared" si="381"/>
        <v>557413</v>
      </c>
      <c r="Y802" s="1268">
        <f t="shared" si="381"/>
        <v>0</v>
      </c>
    </row>
    <row r="803" spans="1:25" s="1287" customFormat="1" ht="113.4">
      <c r="A803" s="1281"/>
      <c r="B803" s="1277" t="s">
        <v>1081</v>
      </c>
      <c r="C803" s="1268">
        <f>C804+C805+C806</f>
        <v>7674183</v>
      </c>
      <c r="D803" s="1268">
        <f t="shared" ref="D803:Y803" si="382">D804+D805+D806</f>
        <v>0</v>
      </c>
      <c r="E803" s="1268">
        <f t="shared" si="382"/>
        <v>0</v>
      </c>
      <c r="F803" s="1268">
        <f t="shared" si="382"/>
        <v>0</v>
      </c>
      <c r="G803" s="1268">
        <f t="shared" si="382"/>
        <v>0</v>
      </c>
      <c r="H803" s="1268">
        <f t="shared" si="382"/>
        <v>0</v>
      </c>
      <c r="I803" s="1268">
        <f t="shared" si="382"/>
        <v>0</v>
      </c>
      <c r="J803" s="1268">
        <f t="shared" si="382"/>
        <v>0</v>
      </c>
      <c r="K803" s="1278">
        <f t="shared" si="382"/>
        <v>0</v>
      </c>
      <c r="L803" s="1268">
        <f t="shared" si="382"/>
        <v>0</v>
      </c>
      <c r="M803" s="1278">
        <f t="shared" si="382"/>
        <v>0</v>
      </c>
      <c r="N803" s="1268">
        <f t="shared" si="382"/>
        <v>0</v>
      </c>
      <c r="O803" s="1268">
        <f t="shared" si="382"/>
        <v>2562</v>
      </c>
      <c r="P803" s="1268">
        <f t="shared" si="382"/>
        <v>7116770</v>
      </c>
      <c r="Q803" s="1268">
        <f t="shared" si="382"/>
        <v>0</v>
      </c>
      <c r="R803" s="1268">
        <f t="shared" si="382"/>
        <v>0</v>
      </c>
      <c r="S803" s="1268">
        <f t="shared" si="382"/>
        <v>0</v>
      </c>
      <c r="T803" s="1268">
        <f t="shared" si="382"/>
        <v>0</v>
      </c>
      <c r="U803" s="1268">
        <f t="shared" si="382"/>
        <v>0</v>
      </c>
      <c r="V803" s="1268">
        <f t="shared" si="382"/>
        <v>0</v>
      </c>
      <c r="W803" s="1328">
        <v>0</v>
      </c>
      <c r="X803" s="1268">
        <f t="shared" si="382"/>
        <v>557413</v>
      </c>
      <c r="Y803" s="1268">
        <f t="shared" si="382"/>
        <v>0</v>
      </c>
    </row>
    <row r="804" spans="1:25" s="1287" customFormat="1">
      <c r="A804" s="1281">
        <v>83</v>
      </c>
      <c r="B804" s="1341" t="s">
        <v>1378</v>
      </c>
      <c r="C804" s="1268">
        <f t="shared" ref="C804:C806" si="383">D804+N804+P804+R804+T804+V804+X804</f>
        <v>4059428</v>
      </c>
      <c r="D804" s="1268">
        <v>0</v>
      </c>
      <c r="E804" s="1268">
        <v>0</v>
      </c>
      <c r="F804" s="1268">
        <v>0</v>
      </c>
      <c r="G804" s="1268">
        <v>0</v>
      </c>
      <c r="H804" s="1268">
        <v>0</v>
      </c>
      <c r="I804" s="1268">
        <v>0</v>
      </c>
      <c r="J804" s="1268">
        <v>0</v>
      </c>
      <c r="K804" s="1278">
        <v>0</v>
      </c>
      <c r="L804" s="1268">
        <v>0</v>
      </c>
      <c r="M804" s="1278">
        <v>0</v>
      </c>
      <c r="N804" s="1268">
        <v>0</v>
      </c>
      <c r="O804" s="1351">
        <v>1494</v>
      </c>
      <c r="P804" s="1268">
        <v>3764572</v>
      </c>
      <c r="Q804" s="1268">
        <v>0</v>
      </c>
      <c r="R804" s="1268">
        <v>0</v>
      </c>
      <c r="S804" s="1268">
        <v>0</v>
      </c>
      <c r="T804" s="1268">
        <v>0</v>
      </c>
      <c r="U804" s="1268">
        <v>0</v>
      </c>
      <c r="V804" s="1268">
        <v>0</v>
      </c>
      <c r="W804" s="1328">
        <v>0</v>
      </c>
      <c r="X804" s="1268">
        <v>294856</v>
      </c>
      <c r="Y804" s="1268">
        <v>0</v>
      </c>
    </row>
    <row r="805" spans="1:25" s="1287" customFormat="1">
      <c r="A805" s="1281">
        <v>84</v>
      </c>
      <c r="B805" s="1341" t="s">
        <v>1379</v>
      </c>
      <c r="C805" s="1268">
        <f t="shared" si="383"/>
        <v>1990146</v>
      </c>
      <c r="D805" s="1268">
        <v>0</v>
      </c>
      <c r="E805" s="1268">
        <v>0</v>
      </c>
      <c r="F805" s="1268">
        <v>0</v>
      </c>
      <c r="G805" s="1268">
        <v>0</v>
      </c>
      <c r="H805" s="1268">
        <v>0</v>
      </c>
      <c r="I805" s="1268">
        <v>0</v>
      </c>
      <c r="J805" s="1268">
        <v>0</v>
      </c>
      <c r="K805" s="1278">
        <v>0</v>
      </c>
      <c r="L805" s="1268">
        <v>0</v>
      </c>
      <c r="M805" s="1278">
        <v>0</v>
      </c>
      <c r="N805" s="1268">
        <v>0</v>
      </c>
      <c r="O805" s="1351">
        <v>588</v>
      </c>
      <c r="P805" s="1268">
        <v>1845592</v>
      </c>
      <c r="Q805" s="1268">
        <v>0</v>
      </c>
      <c r="R805" s="1268">
        <v>0</v>
      </c>
      <c r="S805" s="1268">
        <v>0</v>
      </c>
      <c r="T805" s="1268">
        <v>0</v>
      </c>
      <c r="U805" s="1268">
        <v>0</v>
      </c>
      <c r="V805" s="1268">
        <v>0</v>
      </c>
      <c r="W805" s="1328">
        <v>0</v>
      </c>
      <c r="X805" s="1268">
        <v>144554</v>
      </c>
      <c r="Y805" s="1268">
        <v>0</v>
      </c>
    </row>
    <row r="806" spans="1:25" s="1287" customFormat="1">
      <c r="A806" s="1281">
        <v>85</v>
      </c>
      <c r="B806" s="1341" t="s">
        <v>1380</v>
      </c>
      <c r="C806" s="1268">
        <f t="shared" si="383"/>
        <v>1624609</v>
      </c>
      <c r="D806" s="1268">
        <v>0</v>
      </c>
      <c r="E806" s="1268">
        <v>0</v>
      </c>
      <c r="F806" s="1268">
        <v>0</v>
      </c>
      <c r="G806" s="1268">
        <v>0</v>
      </c>
      <c r="H806" s="1268">
        <v>0</v>
      </c>
      <c r="I806" s="1268">
        <v>0</v>
      </c>
      <c r="J806" s="1268">
        <v>0</v>
      </c>
      <c r="K806" s="1278">
        <v>0</v>
      </c>
      <c r="L806" s="1268">
        <v>0</v>
      </c>
      <c r="M806" s="1278">
        <v>0</v>
      </c>
      <c r="N806" s="1268">
        <v>0</v>
      </c>
      <c r="O806" s="1351">
        <v>480</v>
      </c>
      <c r="P806" s="1268">
        <v>1506606</v>
      </c>
      <c r="Q806" s="1268">
        <v>0</v>
      </c>
      <c r="R806" s="1268">
        <v>0</v>
      </c>
      <c r="S806" s="1268">
        <v>0</v>
      </c>
      <c r="T806" s="1268">
        <v>0</v>
      </c>
      <c r="U806" s="1268">
        <v>0</v>
      </c>
      <c r="V806" s="1268">
        <v>0</v>
      </c>
      <c r="W806" s="1328">
        <v>0</v>
      </c>
      <c r="X806" s="1268">
        <v>118003</v>
      </c>
      <c r="Y806" s="1268">
        <v>0</v>
      </c>
    </row>
    <row r="807" spans="1:25" s="1287" customFormat="1" ht="127.8" customHeight="1">
      <c r="A807" s="1281"/>
      <c r="B807" s="1277" t="s">
        <v>1221</v>
      </c>
      <c r="C807" s="1268">
        <f>C808+C809+C810+C811+C812</f>
        <v>11807368</v>
      </c>
      <c r="D807" s="1268">
        <f t="shared" ref="D807:Y807" si="384">D808+D809+D810+D811+D812</f>
        <v>0</v>
      </c>
      <c r="E807" s="1268">
        <f t="shared" si="384"/>
        <v>0</v>
      </c>
      <c r="F807" s="1268">
        <f t="shared" si="384"/>
        <v>0</v>
      </c>
      <c r="G807" s="1268">
        <f t="shared" si="384"/>
        <v>0</v>
      </c>
      <c r="H807" s="1268">
        <f t="shared" si="384"/>
        <v>0</v>
      </c>
      <c r="I807" s="1268">
        <f t="shared" si="384"/>
        <v>0</v>
      </c>
      <c r="J807" s="1268">
        <f t="shared" si="384"/>
        <v>0</v>
      </c>
      <c r="K807" s="1278">
        <f t="shared" si="384"/>
        <v>0</v>
      </c>
      <c r="L807" s="1268">
        <f t="shared" si="384"/>
        <v>0</v>
      </c>
      <c r="M807" s="1278">
        <f t="shared" si="384"/>
        <v>0</v>
      </c>
      <c r="N807" s="1268">
        <f t="shared" si="384"/>
        <v>0</v>
      </c>
      <c r="O807" s="1268">
        <f t="shared" si="384"/>
        <v>3786.0499999999997</v>
      </c>
      <c r="P807" s="1268">
        <f t="shared" si="384"/>
        <v>10949741</v>
      </c>
      <c r="Q807" s="1268">
        <f t="shared" si="384"/>
        <v>0</v>
      </c>
      <c r="R807" s="1268">
        <f t="shared" si="384"/>
        <v>0</v>
      </c>
      <c r="S807" s="1268">
        <f t="shared" si="384"/>
        <v>0</v>
      </c>
      <c r="T807" s="1268">
        <f t="shared" si="384"/>
        <v>0</v>
      </c>
      <c r="U807" s="1268">
        <f t="shared" si="384"/>
        <v>0</v>
      </c>
      <c r="V807" s="1268">
        <f t="shared" si="384"/>
        <v>0</v>
      </c>
      <c r="W807" s="1328">
        <v>0</v>
      </c>
      <c r="X807" s="1268">
        <f t="shared" si="384"/>
        <v>857627</v>
      </c>
      <c r="Y807" s="1268">
        <f t="shared" si="384"/>
        <v>0</v>
      </c>
    </row>
    <row r="808" spans="1:25" s="1287" customFormat="1">
      <c r="A808" s="1281">
        <v>86</v>
      </c>
      <c r="B808" s="1277" t="s">
        <v>1929</v>
      </c>
      <c r="C808" s="1268">
        <f t="shared" ref="C808" si="385">D808+N808+P808+R808+T808+V808+X808</f>
        <v>2799891</v>
      </c>
      <c r="D808" s="1268">
        <f t="shared" ref="D808" si="386">SUM(E808:J808)</f>
        <v>0</v>
      </c>
      <c r="E808" s="1268">
        <v>0</v>
      </c>
      <c r="F808" s="1268">
        <v>0</v>
      </c>
      <c r="G808" s="1268">
        <v>0</v>
      </c>
      <c r="H808" s="1268">
        <v>0</v>
      </c>
      <c r="I808" s="1268">
        <v>0</v>
      </c>
      <c r="J808" s="1268">
        <v>0</v>
      </c>
      <c r="K808" s="1278">
        <v>0</v>
      </c>
      <c r="L808" s="1268">
        <v>0</v>
      </c>
      <c r="M808" s="1278">
        <v>0</v>
      </c>
      <c r="N808" s="1268">
        <v>0</v>
      </c>
      <c r="O808" s="1268">
        <v>1030.45</v>
      </c>
      <c r="P808" s="1268">
        <v>2596521</v>
      </c>
      <c r="Q808" s="1268">
        <v>0</v>
      </c>
      <c r="R808" s="1268">
        <v>0</v>
      </c>
      <c r="S808" s="1268">
        <v>0</v>
      </c>
      <c r="T808" s="1268">
        <v>0</v>
      </c>
      <c r="U808" s="1268">
        <v>0</v>
      </c>
      <c r="V808" s="1268">
        <v>0</v>
      </c>
      <c r="W808" s="1328">
        <v>0</v>
      </c>
      <c r="X808" s="1268">
        <v>203370</v>
      </c>
      <c r="Y808" s="1268">
        <v>0</v>
      </c>
    </row>
    <row r="809" spans="1:25" s="1287" customFormat="1">
      <c r="A809" s="1281">
        <v>87</v>
      </c>
      <c r="B809" s="1267" t="s">
        <v>1571</v>
      </c>
      <c r="C809" s="1268">
        <f t="shared" ref="C809:C812" si="387">D809+N809+P809+R809+T809+V809+X809</f>
        <v>2498424</v>
      </c>
      <c r="D809" s="1268">
        <f t="shared" ref="D809:D812" si="388">SUM(E809:J809)</f>
        <v>0</v>
      </c>
      <c r="E809" s="1268">
        <v>0</v>
      </c>
      <c r="F809" s="1268">
        <v>0</v>
      </c>
      <c r="G809" s="1268">
        <v>0</v>
      </c>
      <c r="H809" s="1268">
        <v>0</v>
      </c>
      <c r="I809" s="1268">
        <v>0</v>
      </c>
      <c r="J809" s="1268">
        <v>0</v>
      </c>
      <c r="K809" s="1278">
        <v>0</v>
      </c>
      <c r="L809" s="1268">
        <v>0</v>
      </c>
      <c r="M809" s="1278">
        <v>0</v>
      </c>
      <c r="N809" s="1268">
        <v>0</v>
      </c>
      <c r="O809" s="1268">
        <v>471</v>
      </c>
      <c r="P809" s="1268">
        <v>2316951</v>
      </c>
      <c r="Q809" s="1268">
        <v>0</v>
      </c>
      <c r="R809" s="1268">
        <v>0</v>
      </c>
      <c r="S809" s="1268">
        <v>0</v>
      </c>
      <c r="T809" s="1268">
        <v>0</v>
      </c>
      <c r="U809" s="1268">
        <v>0</v>
      </c>
      <c r="V809" s="1268">
        <v>0</v>
      </c>
      <c r="W809" s="1328">
        <v>0</v>
      </c>
      <c r="X809" s="1268">
        <v>181473</v>
      </c>
      <c r="Y809" s="1268">
        <v>0</v>
      </c>
    </row>
    <row r="810" spans="1:25" s="1287" customFormat="1">
      <c r="A810" s="1281">
        <v>88</v>
      </c>
      <c r="B810" s="1277" t="s">
        <v>989</v>
      </c>
      <c r="C810" s="1268">
        <f t="shared" si="387"/>
        <v>2503042</v>
      </c>
      <c r="D810" s="1268">
        <f t="shared" si="388"/>
        <v>0</v>
      </c>
      <c r="E810" s="1268">
        <v>0</v>
      </c>
      <c r="F810" s="1268">
        <v>0</v>
      </c>
      <c r="G810" s="1268">
        <v>0</v>
      </c>
      <c r="H810" s="1268">
        <v>0</v>
      </c>
      <c r="I810" s="1268">
        <v>0</v>
      </c>
      <c r="J810" s="1268">
        <v>0</v>
      </c>
      <c r="K810" s="1278">
        <v>0</v>
      </c>
      <c r="L810" s="1268">
        <v>0</v>
      </c>
      <c r="M810" s="1278">
        <v>0</v>
      </c>
      <c r="N810" s="1268">
        <v>0</v>
      </c>
      <c r="O810" s="1268">
        <v>919.5</v>
      </c>
      <c r="P810" s="1268">
        <v>2321234</v>
      </c>
      <c r="Q810" s="1268">
        <v>0</v>
      </c>
      <c r="R810" s="1268">
        <v>0</v>
      </c>
      <c r="S810" s="1268">
        <v>0</v>
      </c>
      <c r="T810" s="1268">
        <v>0</v>
      </c>
      <c r="U810" s="1268">
        <v>0</v>
      </c>
      <c r="V810" s="1268">
        <v>0</v>
      </c>
      <c r="W810" s="1328">
        <v>0</v>
      </c>
      <c r="X810" s="1268">
        <v>181808</v>
      </c>
      <c r="Y810" s="1268">
        <v>0</v>
      </c>
    </row>
    <row r="811" spans="1:25" s="1287" customFormat="1">
      <c r="A811" s="1281">
        <v>89</v>
      </c>
      <c r="B811" s="1277" t="s">
        <v>1988</v>
      </c>
      <c r="C811" s="1268">
        <f t="shared" si="387"/>
        <v>2503586</v>
      </c>
      <c r="D811" s="1268">
        <f t="shared" si="388"/>
        <v>0</v>
      </c>
      <c r="E811" s="1268">
        <v>0</v>
      </c>
      <c r="F811" s="1268">
        <v>0</v>
      </c>
      <c r="G811" s="1268">
        <v>0</v>
      </c>
      <c r="H811" s="1268">
        <v>0</v>
      </c>
      <c r="I811" s="1268">
        <v>0</v>
      </c>
      <c r="J811" s="1268">
        <v>0</v>
      </c>
      <c r="K811" s="1278">
        <v>0</v>
      </c>
      <c r="L811" s="1268">
        <v>0</v>
      </c>
      <c r="M811" s="1278">
        <v>0</v>
      </c>
      <c r="N811" s="1268">
        <v>0</v>
      </c>
      <c r="O811" s="1268">
        <v>921.2</v>
      </c>
      <c r="P811" s="1268">
        <v>2321738</v>
      </c>
      <c r="Q811" s="1268">
        <v>0</v>
      </c>
      <c r="R811" s="1268">
        <v>0</v>
      </c>
      <c r="S811" s="1268">
        <v>0</v>
      </c>
      <c r="T811" s="1268">
        <v>0</v>
      </c>
      <c r="U811" s="1268">
        <v>0</v>
      </c>
      <c r="V811" s="1268">
        <v>0</v>
      </c>
      <c r="W811" s="1328">
        <v>0</v>
      </c>
      <c r="X811" s="1268">
        <v>181848</v>
      </c>
      <c r="Y811" s="1268">
        <v>0</v>
      </c>
    </row>
    <row r="812" spans="1:25" s="1287" customFormat="1">
      <c r="A812" s="1352">
        <v>90</v>
      </c>
      <c r="B812" s="1315" t="s">
        <v>1989</v>
      </c>
      <c r="C812" s="1268">
        <f t="shared" si="387"/>
        <v>1502425</v>
      </c>
      <c r="D812" s="1268">
        <f t="shared" si="388"/>
        <v>0</v>
      </c>
      <c r="E812" s="1268">
        <v>0</v>
      </c>
      <c r="F812" s="1268">
        <v>0</v>
      </c>
      <c r="G812" s="1268">
        <v>0</v>
      </c>
      <c r="H812" s="1268">
        <v>0</v>
      </c>
      <c r="I812" s="1268">
        <v>0</v>
      </c>
      <c r="J812" s="1268">
        <v>0</v>
      </c>
      <c r="K812" s="1278">
        <v>0</v>
      </c>
      <c r="L812" s="1268">
        <v>0</v>
      </c>
      <c r="M812" s="1278">
        <v>0</v>
      </c>
      <c r="N812" s="1268">
        <v>0</v>
      </c>
      <c r="O812" s="1316">
        <v>443.9</v>
      </c>
      <c r="P812" s="1316">
        <v>1393297</v>
      </c>
      <c r="Q812" s="1268">
        <v>0</v>
      </c>
      <c r="R812" s="1268">
        <v>0</v>
      </c>
      <c r="S812" s="1268">
        <v>0</v>
      </c>
      <c r="T812" s="1268">
        <v>0</v>
      </c>
      <c r="U812" s="1268">
        <v>0</v>
      </c>
      <c r="V812" s="1268">
        <v>0</v>
      </c>
      <c r="W812" s="1328">
        <v>0</v>
      </c>
      <c r="X812" s="1316">
        <v>109128</v>
      </c>
      <c r="Y812" s="1316">
        <v>0</v>
      </c>
    </row>
    <row r="813" spans="1:25" s="1287" customFormat="1">
      <c r="A813" s="1352"/>
      <c r="B813" s="1315" t="s">
        <v>52</v>
      </c>
      <c r="C813" s="1268">
        <f>C814</f>
        <v>1378249</v>
      </c>
      <c r="D813" s="1268">
        <f t="shared" ref="D813:Y813" si="389">D814</f>
        <v>0</v>
      </c>
      <c r="E813" s="1268">
        <f t="shared" si="389"/>
        <v>0</v>
      </c>
      <c r="F813" s="1268">
        <f t="shared" si="389"/>
        <v>0</v>
      </c>
      <c r="G813" s="1268">
        <f t="shared" si="389"/>
        <v>0</v>
      </c>
      <c r="H813" s="1268">
        <f t="shared" si="389"/>
        <v>0</v>
      </c>
      <c r="I813" s="1268">
        <f t="shared" si="389"/>
        <v>0</v>
      </c>
      <c r="J813" s="1268">
        <f t="shared" si="389"/>
        <v>0</v>
      </c>
      <c r="K813" s="1278">
        <f t="shared" si="389"/>
        <v>0</v>
      </c>
      <c r="L813" s="1268">
        <f t="shared" si="389"/>
        <v>0</v>
      </c>
      <c r="M813" s="1278">
        <f t="shared" si="389"/>
        <v>0</v>
      </c>
      <c r="N813" s="1268">
        <f t="shared" si="389"/>
        <v>0</v>
      </c>
      <c r="O813" s="1268">
        <f t="shared" si="389"/>
        <v>507.24</v>
      </c>
      <c r="P813" s="1268">
        <f t="shared" si="389"/>
        <v>1278140</v>
      </c>
      <c r="Q813" s="1268">
        <f t="shared" si="389"/>
        <v>0</v>
      </c>
      <c r="R813" s="1268">
        <f t="shared" si="389"/>
        <v>0</v>
      </c>
      <c r="S813" s="1268">
        <f t="shared" si="389"/>
        <v>0</v>
      </c>
      <c r="T813" s="1268">
        <f t="shared" si="389"/>
        <v>0</v>
      </c>
      <c r="U813" s="1268">
        <f t="shared" si="389"/>
        <v>0</v>
      </c>
      <c r="V813" s="1268">
        <f t="shared" si="389"/>
        <v>0</v>
      </c>
      <c r="W813" s="1328">
        <v>0</v>
      </c>
      <c r="X813" s="1268">
        <f t="shared" si="389"/>
        <v>100109</v>
      </c>
      <c r="Y813" s="1268">
        <f t="shared" si="389"/>
        <v>0</v>
      </c>
    </row>
    <row r="814" spans="1:25" s="1287" customFormat="1" ht="75.599999999999994">
      <c r="A814" s="1281"/>
      <c r="B814" s="1277" t="s">
        <v>1512</v>
      </c>
      <c r="C814" s="1268">
        <f>C815</f>
        <v>1378249</v>
      </c>
      <c r="D814" s="1268">
        <f t="shared" ref="D814:Y814" si="390">D815</f>
        <v>0</v>
      </c>
      <c r="E814" s="1268">
        <f t="shared" si="390"/>
        <v>0</v>
      </c>
      <c r="F814" s="1268">
        <f t="shared" si="390"/>
        <v>0</v>
      </c>
      <c r="G814" s="1268">
        <f t="shared" si="390"/>
        <v>0</v>
      </c>
      <c r="H814" s="1268">
        <f t="shared" si="390"/>
        <v>0</v>
      </c>
      <c r="I814" s="1268">
        <f t="shared" si="390"/>
        <v>0</v>
      </c>
      <c r="J814" s="1268">
        <f t="shared" si="390"/>
        <v>0</v>
      </c>
      <c r="K814" s="1278">
        <f t="shared" si="390"/>
        <v>0</v>
      </c>
      <c r="L814" s="1268">
        <f t="shared" si="390"/>
        <v>0</v>
      </c>
      <c r="M814" s="1278">
        <f t="shared" si="390"/>
        <v>0</v>
      </c>
      <c r="N814" s="1268">
        <f t="shared" si="390"/>
        <v>0</v>
      </c>
      <c r="O814" s="1268">
        <f t="shared" si="390"/>
        <v>507.24</v>
      </c>
      <c r="P814" s="1268">
        <f t="shared" si="390"/>
        <v>1278140</v>
      </c>
      <c r="Q814" s="1268">
        <f t="shared" si="390"/>
        <v>0</v>
      </c>
      <c r="R814" s="1268">
        <f t="shared" si="390"/>
        <v>0</v>
      </c>
      <c r="S814" s="1268">
        <f t="shared" si="390"/>
        <v>0</v>
      </c>
      <c r="T814" s="1268">
        <f t="shared" si="390"/>
        <v>0</v>
      </c>
      <c r="U814" s="1268">
        <f t="shared" si="390"/>
        <v>0</v>
      </c>
      <c r="V814" s="1268">
        <f t="shared" si="390"/>
        <v>0</v>
      </c>
      <c r="W814" s="1328">
        <v>0</v>
      </c>
      <c r="X814" s="1268">
        <f t="shared" si="390"/>
        <v>100109</v>
      </c>
      <c r="Y814" s="1268">
        <f t="shared" si="390"/>
        <v>0</v>
      </c>
    </row>
    <row r="815" spans="1:25" s="1287" customFormat="1" ht="75.599999999999994">
      <c r="A815" s="1281">
        <v>91</v>
      </c>
      <c r="B815" s="1277" t="s">
        <v>1514</v>
      </c>
      <c r="C815" s="1289">
        <f t="shared" ref="C815" si="391">D815+N815+P815+R815+T815+V815+X815</f>
        <v>1378249</v>
      </c>
      <c r="D815" s="1289">
        <f t="shared" ref="D815" si="392">SUM(E815:J815)</f>
        <v>0</v>
      </c>
      <c r="E815" s="1268">
        <v>0</v>
      </c>
      <c r="F815" s="1268">
        <v>0</v>
      </c>
      <c r="G815" s="1268">
        <v>0</v>
      </c>
      <c r="H815" s="1268">
        <v>0</v>
      </c>
      <c r="I815" s="1268">
        <v>0</v>
      </c>
      <c r="J815" s="1268">
        <v>0</v>
      </c>
      <c r="K815" s="1278">
        <v>0</v>
      </c>
      <c r="L815" s="1268">
        <v>0</v>
      </c>
      <c r="M815" s="1278">
        <v>0</v>
      </c>
      <c r="N815" s="1268">
        <v>0</v>
      </c>
      <c r="O815" s="1268">
        <v>507.24</v>
      </c>
      <c r="P815" s="1268">
        <v>1278140</v>
      </c>
      <c r="Q815" s="1268">
        <v>0</v>
      </c>
      <c r="R815" s="1268">
        <v>0</v>
      </c>
      <c r="S815" s="1268">
        <v>0</v>
      </c>
      <c r="T815" s="1268">
        <v>0</v>
      </c>
      <c r="U815" s="1268">
        <v>0</v>
      </c>
      <c r="V815" s="1268">
        <v>0</v>
      </c>
      <c r="W815" s="1328">
        <v>0</v>
      </c>
      <c r="X815" s="1268">
        <v>100109</v>
      </c>
      <c r="Y815" s="1268">
        <v>0</v>
      </c>
    </row>
    <row r="816" spans="1:25" s="1287" customFormat="1">
      <c r="A816" s="1281"/>
      <c r="B816" s="1277" t="s">
        <v>53</v>
      </c>
      <c r="C816" s="1268">
        <f>C817+C829+C823+C825+C827</f>
        <v>71897355</v>
      </c>
      <c r="D816" s="1268">
        <f t="shared" ref="D816:Y816" si="393">D817+D829+D823+D825+D827</f>
        <v>9730322</v>
      </c>
      <c r="E816" s="1268">
        <f t="shared" si="393"/>
        <v>0</v>
      </c>
      <c r="F816" s="1268">
        <f t="shared" si="393"/>
        <v>3720437</v>
      </c>
      <c r="G816" s="1268">
        <f t="shared" si="393"/>
        <v>0</v>
      </c>
      <c r="H816" s="1268">
        <f t="shared" si="393"/>
        <v>2284240</v>
      </c>
      <c r="I816" s="1268">
        <f t="shared" si="393"/>
        <v>2281240</v>
      </c>
      <c r="J816" s="1268">
        <f t="shared" si="393"/>
        <v>1444405</v>
      </c>
      <c r="K816" s="1278">
        <f t="shared" si="393"/>
        <v>0</v>
      </c>
      <c r="L816" s="1268">
        <f t="shared" si="393"/>
        <v>0</v>
      </c>
      <c r="M816" s="1278">
        <f t="shared" si="393"/>
        <v>8</v>
      </c>
      <c r="N816" s="1268">
        <f t="shared" si="393"/>
        <v>18039288</v>
      </c>
      <c r="O816" s="1268">
        <f t="shared" si="393"/>
        <v>6889.96</v>
      </c>
      <c r="P816" s="1268">
        <f t="shared" si="393"/>
        <v>19589671</v>
      </c>
      <c r="Q816" s="1268">
        <f t="shared" si="393"/>
        <v>0</v>
      </c>
      <c r="R816" s="1268">
        <f t="shared" si="393"/>
        <v>0</v>
      </c>
      <c r="S816" s="1268">
        <f t="shared" si="393"/>
        <v>4029.6</v>
      </c>
      <c r="T816" s="1268">
        <f t="shared" si="393"/>
        <v>19315606</v>
      </c>
      <c r="U816" s="1268">
        <f t="shared" si="393"/>
        <v>0</v>
      </c>
      <c r="V816" s="1268">
        <f t="shared" si="393"/>
        <v>0</v>
      </c>
      <c r="W816" s="1328">
        <v>0</v>
      </c>
      <c r="X816" s="1268">
        <f t="shared" si="393"/>
        <v>5222468</v>
      </c>
      <c r="Y816" s="1268">
        <f t="shared" si="393"/>
        <v>0</v>
      </c>
    </row>
    <row r="817" spans="1:25" s="1287" customFormat="1" ht="113.4">
      <c r="A817" s="1281"/>
      <c r="B817" s="1277" t="s">
        <v>1083</v>
      </c>
      <c r="C817" s="1268">
        <f>SUM(C818:C822)</f>
        <v>57241206</v>
      </c>
      <c r="D817" s="1268">
        <f t="shared" ref="D817:Y817" si="394">SUM(D818:D822)</f>
        <v>9730322</v>
      </c>
      <c r="E817" s="1268">
        <f t="shared" si="394"/>
        <v>0</v>
      </c>
      <c r="F817" s="1268">
        <f t="shared" si="394"/>
        <v>3720437</v>
      </c>
      <c r="G817" s="1268">
        <f t="shared" si="394"/>
        <v>0</v>
      </c>
      <c r="H817" s="1268">
        <f t="shared" si="394"/>
        <v>2284240</v>
      </c>
      <c r="I817" s="1268">
        <f t="shared" si="394"/>
        <v>2281240</v>
      </c>
      <c r="J817" s="1268">
        <f t="shared" si="394"/>
        <v>1444405</v>
      </c>
      <c r="K817" s="1278">
        <f t="shared" si="394"/>
        <v>0</v>
      </c>
      <c r="L817" s="1268">
        <f t="shared" si="394"/>
        <v>0</v>
      </c>
      <c r="M817" s="1278">
        <f t="shared" si="394"/>
        <v>8</v>
      </c>
      <c r="N817" s="1268">
        <f t="shared" si="394"/>
        <v>18039288</v>
      </c>
      <c r="O817" s="1268">
        <f t="shared" si="394"/>
        <v>2120</v>
      </c>
      <c r="P817" s="1268">
        <f t="shared" si="394"/>
        <v>5998069</v>
      </c>
      <c r="Q817" s="1268">
        <f t="shared" si="394"/>
        <v>0</v>
      </c>
      <c r="R817" s="1268">
        <f t="shared" si="394"/>
        <v>0</v>
      </c>
      <c r="S817" s="1268">
        <f t="shared" si="394"/>
        <v>4029.6</v>
      </c>
      <c r="T817" s="1268">
        <f t="shared" si="394"/>
        <v>19315606</v>
      </c>
      <c r="U817" s="1268">
        <f t="shared" si="394"/>
        <v>0</v>
      </c>
      <c r="V817" s="1268">
        <f t="shared" si="394"/>
        <v>0</v>
      </c>
      <c r="W817" s="1328">
        <v>0</v>
      </c>
      <c r="X817" s="1268">
        <f t="shared" si="394"/>
        <v>4157921</v>
      </c>
      <c r="Y817" s="1268">
        <f t="shared" si="394"/>
        <v>0</v>
      </c>
    </row>
    <row r="818" spans="1:25" s="1287" customFormat="1">
      <c r="A818" s="1306">
        <v>92</v>
      </c>
      <c r="B818" s="1300" t="s">
        <v>1447</v>
      </c>
      <c r="C818" s="1289">
        <f t="shared" ref="C818" si="395">D818+N818+P818+R818+T818+V818+X818</f>
        <v>12157622</v>
      </c>
      <c r="D818" s="1289">
        <f t="shared" ref="D818" si="396">SUM(E818:J818)</f>
        <v>0</v>
      </c>
      <c r="E818" s="1307">
        <v>0</v>
      </c>
      <c r="F818" s="1307">
        <v>0</v>
      </c>
      <c r="G818" s="1307">
        <v>0</v>
      </c>
      <c r="H818" s="1307">
        <v>0</v>
      </c>
      <c r="I818" s="1307">
        <v>0</v>
      </c>
      <c r="J818" s="1307">
        <v>0</v>
      </c>
      <c r="K818" s="1308">
        <v>0</v>
      </c>
      <c r="L818" s="1307">
        <v>0</v>
      </c>
      <c r="M818" s="1308">
        <v>5</v>
      </c>
      <c r="N818" s="1307">
        <v>11274555</v>
      </c>
      <c r="O818" s="1307">
        <v>0</v>
      </c>
      <c r="P818" s="1307">
        <v>0</v>
      </c>
      <c r="Q818" s="1307">
        <v>0</v>
      </c>
      <c r="R818" s="1307">
        <v>0</v>
      </c>
      <c r="S818" s="1307">
        <v>0</v>
      </c>
      <c r="T818" s="1307">
        <v>0</v>
      </c>
      <c r="U818" s="1307">
        <v>0</v>
      </c>
      <c r="V818" s="1307">
        <v>0</v>
      </c>
      <c r="W818" s="1328">
        <v>0</v>
      </c>
      <c r="X818" s="1307">
        <v>883067</v>
      </c>
      <c r="Y818" s="1289">
        <v>0</v>
      </c>
    </row>
    <row r="819" spans="1:25" s="1287" customFormat="1">
      <c r="A819" s="1281">
        <v>93</v>
      </c>
      <c r="B819" s="1277" t="s">
        <v>1448</v>
      </c>
      <c r="C819" s="1289">
        <f t="shared" ref="C819:C822" si="397">D819+N819+P819+R819+T819+V819+X819</f>
        <v>14001917</v>
      </c>
      <c r="D819" s="1289">
        <f t="shared" ref="D819:D822" si="398">SUM(E819:J819)</f>
        <v>0</v>
      </c>
      <c r="E819" s="1289">
        <v>0</v>
      </c>
      <c r="F819" s="1289">
        <v>0</v>
      </c>
      <c r="G819" s="1289">
        <v>0</v>
      </c>
      <c r="H819" s="1289">
        <v>0</v>
      </c>
      <c r="I819" s="1289">
        <v>0</v>
      </c>
      <c r="J819" s="1289">
        <v>0</v>
      </c>
      <c r="K819" s="1278">
        <v>0</v>
      </c>
      <c r="L819" s="1289">
        <v>0</v>
      </c>
      <c r="M819" s="1278">
        <v>0</v>
      </c>
      <c r="N819" s="1289">
        <v>0</v>
      </c>
      <c r="O819" s="1289">
        <v>1060</v>
      </c>
      <c r="P819" s="1289">
        <v>3327088</v>
      </c>
      <c r="Q819" s="1289">
        <v>0</v>
      </c>
      <c r="R819" s="1289">
        <v>0</v>
      </c>
      <c r="S819" s="1289">
        <v>2014.8</v>
      </c>
      <c r="T819" s="1289">
        <v>9657803</v>
      </c>
      <c r="U819" s="1289">
        <v>0</v>
      </c>
      <c r="V819" s="1289">
        <v>0</v>
      </c>
      <c r="W819" s="1328">
        <v>0</v>
      </c>
      <c r="X819" s="1289">
        <f>260590+756436</f>
        <v>1017026</v>
      </c>
      <c r="Y819" s="1289">
        <v>0</v>
      </c>
    </row>
    <row r="820" spans="1:25" s="1287" customFormat="1">
      <c r="A820" s="1281">
        <v>94</v>
      </c>
      <c r="B820" s="1277" t="s">
        <v>1449</v>
      </c>
      <c r="C820" s="1289">
        <f t="shared" si="397"/>
        <v>13294422</v>
      </c>
      <c r="D820" s="1289">
        <f t="shared" si="398"/>
        <v>0</v>
      </c>
      <c r="E820" s="1289">
        <v>0</v>
      </c>
      <c r="F820" s="1289">
        <v>0</v>
      </c>
      <c r="G820" s="1289">
        <v>0</v>
      </c>
      <c r="H820" s="1289">
        <v>0</v>
      </c>
      <c r="I820" s="1289">
        <v>0</v>
      </c>
      <c r="J820" s="1289">
        <v>0</v>
      </c>
      <c r="K820" s="1278">
        <v>0</v>
      </c>
      <c r="L820" s="1289">
        <v>0</v>
      </c>
      <c r="M820" s="1278">
        <v>0</v>
      </c>
      <c r="N820" s="1289">
        <v>0</v>
      </c>
      <c r="O820" s="1289">
        <v>1060</v>
      </c>
      <c r="P820" s="1289">
        <v>2670981</v>
      </c>
      <c r="Q820" s="1289">
        <v>0</v>
      </c>
      <c r="R820" s="1289">
        <v>0</v>
      </c>
      <c r="S820" s="1289">
        <v>2014.8</v>
      </c>
      <c r="T820" s="1289">
        <v>9657803</v>
      </c>
      <c r="U820" s="1289">
        <v>0</v>
      </c>
      <c r="V820" s="1289">
        <v>0</v>
      </c>
      <c r="W820" s="1328">
        <v>0</v>
      </c>
      <c r="X820" s="1289">
        <f>756436+209202</f>
        <v>965638</v>
      </c>
      <c r="Y820" s="1289">
        <v>0</v>
      </c>
    </row>
    <row r="821" spans="1:25" s="1287" customFormat="1">
      <c r="A821" s="1281">
        <v>95</v>
      </c>
      <c r="B821" s="1277" t="s">
        <v>1450</v>
      </c>
      <c r="C821" s="1289">
        <f t="shared" si="397"/>
        <v>10492672</v>
      </c>
      <c r="D821" s="1289">
        <f t="shared" si="398"/>
        <v>9730322</v>
      </c>
      <c r="E821" s="1289">
        <v>0</v>
      </c>
      <c r="F821" s="1289">
        <v>3720437</v>
      </c>
      <c r="G821" s="1289">
        <v>0</v>
      </c>
      <c r="H821" s="1289">
        <v>2284240</v>
      </c>
      <c r="I821" s="1289">
        <v>2281240</v>
      </c>
      <c r="J821" s="1289">
        <v>1444405</v>
      </c>
      <c r="K821" s="1278">
        <v>0</v>
      </c>
      <c r="L821" s="1289">
        <v>0</v>
      </c>
      <c r="M821" s="1278">
        <v>0</v>
      </c>
      <c r="N821" s="1289">
        <v>0</v>
      </c>
      <c r="O821" s="1289">
        <v>0</v>
      </c>
      <c r="P821" s="1289">
        <v>0</v>
      </c>
      <c r="Q821" s="1289">
        <v>0</v>
      </c>
      <c r="R821" s="1289">
        <v>0</v>
      </c>
      <c r="S821" s="1289">
        <v>0</v>
      </c>
      <c r="T821" s="1289">
        <v>0</v>
      </c>
      <c r="U821" s="1289">
        <v>0</v>
      </c>
      <c r="V821" s="1289">
        <v>0</v>
      </c>
      <c r="W821" s="1328">
        <v>0</v>
      </c>
      <c r="X821" s="1289">
        <f>291399+178910+113131+178910</f>
        <v>762350</v>
      </c>
      <c r="Y821" s="1289">
        <v>0</v>
      </c>
    </row>
    <row r="822" spans="1:25" s="1287" customFormat="1">
      <c r="A822" s="1281">
        <v>96</v>
      </c>
      <c r="B822" s="1277" t="s">
        <v>1451</v>
      </c>
      <c r="C822" s="1289">
        <f t="shared" si="397"/>
        <v>7294573</v>
      </c>
      <c r="D822" s="1289">
        <f t="shared" si="398"/>
        <v>0</v>
      </c>
      <c r="E822" s="1289">
        <v>0</v>
      </c>
      <c r="F822" s="1289">
        <v>0</v>
      </c>
      <c r="G822" s="1289">
        <v>0</v>
      </c>
      <c r="H822" s="1289">
        <v>0</v>
      </c>
      <c r="I822" s="1289">
        <v>0</v>
      </c>
      <c r="J822" s="1289">
        <v>0</v>
      </c>
      <c r="K822" s="1278">
        <v>0</v>
      </c>
      <c r="L822" s="1289">
        <v>0</v>
      </c>
      <c r="M822" s="1278">
        <v>3</v>
      </c>
      <c r="N822" s="1289">
        <v>6764733</v>
      </c>
      <c r="O822" s="1289">
        <v>0</v>
      </c>
      <c r="P822" s="1289">
        <v>0</v>
      </c>
      <c r="Q822" s="1289">
        <v>0</v>
      </c>
      <c r="R822" s="1289">
        <v>0</v>
      </c>
      <c r="S822" s="1289">
        <v>0</v>
      </c>
      <c r="T822" s="1289">
        <v>0</v>
      </c>
      <c r="U822" s="1289">
        <v>0</v>
      </c>
      <c r="V822" s="1289">
        <v>0</v>
      </c>
      <c r="W822" s="1328">
        <v>0</v>
      </c>
      <c r="X822" s="1346">
        <v>529840</v>
      </c>
      <c r="Y822" s="1289">
        <v>0</v>
      </c>
    </row>
    <row r="823" spans="1:25" s="1287" customFormat="1" ht="94.8" customHeight="1">
      <c r="A823" s="1281"/>
      <c r="B823" s="1277" t="s">
        <v>1088</v>
      </c>
      <c r="C823" s="1268">
        <f>C824</f>
        <v>3550451</v>
      </c>
      <c r="D823" s="1268">
        <f t="shared" ref="D823:Y823" si="399">D824</f>
        <v>0</v>
      </c>
      <c r="E823" s="1268">
        <f t="shared" si="399"/>
        <v>0</v>
      </c>
      <c r="F823" s="1268">
        <f t="shared" si="399"/>
        <v>0</v>
      </c>
      <c r="G823" s="1268">
        <f t="shared" si="399"/>
        <v>0</v>
      </c>
      <c r="H823" s="1268">
        <f t="shared" si="399"/>
        <v>0</v>
      </c>
      <c r="I823" s="1268">
        <f t="shared" si="399"/>
        <v>0</v>
      </c>
      <c r="J823" s="1268">
        <f t="shared" si="399"/>
        <v>0</v>
      </c>
      <c r="K823" s="1278">
        <f t="shared" si="399"/>
        <v>0</v>
      </c>
      <c r="L823" s="1268">
        <f t="shared" si="399"/>
        <v>0</v>
      </c>
      <c r="M823" s="1278">
        <f t="shared" si="399"/>
        <v>0</v>
      </c>
      <c r="N823" s="1268">
        <f t="shared" si="399"/>
        <v>0</v>
      </c>
      <c r="O823" s="1268">
        <f t="shared" si="399"/>
        <v>864.36</v>
      </c>
      <c r="P823" s="1268">
        <f t="shared" si="399"/>
        <v>3292565</v>
      </c>
      <c r="Q823" s="1268">
        <f t="shared" si="399"/>
        <v>0</v>
      </c>
      <c r="R823" s="1268">
        <f t="shared" si="399"/>
        <v>0</v>
      </c>
      <c r="S823" s="1268">
        <f t="shared" si="399"/>
        <v>0</v>
      </c>
      <c r="T823" s="1268">
        <f t="shared" si="399"/>
        <v>0</v>
      </c>
      <c r="U823" s="1268">
        <f t="shared" si="399"/>
        <v>0</v>
      </c>
      <c r="V823" s="1268">
        <f t="shared" si="399"/>
        <v>0</v>
      </c>
      <c r="W823" s="1328">
        <v>0</v>
      </c>
      <c r="X823" s="1268">
        <f t="shared" si="399"/>
        <v>257886</v>
      </c>
      <c r="Y823" s="1268">
        <f t="shared" si="399"/>
        <v>0</v>
      </c>
    </row>
    <row r="824" spans="1:25" s="1287" customFormat="1">
      <c r="A824" s="1281">
        <v>97</v>
      </c>
      <c r="B824" s="1267" t="s">
        <v>1562</v>
      </c>
      <c r="C824" s="1289">
        <f t="shared" ref="C824" si="400">D824+N824+P824+R824+T824+V824+X824</f>
        <v>3550451</v>
      </c>
      <c r="D824" s="1289">
        <f t="shared" ref="D824" si="401">SUM(E824:J824)</f>
        <v>0</v>
      </c>
      <c r="E824" s="1268">
        <v>0</v>
      </c>
      <c r="F824" s="1268">
        <v>0</v>
      </c>
      <c r="G824" s="1268">
        <v>0</v>
      </c>
      <c r="H824" s="1268">
        <v>0</v>
      </c>
      <c r="I824" s="1268">
        <v>0</v>
      </c>
      <c r="J824" s="1268">
        <v>0</v>
      </c>
      <c r="K824" s="1278">
        <v>0</v>
      </c>
      <c r="L824" s="1268">
        <v>0</v>
      </c>
      <c r="M824" s="1278">
        <v>0</v>
      </c>
      <c r="N824" s="1268">
        <v>0</v>
      </c>
      <c r="O824" s="1268">
        <v>864.36</v>
      </c>
      <c r="P824" s="1268">
        <v>3292565</v>
      </c>
      <c r="Q824" s="1268">
        <v>0</v>
      </c>
      <c r="R824" s="1268">
        <v>0</v>
      </c>
      <c r="S824" s="1268">
        <v>0</v>
      </c>
      <c r="T824" s="1268">
        <v>0</v>
      </c>
      <c r="U824" s="1268">
        <v>0</v>
      </c>
      <c r="V824" s="1268">
        <v>0</v>
      </c>
      <c r="W824" s="1328">
        <v>0</v>
      </c>
      <c r="X824" s="1268">
        <v>257886</v>
      </c>
      <c r="Y824" s="1268">
        <v>0</v>
      </c>
    </row>
    <row r="825" spans="1:25" s="1287" customFormat="1" ht="85.2" customHeight="1">
      <c r="A825" s="1281"/>
      <c r="B825" s="1277" t="s">
        <v>1087</v>
      </c>
      <c r="C825" s="1289">
        <f>C826</f>
        <v>8518278</v>
      </c>
      <c r="D825" s="1289">
        <f t="shared" ref="D825:Y825" si="402">D826</f>
        <v>0</v>
      </c>
      <c r="E825" s="1289">
        <f t="shared" si="402"/>
        <v>0</v>
      </c>
      <c r="F825" s="1289">
        <f t="shared" si="402"/>
        <v>0</v>
      </c>
      <c r="G825" s="1289">
        <f t="shared" si="402"/>
        <v>0</v>
      </c>
      <c r="H825" s="1289">
        <f t="shared" si="402"/>
        <v>0</v>
      </c>
      <c r="I825" s="1289">
        <f t="shared" si="402"/>
        <v>0</v>
      </c>
      <c r="J825" s="1289">
        <f t="shared" si="402"/>
        <v>0</v>
      </c>
      <c r="K825" s="1278">
        <f t="shared" si="402"/>
        <v>0</v>
      </c>
      <c r="L825" s="1289">
        <f t="shared" si="402"/>
        <v>0</v>
      </c>
      <c r="M825" s="1278">
        <f t="shared" si="402"/>
        <v>0</v>
      </c>
      <c r="N825" s="1289">
        <f t="shared" si="402"/>
        <v>0</v>
      </c>
      <c r="O825" s="1289">
        <f t="shared" si="402"/>
        <v>3135</v>
      </c>
      <c r="P825" s="1289">
        <f t="shared" si="402"/>
        <v>7899554</v>
      </c>
      <c r="Q825" s="1289">
        <f t="shared" si="402"/>
        <v>0</v>
      </c>
      <c r="R825" s="1289">
        <f t="shared" si="402"/>
        <v>0</v>
      </c>
      <c r="S825" s="1289">
        <f t="shared" si="402"/>
        <v>0</v>
      </c>
      <c r="T825" s="1289">
        <f t="shared" si="402"/>
        <v>0</v>
      </c>
      <c r="U825" s="1289">
        <f t="shared" si="402"/>
        <v>0</v>
      </c>
      <c r="V825" s="1289">
        <f t="shared" si="402"/>
        <v>0</v>
      </c>
      <c r="W825" s="1328">
        <v>0</v>
      </c>
      <c r="X825" s="1289">
        <f t="shared" si="402"/>
        <v>618724</v>
      </c>
      <c r="Y825" s="1289">
        <f t="shared" si="402"/>
        <v>0</v>
      </c>
    </row>
    <row r="826" spans="1:25" s="1287" customFormat="1">
      <c r="A826" s="1281">
        <v>98</v>
      </c>
      <c r="B826" s="1267" t="s">
        <v>1044</v>
      </c>
      <c r="C826" s="1289">
        <f>D826+N826+P826+R826+T826+V826+X826+L826</f>
        <v>8518278</v>
      </c>
      <c r="D826" s="1289">
        <f t="shared" ref="D826" si="403">SUM(E826:J826)</f>
        <v>0</v>
      </c>
      <c r="E826" s="1268">
        <v>0</v>
      </c>
      <c r="F826" s="1268">
        <v>0</v>
      </c>
      <c r="G826" s="1268">
        <v>0</v>
      </c>
      <c r="H826" s="1268">
        <v>0</v>
      </c>
      <c r="I826" s="1268">
        <v>0</v>
      </c>
      <c r="J826" s="1268">
        <v>0</v>
      </c>
      <c r="K826" s="1278">
        <v>0</v>
      </c>
      <c r="L826" s="1268">
        <v>0</v>
      </c>
      <c r="M826" s="1278">
        <v>0</v>
      </c>
      <c r="N826" s="1268">
        <v>0</v>
      </c>
      <c r="O826" s="1268">
        <v>3135</v>
      </c>
      <c r="P826" s="1268">
        <v>7899554</v>
      </c>
      <c r="Q826" s="1268">
        <v>0</v>
      </c>
      <c r="R826" s="1268">
        <v>0</v>
      </c>
      <c r="S826" s="1268">
        <v>0</v>
      </c>
      <c r="T826" s="1268">
        <v>0</v>
      </c>
      <c r="U826" s="1268">
        <v>0</v>
      </c>
      <c r="V826" s="1268">
        <v>0</v>
      </c>
      <c r="W826" s="1328">
        <v>0</v>
      </c>
      <c r="X826" s="1268">
        <v>618724</v>
      </c>
      <c r="Y826" s="1268">
        <v>0</v>
      </c>
    </row>
    <row r="827" spans="1:25" s="1287" customFormat="1" ht="113.4">
      <c r="A827" s="1281"/>
      <c r="B827" s="1277" t="s">
        <v>2007</v>
      </c>
      <c r="C827" s="1289">
        <f>C828</f>
        <v>1547837</v>
      </c>
      <c r="D827" s="1289">
        <f t="shared" ref="D827:Y827" si="404">D828</f>
        <v>0</v>
      </c>
      <c r="E827" s="1289">
        <f t="shared" si="404"/>
        <v>0</v>
      </c>
      <c r="F827" s="1289">
        <f t="shared" si="404"/>
        <v>0</v>
      </c>
      <c r="G827" s="1289">
        <f t="shared" si="404"/>
        <v>0</v>
      </c>
      <c r="H827" s="1289">
        <f t="shared" si="404"/>
        <v>0</v>
      </c>
      <c r="I827" s="1289">
        <f t="shared" si="404"/>
        <v>0</v>
      </c>
      <c r="J827" s="1289">
        <f t="shared" si="404"/>
        <v>0</v>
      </c>
      <c r="K827" s="1278">
        <f t="shared" si="404"/>
        <v>0</v>
      </c>
      <c r="L827" s="1289">
        <f t="shared" si="404"/>
        <v>0</v>
      </c>
      <c r="M827" s="1278">
        <f t="shared" si="404"/>
        <v>0</v>
      </c>
      <c r="N827" s="1289">
        <f t="shared" si="404"/>
        <v>0</v>
      </c>
      <c r="O827" s="1289">
        <f t="shared" si="404"/>
        <v>388</v>
      </c>
      <c r="P827" s="1289">
        <f t="shared" si="404"/>
        <v>1435410</v>
      </c>
      <c r="Q827" s="1289">
        <f t="shared" si="404"/>
        <v>0</v>
      </c>
      <c r="R827" s="1289">
        <f t="shared" si="404"/>
        <v>0</v>
      </c>
      <c r="S827" s="1289">
        <f t="shared" si="404"/>
        <v>0</v>
      </c>
      <c r="T827" s="1289">
        <f t="shared" si="404"/>
        <v>0</v>
      </c>
      <c r="U827" s="1289">
        <f t="shared" si="404"/>
        <v>0</v>
      </c>
      <c r="V827" s="1289">
        <f t="shared" si="404"/>
        <v>0</v>
      </c>
      <c r="W827" s="1328">
        <v>0</v>
      </c>
      <c r="X827" s="1289">
        <f t="shared" si="404"/>
        <v>112427</v>
      </c>
      <c r="Y827" s="1289">
        <f t="shared" si="404"/>
        <v>0</v>
      </c>
    </row>
    <row r="828" spans="1:25" s="1287" customFormat="1" ht="75.599999999999994">
      <c r="A828" s="1281">
        <v>99</v>
      </c>
      <c r="B828" s="1277" t="s">
        <v>2485</v>
      </c>
      <c r="C828" s="1289">
        <f t="shared" ref="C828" si="405">D828+N828+P828+R828+T828+V828+X828</f>
        <v>1547837</v>
      </c>
      <c r="D828" s="1289">
        <f t="shared" ref="D828" si="406">SUM(E828:J828)</f>
        <v>0</v>
      </c>
      <c r="E828" s="1268">
        <v>0</v>
      </c>
      <c r="F828" s="1268">
        <v>0</v>
      </c>
      <c r="G828" s="1268">
        <v>0</v>
      </c>
      <c r="H828" s="1268">
        <v>0</v>
      </c>
      <c r="I828" s="1268">
        <v>0</v>
      </c>
      <c r="J828" s="1268">
        <v>0</v>
      </c>
      <c r="K828" s="1278">
        <v>0</v>
      </c>
      <c r="L828" s="1268">
        <v>0</v>
      </c>
      <c r="M828" s="1278">
        <v>0</v>
      </c>
      <c r="N828" s="1268">
        <v>0</v>
      </c>
      <c r="O828" s="1268">
        <v>388</v>
      </c>
      <c r="P828" s="1268">
        <v>1435410</v>
      </c>
      <c r="Q828" s="1268">
        <v>0</v>
      </c>
      <c r="R828" s="1268">
        <v>0</v>
      </c>
      <c r="S828" s="1268">
        <v>0</v>
      </c>
      <c r="T828" s="1268">
        <v>0</v>
      </c>
      <c r="U828" s="1268">
        <v>0</v>
      </c>
      <c r="V828" s="1268">
        <v>0</v>
      </c>
      <c r="W828" s="1328">
        <v>0</v>
      </c>
      <c r="X828" s="1268">
        <v>112427</v>
      </c>
      <c r="Y828" s="1268">
        <v>0</v>
      </c>
    </row>
    <row r="829" spans="1:25" s="1287" customFormat="1" ht="75.599999999999994">
      <c r="A829" s="1281"/>
      <c r="B829" s="1277" t="s">
        <v>1145</v>
      </c>
      <c r="C829" s="1268">
        <f>C830</f>
        <v>1039583</v>
      </c>
      <c r="D829" s="1268">
        <f t="shared" ref="D829:Y829" si="407">D830</f>
        <v>0</v>
      </c>
      <c r="E829" s="1268">
        <f t="shared" si="407"/>
        <v>0</v>
      </c>
      <c r="F829" s="1268">
        <f t="shared" si="407"/>
        <v>0</v>
      </c>
      <c r="G829" s="1268">
        <f t="shared" si="407"/>
        <v>0</v>
      </c>
      <c r="H829" s="1268">
        <f t="shared" si="407"/>
        <v>0</v>
      </c>
      <c r="I829" s="1268">
        <f t="shared" si="407"/>
        <v>0</v>
      </c>
      <c r="J829" s="1268">
        <f t="shared" si="407"/>
        <v>0</v>
      </c>
      <c r="K829" s="1278">
        <f t="shared" si="407"/>
        <v>0</v>
      </c>
      <c r="L829" s="1268">
        <f t="shared" si="407"/>
        <v>0</v>
      </c>
      <c r="M829" s="1278">
        <f t="shared" si="407"/>
        <v>0</v>
      </c>
      <c r="N829" s="1268">
        <f t="shared" si="407"/>
        <v>0</v>
      </c>
      <c r="O829" s="1268">
        <f t="shared" si="407"/>
        <v>382.6</v>
      </c>
      <c r="P829" s="1268">
        <f t="shared" si="407"/>
        <v>964073</v>
      </c>
      <c r="Q829" s="1268">
        <f t="shared" si="407"/>
        <v>0</v>
      </c>
      <c r="R829" s="1268">
        <f t="shared" si="407"/>
        <v>0</v>
      </c>
      <c r="S829" s="1268">
        <f t="shared" si="407"/>
        <v>0</v>
      </c>
      <c r="T829" s="1268">
        <f t="shared" si="407"/>
        <v>0</v>
      </c>
      <c r="U829" s="1268">
        <f t="shared" si="407"/>
        <v>0</v>
      </c>
      <c r="V829" s="1268">
        <f t="shared" si="407"/>
        <v>0</v>
      </c>
      <c r="W829" s="1328">
        <v>0</v>
      </c>
      <c r="X829" s="1268">
        <f t="shared" si="407"/>
        <v>75510</v>
      </c>
      <c r="Y829" s="1268">
        <f t="shared" si="407"/>
        <v>0</v>
      </c>
    </row>
    <row r="830" spans="1:25" s="1287" customFormat="1">
      <c r="A830" s="1281">
        <v>100</v>
      </c>
      <c r="B830" s="1267" t="s">
        <v>2019</v>
      </c>
      <c r="C830" s="1268">
        <f>D830+N830+P830+R830+T830+V830+X830</f>
        <v>1039583</v>
      </c>
      <c r="D830" s="1268">
        <f>SUM(E830:J830)</f>
        <v>0</v>
      </c>
      <c r="E830" s="1268">
        <v>0</v>
      </c>
      <c r="F830" s="1268">
        <v>0</v>
      </c>
      <c r="G830" s="1268">
        <v>0</v>
      </c>
      <c r="H830" s="1268">
        <v>0</v>
      </c>
      <c r="I830" s="1268">
        <v>0</v>
      </c>
      <c r="J830" s="1268">
        <v>0</v>
      </c>
      <c r="K830" s="1278">
        <v>0</v>
      </c>
      <c r="L830" s="1268">
        <v>0</v>
      </c>
      <c r="M830" s="1278">
        <v>0</v>
      </c>
      <c r="N830" s="1268">
        <v>0</v>
      </c>
      <c r="O830" s="1268">
        <v>382.6</v>
      </c>
      <c r="P830" s="1268">
        <v>964073</v>
      </c>
      <c r="Q830" s="1268">
        <v>0</v>
      </c>
      <c r="R830" s="1268">
        <v>0</v>
      </c>
      <c r="S830" s="1268">
        <v>0</v>
      </c>
      <c r="T830" s="1268">
        <v>0</v>
      </c>
      <c r="U830" s="1268">
        <v>0</v>
      </c>
      <c r="V830" s="1268">
        <v>0</v>
      </c>
      <c r="W830" s="1328">
        <v>0</v>
      </c>
      <c r="X830" s="1268">
        <v>75510</v>
      </c>
      <c r="Y830" s="1268">
        <v>0</v>
      </c>
    </row>
    <row r="831" spans="1:25" s="1287" customFormat="1">
      <c r="A831" s="1281"/>
      <c r="B831" s="1277" t="s">
        <v>55</v>
      </c>
      <c r="C831" s="1268">
        <f>C832</f>
        <v>5986278</v>
      </c>
      <c r="D831" s="1268">
        <f t="shared" ref="D831:Y831" si="408">D832</f>
        <v>0</v>
      </c>
      <c r="E831" s="1268">
        <f t="shared" si="408"/>
        <v>0</v>
      </c>
      <c r="F831" s="1268">
        <f t="shared" si="408"/>
        <v>0</v>
      </c>
      <c r="G831" s="1268">
        <f t="shared" si="408"/>
        <v>0</v>
      </c>
      <c r="H831" s="1268">
        <f t="shared" si="408"/>
        <v>0</v>
      </c>
      <c r="I831" s="1268">
        <f t="shared" si="408"/>
        <v>0</v>
      </c>
      <c r="J831" s="1268">
        <f t="shared" si="408"/>
        <v>0</v>
      </c>
      <c r="K831" s="1278">
        <v>0</v>
      </c>
      <c r="L831" s="1268">
        <v>0</v>
      </c>
      <c r="M831" s="1278">
        <v>0</v>
      </c>
      <c r="N831" s="1268">
        <f t="shared" si="408"/>
        <v>0</v>
      </c>
      <c r="O831" s="1268">
        <f t="shared" si="408"/>
        <v>0</v>
      </c>
      <c r="P831" s="1268">
        <f t="shared" si="408"/>
        <v>0</v>
      </c>
      <c r="Q831" s="1268">
        <f t="shared" si="408"/>
        <v>0</v>
      </c>
      <c r="R831" s="1268">
        <f t="shared" si="408"/>
        <v>0</v>
      </c>
      <c r="S831" s="1268">
        <f t="shared" si="408"/>
        <v>1110.3</v>
      </c>
      <c r="T831" s="1268">
        <f t="shared" si="408"/>
        <v>2739890</v>
      </c>
      <c r="U831" s="1268">
        <f t="shared" si="408"/>
        <v>0</v>
      </c>
      <c r="V831" s="1268">
        <f t="shared" si="408"/>
        <v>0</v>
      </c>
      <c r="W831" s="1328">
        <v>0</v>
      </c>
      <c r="X831" s="1268">
        <f t="shared" si="408"/>
        <v>214599</v>
      </c>
      <c r="Y831" s="1268">
        <f t="shared" si="408"/>
        <v>0</v>
      </c>
    </row>
    <row r="832" spans="1:25" s="1287" customFormat="1" ht="113.4">
      <c r="A832" s="1281"/>
      <c r="B832" s="1277" t="s">
        <v>2486</v>
      </c>
      <c r="C832" s="1268">
        <f>C834+C833+C835</f>
        <v>5986278</v>
      </c>
      <c r="D832" s="1268">
        <f t="shared" ref="D832:V832" si="409">D834</f>
        <v>0</v>
      </c>
      <c r="E832" s="1268">
        <f t="shared" si="409"/>
        <v>0</v>
      </c>
      <c r="F832" s="1268">
        <f t="shared" si="409"/>
        <v>0</v>
      </c>
      <c r="G832" s="1268">
        <f t="shared" si="409"/>
        <v>0</v>
      </c>
      <c r="H832" s="1268">
        <f t="shared" si="409"/>
        <v>0</v>
      </c>
      <c r="I832" s="1268">
        <f t="shared" si="409"/>
        <v>0</v>
      </c>
      <c r="J832" s="1268">
        <f t="shared" si="409"/>
        <v>0</v>
      </c>
      <c r="K832" s="1278">
        <v>0</v>
      </c>
      <c r="L832" s="1268">
        <v>0</v>
      </c>
      <c r="M832" s="1278">
        <v>0</v>
      </c>
      <c r="N832" s="1268">
        <f t="shared" si="409"/>
        <v>0</v>
      </c>
      <c r="O832" s="1268">
        <f t="shared" si="409"/>
        <v>0</v>
      </c>
      <c r="P832" s="1268">
        <f t="shared" si="409"/>
        <v>0</v>
      </c>
      <c r="Q832" s="1268">
        <f t="shared" si="409"/>
        <v>0</v>
      </c>
      <c r="R832" s="1268">
        <f t="shared" si="409"/>
        <v>0</v>
      </c>
      <c r="S832" s="1268">
        <f t="shared" si="409"/>
        <v>1110.3</v>
      </c>
      <c r="T832" s="1268">
        <f t="shared" si="409"/>
        <v>2739890</v>
      </c>
      <c r="U832" s="1268">
        <f t="shared" si="409"/>
        <v>0</v>
      </c>
      <c r="V832" s="1268">
        <f t="shared" si="409"/>
        <v>0</v>
      </c>
      <c r="W832" s="1328">
        <v>0</v>
      </c>
      <c r="X832" s="1268">
        <f t="shared" ref="X832:Y832" si="410">X834</f>
        <v>214599</v>
      </c>
      <c r="Y832" s="1268">
        <f t="shared" si="410"/>
        <v>0</v>
      </c>
    </row>
    <row r="833" spans="1:25" s="1287" customFormat="1">
      <c r="A833" s="1281">
        <v>101</v>
      </c>
      <c r="B833" s="1277" t="s">
        <v>1518</v>
      </c>
      <c r="C833" s="1268">
        <f>D833+N833+P833+R833+T833+V833+X833</f>
        <v>2114314</v>
      </c>
      <c r="D833" s="1268">
        <f>SUM(E833:J833)</f>
        <v>0</v>
      </c>
      <c r="E833" s="1268">
        <v>0</v>
      </c>
      <c r="F833" s="1268">
        <v>0</v>
      </c>
      <c r="G833" s="1268">
        <v>0</v>
      </c>
      <c r="H833" s="1268">
        <v>0</v>
      </c>
      <c r="I833" s="1268">
        <v>0</v>
      </c>
      <c r="J833" s="1268">
        <v>0</v>
      </c>
      <c r="K833" s="1278">
        <v>0</v>
      </c>
      <c r="L833" s="1268">
        <v>0</v>
      </c>
      <c r="M833" s="1278">
        <v>0</v>
      </c>
      <c r="N833" s="1268">
        <v>0</v>
      </c>
      <c r="O833" s="1268">
        <v>530</v>
      </c>
      <c r="P833" s="1268">
        <v>1960741</v>
      </c>
      <c r="Q833" s="1268">
        <v>0</v>
      </c>
      <c r="R833" s="1268">
        <v>0</v>
      </c>
      <c r="S833" s="1268">
        <v>0</v>
      </c>
      <c r="T833" s="1268">
        <v>0</v>
      </c>
      <c r="U833" s="1268">
        <v>0</v>
      </c>
      <c r="V833" s="1268">
        <v>0</v>
      </c>
      <c r="W833" s="1328">
        <v>0</v>
      </c>
      <c r="X833" s="1268">
        <v>153573</v>
      </c>
      <c r="Y833" s="1268">
        <v>0</v>
      </c>
    </row>
    <row r="834" spans="1:25" s="1287" customFormat="1">
      <c r="A834" s="1281">
        <v>102</v>
      </c>
      <c r="B834" s="1277" t="s">
        <v>390</v>
      </c>
      <c r="C834" s="1268">
        <f>D834+N834+P834+R834+T834+V834+X834</f>
        <v>2954489</v>
      </c>
      <c r="D834" s="1268">
        <f>SUM(E834:J834)</f>
        <v>0</v>
      </c>
      <c r="E834" s="1268">
        <v>0</v>
      </c>
      <c r="F834" s="1268">
        <v>0</v>
      </c>
      <c r="G834" s="1268">
        <v>0</v>
      </c>
      <c r="H834" s="1268">
        <v>0</v>
      </c>
      <c r="I834" s="1268">
        <v>0</v>
      </c>
      <c r="J834" s="1268">
        <v>0</v>
      </c>
      <c r="K834" s="1278">
        <v>0</v>
      </c>
      <c r="L834" s="1268">
        <v>0</v>
      </c>
      <c r="M834" s="1278">
        <v>0</v>
      </c>
      <c r="N834" s="1268">
        <v>0</v>
      </c>
      <c r="O834" s="1268">
        <v>0</v>
      </c>
      <c r="P834" s="1268">
        <v>0</v>
      </c>
      <c r="Q834" s="1268">
        <v>0</v>
      </c>
      <c r="R834" s="1268">
        <v>0</v>
      </c>
      <c r="S834" s="1268">
        <v>1110.3</v>
      </c>
      <c r="T834" s="1268">
        <v>2739890</v>
      </c>
      <c r="U834" s="1268">
        <v>0</v>
      </c>
      <c r="V834" s="1268">
        <v>0</v>
      </c>
      <c r="W834" s="1328">
        <v>0</v>
      </c>
      <c r="X834" s="1268">
        <v>214599</v>
      </c>
      <c r="Y834" s="1268">
        <v>0</v>
      </c>
    </row>
    <row r="835" spans="1:25" s="1287" customFormat="1">
      <c r="A835" s="1281">
        <v>103</v>
      </c>
      <c r="B835" s="1277" t="s">
        <v>1148</v>
      </c>
      <c r="C835" s="1268">
        <f>D835+N835+P835+R835+T835+V835+X835</f>
        <v>917475</v>
      </c>
      <c r="D835" s="1268">
        <f>SUM(E835:J835)</f>
        <v>0</v>
      </c>
      <c r="E835" s="1268">
        <v>0</v>
      </c>
      <c r="F835" s="1268">
        <v>0</v>
      </c>
      <c r="G835" s="1268">
        <v>0</v>
      </c>
      <c r="H835" s="1268">
        <v>0</v>
      </c>
      <c r="I835" s="1268">
        <v>0</v>
      </c>
      <c r="J835" s="1268">
        <v>0</v>
      </c>
      <c r="K835" s="1278">
        <v>0</v>
      </c>
      <c r="L835" s="1268">
        <v>0</v>
      </c>
      <c r="M835" s="1278">
        <v>0</v>
      </c>
      <c r="N835" s="1268">
        <v>0</v>
      </c>
      <c r="O835" s="1268">
        <v>0</v>
      </c>
      <c r="P835" s="1268">
        <v>0</v>
      </c>
      <c r="Q835" s="1268">
        <v>0</v>
      </c>
      <c r="R835" s="1268">
        <v>0</v>
      </c>
      <c r="S835" s="1268">
        <v>415.9</v>
      </c>
      <c r="T835" s="1268">
        <v>850834</v>
      </c>
      <c r="U835" s="1268">
        <v>0</v>
      </c>
      <c r="V835" s="1268">
        <v>0</v>
      </c>
      <c r="W835" s="1328">
        <v>0</v>
      </c>
      <c r="X835" s="1268">
        <v>66641</v>
      </c>
      <c r="Y835" s="1268">
        <v>0</v>
      </c>
    </row>
    <row r="836" spans="1:25" s="1287" customFormat="1" ht="75.599999999999994">
      <c r="A836" s="1281"/>
      <c r="B836" s="1277" t="s">
        <v>2015</v>
      </c>
      <c r="C836" s="1268">
        <f>C837</f>
        <v>107550</v>
      </c>
      <c r="D836" s="1268">
        <f t="shared" ref="D836:Y836" si="411">D837</f>
        <v>99738</v>
      </c>
      <c r="E836" s="1268">
        <f t="shared" si="411"/>
        <v>99738</v>
      </c>
      <c r="F836" s="1268">
        <f t="shared" si="411"/>
        <v>0</v>
      </c>
      <c r="G836" s="1268">
        <f t="shared" si="411"/>
        <v>0</v>
      </c>
      <c r="H836" s="1268">
        <f t="shared" si="411"/>
        <v>0</v>
      </c>
      <c r="I836" s="1268">
        <f t="shared" si="411"/>
        <v>0</v>
      </c>
      <c r="J836" s="1268">
        <f t="shared" si="411"/>
        <v>0</v>
      </c>
      <c r="K836" s="1278">
        <f t="shared" si="411"/>
        <v>0</v>
      </c>
      <c r="L836" s="1268">
        <f t="shared" si="411"/>
        <v>0</v>
      </c>
      <c r="M836" s="1278">
        <f t="shared" si="411"/>
        <v>0</v>
      </c>
      <c r="N836" s="1268">
        <f t="shared" si="411"/>
        <v>0</v>
      </c>
      <c r="O836" s="1268">
        <f t="shared" si="411"/>
        <v>0</v>
      </c>
      <c r="P836" s="1268">
        <f t="shared" si="411"/>
        <v>0</v>
      </c>
      <c r="Q836" s="1268">
        <f t="shared" si="411"/>
        <v>0</v>
      </c>
      <c r="R836" s="1268">
        <f t="shared" si="411"/>
        <v>0</v>
      </c>
      <c r="S836" s="1268">
        <f t="shared" si="411"/>
        <v>0</v>
      </c>
      <c r="T836" s="1268">
        <f t="shared" si="411"/>
        <v>0</v>
      </c>
      <c r="U836" s="1268">
        <f t="shared" si="411"/>
        <v>0</v>
      </c>
      <c r="V836" s="1268">
        <f t="shared" si="411"/>
        <v>0</v>
      </c>
      <c r="W836" s="1328">
        <v>0</v>
      </c>
      <c r="X836" s="1268">
        <f t="shared" si="411"/>
        <v>7812</v>
      </c>
      <c r="Y836" s="1268">
        <f t="shared" si="411"/>
        <v>0</v>
      </c>
    </row>
    <row r="837" spans="1:25" s="1287" customFormat="1" ht="75.599999999999994">
      <c r="A837" s="1281">
        <v>104</v>
      </c>
      <c r="B837" s="1277" t="s">
        <v>1318</v>
      </c>
      <c r="C837" s="1268">
        <f>D837+N837+P837+R837+T837+V837+X837</f>
        <v>107550</v>
      </c>
      <c r="D837" s="1268">
        <f>SUM(E837:J837)</f>
        <v>99738</v>
      </c>
      <c r="E837" s="1268">
        <v>99738</v>
      </c>
      <c r="F837" s="1268">
        <v>0</v>
      </c>
      <c r="G837" s="1268">
        <v>0</v>
      </c>
      <c r="H837" s="1268">
        <v>0</v>
      </c>
      <c r="I837" s="1268">
        <v>0</v>
      </c>
      <c r="J837" s="1268">
        <v>0</v>
      </c>
      <c r="K837" s="1278">
        <v>0</v>
      </c>
      <c r="L837" s="1268">
        <v>0</v>
      </c>
      <c r="M837" s="1278">
        <v>0</v>
      </c>
      <c r="N837" s="1268">
        <v>0</v>
      </c>
      <c r="O837" s="1268">
        <v>0</v>
      </c>
      <c r="P837" s="1268">
        <v>0</v>
      </c>
      <c r="Q837" s="1268">
        <v>0</v>
      </c>
      <c r="R837" s="1268">
        <v>0</v>
      </c>
      <c r="S837" s="1268">
        <v>0</v>
      </c>
      <c r="T837" s="1268">
        <v>0</v>
      </c>
      <c r="U837" s="1268">
        <v>0</v>
      </c>
      <c r="V837" s="1268">
        <v>0</v>
      </c>
      <c r="W837" s="1328">
        <v>0</v>
      </c>
      <c r="X837" s="1268">
        <v>7812</v>
      </c>
      <c r="Y837" s="1268">
        <v>0</v>
      </c>
    </row>
    <row r="838" spans="1:25" s="1287" customFormat="1">
      <c r="A838" s="1281"/>
      <c r="B838" s="1277" t="s">
        <v>56</v>
      </c>
      <c r="C838" s="1268">
        <f>C839+C841+C844+C846</f>
        <v>12477151</v>
      </c>
      <c r="D838" s="1268">
        <f t="shared" ref="D838:Y838" si="412">D839+D841+D844+D846</f>
        <v>7056537</v>
      </c>
      <c r="E838" s="1268">
        <f t="shared" si="412"/>
        <v>2280326</v>
      </c>
      <c r="F838" s="1268">
        <f t="shared" si="412"/>
        <v>0</v>
      </c>
      <c r="G838" s="1268">
        <f t="shared" si="412"/>
        <v>0</v>
      </c>
      <c r="H838" s="1268">
        <f t="shared" si="412"/>
        <v>2651911</v>
      </c>
      <c r="I838" s="1268">
        <f t="shared" si="412"/>
        <v>0</v>
      </c>
      <c r="J838" s="1268">
        <f t="shared" si="412"/>
        <v>2124300</v>
      </c>
      <c r="K838" s="1278">
        <f t="shared" si="412"/>
        <v>0</v>
      </c>
      <c r="L838" s="1268">
        <f t="shared" si="412"/>
        <v>0</v>
      </c>
      <c r="M838" s="1278">
        <f t="shared" si="412"/>
        <v>0</v>
      </c>
      <c r="N838" s="1268">
        <f t="shared" si="412"/>
        <v>0</v>
      </c>
      <c r="O838" s="1268">
        <f t="shared" si="412"/>
        <v>1701.4</v>
      </c>
      <c r="P838" s="1268">
        <f t="shared" si="412"/>
        <v>4514339</v>
      </c>
      <c r="Q838" s="1268">
        <f t="shared" si="412"/>
        <v>0</v>
      </c>
      <c r="R838" s="1268">
        <f t="shared" si="412"/>
        <v>0</v>
      </c>
      <c r="S838" s="1268">
        <f t="shared" si="412"/>
        <v>0</v>
      </c>
      <c r="T838" s="1268">
        <f t="shared" si="412"/>
        <v>0</v>
      </c>
      <c r="U838" s="1268">
        <f t="shared" si="412"/>
        <v>0</v>
      </c>
      <c r="V838" s="1268">
        <f t="shared" si="412"/>
        <v>0</v>
      </c>
      <c r="W838" s="1328">
        <v>0</v>
      </c>
      <c r="X838" s="1268">
        <f t="shared" si="412"/>
        <v>906275</v>
      </c>
      <c r="Y838" s="1268">
        <f t="shared" si="412"/>
        <v>0</v>
      </c>
    </row>
    <row r="839" spans="1:25" s="1287" customFormat="1" ht="113.4">
      <c r="A839" s="1281"/>
      <c r="B839" s="1277" t="s">
        <v>1091</v>
      </c>
      <c r="C839" s="1268">
        <f>C840</f>
        <v>7126787</v>
      </c>
      <c r="D839" s="1268">
        <f t="shared" ref="D839:Y839" si="413">D840</f>
        <v>6609134</v>
      </c>
      <c r="E839" s="1268">
        <f t="shared" si="413"/>
        <v>2280326</v>
      </c>
      <c r="F839" s="1268">
        <f t="shared" si="413"/>
        <v>0</v>
      </c>
      <c r="G839" s="1268">
        <f t="shared" si="413"/>
        <v>0</v>
      </c>
      <c r="H839" s="1268">
        <f t="shared" si="413"/>
        <v>2651911</v>
      </c>
      <c r="I839" s="1268">
        <f t="shared" si="413"/>
        <v>0</v>
      </c>
      <c r="J839" s="1268">
        <f t="shared" si="413"/>
        <v>1676897</v>
      </c>
      <c r="K839" s="1278">
        <f t="shared" si="413"/>
        <v>0</v>
      </c>
      <c r="L839" s="1268">
        <f t="shared" si="413"/>
        <v>0</v>
      </c>
      <c r="M839" s="1278">
        <f t="shared" si="413"/>
        <v>0</v>
      </c>
      <c r="N839" s="1268">
        <f t="shared" si="413"/>
        <v>0</v>
      </c>
      <c r="O839" s="1268">
        <f t="shared" si="413"/>
        <v>0</v>
      </c>
      <c r="P839" s="1268">
        <f t="shared" si="413"/>
        <v>0</v>
      </c>
      <c r="Q839" s="1268">
        <f t="shared" si="413"/>
        <v>0</v>
      </c>
      <c r="R839" s="1268">
        <f t="shared" si="413"/>
        <v>0</v>
      </c>
      <c r="S839" s="1268">
        <f t="shared" si="413"/>
        <v>0</v>
      </c>
      <c r="T839" s="1268">
        <f t="shared" si="413"/>
        <v>0</v>
      </c>
      <c r="U839" s="1268">
        <f t="shared" si="413"/>
        <v>0</v>
      </c>
      <c r="V839" s="1268">
        <f t="shared" si="413"/>
        <v>0</v>
      </c>
      <c r="W839" s="1328">
        <v>0</v>
      </c>
      <c r="X839" s="1268">
        <f t="shared" si="413"/>
        <v>517653</v>
      </c>
      <c r="Y839" s="1268">
        <f t="shared" si="413"/>
        <v>0</v>
      </c>
    </row>
    <row r="840" spans="1:25" s="1287" customFormat="1" ht="75.599999999999994">
      <c r="A840" s="1281">
        <v>105</v>
      </c>
      <c r="B840" s="1277" t="s">
        <v>2487</v>
      </c>
      <c r="C840" s="1268">
        <f>D840+X840</f>
        <v>7126787</v>
      </c>
      <c r="D840" s="1268">
        <f>E840+F840+G840+H840+I840+J840</f>
        <v>6609134</v>
      </c>
      <c r="E840" s="1268">
        <v>2280326</v>
      </c>
      <c r="F840" s="1268">
        <v>0</v>
      </c>
      <c r="G840" s="1268">
        <v>0</v>
      </c>
      <c r="H840" s="1268">
        <v>2651911</v>
      </c>
      <c r="I840" s="1268">
        <v>0</v>
      </c>
      <c r="J840" s="1268">
        <v>1676897</v>
      </c>
      <c r="K840" s="1278">
        <v>0</v>
      </c>
      <c r="L840" s="1268">
        <v>0</v>
      </c>
      <c r="M840" s="1278">
        <v>0</v>
      </c>
      <c r="N840" s="1268">
        <v>0</v>
      </c>
      <c r="O840" s="1268">
        <v>0</v>
      </c>
      <c r="P840" s="1268">
        <v>0</v>
      </c>
      <c r="Q840" s="1268">
        <v>0</v>
      </c>
      <c r="R840" s="1268">
        <v>0</v>
      </c>
      <c r="S840" s="1268">
        <v>0</v>
      </c>
      <c r="T840" s="1268">
        <v>0</v>
      </c>
      <c r="U840" s="1268">
        <v>0</v>
      </c>
      <c r="V840" s="1268">
        <v>0</v>
      </c>
      <c r="W840" s="1328">
        <v>0</v>
      </c>
      <c r="X840" s="1268">
        <v>517653</v>
      </c>
      <c r="Y840" s="1268">
        <v>0</v>
      </c>
    </row>
    <row r="841" spans="1:25" s="1287" customFormat="1" ht="125.4" customHeight="1">
      <c r="A841" s="1281"/>
      <c r="B841" s="1277" t="s">
        <v>1092</v>
      </c>
      <c r="C841" s="1268">
        <f>C842+C843</f>
        <v>3625770</v>
      </c>
      <c r="D841" s="1268">
        <f t="shared" ref="D841:Y841" si="414">D842+D843</f>
        <v>0</v>
      </c>
      <c r="E841" s="1268">
        <f t="shared" si="414"/>
        <v>0</v>
      </c>
      <c r="F841" s="1268">
        <f t="shared" si="414"/>
        <v>0</v>
      </c>
      <c r="G841" s="1268">
        <f t="shared" si="414"/>
        <v>0</v>
      </c>
      <c r="H841" s="1268">
        <f t="shared" si="414"/>
        <v>0</v>
      </c>
      <c r="I841" s="1268">
        <f t="shared" si="414"/>
        <v>0</v>
      </c>
      <c r="J841" s="1268">
        <f t="shared" si="414"/>
        <v>0</v>
      </c>
      <c r="K841" s="1278">
        <f t="shared" si="414"/>
        <v>0</v>
      </c>
      <c r="L841" s="1268">
        <f t="shared" si="414"/>
        <v>0</v>
      </c>
      <c r="M841" s="1278">
        <f t="shared" si="414"/>
        <v>0</v>
      </c>
      <c r="N841" s="1268">
        <f t="shared" si="414"/>
        <v>0</v>
      </c>
      <c r="O841" s="1268">
        <f t="shared" si="414"/>
        <v>1334.4</v>
      </c>
      <c r="P841" s="1268">
        <f t="shared" si="414"/>
        <v>3362413</v>
      </c>
      <c r="Q841" s="1268">
        <f t="shared" si="414"/>
        <v>0</v>
      </c>
      <c r="R841" s="1268">
        <f t="shared" si="414"/>
        <v>0</v>
      </c>
      <c r="S841" s="1268">
        <f t="shared" si="414"/>
        <v>0</v>
      </c>
      <c r="T841" s="1268">
        <f t="shared" si="414"/>
        <v>0</v>
      </c>
      <c r="U841" s="1268">
        <f t="shared" si="414"/>
        <v>0</v>
      </c>
      <c r="V841" s="1268">
        <f t="shared" si="414"/>
        <v>0</v>
      </c>
      <c r="W841" s="1328">
        <v>0</v>
      </c>
      <c r="X841" s="1268">
        <f t="shared" si="414"/>
        <v>263357</v>
      </c>
      <c r="Y841" s="1268">
        <f t="shared" si="414"/>
        <v>0</v>
      </c>
    </row>
    <row r="842" spans="1:25" s="1287" customFormat="1">
      <c r="A842" s="1281">
        <v>106</v>
      </c>
      <c r="B842" s="1277" t="s">
        <v>1350</v>
      </c>
      <c r="C842" s="1268">
        <f>D842+N842+P842+R842+T842+V842+X842</f>
        <v>2382401</v>
      </c>
      <c r="D842" s="1268">
        <f>SUM(E842:J842)</f>
        <v>0</v>
      </c>
      <c r="E842" s="1268">
        <v>0</v>
      </c>
      <c r="F842" s="1268">
        <v>0</v>
      </c>
      <c r="G842" s="1268">
        <v>0</v>
      </c>
      <c r="H842" s="1268">
        <v>0</v>
      </c>
      <c r="I842" s="1268">
        <v>0</v>
      </c>
      <c r="J842" s="1268">
        <v>0</v>
      </c>
      <c r="K842" s="1278">
        <v>0</v>
      </c>
      <c r="L842" s="1268">
        <v>0</v>
      </c>
      <c r="M842" s="1278">
        <v>0</v>
      </c>
      <c r="N842" s="1268">
        <v>0</v>
      </c>
      <c r="O842" s="1268">
        <v>876.8</v>
      </c>
      <c r="P842" s="1268">
        <v>2209356</v>
      </c>
      <c r="Q842" s="1268">
        <v>0</v>
      </c>
      <c r="R842" s="1268">
        <v>0</v>
      </c>
      <c r="S842" s="1268">
        <v>0</v>
      </c>
      <c r="T842" s="1268">
        <v>0</v>
      </c>
      <c r="U842" s="1268">
        <v>0</v>
      </c>
      <c r="V842" s="1268">
        <v>0</v>
      </c>
      <c r="W842" s="1328">
        <v>0</v>
      </c>
      <c r="X842" s="1268">
        <v>173045</v>
      </c>
      <c r="Y842" s="1268">
        <v>0</v>
      </c>
    </row>
    <row r="843" spans="1:25" s="1287" customFormat="1">
      <c r="A843" s="1281">
        <v>107</v>
      </c>
      <c r="B843" s="1277" t="s">
        <v>1933</v>
      </c>
      <c r="C843" s="1268">
        <f>D843+N843+P843+R843+T843+V843+X843</f>
        <v>1243369</v>
      </c>
      <c r="D843" s="1268">
        <f>SUM(E843:J843)</f>
        <v>0</v>
      </c>
      <c r="E843" s="1268">
        <v>0</v>
      </c>
      <c r="F843" s="1268">
        <v>0</v>
      </c>
      <c r="G843" s="1268">
        <v>0</v>
      </c>
      <c r="H843" s="1268">
        <v>0</v>
      </c>
      <c r="I843" s="1268">
        <v>0</v>
      </c>
      <c r="J843" s="1268">
        <v>0</v>
      </c>
      <c r="K843" s="1278">
        <v>0</v>
      </c>
      <c r="L843" s="1268">
        <v>0</v>
      </c>
      <c r="M843" s="1278">
        <v>0</v>
      </c>
      <c r="N843" s="1268">
        <v>0</v>
      </c>
      <c r="O843" s="1268">
        <v>457.6</v>
      </c>
      <c r="P843" s="1268">
        <v>1153057</v>
      </c>
      <c r="Q843" s="1268">
        <v>0</v>
      </c>
      <c r="R843" s="1268">
        <v>0</v>
      </c>
      <c r="S843" s="1268">
        <v>0</v>
      </c>
      <c r="T843" s="1268">
        <v>0</v>
      </c>
      <c r="U843" s="1268">
        <v>0</v>
      </c>
      <c r="V843" s="1268">
        <v>0</v>
      </c>
      <c r="W843" s="1328">
        <v>0</v>
      </c>
      <c r="X843" s="1268">
        <v>90312</v>
      </c>
      <c r="Y843" s="1268">
        <v>0</v>
      </c>
    </row>
    <row r="844" spans="1:25" s="1287" customFormat="1" ht="113.4">
      <c r="A844" s="1281"/>
      <c r="B844" s="1277" t="s">
        <v>1093</v>
      </c>
      <c r="C844" s="1268">
        <f>C845</f>
        <v>1242149</v>
      </c>
      <c r="D844" s="1268">
        <f t="shared" ref="D844:Y844" si="415">D845</f>
        <v>0</v>
      </c>
      <c r="E844" s="1268">
        <f t="shared" si="415"/>
        <v>0</v>
      </c>
      <c r="F844" s="1268">
        <f t="shared" si="415"/>
        <v>0</v>
      </c>
      <c r="G844" s="1268">
        <f t="shared" si="415"/>
        <v>0</v>
      </c>
      <c r="H844" s="1268">
        <f t="shared" si="415"/>
        <v>0</v>
      </c>
      <c r="I844" s="1268">
        <f t="shared" si="415"/>
        <v>0</v>
      </c>
      <c r="J844" s="1268">
        <f t="shared" si="415"/>
        <v>0</v>
      </c>
      <c r="K844" s="1278">
        <f t="shared" si="415"/>
        <v>0</v>
      </c>
      <c r="L844" s="1268">
        <f t="shared" si="415"/>
        <v>0</v>
      </c>
      <c r="M844" s="1278">
        <f t="shared" si="415"/>
        <v>0</v>
      </c>
      <c r="N844" s="1268">
        <f t="shared" si="415"/>
        <v>0</v>
      </c>
      <c r="O844" s="1268">
        <f t="shared" si="415"/>
        <v>367</v>
      </c>
      <c r="P844" s="1268">
        <f t="shared" si="415"/>
        <v>1151926</v>
      </c>
      <c r="Q844" s="1268">
        <f t="shared" si="415"/>
        <v>0</v>
      </c>
      <c r="R844" s="1268">
        <f t="shared" si="415"/>
        <v>0</v>
      </c>
      <c r="S844" s="1268">
        <f t="shared" si="415"/>
        <v>0</v>
      </c>
      <c r="T844" s="1268">
        <f t="shared" si="415"/>
        <v>0</v>
      </c>
      <c r="U844" s="1268">
        <f t="shared" si="415"/>
        <v>0</v>
      </c>
      <c r="V844" s="1268">
        <f t="shared" si="415"/>
        <v>0</v>
      </c>
      <c r="W844" s="1328">
        <v>0</v>
      </c>
      <c r="X844" s="1268">
        <f t="shared" si="415"/>
        <v>90223</v>
      </c>
      <c r="Y844" s="1268">
        <f t="shared" si="415"/>
        <v>0</v>
      </c>
    </row>
    <row r="845" spans="1:25" s="1287" customFormat="1" ht="75.599999999999994">
      <c r="A845" s="1281">
        <v>108</v>
      </c>
      <c r="B845" s="1277" t="s">
        <v>2488</v>
      </c>
      <c r="C845" s="1268">
        <f>D845+N845+P845+R845+T845+V845+X845</f>
        <v>1242149</v>
      </c>
      <c r="D845" s="1268">
        <f>SUM(E845:J845)</f>
        <v>0</v>
      </c>
      <c r="E845" s="1268">
        <v>0</v>
      </c>
      <c r="F845" s="1268">
        <v>0</v>
      </c>
      <c r="G845" s="1268">
        <v>0</v>
      </c>
      <c r="H845" s="1268">
        <v>0</v>
      </c>
      <c r="I845" s="1268">
        <v>0</v>
      </c>
      <c r="J845" s="1268">
        <v>0</v>
      </c>
      <c r="K845" s="1278">
        <v>0</v>
      </c>
      <c r="L845" s="1268">
        <v>0</v>
      </c>
      <c r="M845" s="1278">
        <v>0</v>
      </c>
      <c r="N845" s="1268">
        <v>0</v>
      </c>
      <c r="O845" s="1268">
        <v>367</v>
      </c>
      <c r="P845" s="1268">
        <v>1151926</v>
      </c>
      <c r="Q845" s="1268">
        <v>0</v>
      </c>
      <c r="R845" s="1268">
        <v>0</v>
      </c>
      <c r="S845" s="1268">
        <v>0</v>
      </c>
      <c r="T845" s="1268">
        <v>0</v>
      </c>
      <c r="U845" s="1268">
        <v>0</v>
      </c>
      <c r="V845" s="1268">
        <v>0</v>
      </c>
      <c r="W845" s="1328">
        <v>0</v>
      </c>
      <c r="X845" s="1268">
        <v>90223</v>
      </c>
      <c r="Y845" s="1268">
        <v>0</v>
      </c>
    </row>
    <row r="846" spans="1:25" s="1287" customFormat="1" ht="113.4">
      <c r="A846" s="1281"/>
      <c r="B846" s="1277" t="s">
        <v>1342</v>
      </c>
      <c r="C846" s="1268">
        <f>C847</f>
        <v>482445</v>
      </c>
      <c r="D846" s="1268">
        <f t="shared" ref="D846:Y846" si="416">D847</f>
        <v>447403</v>
      </c>
      <c r="E846" s="1268">
        <f t="shared" si="416"/>
        <v>0</v>
      </c>
      <c r="F846" s="1268">
        <f t="shared" si="416"/>
        <v>0</v>
      </c>
      <c r="G846" s="1268">
        <f t="shared" si="416"/>
        <v>0</v>
      </c>
      <c r="H846" s="1268">
        <f t="shared" si="416"/>
        <v>0</v>
      </c>
      <c r="I846" s="1268">
        <f t="shared" si="416"/>
        <v>0</v>
      </c>
      <c r="J846" s="1268">
        <f t="shared" si="416"/>
        <v>447403</v>
      </c>
      <c r="K846" s="1278">
        <f t="shared" si="416"/>
        <v>0</v>
      </c>
      <c r="L846" s="1268">
        <f t="shared" si="416"/>
        <v>0</v>
      </c>
      <c r="M846" s="1278">
        <f t="shared" si="416"/>
        <v>0</v>
      </c>
      <c r="N846" s="1268">
        <f t="shared" si="416"/>
        <v>0</v>
      </c>
      <c r="O846" s="1268">
        <f t="shared" si="416"/>
        <v>0</v>
      </c>
      <c r="P846" s="1268">
        <f t="shared" si="416"/>
        <v>0</v>
      </c>
      <c r="Q846" s="1268">
        <f t="shared" si="416"/>
        <v>0</v>
      </c>
      <c r="R846" s="1268">
        <f t="shared" si="416"/>
        <v>0</v>
      </c>
      <c r="S846" s="1268">
        <f t="shared" si="416"/>
        <v>0</v>
      </c>
      <c r="T846" s="1268">
        <f t="shared" si="416"/>
        <v>0</v>
      </c>
      <c r="U846" s="1268">
        <f t="shared" si="416"/>
        <v>0</v>
      </c>
      <c r="V846" s="1268">
        <f t="shared" si="416"/>
        <v>0</v>
      </c>
      <c r="W846" s="1328">
        <v>0</v>
      </c>
      <c r="X846" s="1268">
        <f t="shared" si="416"/>
        <v>35042</v>
      </c>
      <c r="Y846" s="1268">
        <f t="shared" si="416"/>
        <v>0</v>
      </c>
    </row>
    <row r="847" spans="1:25" s="1287" customFormat="1">
      <c r="A847" s="1281">
        <v>109</v>
      </c>
      <c r="B847" s="1277" t="s">
        <v>1344</v>
      </c>
      <c r="C847" s="1268">
        <f>D847+N847+P847+R847+T847+V847+X847</f>
        <v>482445</v>
      </c>
      <c r="D847" s="1268">
        <f>SUM(E847:J847)</f>
        <v>447403</v>
      </c>
      <c r="E847" s="1268">
        <v>0</v>
      </c>
      <c r="F847" s="1268">
        <v>0</v>
      </c>
      <c r="G847" s="1268">
        <v>0</v>
      </c>
      <c r="H847" s="1268">
        <v>0</v>
      </c>
      <c r="I847" s="1268">
        <v>0</v>
      </c>
      <c r="J847" s="1268">
        <v>447403</v>
      </c>
      <c r="K847" s="1278">
        <v>0</v>
      </c>
      <c r="L847" s="1268">
        <v>0</v>
      </c>
      <c r="M847" s="1278">
        <v>0</v>
      </c>
      <c r="N847" s="1268">
        <v>0</v>
      </c>
      <c r="O847" s="1268">
        <v>0</v>
      </c>
      <c r="P847" s="1268">
        <v>0</v>
      </c>
      <c r="Q847" s="1268">
        <v>0</v>
      </c>
      <c r="R847" s="1268">
        <v>0</v>
      </c>
      <c r="S847" s="1268">
        <v>0</v>
      </c>
      <c r="T847" s="1268">
        <v>0</v>
      </c>
      <c r="U847" s="1268">
        <v>0</v>
      </c>
      <c r="V847" s="1268">
        <v>0</v>
      </c>
      <c r="W847" s="1328">
        <v>0</v>
      </c>
      <c r="X847" s="1268">
        <v>35042</v>
      </c>
      <c r="Y847" s="1268">
        <v>0</v>
      </c>
    </row>
    <row r="848" spans="1:25" s="1287" customFormat="1">
      <c r="A848" s="1281"/>
      <c r="B848" s="1277" t="s">
        <v>57</v>
      </c>
      <c r="C848" s="1268">
        <f>C849</f>
        <v>1909969</v>
      </c>
      <c r="D848" s="1268">
        <f t="shared" ref="D848:Y849" si="417">D849</f>
        <v>0</v>
      </c>
      <c r="E848" s="1268">
        <f t="shared" si="417"/>
        <v>0</v>
      </c>
      <c r="F848" s="1268">
        <f t="shared" si="417"/>
        <v>0</v>
      </c>
      <c r="G848" s="1268">
        <f t="shared" si="417"/>
        <v>0</v>
      </c>
      <c r="H848" s="1268">
        <f t="shared" si="417"/>
        <v>0</v>
      </c>
      <c r="I848" s="1268">
        <f t="shared" si="417"/>
        <v>0</v>
      </c>
      <c r="J848" s="1268">
        <f t="shared" si="417"/>
        <v>0</v>
      </c>
      <c r="K848" s="1278">
        <v>0</v>
      </c>
      <c r="L848" s="1268">
        <v>0</v>
      </c>
      <c r="M848" s="1278">
        <v>0</v>
      </c>
      <c r="N848" s="1268">
        <f t="shared" si="417"/>
        <v>0</v>
      </c>
      <c r="O848" s="1268">
        <f t="shared" si="417"/>
        <v>391</v>
      </c>
      <c r="P848" s="1268">
        <f t="shared" si="417"/>
        <v>1771239</v>
      </c>
      <c r="Q848" s="1268">
        <f t="shared" si="417"/>
        <v>0</v>
      </c>
      <c r="R848" s="1268">
        <f t="shared" si="417"/>
        <v>0</v>
      </c>
      <c r="S848" s="1268">
        <f t="shared" si="417"/>
        <v>0</v>
      </c>
      <c r="T848" s="1268">
        <f t="shared" si="417"/>
        <v>0</v>
      </c>
      <c r="U848" s="1268">
        <f t="shared" si="417"/>
        <v>0</v>
      </c>
      <c r="V848" s="1268">
        <f t="shared" si="417"/>
        <v>0</v>
      </c>
      <c r="W848" s="1328">
        <v>0</v>
      </c>
      <c r="X848" s="1268">
        <f t="shared" si="417"/>
        <v>138730</v>
      </c>
      <c r="Y848" s="1268">
        <f t="shared" si="417"/>
        <v>0</v>
      </c>
    </row>
    <row r="849" spans="1:25" s="1287" customFormat="1" ht="125.4" customHeight="1">
      <c r="A849" s="1281"/>
      <c r="B849" s="1277" t="s">
        <v>1094</v>
      </c>
      <c r="C849" s="1268">
        <f>C850</f>
        <v>1909969</v>
      </c>
      <c r="D849" s="1268">
        <f t="shared" si="417"/>
        <v>0</v>
      </c>
      <c r="E849" s="1268">
        <f t="shared" si="417"/>
        <v>0</v>
      </c>
      <c r="F849" s="1268">
        <f t="shared" si="417"/>
        <v>0</v>
      </c>
      <c r="G849" s="1268">
        <f t="shared" si="417"/>
        <v>0</v>
      </c>
      <c r="H849" s="1268">
        <f t="shared" si="417"/>
        <v>0</v>
      </c>
      <c r="I849" s="1268">
        <f t="shared" si="417"/>
        <v>0</v>
      </c>
      <c r="J849" s="1268">
        <f t="shared" si="417"/>
        <v>0</v>
      </c>
      <c r="K849" s="1278">
        <f t="shared" si="417"/>
        <v>0</v>
      </c>
      <c r="L849" s="1268">
        <f t="shared" si="417"/>
        <v>0</v>
      </c>
      <c r="M849" s="1278">
        <f t="shared" si="417"/>
        <v>0</v>
      </c>
      <c r="N849" s="1268">
        <f t="shared" si="417"/>
        <v>0</v>
      </c>
      <c r="O849" s="1268">
        <f t="shared" si="417"/>
        <v>391</v>
      </c>
      <c r="P849" s="1268">
        <f t="shared" si="417"/>
        <v>1771239</v>
      </c>
      <c r="Q849" s="1268">
        <f t="shared" si="417"/>
        <v>0</v>
      </c>
      <c r="R849" s="1268">
        <f t="shared" si="417"/>
        <v>0</v>
      </c>
      <c r="S849" s="1268">
        <f t="shared" si="417"/>
        <v>0</v>
      </c>
      <c r="T849" s="1268">
        <f t="shared" si="417"/>
        <v>0</v>
      </c>
      <c r="U849" s="1268">
        <f t="shared" si="417"/>
        <v>0</v>
      </c>
      <c r="V849" s="1268">
        <f t="shared" si="417"/>
        <v>0</v>
      </c>
      <c r="W849" s="1328">
        <v>0</v>
      </c>
      <c r="X849" s="1268">
        <f t="shared" si="417"/>
        <v>138730</v>
      </c>
      <c r="Y849" s="1268">
        <f t="shared" si="417"/>
        <v>0</v>
      </c>
    </row>
    <row r="850" spans="1:25" s="1287" customFormat="1">
      <c r="A850" s="1281">
        <v>110</v>
      </c>
      <c r="B850" s="1267" t="s">
        <v>1935</v>
      </c>
      <c r="C850" s="1268">
        <f>D850+N850+P850+R850+T850+V850+X850</f>
        <v>1909969</v>
      </c>
      <c r="D850" s="1268">
        <v>0</v>
      </c>
      <c r="E850" s="1268">
        <v>0</v>
      </c>
      <c r="F850" s="1268">
        <v>0</v>
      </c>
      <c r="G850" s="1268">
        <v>0</v>
      </c>
      <c r="H850" s="1268">
        <v>0</v>
      </c>
      <c r="I850" s="1268">
        <v>0</v>
      </c>
      <c r="J850" s="1268">
        <v>0</v>
      </c>
      <c r="K850" s="1278">
        <v>0</v>
      </c>
      <c r="L850" s="1268">
        <v>0</v>
      </c>
      <c r="M850" s="1278">
        <v>0</v>
      </c>
      <c r="N850" s="1268">
        <v>0</v>
      </c>
      <c r="O850" s="1268">
        <v>391</v>
      </c>
      <c r="P850" s="1268">
        <v>1771239</v>
      </c>
      <c r="Q850" s="1268">
        <v>0</v>
      </c>
      <c r="R850" s="1268">
        <v>0</v>
      </c>
      <c r="S850" s="1268">
        <v>0</v>
      </c>
      <c r="T850" s="1268">
        <v>0</v>
      </c>
      <c r="U850" s="1268">
        <v>0</v>
      </c>
      <c r="V850" s="1268">
        <v>0</v>
      </c>
      <c r="W850" s="1328">
        <v>0</v>
      </c>
      <c r="X850" s="1268">
        <v>138730</v>
      </c>
      <c r="Y850" s="1268">
        <v>0</v>
      </c>
    </row>
    <row r="851" spans="1:25" s="1287" customFormat="1" ht="120.6" customHeight="1">
      <c r="A851" s="1281"/>
      <c r="B851" s="1277" t="s">
        <v>1220</v>
      </c>
      <c r="C851" s="1268">
        <f>C852+C853+C854</f>
        <v>5088970</v>
      </c>
      <c r="D851" s="1268">
        <f t="shared" ref="D851:Y851" si="418">D852+D853+D854</f>
        <v>819755</v>
      </c>
      <c r="E851" s="1268">
        <f t="shared" si="418"/>
        <v>819755</v>
      </c>
      <c r="F851" s="1268">
        <f t="shared" si="418"/>
        <v>0</v>
      </c>
      <c r="G851" s="1268">
        <f t="shared" si="418"/>
        <v>0</v>
      </c>
      <c r="H851" s="1268">
        <f t="shared" si="418"/>
        <v>0</v>
      </c>
      <c r="I851" s="1268">
        <f t="shared" si="418"/>
        <v>0</v>
      </c>
      <c r="J851" s="1268">
        <f t="shared" si="418"/>
        <v>0</v>
      </c>
      <c r="K851" s="1278">
        <f t="shared" si="418"/>
        <v>0</v>
      </c>
      <c r="L851" s="1268">
        <f t="shared" si="418"/>
        <v>0</v>
      </c>
      <c r="M851" s="1278">
        <f t="shared" si="418"/>
        <v>0</v>
      </c>
      <c r="N851" s="1268">
        <f t="shared" si="418"/>
        <v>0</v>
      </c>
      <c r="O851" s="1268">
        <f t="shared" si="418"/>
        <v>850</v>
      </c>
      <c r="P851" s="1268">
        <f t="shared" si="418"/>
        <v>2667948</v>
      </c>
      <c r="Q851" s="1268">
        <f t="shared" si="418"/>
        <v>0</v>
      </c>
      <c r="R851" s="1268">
        <f t="shared" si="418"/>
        <v>0</v>
      </c>
      <c r="S851" s="1268">
        <f t="shared" si="418"/>
        <v>499.1</v>
      </c>
      <c r="T851" s="1268">
        <f t="shared" si="418"/>
        <v>1231631</v>
      </c>
      <c r="U851" s="1268">
        <f t="shared" si="418"/>
        <v>0</v>
      </c>
      <c r="V851" s="1268">
        <f t="shared" si="418"/>
        <v>0</v>
      </c>
      <c r="W851" s="1328">
        <v>0</v>
      </c>
      <c r="X851" s="1268">
        <f t="shared" si="418"/>
        <v>369636</v>
      </c>
      <c r="Y851" s="1268">
        <f t="shared" si="418"/>
        <v>0</v>
      </c>
    </row>
    <row r="852" spans="1:25" s="1287" customFormat="1">
      <c r="A852" s="1281">
        <v>111</v>
      </c>
      <c r="B852" s="1277" t="s">
        <v>1577</v>
      </c>
      <c r="C852" s="1289">
        <f t="shared" ref="C852" si="419">D852+N852+P852+R852+T852+V852+X852+L852</f>
        <v>883961</v>
      </c>
      <c r="D852" s="1289">
        <f t="shared" ref="D852" si="420">SUM(E852:J852)</f>
        <v>819755</v>
      </c>
      <c r="E852" s="1268">
        <v>819755</v>
      </c>
      <c r="F852" s="1268">
        <v>0</v>
      </c>
      <c r="G852" s="1268">
        <v>0</v>
      </c>
      <c r="H852" s="1268">
        <v>0</v>
      </c>
      <c r="I852" s="1268">
        <v>0</v>
      </c>
      <c r="J852" s="1268">
        <v>0</v>
      </c>
      <c r="K852" s="1278">
        <v>0</v>
      </c>
      <c r="L852" s="1268">
        <v>0</v>
      </c>
      <c r="M852" s="1278">
        <v>0</v>
      </c>
      <c r="N852" s="1268">
        <v>0</v>
      </c>
      <c r="O852" s="1268">
        <v>0</v>
      </c>
      <c r="P852" s="1268">
        <v>0</v>
      </c>
      <c r="Q852" s="1268">
        <v>0</v>
      </c>
      <c r="R852" s="1268">
        <v>0</v>
      </c>
      <c r="S852" s="1268">
        <v>0</v>
      </c>
      <c r="T852" s="1268">
        <v>0</v>
      </c>
      <c r="U852" s="1268">
        <v>0</v>
      </c>
      <c r="V852" s="1268">
        <v>0</v>
      </c>
      <c r="W852" s="1328">
        <v>0</v>
      </c>
      <c r="X852" s="1268">
        <v>64206</v>
      </c>
      <c r="Y852" s="1268">
        <v>0</v>
      </c>
    </row>
    <row r="853" spans="1:25" s="1287" customFormat="1">
      <c r="A853" s="1281">
        <v>112</v>
      </c>
      <c r="B853" s="1277" t="s">
        <v>1578</v>
      </c>
      <c r="C853" s="1289">
        <f t="shared" ref="C853:C854" si="421">D853+N853+P853+R853+T853+V853+X853+L853</f>
        <v>2876912</v>
      </c>
      <c r="D853" s="1289">
        <f t="shared" ref="D853:D854" si="422">SUM(E853:J853)</f>
        <v>0</v>
      </c>
      <c r="E853" s="1268">
        <v>0</v>
      </c>
      <c r="F853" s="1268">
        <v>0</v>
      </c>
      <c r="G853" s="1268">
        <v>0</v>
      </c>
      <c r="H853" s="1268">
        <v>0</v>
      </c>
      <c r="I853" s="1268">
        <v>0</v>
      </c>
      <c r="J853" s="1268">
        <v>0</v>
      </c>
      <c r="K853" s="1278">
        <v>0</v>
      </c>
      <c r="L853" s="1268">
        <v>0</v>
      </c>
      <c r="M853" s="1278">
        <v>0</v>
      </c>
      <c r="N853" s="1268">
        <v>0</v>
      </c>
      <c r="O853" s="1268">
        <v>850</v>
      </c>
      <c r="P853" s="1268">
        <v>2667948</v>
      </c>
      <c r="Q853" s="1268">
        <v>0</v>
      </c>
      <c r="R853" s="1268">
        <v>0</v>
      </c>
      <c r="S853" s="1268">
        <v>0</v>
      </c>
      <c r="T853" s="1268">
        <v>0</v>
      </c>
      <c r="U853" s="1268">
        <v>0</v>
      </c>
      <c r="V853" s="1268">
        <v>0</v>
      </c>
      <c r="W853" s="1328">
        <v>0</v>
      </c>
      <c r="X853" s="1268">
        <v>208964</v>
      </c>
      <c r="Y853" s="1268">
        <v>0</v>
      </c>
    </row>
    <row r="854" spans="1:25" s="1287" customFormat="1">
      <c r="A854" s="1281">
        <v>113</v>
      </c>
      <c r="B854" s="1277" t="s">
        <v>306</v>
      </c>
      <c r="C854" s="1289">
        <f t="shared" si="421"/>
        <v>1328097</v>
      </c>
      <c r="D854" s="1289">
        <f t="shared" si="422"/>
        <v>0</v>
      </c>
      <c r="E854" s="1268">
        <v>0</v>
      </c>
      <c r="F854" s="1268">
        <v>0</v>
      </c>
      <c r="G854" s="1268">
        <v>0</v>
      </c>
      <c r="H854" s="1268">
        <v>0</v>
      </c>
      <c r="I854" s="1268">
        <v>0</v>
      </c>
      <c r="J854" s="1268">
        <v>0</v>
      </c>
      <c r="K854" s="1278">
        <v>0</v>
      </c>
      <c r="L854" s="1268">
        <v>0</v>
      </c>
      <c r="M854" s="1278">
        <v>0</v>
      </c>
      <c r="N854" s="1268">
        <v>0</v>
      </c>
      <c r="O854" s="1268">
        <v>0</v>
      </c>
      <c r="P854" s="1268">
        <v>0</v>
      </c>
      <c r="Q854" s="1268">
        <v>0</v>
      </c>
      <c r="R854" s="1268">
        <v>0</v>
      </c>
      <c r="S854" s="1268">
        <v>499.1</v>
      </c>
      <c r="T854" s="1268">
        <v>1231631</v>
      </c>
      <c r="U854" s="1268">
        <v>0</v>
      </c>
      <c r="V854" s="1268">
        <v>0</v>
      </c>
      <c r="W854" s="1328">
        <v>0</v>
      </c>
      <c r="X854" s="1268">
        <v>96466</v>
      </c>
      <c r="Y854" s="1268">
        <v>0</v>
      </c>
    </row>
    <row r="855" spans="1:25" s="1287" customFormat="1" ht="113.4">
      <c r="A855" s="1281"/>
      <c r="B855" s="1277" t="s">
        <v>1158</v>
      </c>
      <c r="C855" s="1289">
        <f>SUM(C856:C866)</f>
        <v>26188378</v>
      </c>
      <c r="D855" s="1289">
        <f t="shared" ref="D855:Y855" si="423">SUM(D856:D866)</f>
        <v>11570375</v>
      </c>
      <c r="E855" s="1289">
        <f t="shared" si="423"/>
        <v>0</v>
      </c>
      <c r="F855" s="1289">
        <f t="shared" si="423"/>
        <v>5613369</v>
      </c>
      <c r="G855" s="1289">
        <f t="shared" si="423"/>
        <v>0</v>
      </c>
      <c r="H855" s="1289">
        <f t="shared" si="423"/>
        <v>1537211</v>
      </c>
      <c r="I855" s="1289">
        <f t="shared" si="423"/>
        <v>2240487</v>
      </c>
      <c r="J855" s="1289">
        <f t="shared" si="423"/>
        <v>2179308</v>
      </c>
      <c r="K855" s="1278">
        <f t="shared" si="423"/>
        <v>2</v>
      </c>
      <c r="L855" s="1289">
        <f t="shared" si="423"/>
        <v>553278</v>
      </c>
      <c r="M855" s="1278">
        <f t="shared" si="423"/>
        <v>0</v>
      </c>
      <c r="N855" s="1289">
        <f t="shared" si="423"/>
        <v>0</v>
      </c>
      <c r="O855" s="1289">
        <f t="shared" si="423"/>
        <v>4519.5</v>
      </c>
      <c r="P855" s="1289">
        <f t="shared" si="423"/>
        <v>12162539</v>
      </c>
      <c r="Q855" s="1289">
        <f t="shared" si="423"/>
        <v>0</v>
      </c>
      <c r="R855" s="1289">
        <f t="shared" si="423"/>
        <v>0</v>
      </c>
      <c r="S855" s="1289">
        <f t="shared" si="423"/>
        <v>0</v>
      </c>
      <c r="T855" s="1289">
        <f t="shared" si="423"/>
        <v>0</v>
      </c>
      <c r="U855" s="1289">
        <f t="shared" si="423"/>
        <v>0</v>
      </c>
      <c r="V855" s="1289">
        <f t="shared" si="423"/>
        <v>0</v>
      </c>
      <c r="W855" s="1328">
        <v>0</v>
      </c>
      <c r="X855" s="1289">
        <f t="shared" si="423"/>
        <v>1902186</v>
      </c>
      <c r="Y855" s="1289">
        <f t="shared" si="423"/>
        <v>0</v>
      </c>
    </row>
    <row r="856" spans="1:25" s="1287" customFormat="1">
      <c r="A856" s="1281">
        <v>114</v>
      </c>
      <c r="B856" s="1267" t="s">
        <v>1404</v>
      </c>
      <c r="C856" s="1289">
        <f t="shared" ref="C856" si="424">D856+N856+P856+R856+T856+V856+X856+L856</f>
        <v>1480849</v>
      </c>
      <c r="D856" s="1289">
        <f t="shared" ref="D856" si="425">SUM(E856:J856)</f>
        <v>0</v>
      </c>
      <c r="E856" s="1268">
        <v>0</v>
      </c>
      <c r="F856" s="1289">
        <v>0</v>
      </c>
      <c r="G856" s="1268">
        <v>0</v>
      </c>
      <c r="H856" s="1268">
        <v>0</v>
      </c>
      <c r="I856" s="1268">
        <v>0</v>
      </c>
      <c r="J856" s="1268">
        <v>0</v>
      </c>
      <c r="K856" s="1278">
        <v>0</v>
      </c>
      <c r="L856" s="1268">
        <v>0</v>
      </c>
      <c r="M856" s="1278">
        <v>0</v>
      </c>
      <c r="N856" s="1268">
        <v>0</v>
      </c>
      <c r="O856" s="1268">
        <v>545</v>
      </c>
      <c r="P856" s="1268">
        <v>1373288</v>
      </c>
      <c r="Q856" s="1268">
        <v>0</v>
      </c>
      <c r="R856" s="1268">
        <v>0</v>
      </c>
      <c r="S856" s="1268">
        <v>0</v>
      </c>
      <c r="T856" s="1268">
        <v>0</v>
      </c>
      <c r="U856" s="1268">
        <v>0</v>
      </c>
      <c r="V856" s="1268">
        <v>0</v>
      </c>
      <c r="W856" s="1328">
        <v>0</v>
      </c>
      <c r="X856" s="1277">
        <v>107561</v>
      </c>
      <c r="Y856" s="1277">
        <v>0</v>
      </c>
    </row>
    <row r="857" spans="1:25" s="1287" customFormat="1">
      <c r="A857" s="1281">
        <v>115</v>
      </c>
      <c r="B857" s="1267" t="s">
        <v>1936</v>
      </c>
      <c r="C857" s="1289">
        <f t="shared" ref="C857:C866" si="426">D857+N857+P857+R857+T857+V857+X857+L857</f>
        <v>747997</v>
      </c>
      <c r="D857" s="1289">
        <f t="shared" ref="D857:D866" si="427">SUM(E857:J857)</f>
        <v>0</v>
      </c>
      <c r="E857" s="1268">
        <v>0</v>
      </c>
      <c r="F857" s="1289">
        <v>0</v>
      </c>
      <c r="G857" s="1268">
        <v>0</v>
      </c>
      <c r="H857" s="1268">
        <v>0</v>
      </c>
      <c r="I857" s="1268">
        <v>0</v>
      </c>
      <c r="J857" s="1268">
        <v>0</v>
      </c>
      <c r="K857" s="1278">
        <v>0</v>
      </c>
      <c r="L857" s="1268">
        <v>0</v>
      </c>
      <c r="M857" s="1278">
        <v>0</v>
      </c>
      <c r="N857" s="1268">
        <v>0</v>
      </c>
      <c r="O857" s="1268">
        <v>221</v>
      </c>
      <c r="P857" s="1268">
        <v>693666</v>
      </c>
      <c r="Q857" s="1268">
        <v>0</v>
      </c>
      <c r="R857" s="1268">
        <v>0</v>
      </c>
      <c r="S857" s="1268">
        <v>0</v>
      </c>
      <c r="T857" s="1268">
        <v>0</v>
      </c>
      <c r="U857" s="1268">
        <v>0</v>
      </c>
      <c r="V857" s="1268">
        <v>0</v>
      </c>
      <c r="W857" s="1328">
        <v>0</v>
      </c>
      <c r="X857" s="1289">
        <v>54331</v>
      </c>
      <c r="Y857" s="1277">
        <v>0</v>
      </c>
    </row>
    <row r="858" spans="1:25" s="1287" customFormat="1" ht="55.8" customHeight="1">
      <c r="A858" s="1281">
        <v>116</v>
      </c>
      <c r="B858" s="1267" t="s">
        <v>1937</v>
      </c>
      <c r="C858" s="1289">
        <f t="shared" si="426"/>
        <v>1820360</v>
      </c>
      <c r="D858" s="1289">
        <f t="shared" si="427"/>
        <v>1411500</v>
      </c>
      <c r="E858" s="1268">
        <v>0</v>
      </c>
      <c r="F858" s="1268">
        <v>539528</v>
      </c>
      <c r="G858" s="1268">
        <v>0</v>
      </c>
      <c r="H858" s="1268">
        <v>331254</v>
      </c>
      <c r="I858" s="1268">
        <v>331254</v>
      </c>
      <c r="J858" s="1268">
        <v>209464</v>
      </c>
      <c r="K858" s="1278">
        <v>1</v>
      </c>
      <c r="L858" s="1268">
        <v>276639</v>
      </c>
      <c r="M858" s="1278">
        <v>0</v>
      </c>
      <c r="N858" s="1268">
        <v>0</v>
      </c>
      <c r="O858" s="1268">
        <v>0</v>
      </c>
      <c r="P858" s="1268">
        <v>0</v>
      </c>
      <c r="Q858" s="1268">
        <v>0</v>
      </c>
      <c r="R858" s="1268">
        <v>0</v>
      </c>
      <c r="S858" s="1289">
        <v>0</v>
      </c>
      <c r="T858" s="1289">
        <v>0</v>
      </c>
      <c r="U858" s="1289">
        <v>0</v>
      </c>
      <c r="V858" s="1289">
        <v>0</v>
      </c>
      <c r="W858" s="1328">
        <v>0</v>
      </c>
      <c r="X858" s="1289">
        <v>132221</v>
      </c>
      <c r="Y858" s="1289">
        <v>0</v>
      </c>
    </row>
    <row r="859" spans="1:25" s="1287" customFormat="1" ht="42.6" customHeight="1">
      <c r="A859" s="1281">
        <v>117</v>
      </c>
      <c r="B859" s="1315" t="s">
        <v>1411</v>
      </c>
      <c r="C859" s="1289">
        <f t="shared" si="426"/>
        <v>6713812</v>
      </c>
      <c r="D859" s="1289">
        <f t="shared" si="427"/>
        <v>6226156</v>
      </c>
      <c r="E859" s="1316">
        <v>0</v>
      </c>
      <c r="F859" s="1316">
        <v>3109648</v>
      </c>
      <c r="G859" s="1316">
        <v>0</v>
      </c>
      <c r="H859" s="1316">
        <v>0</v>
      </c>
      <c r="I859" s="1316">
        <v>1909233</v>
      </c>
      <c r="J859" s="1316">
        <v>1207275</v>
      </c>
      <c r="K859" s="1317">
        <v>0</v>
      </c>
      <c r="L859" s="1316">
        <v>0</v>
      </c>
      <c r="M859" s="1317">
        <v>0</v>
      </c>
      <c r="N859" s="1316">
        <v>0</v>
      </c>
      <c r="O859" s="1316">
        <v>0</v>
      </c>
      <c r="P859" s="1316">
        <v>0</v>
      </c>
      <c r="Q859" s="1316">
        <v>0</v>
      </c>
      <c r="R859" s="1316">
        <v>0</v>
      </c>
      <c r="S859" s="1353">
        <v>0</v>
      </c>
      <c r="T859" s="1353">
        <v>0</v>
      </c>
      <c r="U859" s="1353">
        <v>0</v>
      </c>
      <c r="V859" s="1353">
        <v>0</v>
      </c>
      <c r="W859" s="1328">
        <v>0</v>
      </c>
      <c r="X859" s="1353">
        <v>487656</v>
      </c>
      <c r="Y859" s="1353"/>
    </row>
    <row r="860" spans="1:25" s="1287" customFormat="1" ht="75.599999999999994">
      <c r="A860" s="1281">
        <v>118</v>
      </c>
      <c r="B860" s="1267" t="s">
        <v>2489</v>
      </c>
      <c r="C860" s="1289">
        <f t="shared" si="426"/>
        <v>1059690</v>
      </c>
      <c r="D860" s="1289">
        <f t="shared" si="427"/>
        <v>0</v>
      </c>
      <c r="E860" s="1268">
        <v>0</v>
      </c>
      <c r="F860" s="1268">
        <v>0</v>
      </c>
      <c r="G860" s="1268">
        <v>0</v>
      </c>
      <c r="H860" s="1268">
        <v>0</v>
      </c>
      <c r="I860" s="1268">
        <v>0</v>
      </c>
      <c r="J860" s="1268">
        <v>0</v>
      </c>
      <c r="K860" s="1278">
        <v>0</v>
      </c>
      <c r="L860" s="1268">
        <v>0</v>
      </c>
      <c r="M860" s="1278">
        <v>0</v>
      </c>
      <c r="N860" s="1268">
        <v>0</v>
      </c>
      <c r="O860" s="1268">
        <v>390</v>
      </c>
      <c r="P860" s="1268">
        <v>982720</v>
      </c>
      <c r="Q860" s="1268">
        <v>0</v>
      </c>
      <c r="R860" s="1268">
        <v>0</v>
      </c>
      <c r="S860" s="1289">
        <v>0</v>
      </c>
      <c r="T860" s="1289">
        <v>0</v>
      </c>
      <c r="U860" s="1289">
        <v>0</v>
      </c>
      <c r="V860" s="1289">
        <v>0</v>
      </c>
      <c r="W860" s="1328">
        <v>0</v>
      </c>
      <c r="X860" s="1289">
        <v>76970</v>
      </c>
      <c r="Y860" s="1289">
        <v>0</v>
      </c>
    </row>
    <row r="861" spans="1:25" s="1287" customFormat="1" ht="75.599999999999994">
      <c r="A861" s="1281">
        <v>119</v>
      </c>
      <c r="B861" s="1267" t="s">
        <v>1990</v>
      </c>
      <c r="C861" s="1289">
        <f t="shared" si="426"/>
        <v>1150765</v>
      </c>
      <c r="D861" s="1289">
        <f t="shared" si="427"/>
        <v>0</v>
      </c>
      <c r="E861" s="1268">
        <v>0</v>
      </c>
      <c r="F861" s="1268">
        <v>0</v>
      </c>
      <c r="G861" s="1268">
        <v>0</v>
      </c>
      <c r="H861" s="1268">
        <v>0</v>
      </c>
      <c r="I861" s="1268">
        <v>0</v>
      </c>
      <c r="J861" s="1268">
        <v>0</v>
      </c>
      <c r="K861" s="1278">
        <v>0</v>
      </c>
      <c r="L861" s="1268">
        <v>0</v>
      </c>
      <c r="M861" s="1278">
        <v>0</v>
      </c>
      <c r="N861" s="1268">
        <v>0</v>
      </c>
      <c r="O861" s="1268">
        <v>340</v>
      </c>
      <c r="P861" s="1334">
        <v>1067179</v>
      </c>
      <c r="Q861" s="1268">
        <v>0</v>
      </c>
      <c r="R861" s="1268">
        <v>0</v>
      </c>
      <c r="S861" s="1289">
        <v>0</v>
      </c>
      <c r="T861" s="1289">
        <v>0</v>
      </c>
      <c r="U861" s="1289">
        <v>0</v>
      </c>
      <c r="V861" s="1289">
        <v>0</v>
      </c>
      <c r="W861" s="1328">
        <v>0</v>
      </c>
      <c r="X861" s="1289">
        <v>83586</v>
      </c>
      <c r="Y861" s="1289">
        <v>0</v>
      </c>
    </row>
    <row r="862" spans="1:25" s="1280" customFormat="1">
      <c r="A862" s="1281">
        <v>120</v>
      </c>
      <c r="B862" s="1267" t="s">
        <v>2317</v>
      </c>
      <c r="C862" s="1289">
        <f t="shared" si="426"/>
        <v>3586643</v>
      </c>
      <c r="D862" s="1289">
        <f t="shared" si="427"/>
        <v>0</v>
      </c>
      <c r="E862" s="1268">
        <v>0</v>
      </c>
      <c r="F862" s="1268">
        <v>0</v>
      </c>
      <c r="G862" s="1268">
        <v>0</v>
      </c>
      <c r="H862" s="1268">
        <v>0</v>
      </c>
      <c r="I862" s="1268">
        <v>0</v>
      </c>
      <c r="J862" s="1268">
        <v>0</v>
      </c>
      <c r="K862" s="1278">
        <v>0</v>
      </c>
      <c r="L862" s="1268">
        <v>0</v>
      </c>
      <c r="M862" s="1278">
        <v>0</v>
      </c>
      <c r="N862" s="1268">
        <v>0</v>
      </c>
      <c r="O862" s="1268">
        <v>1320</v>
      </c>
      <c r="P862" s="1268">
        <v>3326128</v>
      </c>
      <c r="Q862" s="1268">
        <v>0</v>
      </c>
      <c r="R862" s="1268">
        <v>0</v>
      </c>
      <c r="S862" s="1289">
        <v>0</v>
      </c>
      <c r="T862" s="1289">
        <v>0</v>
      </c>
      <c r="U862" s="1289">
        <v>0</v>
      </c>
      <c r="V862" s="1289">
        <v>0</v>
      </c>
      <c r="W862" s="1328">
        <v>0</v>
      </c>
      <c r="X862" s="1289">
        <v>260515</v>
      </c>
      <c r="Y862" s="1289">
        <v>0</v>
      </c>
    </row>
    <row r="863" spans="1:25" s="1280" customFormat="1">
      <c r="A863" s="1281">
        <v>121</v>
      </c>
      <c r="B863" s="1267" t="s">
        <v>2363</v>
      </c>
      <c r="C863" s="1289">
        <f t="shared" si="426"/>
        <v>2335376</v>
      </c>
      <c r="D863" s="1289">
        <f t="shared" si="427"/>
        <v>0</v>
      </c>
      <c r="E863" s="1354">
        <v>0</v>
      </c>
      <c r="F863" s="1354">
        <v>0</v>
      </c>
      <c r="G863" s="1354">
        <v>0</v>
      </c>
      <c r="H863" s="1334">
        <v>0</v>
      </c>
      <c r="I863" s="1334">
        <v>0</v>
      </c>
      <c r="J863" s="1354">
        <v>0</v>
      </c>
      <c r="K863" s="1278">
        <v>0</v>
      </c>
      <c r="L863" s="1334">
        <v>0</v>
      </c>
      <c r="M863" s="1278">
        <v>0</v>
      </c>
      <c r="N863" s="1354">
        <v>0</v>
      </c>
      <c r="O863" s="1268">
        <v>690</v>
      </c>
      <c r="P863" s="1334">
        <v>2165746</v>
      </c>
      <c r="Q863" s="1354">
        <v>0</v>
      </c>
      <c r="R863" s="1354">
        <v>0</v>
      </c>
      <c r="S863" s="1354">
        <v>0</v>
      </c>
      <c r="T863" s="1354">
        <v>0</v>
      </c>
      <c r="U863" s="1354">
        <v>0</v>
      </c>
      <c r="V863" s="1354">
        <v>0</v>
      </c>
      <c r="W863" s="1328">
        <v>0</v>
      </c>
      <c r="X863" s="1354">
        <v>169630</v>
      </c>
      <c r="Y863" s="1334">
        <v>0</v>
      </c>
    </row>
    <row r="864" spans="1:25" s="1280" customFormat="1">
      <c r="A864" s="1281">
        <v>122</v>
      </c>
      <c r="B864" s="1267" t="s">
        <v>2318</v>
      </c>
      <c r="C864" s="1289">
        <f t="shared" si="426"/>
        <v>1395259</v>
      </c>
      <c r="D864" s="1289">
        <f t="shared" si="427"/>
        <v>0</v>
      </c>
      <c r="E864" s="1354">
        <v>0</v>
      </c>
      <c r="F864" s="1354">
        <v>0</v>
      </c>
      <c r="G864" s="1354">
        <v>0</v>
      </c>
      <c r="H864" s="1334">
        <v>0</v>
      </c>
      <c r="I864" s="1334">
        <v>0</v>
      </c>
      <c r="J864" s="1354">
        <v>0</v>
      </c>
      <c r="K864" s="1278">
        <v>0</v>
      </c>
      <c r="L864" s="1334">
        <v>0</v>
      </c>
      <c r="M864" s="1278">
        <v>0</v>
      </c>
      <c r="N864" s="1354">
        <v>0</v>
      </c>
      <c r="O864" s="1268">
        <v>513.5</v>
      </c>
      <c r="P864" s="1334">
        <v>1293915</v>
      </c>
      <c r="Q864" s="1354">
        <v>0</v>
      </c>
      <c r="R864" s="1354">
        <v>0</v>
      </c>
      <c r="S864" s="1354">
        <v>0</v>
      </c>
      <c r="T864" s="1354">
        <v>0</v>
      </c>
      <c r="U864" s="1354">
        <v>0</v>
      </c>
      <c r="V864" s="1354">
        <v>0</v>
      </c>
      <c r="W864" s="1328">
        <v>0</v>
      </c>
      <c r="X864" s="1354">
        <v>101344</v>
      </c>
      <c r="Y864" s="1334">
        <v>0</v>
      </c>
    </row>
    <row r="865" spans="1:25" s="1280" customFormat="1">
      <c r="A865" s="1281">
        <v>123</v>
      </c>
      <c r="B865" s="1267" t="s">
        <v>1409</v>
      </c>
      <c r="C865" s="1289">
        <f t="shared" si="426"/>
        <v>4539050</v>
      </c>
      <c r="D865" s="1289">
        <f t="shared" si="427"/>
        <v>3932719</v>
      </c>
      <c r="E865" s="1268">
        <v>0</v>
      </c>
      <c r="F865" s="1268">
        <v>1964193</v>
      </c>
      <c r="G865" s="1268">
        <v>0</v>
      </c>
      <c r="H865" s="1268">
        <v>1205957</v>
      </c>
      <c r="I865" s="1268">
        <v>0</v>
      </c>
      <c r="J865" s="1268">
        <v>762569</v>
      </c>
      <c r="K865" s="1278">
        <v>1</v>
      </c>
      <c r="L865" s="1289">
        <v>276639</v>
      </c>
      <c r="M865" s="1278">
        <v>0</v>
      </c>
      <c r="N865" s="1268">
        <v>0</v>
      </c>
      <c r="O865" s="1268">
        <v>0</v>
      </c>
      <c r="P865" s="1268">
        <v>0</v>
      </c>
      <c r="Q865" s="1268">
        <v>0</v>
      </c>
      <c r="R865" s="1268">
        <v>0</v>
      </c>
      <c r="S865" s="1289">
        <v>0</v>
      </c>
      <c r="T865" s="1289">
        <v>0</v>
      </c>
      <c r="U865" s="1289">
        <v>0</v>
      </c>
      <c r="V865" s="1289">
        <v>0</v>
      </c>
      <c r="W865" s="1328">
        <v>0</v>
      </c>
      <c r="X865" s="1289">
        <v>329692</v>
      </c>
      <c r="Y865" s="1289">
        <v>0</v>
      </c>
    </row>
    <row r="866" spans="1:25" s="1299" customFormat="1" ht="75.599999999999994">
      <c r="A866" s="1281">
        <v>124</v>
      </c>
      <c r="B866" s="1267" t="s">
        <v>2490</v>
      </c>
      <c r="C866" s="1289">
        <f t="shared" si="426"/>
        <v>1358577</v>
      </c>
      <c r="D866" s="1289">
        <f t="shared" si="427"/>
        <v>0</v>
      </c>
      <c r="E866" s="1268">
        <v>0</v>
      </c>
      <c r="F866" s="1268">
        <v>0</v>
      </c>
      <c r="G866" s="1268">
        <v>0</v>
      </c>
      <c r="H866" s="1268">
        <v>0</v>
      </c>
      <c r="I866" s="1268">
        <v>0</v>
      </c>
      <c r="J866" s="1268">
        <v>0</v>
      </c>
      <c r="K866" s="1278">
        <v>0</v>
      </c>
      <c r="L866" s="1289">
        <v>0</v>
      </c>
      <c r="M866" s="1278">
        <v>0</v>
      </c>
      <c r="N866" s="1268">
        <v>0</v>
      </c>
      <c r="O866" s="1268">
        <v>500</v>
      </c>
      <c r="P866" s="1268">
        <v>1259897</v>
      </c>
      <c r="Q866" s="1268">
        <v>0</v>
      </c>
      <c r="R866" s="1268">
        <v>0</v>
      </c>
      <c r="S866" s="1289">
        <v>0</v>
      </c>
      <c r="T866" s="1289">
        <v>0</v>
      </c>
      <c r="U866" s="1289">
        <v>0</v>
      </c>
      <c r="V866" s="1289">
        <v>0</v>
      </c>
      <c r="W866" s="1328">
        <v>0</v>
      </c>
      <c r="X866" s="1289">
        <v>98680</v>
      </c>
      <c r="Y866" s="1289">
        <v>0</v>
      </c>
    </row>
    <row r="867" spans="1:25" s="1299" customFormat="1" ht="75.599999999999994">
      <c r="A867" s="1281"/>
      <c r="B867" s="1267" t="s">
        <v>2013</v>
      </c>
      <c r="C867" s="1268">
        <f>C868</f>
        <v>6477579</v>
      </c>
      <c r="D867" s="1268">
        <f t="shared" ref="D867:Y867" si="428">D868</f>
        <v>0</v>
      </c>
      <c r="E867" s="1268">
        <f t="shared" si="428"/>
        <v>0</v>
      </c>
      <c r="F867" s="1268">
        <f t="shared" si="428"/>
        <v>0</v>
      </c>
      <c r="G867" s="1268">
        <f t="shared" si="428"/>
        <v>0</v>
      </c>
      <c r="H867" s="1268">
        <f t="shared" si="428"/>
        <v>0</v>
      </c>
      <c r="I867" s="1268">
        <f t="shared" si="428"/>
        <v>0</v>
      </c>
      <c r="J867" s="1268">
        <f t="shared" si="428"/>
        <v>0</v>
      </c>
      <c r="K867" s="1278">
        <f t="shared" si="428"/>
        <v>0</v>
      </c>
      <c r="L867" s="1268">
        <f t="shared" si="428"/>
        <v>0</v>
      </c>
      <c r="M867" s="1278">
        <f t="shared" si="428"/>
        <v>0</v>
      </c>
      <c r="N867" s="1268">
        <f t="shared" si="428"/>
        <v>0</v>
      </c>
      <c r="O867" s="1268">
        <f t="shared" si="428"/>
        <v>664</v>
      </c>
      <c r="P867" s="1268">
        <f t="shared" si="428"/>
        <v>2084138</v>
      </c>
      <c r="Q867" s="1268">
        <f t="shared" si="428"/>
        <v>0</v>
      </c>
      <c r="R867" s="1268">
        <f t="shared" si="428"/>
        <v>0</v>
      </c>
      <c r="S867" s="1268">
        <f t="shared" si="428"/>
        <v>818.4</v>
      </c>
      <c r="T867" s="1268">
        <f t="shared" si="428"/>
        <v>3922943</v>
      </c>
      <c r="U867" s="1268">
        <f t="shared" si="428"/>
        <v>0</v>
      </c>
      <c r="V867" s="1268">
        <f t="shared" si="428"/>
        <v>0</v>
      </c>
      <c r="W867" s="1328">
        <v>0</v>
      </c>
      <c r="X867" s="1268">
        <f t="shared" si="428"/>
        <v>470498</v>
      </c>
      <c r="Y867" s="1268">
        <f t="shared" si="428"/>
        <v>0</v>
      </c>
    </row>
    <row r="868" spans="1:25" s="1299" customFormat="1">
      <c r="A868" s="1281">
        <v>125</v>
      </c>
      <c r="B868" s="1267" t="s">
        <v>1415</v>
      </c>
      <c r="C868" s="1289">
        <f t="shared" ref="C868" si="429">D868+N868+P868+R868+T868+V868+X868+L868</f>
        <v>6477579</v>
      </c>
      <c r="D868" s="1289">
        <f t="shared" ref="D868" si="430">SUM(E868:J868)</f>
        <v>0</v>
      </c>
      <c r="E868" s="1268">
        <v>0</v>
      </c>
      <c r="F868" s="1268">
        <v>0</v>
      </c>
      <c r="G868" s="1268">
        <v>0</v>
      </c>
      <c r="H868" s="1268">
        <v>0</v>
      </c>
      <c r="I868" s="1268">
        <v>0</v>
      </c>
      <c r="J868" s="1268">
        <v>0</v>
      </c>
      <c r="K868" s="1278">
        <v>0</v>
      </c>
      <c r="L868" s="1268">
        <v>0</v>
      </c>
      <c r="M868" s="1278">
        <v>0</v>
      </c>
      <c r="N868" s="1268">
        <v>0</v>
      </c>
      <c r="O868" s="1268">
        <v>664</v>
      </c>
      <c r="P868" s="1268">
        <v>2084138</v>
      </c>
      <c r="Q868" s="1268">
        <v>0</v>
      </c>
      <c r="R868" s="1268">
        <v>0</v>
      </c>
      <c r="S868" s="1268">
        <v>818.4</v>
      </c>
      <c r="T868" s="1268">
        <v>3922943</v>
      </c>
      <c r="U868" s="1268">
        <v>0</v>
      </c>
      <c r="V868" s="1268">
        <v>0</v>
      </c>
      <c r="W868" s="1328">
        <v>0</v>
      </c>
      <c r="X868" s="1268">
        <v>470498</v>
      </c>
      <c r="Y868" s="1268">
        <v>0</v>
      </c>
    </row>
    <row r="869" spans="1:25" s="1299" customFormat="1">
      <c r="A869" s="1281"/>
      <c r="B869" s="1277" t="s">
        <v>61</v>
      </c>
      <c r="C869" s="1268">
        <f>C870</f>
        <v>2726298</v>
      </c>
      <c r="D869" s="1268">
        <f t="shared" ref="D869:Y869" si="431">D870</f>
        <v>2510456</v>
      </c>
      <c r="E869" s="1268">
        <f t="shared" si="431"/>
        <v>2510456</v>
      </c>
      <c r="F869" s="1268">
        <f t="shared" si="431"/>
        <v>0</v>
      </c>
      <c r="G869" s="1268">
        <f t="shared" si="431"/>
        <v>0</v>
      </c>
      <c r="H869" s="1268">
        <f t="shared" si="431"/>
        <v>0</v>
      </c>
      <c r="I869" s="1268">
        <f t="shared" si="431"/>
        <v>0</v>
      </c>
      <c r="J869" s="1268">
        <f t="shared" si="431"/>
        <v>0</v>
      </c>
      <c r="K869" s="1278">
        <v>0</v>
      </c>
      <c r="L869" s="1268">
        <v>0</v>
      </c>
      <c r="M869" s="1278">
        <f t="shared" si="431"/>
        <v>0</v>
      </c>
      <c r="N869" s="1268">
        <f t="shared" si="431"/>
        <v>0</v>
      </c>
      <c r="O869" s="1268">
        <f t="shared" si="431"/>
        <v>0</v>
      </c>
      <c r="P869" s="1268">
        <f t="shared" si="431"/>
        <v>0</v>
      </c>
      <c r="Q869" s="1268">
        <f t="shared" si="431"/>
        <v>0</v>
      </c>
      <c r="R869" s="1268">
        <f t="shared" si="431"/>
        <v>0</v>
      </c>
      <c r="S869" s="1268">
        <f t="shared" si="431"/>
        <v>0</v>
      </c>
      <c r="T869" s="1268">
        <f t="shared" si="431"/>
        <v>0</v>
      </c>
      <c r="U869" s="1268">
        <f t="shared" si="431"/>
        <v>0</v>
      </c>
      <c r="V869" s="1268">
        <f t="shared" si="431"/>
        <v>0</v>
      </c>
      <c r="W869" s="1328">
        <v>0</v>
      </c>
      <c r="X869" s="1268">
        <f t="shared" si="431"/>
        <v>198025</v>
      </c>
      <c r="Y869" s="1268">
        <f t="shared" si="431"/>
        <v>0</v>
      </c>
    </row>
    <row r="870" spans="1:25" s="1299" customFormat="1" ht="75.599999999999994">
      <c r="A870" s="1281"/>
      <c r="B870" s="1277" t="s">
        <v>1095</v>
      </c>
      <c r="C870" s="1268">
        <f>C871</f>
        <v>2726298</v>
      </c>
      <c r="D870" s="1268">
        <f t="shared" ref="D870:V870" si="432">D871</f>
        <v>2510456</v>
      </c>
      <c r="E870" s="1268">
        <f t="shared" si="432"/>
        <v>2510456</v>
      </c>
      <c r="F870" s="1268">
        <f t="shared" si="432"/>
        <v>0</v>
      </c>
      <c r="G870" s="1268">
        <f t="shared" si="432"/>
        <v>0</v>
      </c>
      <c r="H870" s="1268">
        <f t="shared" si="432"/>
        <v>0</v>
      </c>
      <c r="I870" s="1268">
        <f t="shared" si="432"/>
        <v>0</v>
      </c>
      <c r="J870" s="1268">
        <f t="shared" si="432"/>
        <v>0</v>
      </c>
      <c r="K870" s="1278">
        <v>0</v>
      </c>
      <c r="L870" s="1268">
        <v>0</v>
      </c>
      <c r="M870" s="1278">
        <f t="shared" si="432"/>
        <v>0</v>
      </c>
      <c r="N870" s="1268">
        <f t="shared" si="432"/>
        <v>0</v>
      </c>
      <c r="O870" s="1268">
        <f t="shared" si="432"/>
        <v>0</v>
      </c>
      <c r="P870" s="1268">
        <f t="shared" si="432"/>
        <v>0</v>
      </c>
      <c r="Q870" s="1268">
        <f t="shared" si="432"/>
        <v>0</v>
      </c>
      <c r="R870" s="1268">
        <f t="shared" si="432"/>
        <v>0</v>
      </c>
      <c r="S870" s="1268">
        <f t="shared" si="432"/>
        <v>0</v>
      </c>
      <c r="T870" s="1268">
        <f t="shared" si="432"/>
        <v>0</v>
      </c>
      <c r="U870" s="1268">
        <f t="shared" si="432"/>
        <v>0</v>
      </c>
      <c r="V870" s="1268">
        <f t="shared" si="432"/>
        <v>0</v>
      </c>
      <c r="W870" s="1328">
        <v>0</v>
      </c>
      <c r="X870" s="1268">
        <f t="shared" ref="X870:Y870" si="433">X871</f>
        <v>198025</v>
      </c>
      <c r="Y870" s="1268">
        <f t="shared" si="433"/>
        <v>0</v>
      </c>
    </row>
    <row r="871" spans="1:25" s="1299" customFormat="1">
      <c r="A871" s="1281">
        <v>126</v>
      </c>
      <c r="B871" s="1277" t="s">
        <v>1939</v>
      </c>
      <c r="C871" s="1268">
        <f>D871+N871+P871+R871+T871+V871+X871+L871</f>
        <v>2726298</v>
      </c>
      <c r="D871" s="1268">
        <f>SUM(E871:J871)</f>
        <v>2510456</v>
      </c>
      <c r="E871" s="1268">
        <v>2510456</v>
      </c>
      <c r="F871" s="1268">
        <v>0</v>
      </c>
      <c r="G871" s="1268">
        <v>0</v>
      </c>
      <c r="H871" s="1268">
        <v>0</v>
      </c>
      <c r="I871" s="1268">
        <v>0</v>
      </c>
      <c r="J871" s="1268">
        <v>0</v>
      </c>
      <c r="K871" s="1278">
        <v>1</v>
      </c>
      <c r="L871" s="1268">
        <v>17817</v>
      </c>
      <c r="M871" s="1278">
        <v>0</v>
      </c>
      <c r="N871" s="1268">
        <v>0</v>
      </c>
      <c r="O871" s="1268">
        <v>0</v>
      </c>
      <c r="P871" s="1268">
        <v>0</v>
      </c>
      <c r="Q871" s="1268">
        <v>0</v>
      </c>
      <c r="R871" s="1268">
        <v>0</v>
      </c>
      <c r="S871" s="1268">
        <v>0</v>
      </c>
      <c r="T871" s="1268">
        <v>0</v>
      </c>
      <c r="U871" s="1268">
        <v>0</v>
      </c>
      <c r="V871" s="1268">
        <v>0</v>
      </c>
      <c r="W871" s="1328">
        <v>0</v>
      </c>
      <c r="X871" s="1268">
        <v>198025</v>
      </c>
      <c r="Y871" s="1268">
        <v>0</v>
      </c>
    </row>
    <row r="872" spans="1:25" s="1299" customFormat="1" ht="75.599999999999994">
      <c r="A872" s="1281"/>
      <c r="B872" s="1277" t="s">
        <v>2014</v>
      </c>
      <c r="C872" s="1268">
        <f>C873</f>
        <v>1262456</v>
      </c>
      <c r="D872" s="1268">
        <f t="shared" ref="D872:Y872" si="434">D873</f>
        <v>0</v>
      </c>
      <c r="E872" s="1268">
        <f t="shared" si="434"/>
        <v>0</v>
      </c>
      <c r="F872" s="1268">
        <f t="shared" si="434"/>
        <v>0</v>
      </c>
      <c r="G872" s="1268">
        <f t="shared" si="434"/>
        <v>0</v>
      </c>
      <c r="H872" s="1268">
        <f t="shared" si="434"/>
        <v>0</v>
      </c>
      <c r="I872" s="1268">
        <f t="shared" si="434"/>
        <v>0</v>
      </c>
      <c r="J872" s="1268">
        <f t="shared" si="434"/>
        <v>0</v>
      </c>
      <c r="K872" s="1278">
        <f t="shared" si="434"/>
        <v>0</v>
      </c>
      <c r="L872" s="1268">
        <f t="shared" si="434"/>
        <v>0</v>
      </c>
      <c r="M872" s="1278">
        <f t="shared" si="434"/>
        <v>0</v>
      </c>
      <c r="N872" s="1268">
        <f t="shared" si="434"/>
        <v>0</v>
      </c>
      <c r="O872" s="1268">
        <f t="shared" si="434"/>
        <v>373</v>
      </c>
      <c r="P872" s="1268">
        <f t="shared" si="434"/>
        <v>1170758</v>
      </c>
      <c r="Q872" s="1268">
        <f t="shared" si="434"/>
        <v>0</v>
      </c>
      <c r="R872" s="1268">
        <f t="shared" si="434"/>
        <v>0</v>
      </c>
      <c r="S872" s="1268">
        <f t="shared" si="434"/>
        <v>0</v>
      </c>
      <c r="T872" s="1268">
        <f t="shared" si="434"/>
        <v>0</v>
      </c>
      <c r="U872" s="1268">
        <f t="shared" si="434"/>
        <v>0</v>
      </c>
      <c r="V872" s="1268">
        <f t="shared" si="434"/>
        <v>0</v>
      </c>
      <c r="W872" s="1328">
        <v>0</v>
      </c>
      <c r="X872" s="1268">
        <f t="shared" si="434"/>
        <v>91698</v>
      </c>
      <c r="Y872" s="1268">
        <f t="shared" si="434"/>
        <v>0</v>
      </c>
    </row>
    <row r="873" spans="1:25" s="1299" customFormat="1">
      <c r="A873" s="1281">
        <v>127</v>
      </c>
      <c r="B873" s="1277" t="s">
        <v>423</v>
      </c>
      <c r="C873" s="1268">
        <f>D873+N873+P873+R873+T873+V873+X873</f>
        <v>1262456</v>
      </c>
      <c r="D873" s="1268">
        <v>0</v>
      </c>
      <c r="E873" s="1268">
        <v>0</v>
      </c>
      <c r="F873" s="1268">
        <v>0</v>
      </c>
      <c r="G873" s="1268">
        <v>0</v>
      </c>
      <c r="H873" s="1268">
        <v>0</v>
      </c>
      <c r="I873" s="1268">
        <v>0</v>
      </c>
      <c r="J873" s="1268">
        <v>0</v>
      </c>
      <c r="K873" s="1278">
        <v>0</v>
      </c>
      <c r="L873" s="1268">
        <v>0</v>
      </c>
      <c r="M873" s="1278">
        <v>0</v>
      </c>
      <c r="N873" s="1268">
        <v>0</v>
      </c>
      <c r="O873" s="1268">
        <v>373</v>
      </c>
      <c r="P873" s="1268">
        <v>1170758</v>
      </c>
      <c r="Q873" s="1268">
        <v>0</v>
      </c>
      <c r="R873" s="1268">
        <v>0</v>
      </c>
      <c r="S873" s="1268">
        <v>0</v>
      </c>
      <c r="T873" s="1268">
        <v>0</v>
      </c>
      <c r="U873" s="1268">
        <v>0</v>
      </c>
      <c r="V873" s="1268">
        <v>0</v>
      </c>
      <c r="W873" s="1328">
        <v>0</v>
      </c>
      <c r="X873" s="1268">
        <v>91698</v>
      </c>
      <c r="Y873" s="1268">
        <v>0</v>
      </c>
    </row>
    <row r="874" spans="1:25" s="1299" customFormat="1" ht="75.599999999999994">
      <c r="A874" s="1281"/>
      <c r="B874" s="1277" t="s">
        <v>2016</v>
      </c>
      <c r="C874" s="1268">
        <f>C875+C876</f>
        <v>3794138</v>
      </c>
      <c r="D874" s="1268">
        <f t="shared" ref="D874:Y874" si="435">D875+D876</f>
        <v>0</v>
      </c>
      <c r="E874" s="1268">
        <f t="shared" si="435"/>
        <v>0</v>
      </c>
      <c r="F874" s="1268">
        <f t="shared" si="435"/>
        <v>0</v>
      </c>
      <c r="G874" s="1268">
        <f t="shared" si="435"/>
        <v>0</v>
      </c>
      <c r="H874" s="1268">
        <f t="shared" si="435"/>
        <v>0</v>
      </c>
      <c r="I874" s="1268">
        <f t="shared" si="435"/>
        <v>0</v>
      </c>
      <c r="J874" s="1268">
        <f t="shared" si="435"/>
        <v>0</v>
      </c>
      <c r="K874" s="1278">
        <f t="shared" si="435"/>
        <v>0</v>
      </c>
      <c r="L874" s="1268">
        <f t="shared" si="435"/>
        <v>0</v>
      </c>
      <c r="M874" s="1278">
        <f t="shared" si="435"/>
        <v>0</v>
      </c>
      <c r="N874" s="1268">
        <f t="shared" si="435"/>
        <v>0</v>
      </c>
      <c r="O874" s="1268">
        <f t="shared" si="435"/>
        <v>1121</v>
      </c>
      <c r="P874" s="1268">
        <f t="shared" si="435"/>
        <v>3518552</v>
      </c>
      <c r="Q874" s="1268">
        <f t="shared" si="435"/>
        <v>0</v>
      </c>
      <c r="R874" s="1268">
        <f t="shared" si="435"/>
        <v>0</v>
      </c>
      <c r="S874" s="1268">
        <f t="shared" si="435"/>
        <v>0</v>
      </c>
      <c r="T874" s="1268">
        <f t="shared" si="435"/>
        <v>0</v>
      </c>
      <c r="U874" s="1268">
        <f t="shared" si="435"/>
        <v>0</v>
      </c>
      <c r="V874" s="1268">
        <f t="shared" si="435"/>
        <v>0</v>
      </c>
      <c r="W874" s="1328">
        <v>0</v>
      </c>
      <c r="X874" s="1268">
        <f t="shared" si="435"/>
        <v>275586</v>
      </c>
      <c r="Y874" s="1268">
        <f t="shared" si="435"/>
        <v>0</v>
      </c>
    </row>
    <row r="875" spans="1:25" s="1299" customFormat="1">
      <c r="A875" s="1281">
        <v>128</v>
      </c>
      <c r="B875" s="1277" t="s">
        <v>1248</v>
      </c>
      <c r="C875" s="1268">
        <f>P875+X875</f>
        <v>2761835</v>
      </c>
      <c r="D875" s="1268">
        <f t="shared" ref="D875" si="436">D876+D877</f>
        <v>0</v>
      </c>
      <c r="E875" s="1268">
        <f t="shared" ref="E875" si="437">E876+E877</f>
        <v>0</v>
      </c>
      <c r="F875" s="1268">
        <f t="shared" ref="F875" si="438">F876+F877</f>
        <v>0</v>
      </c>
      <c r="G875" s="1268">
        <f t="shared" ref="G875" si="439">G876+G877</f>
        <v>0</v>
      </c>
      <c r="H875" s="1268">
        <f t="shared" ref="H875" si="440">H876+H877</f>
        <v>0</v>
      </c>
      <c r="I875" s="1268">
        <f t="shared" ref="I875" si="441">I876+I877</f>
        <v>0</v>
      </c>
      <c r="J875" s="1268">
        <f t="shared" ref="J875" si="442">J876+J877</f>
        <v>0</v>
      </c>
      <c r="K875" s="1278">
        <f t="shared" ref="K875" si="443">K876+K877</f>
        <v>0</v>
      </c>
      <c r="L875" s="1268">
        <f t="shared" ref="L875" si="444">L876+L877</f>
        <v>0</v>
      </c>
      <c r="M875" s="1278">
        <f t="shared" ref="M875" si="445">M876+M877</f>
        <v>0</v>
      </c>
      <c r="N875" s="1268">
        <f t="shared" ref="N875" si="446">N876+N877</f>
        <v>0</v>
      </c>
      <c r="O875" s="1268">
        <v>816</v>
      </c>
      <c r="P875" s="1268">
        <v>2561230</v>
      </c>
      <c r="Q875" s="1268">
        <f t="shared" ref="Q875" si="447">Q876+Q877</f>
        <v>0</v>
      </c>
      <c r="R875" s="1268">
        <f t="shared" ref="R875" si="448">R876+R877</f>
        <v>0</v>
      </c>
      <c r="S875" s="1268">
        <f t="shared" ref="S875" si="449">S876+S877</f>
        <v>0</v>
      </c>
      <c r="T875" s="1268">
        <f t="shared" ref="T875" si="450">T876+T877</f>
        <v>0</v>
      </c>
      <c r="U875" s="1268">
        <f t="shared" ref="U875" si="451">U876+U877</f>
        <v>0</v>
      </c>
      <c r="V875" s="1268">
        <f t="shared" ref="V875" si="452">V876+V877</f>
        <v>0</v>
      </c>
      <c r="W875" s="1328">
        <v>0</v>
      </c>
      <c r="X875" s="1268">
        <v>200605</v>
      </c>
      <c r="Y875" s="1268">
        <v>0</v>
      </c>
    </row>
    <row r="876" spans="1:25" s="1299" customFormat="1" ht="54" customHeight="1">
      <c r="A876" s="1281">
        <v>129</v>
      </c>
      <c r="B876" s="1324" t="s">
        <v>1249</v>
      </c>
      <c r="C876" s="1268">
        <f>P876+X876</f>
        <v>1032303</v>
      </c>
      <c r="D876" s="1268">
        <v>0</v>
      </c>
      <c r="E876" s="1268">
        <v>0</v>
      </c>
      <c r="F876" s="1268">
        <v>0</v>
      </c>
      <c r="G876" s="1268">
        <v>0</v>
      </c>
      <c r="H876" s="1268">
        <v>0</v>
      </c>
      <c r="I876" s="1268">
        <v>0</v>
      </c>
      <c r="J876" s="1268">
        <v>0</v>
      </c>
      <c r="K876" s="1278">
        <v>0</v>
      </c>
      <c r="L876" s="1268">
        <v>0</v>
      </c>
      <c r="M876" s="1278">
        <v>0</v>
      </c>
      <c r="N876" s="1268">
        <v>0</v>
      </c>
      <c r="O876" s="1268">
        <v>305</v>
      </c>
      <c r="P876" s="1268">
        <v>957322</v>
      </c>
      <c r="Q876" s="1268">
        <v>0</v>
      </c>
      <c r="R876" s="1268">
        <v>0</v>
      </c>
      <c r="S876" s="1268">
        <v>0</v>
      </c>
      <c r="T876" s="1268">
        <v>0</v>
      </c>
      <c r="U876" s="1268">
        <v>0</v>
      </c>
      <c r="V876" s="1268">
        <v>0</v>
      </c>
      <c r="W876" s="1328">
        <v>0</v>
      </c>
      <c r="X876" s="1268">
        <v>74981</v>
      </c>
      <c r="Y876" s="1268">
        <v>0</v>
      </c>
    </row>
    <row r="877" spans="1:25" s="1299" customFormat="1">
      <c r="A877" s="1281"/>
      <c r="B877" s="1277" t="s">
        <v>663</v>
      </c>
      <c r="C877" s="1268">
        <f>C879</f>
        <v>1337600</v>
      </c>
      <c r="D877" s="1268">
        <f t="shared" ref="D877:V877" si="453">D879</f>
        <v>0</v>
      </c>
      <c r="E877" s="1268">
        <f t="shared" si="453"/>
        <v>0</v>
      </c>
      <c r="F877" s="1268">
        <f t="shared" si="453"/>
        <v>0</v>
      </c>
      <c r="G877" s="1268">
        <f t="shared" si="453"/>
        <v>0</v>
      </c>
      <c r="H877" s="1268">
        <f t="shared" si="453"/>
        <v>0</v>
      </c>
      <c r="I877" s="1268">
        <f t="shared" si="453"/>
        <v>0</v>
      </c>
      <c r="J877" s="1268">
        <f t="shared" si="453"/>
        <v>0</v>
      </c>
      <c r="K877" s="1278">
        <v>0</v>
      </c>
      <c r="L877" s="1268">
        <v>0</v>
      </c>
      <c r="M877" s="1278">
        <v>0</v>
      </c>
      <c r="N877" s="1268">
        <f t="shared" si="453"/>
        <v>0</v>
      </c>
      <c r="O877" s="1268">
        <f t="shared" si="453"/>
        <v>731</v>
      </c>
      <c r="P877" s="1268">
        <f t="shared" si="453"/>
        <v>1240444</v>
      </c>
      <c r="Q877" s="1268">
        <f t="shared" si="453"/>
        <v>0</v>
      </c>
      <c r="R877" s="1268">
        <f t="shared" si="453"/>
        <v>0</v>
      </c>
      <c r="S877" s="1268">
        <f t="shared" si="453"/>
        <v>0</v>
      </c>
      <c r="T877" s="1268">
        <f t="shared" si="453"/>
        <v>0</v>
      </c>
      <c r="U877" s="1268">
        <f t="shared" si="453"/>
        <v>0</v>
      </c>
      <c r="V877" s="1268">
        <f t="shared" si="453"/>
        <v>0</v>
      </c>
      <c r="W877" s="1328">
        <v>0</v>
      </c>
      <c r="X877" s="1268">
        <f>X879</f>
        <v>97156</v>
      </c>
      <c r="Y877" s="1268">
        <f t="shared" ref="Y877" si="454">Y879</f>
        <v>0</v>
      </c>
    </row>
    <row r="878" spans="1:25" s="1299" customFormat="1" ht="75.599999999999994">
      <c r="A878" s="1281"/>
      <c r="B878" s="1277" t="s">
        <v>1105</v>
      </c>
      <c r="C878" s="1268">
        <f>C879</f>
        <v>1337600</v>
      </c>
      <c r="D878" s="1268">
        <f t="shared" ref="D878:Y878" si="455">D879</f>
        <v>0</v>
      </c>
      <c r="E878" s="1268">
        <f t="shared" si="455"/>
        <v>0</v>
      </c>
      <c r="F878" s="1268">
        <f t="shared" si="455"/>
        <v>0</v>
      </c>
      <c r="G878" s="1268">
        <f t="shared" si="455"/>
        <v>0</v>
      </c>
      <c r="H878" s="1268">
        <f t="shared" si="455"/>
        <v>0</v>
      </c>
      <c r="I878" s="1268">
        <f t="shared" si="455"/>
        <v>0</v>
      </c>
      <c r="J878" s="1268">
        <f t="shared" si="455"/>
        <v>0</v>
      </c>
      <c r="K878" s="1278">
        <v>0</v>
      </c>
      <c r="L878" s="1268">
        <v>0</v>
      </c>
      <c r="M878" s="1278">
        <v>0</v>
      </c>
      <c r="N878" s="1268">
        <f t="shared" si="455"/>
        <v>0</v>
      </c>
      <c r="O878" s="1268">
        <f t="shared" si="455"/>
        <v>731</v>
      </c>
      <c r="P878" s="1268">
        <f t="shared" si="455"/>
        <v>1240444</v>
      </c>
      <c r="Q878" s="1268">
        <f t="shared" si="455"/>
        <v>0</v>
      </c>
      <c r="R878" s="1268">
        <f t="shared" si="455"/>
        <v>0</v>
      </c>
      <c r="S878" s="1268">
        <f t="shared" si="455"/>
        <v>0</v>
      </c>
      <c r="T878" s="1268">
        <f t="shared" si="455"/>
        <v>0</v>
      </c>
      <c r="U878" s="1268">
        <f t="shared" si="455"/>
        <v>0</v>
      </c>
      <c r="V878" s="1268">
        <f t="shared" si="455"/>
        <v>0</v>
      </c>
      <c r="W878" s="1328">
        <v>0</v>
      </c>
      <c r="X878" s="1268">
        <f t="shared" si="455"/>
        <v>97156</v>
      </c>
      <c r="Y878" s="1268">
        <f t="shared" si="455"/>
        <v>0</v>
      </c>
    </row>
    <row r="879" spans="1:25" s="1299" customFormat="1">
      <c r="A879" s="1281">
        <v>130</v>
      </c>
      <c r="B879" s="1277" t="s">
        <v>1991</v>
      </c>
      <c r="C879" s="1268">
        <f>D879+N879+P879+R879+T879+V879+X879</f>
        <v>1337600</v>
      </c>
      <c r="D879" s="1268">
        <v>0</v>
      </c>
      <c r="E879" s="1268">
        <v>0</v>
      </c>
      <c r="F879" s="1268">
        <v>0</v>
      </c>
      <c r="G879" s="1268">
        <v>0</v>
      </c>
      <c r="H879" s="1268">
        <v>0</v>
      </c>
      <c r="I879" s="1268">
        <v>0</v>
      </c>
      <c r="J879" s="1268">
        <v>0</v>
      </c>
      <c r="K879" s="1278">
        <v>0</v>
      </c>
      <c r="L879" s="1268">
        <v>0</v>
      </c>
      <c r="M879" s="1278">
        <v>0</v>
      </c>
      <c r="N879" s="1268">
        <v>0</v>
      </c>
      <c r="O879" s="1268">
        <v>731</v>
      </c>
      <c r="P879" s="1268">
        <v>1240444</v>
      </c>
      <c r="Q879" s="1268">
        <v>0</v>
      </c>
      <c r="R879" s="1268">
        <v>0</v>
      </c>
      <c r="S879" s="1268">
        <v>0</v>
      </c>
      <c r="T879" s="1268">
        <v>0</v>
      </c>
      <c r="U879" s="1268">
        <v>0</v>
      </c>
      <c r="V879" s="1268">
        <v>0</v>
      </c>
      <c r="W879" s="1328">
        <v>0</v>
      </c>
      <c r="X879" s="1268">
        <v>97156</v>
      </c>
      <c r="Y879" s="1268">
        <v>0</v>
      </c>
    </row>
    <row r="880" spans="1:25" s="1299" customFormat="1" ht="48" customHeight="1">
      <c r="A880" s="1281"/>
      <c r="B880" s="1277" t="s">
        <v>1036</v>
      </c>
      <c r="C880" s="1268">
        <f>C881</f>
        <v>1431686</v>
      </c>
      <c r="D880" s="1268">
        <f t="shared" ref="D880:Y881" si="456">D881</f>
        <v>0</v>
      </c>
      <c r="E880" s="1268">
        <f t="shared" si="456"/>
        <v>0</v>
      </c>
      <c r="F880" s="1268">
        <f t="shared" si="456"/>
        <v>0</v>
      </c>
      <c r="G880" s="1268">
        <f t="shared" si="456"/>
        <v>0</v>
      </c>
      <c r="H880" s="1268">
        <f t="shared" si="456"/>
        <v>0</v>
      </c>
      <c r="I880" s="1268">
        <f t="shared" si="456"/>
        <v>0</v>
      </c>
      <c r="J880" s="1268">
        <f t="shared" si="456"/>
        <v>0</v>
      </c>
      <c r="K880" s="1278">
        <f t="shared" si="456"/>
        <v>0</v>
      </c>
      <c r="L880" s="1268">
        <f t="shared" si="456"/>
        <v>0</v>
      </c>
      <c r="M880" s="1278">
        <f t="shared" si="456"/>
        <v>0</v>
      </c>
      <c r="N880" s="1268">
        <f t="shared" si="456"/>
        <v>0</v>
      </c>
      <c r="O880" s="1268">
        <f t="shared" si="456"/>
        <v>450</v>
      </c>
      <c r="P880" s="1268">
        <f t="shared" si="456"/>
        <v>1327696</v>
      </c>
      <c r="Q880" s="1268">
        <f t="shared" si="456"/>
        <v>0</v>
      </c>
      <c r="R880" s="1268">
        <f t="shared" si="456"/>
        <v>0</v>
      </c>
      <c r="S880" s="1268">
        <f t="shared" si="456"/>
        <v>0</v>
      </c>
      <c r="T880" s="1268">
        <f t="shared" si="456"/>
        <v>0</v>
      </c>
      <c r="U880" s="1268">
        <f t="shared" si="456"/>
        <v>0</v>
      </c>
      <c r="V880" s="1268">
        <f t="shared" si="456"/>
        <v>0</v>
      </c>
      <c r="W880" s="1328">
        <v>0</v>
      </c>
      <c r="X880" s="1268">
        <f t="shared" si="456"/>
        <v>103990</v>
      </c>
      <c r="Y880" s="1268">
        <f t="shared" si="456"/>
        <v>0</v>
      </c>
    </row>
    <row r="881" spans="1:25" s="1299" customFormat="1" ht="76.8" customHeight="1">
      <c r="A881" s="1281"/>
      <c r="B881" s="1277" t="s">
        <v>1096</v>
      </c>
      <c r="C881" s="1268">
        <f>C882</f>
        <v>1431686</v>
      </c>
      <c r="D881" s="1268">
        <f t="shared" si="456"/>
        <v>0</v>
      </c>
      <c r="E881" s="1268">
        <f t="shared" si="456"/>
        <v>0</v>
      </c>
      <c r="F881" s="1268">
        <f t="shared" si="456"/>
        <v>0</v>
      </c>
      <c r="G881" s="1268">
        <f t="shared" si="456"/>
        <v>0</v>
      </c>
      <c r="H881" s="1268">
        <f t="shared" si="456"/>
        <v>0</v>
      </c>
      <c r="I881" s="1268">
        <f t="shared" si="456"/>
        <v>0</v>
      </c>
      <c r="J881" s="1268">
        <f t="shared" si="456"/>
        <v>0</v>
      </c>
      <c r="K881" s="1278">
        <f t="shared" si="456"/>
        <v>0</v>
      </c>
      <c r="L881" s="1268">
        <f t="shared" si="456"/>
        <v>0</v>
      </c>
      <c r="M881" s="1278">
        <f t="shared" si="456"/>
        <v>0</v>
      </c>
      <c r="N881" s="1268">
        <f t="shared" si="456"/>
        <v>0</v>
      </c>
      <c r="O881" s="1268">
        <f t="shared" si="456"/>
        <v>450</v>
      </c>
      <c r="P881" s="1268">
        <f t="shared" si="456"/>
        <v>1327696</v>
      </c>
      <c r="Q881" s="1268">
        <f t="shared" si="456"/>
        <v>0</v>
      </c>
      <c r="R881" s="1268">
        <f t="shared" si="456"/>
        <v>0</v>
      </c>
      <c r="S881" s="1268">
        <f t="shared" si="456"/>
        <v>0</v>
      </c>
      <c r="T881" s="1268">
        <f t="shared" si="456"/>
        <v>0</v>
      </c>
      <c r="U881" s="1268">
        <f t="shared" si="456"/>
        <v>0</v>
      </c>
      <c r="V881" s="1268">
        <f t="shared" si="456"/>
        <v>0</v>
      </c>
      <c r="W881" s="1328">
        <v>0</v>
      </c>
      <c r="X881" s="1268">
        <f t="shared" si="456"/>
        <v>103990</v>
      </c>
      <c r="Y881" s="1268">
        <f t="shared" si="456"/>
        <v>0</v>
      </c>
    </row>
    <row r="882" spans="1:25" s="1299" customFormat="1">
      <c r="A882" s="1281">
        <v>131</v>
      </c>
      <c r="B882" s="1277" t="s">
        <v>1289</v>
      </c>
      <c r="C882" s="1268">
        <f>D882+N882+P882+R882+T882+V882+X882+L882</f>
        <v>1431686</v>
      </c>
      <c r="D882" s="1268">
        <f>SUM(E882:J882)</f>
        <v>0</v>
      </c>
      <c r="E882" s="1268">
        <v>0</v>
      </c>
      <c r="F882" s="1268">
        <v>0</v>
      </c>
      <c r="G882" s="1268">
        <v>0</v>
      </c>
      <c r="H882" s="1268">
        <v>0</v>
      </c>
      <c r="I882" s="1268">
        <v>0</v>
      </c>
      <c r="J882" s="1268">
        <v>0</v>
      </c>
      <c r="K882" s="1278">
        <v>0</v>
      </c>
      <c r="L882" s="1268">
        <v>0</v>
      </c>
      <c r="M882" s="1278">
        <v>0</v>
      </c>
      <c r="N882" s="1268">
        <v>0</v>
      </c>
      <c r="O882" s="1268">
        <v>450</v>
      </c>
      <c r="P882" s="1268">
        <v>1327696</v>
      </c>
      <c r="Q882" s="1268">
        <v>0</v>
      </c>
      <c r="R882" s="1268">
        <v>0</v>
      </c>
      <c r="S882" s="1268">
        <v>0</v>
      </c>
      <c r="T882" s="1268">
        <v>0</v>
      </c>
      <c r="U882" s="1268">
        <v>0</v>
      </c>
      <c r="V882" s="1268">
        <v>0</v>
      </c>
      <c r="W882" s="1328">
        <v>0</v>
      </c>
      <c r="X882" s="1268">
        <v>103990</v>
      </c>
      <c r="Y882" s="1268">
        <v>0</v>
      </c>
    </row>
    <row r="883" spans="1:25" s="1280" customFormat="1">
      <c r="A883" s="1281"/>
      <c r="B883" s="1277" t="s">
        <v>64</v>
      </c>
      <c r="C883" s="1268">
        <f>C884</f>
        <v>7866361</v>
      </c>
      <c r="D883" s="1268">
        <f t="shared" ref="D883:X883" si="457">D884</f>
        <v>0</v>
      </c>
      <c r="E883" s="1268">
        <f t="shared" si="457"/>
        <v>0</v>
      </c>
      <c r="F883" s="1268">
        <f t="shared" si="457"/>
        <v>0</v>
      </c>
      <c r="G883" s="1268">
        <f t="shared" si="457"/>
        <v>0</v>
      </c>
      <c r="H883" s="1268">
        <f t="shared" si="457"/>
        <v>0</v>
      </c>
      <c r="I883" s="1268">
        <f t="shared" si="457"/>
        <v>0</v>
      </c>
      <c r="J883" s="1268">
        <f t="shared" si="457"/>
        <v>0</v>
      </c>
      <c r="K883" s="1278">
        <v>0</v>
      </c>
      <c r="L883" s="1268">
        <v>0</v>
      </c>
      <c r="M883" s="1278">
        <f t="shared" ref="M883" si="458">M884</f>
        <v>0</v>
      </c>
      <c r="N883" s="1268">
        <f t="shared" si="457"/>
        <v>0</v>
      </c>
      <c r="O883" s="1268">
        <f t="shared" si="457"/>
        <v>2406</v>
      </c>
      <c r="P883" s="1268">
        <f t="shared" si="457"/>
        <v>7294989</v>
      </c>
      <c r="Q883" s="1268">
        <f t="shared" si="457"/>
        <v>0</v>
      </c>
      <c r="R883" s="1268">
        <f t="shared" si="457"/>
        <v>0</v>
      </c>
      <c r="S883" s="1268">
        <f t="shared" si="457"/>
        <v>0</v>
      </c>
      <c r="T883" s="1268">
        <f t="shared" si="457"/>
        <v>0</v>
      </c>
      <c r="U883" s="1268">
        <f t="shared" si="457"/>
        <v>0</v>
      </c>
      <c r="V883" s="1268">
        <f t="shared" si="457"/>
        <v>0</v>
      </c>
      <c r="W883" s="1328">
        <v>0</v>
      </c>
      <c r="X883" s="1268">
        <f t="shared" si="457"/>
        <v>571372</v>
      </c>
      <c r="Y883" s="1268">
        <v>0</v>
      </c>
    </row>
    <row r="884" spans="1:25" s="1280" customFormat="1" ht="113.4">
      <c r="A884" s="1281"/>
      <c r="B884" s="1277" t="s">
        <v>1097</v>
      </c>
      <c r="C884" s="1268">
        <f>C885+C886+C887</f>
        <v>7866361</v>
      </c>
      <c r="D884" s="1268">
        <f t="shared" ref="D884:Y884" si="459">D885+D886+D887</f>
        <v>0</v>
      </c>
      <c r="E884" s="1268">
        <f t="shared" si="459"/>
        <v>0</v>
      </c>
      <c r="F884" s="1268">
        <f t="shared" si="459"/>
        <v>0</v>
      </c>
      <c r="G884" s="1268">
        <f t="shared" si="459"/>
        <v>0</v>
      </c>
      <c r="H884" s="1268">
        <f t="shared" si="459"/>
        <v>0</v>
      </c>
      <c r="I884" s="1268">
        <f t="shared" si="459"/>
        <v>0</v>
      </c>
      <c r="J884" s="1268">
        <f t="shared" si="459"/>
        <v>0</v>
      </c>
      <c r="K884" s="1278">
        <f t="shared" si="459"/>
        <v>0</v>
      </c>
      <c r="L884" s="1268">
        <f t="shared" si="459"/>
        <v>0</v>
      </c>
      <c r="M884" s="1278">
        <f t="shared" si="459"/>
        <v>0</v>
      </c>
      <c r="N884" s="1268">
        <f t="shared" si="459"/>
        <v>0</v>
      </c>
      <c r="O884" s="1268">
        <f t="shared" si="459"/>
        <v>2406</v>
      </c>
      <c r="P884" s="1268">
        <f t="shared" si="459"/>
        <v>7294989</v>
      </c>
      <c r="Q884" s="1268">
        <f t="shared" si="459"/>
        <v>0</v>
      </c>
      <c r="R884" s="1268">
        <f t="shared" si="459"/>
        <v>0</v>
      </c>
      <c r="S884" s="1268">
        <f t="shared" si="459"/>
        <v>0</v>
      </c>
      <c r="T884" s="1268">
        <f t="shared" si="459"/>
        <v>0</v>
      </c>
      <c r="U884" s="1268">
        <f t="shared" si="459"/>
        <v>0</v>
      </c>
      <c r="V884" s="1268">
        <f t="shared" si="459"/>
        <v>0</v>
      </c>
      <c r="W884" s="1328">
        <v>0</v>
      </c>
      <c r="X884" s="1268">
        <f t="shared" si="459"/>
        <v>571372</v>
      </c>
      <c r="Y884" s="1268">
        <f t="shared" si="459"/>
        <v>0</v>
      </c>
    </row>
    <row r="885" spans="1:25" s="1280" customFormat="1">
      <c r="A885" s="1281">
        <v>132</v>
      </c>
      <c r="B885" s="1277" t="s">
        <v>1337</v>
      </c>
      <c r="C885" s="1268">
        <f>D885+N885+P885+R885+T885+V885+X885+L885</f>
        <v>1127618</v>
      </c>
      <c r="D885" s="1268">
        <f>SUM(E885:J885)</f>
        <v>0</v>
      </c>
      <c r="E885" s="1289">
        <v>0</v>
      </c>
      <c r="F885" s="1289">
        <v>0</v>
      </c>
      <c r="G885" s="1289">
        <v>0</v>
      </c>
      <c r="H885" s="1289">
        <v>0</v>
      </c>
      <c r="I885" s="1289">
        <v>0</v>
      </c>
      <c r="J885" s="1289">
        <v>0</v>
      </c>
      <c r="K885" s="1278">
        <v>0</v>
      </c>
      <c r="L885" s="1289">
        <v>0</v>
      </c>
      <c r="M885" s="1278">
        <v>0</v>
      </c>
      <c r="N885" s="1289">
        <v>0</v>
      </c>
      <c r="O885" s="1289">
        <v>415</v>
      </c>
      <c r="P885" s="1289">
        <v>1045714</v>
      </c>
      <c r="Q885" s="1289">
        <v>0</v>
      </c>
      <c r="R885" s="1289">
        <v>0</v>
      </c>
      <c r="S885" s="1289">
        <v>0</v>
      </c>
      <c r="T885" s="1289">
        <v>0</v>
      </c>
      <c r="U885" s="1289">
        <v>0</v>
      </c>
      <c r="V885" s="1289">
        <v>0</v>
      </c>
      <c r="W885" s="1328">
        <v>0</v>
      </c>
      <c r="X885" s="1268">
        <v>81904</v>
      </c>
      <c r="Y885" s="1268">
        <v>0</v>
      </c>
    </row>
    <row r="886" spans="1:25" s="1280" customFormat="1" ht="90" customHeight="1">
      <c r="A886" s="1281">
        <v>133</v>
      </c>
      <c r="B886" s="1277" t="s">
        <v>1338</v>
      </c>
      <c r="C886" s="1268">
        <f>D886+N886+P886+R886+T886+V886+X886+L886</f>
        <v>4721520</v>
      </c>
      <c r="D886" s="1268">
        <f>SUM(E886:J886)</f>
        <v>0</v>
      </c>
      <c r="E886" s="1289">
        <v>0</v>
      </c>
      <c r="F886" s="1289">
        <v>0</v>
      </c>
      <c r="G886" s="1289">
        <v>0</v>
      </c>
      <c r="H886" s="1289">
        <v>0</v>
      </c>
      <c r="I886" s="1289">
        <v>0</v>
      </c>
      <c r="J886" s="1289">
        <v>0</v>
      </c>
      <c r="K886" s="1278">
        <v>0</v>
      </c>
      <c r="L886" s="1289">
        <v>0</v>
      </c>
      <c r="M886" s="1278">
        <v>0</v>
      </c>
      <c r="N886" s="1289">
        <v>0</v>
      </c>
      <c r="O886" s="1289">
        <v>1395</v>
      </c>
      <c r="P886" s="1289">
        <v>4378573</v>
      </c>
      <c r="Q886" s="1289">
        <v>0</v>
      </c>
      <c r="R886" s="1289">
        <v>0</v>
      </c>
      <c r="S886" s="1289">
        <v>0</v>
      </c>
      <c r="T886" s="1289">
        <v>0</v>
      </c>
      <c r="U886" s="1289">
        <v>0</v>
      </c>
      <c r="V886" s="1289">
        <v>0</v>
      </c>
      <c r="W886" s="1328">
        <v>0</v>
      </c>
      <c r="X886" s="1268">
        <v>342947</v>
      </c>
      <c r="Y886" s="1268">
        <v>0</v>
      </c>
    </row>
    <row r="887" spans="1:25" s="1280" customFormat="1">
      <c r="A887" s="1281">
        <v>134</v>
      </c>
      <c r="B887" s="1277" t="s">
        <v>616</v>
      </c>
      <c r="C887" s="1268">
        <f>D887+N887+P887+R887+T887+V887+X887+L887</f>
        <v>2017223</v>
      </c>
      <c r="D887" s="1268">
        <f>SUM(E887:J887)</f>
        <v>0</v>
      </c>
      <c r="E887" s="1289">
        <v>0</v>
      </c>
      <c r="F887" s="1289">
        <v>0</v>
      </c>
      <c r="G887" s="1289">
        <v>0</v>
      </c>
      <c r="H887" s="1289">
        <v>0</v>
      </c>
      <c r="I887" s="1289">
        <v>0</v>
      </c>
      <c r="J887" s="1289">
        <v>0</v>
      </c>
      <c r="K887" s="1278">
        <v>0</v>
      </c>
      <c r="L887" s="1289">
        <v>0</v>
      </c>
      <c r="M887" s="1278">
        <v>0</v>
      </c>
      <c r="N887" s="1289">
        <v>0</v>
      </c>
      <c r="O887" s="1289">
        <v>596</v>
      </c>
      <c r="P887" s="1289">
        <v>1870702</v>
      </c>
      <c r="Q887" s="1289">
        <v>0</v>
      </c>
      <c r="R887" s="1289">
        <v>0</v>
      </c>
      <c r="S887" s="1289">
        <v>0</v>
      </c>
      <c r="T887" s="1289">
        <v>0</v>
      </c>
      <c r="U887" s="1289">
        <v>0</v>
      </c>
      <c r="V887" s="1289">
        <v>0</v>
      </c>
      <c r="W887" s="1328">
        <v>0</v>
      </c>
      <c r="X887" s="1268">
        <v>146521</v>
      </c>
      <c r="Y887" s="1268">
        <v>0</v>
      </c>
    </row>
    <row r="888" spans="1:25" s="1280" customFormat="1">
      <c r="A888" s="1281"/>
      <c r="B888" s="1277" t="s">
        <v>66</v>
      </c>
      <c r="C888" s="1268">
        <f>C889</f>
        <v>1018933</v>
      </c>
      <c r="D888" s="1268">
        <f t="shared" ref="D888:Y888" si="460">D889</f>
        <v>0</v>
      </c>
      <c r="E888" s="1268">
        <f t="shared" si="460"/>
        <v>0</v>
      </c>
      <c r="F888" s="1268">
        <f t="shared" si="460"/>
        <v>0</v>
      </c>
      <c r="G888" s="1268">
        <f t="shared" si="460"/>
        <v>0</v>
      </c>
      <c r="H888" s="1268">
        <f t="shared" si="460"/>
        <v>0</v>
      </c>
      <c r="I888" s="1268">
        <f t="shared" si="460"/>
        <v>0</v>
      </c>
      <c r="J888" s="1268">
        <f t="shared" si="460"/>
        <v>0</v>
      </c>
      <c r="K888" s="1278">
        <f t="shared" si="460"/>
        <v>0</v>
      </c>
      <c r="L888" s="1268">
        <f t="shared" si="460"/>
        <v>0</v>
      </c>
      <c r="M888" s="1278">
        <f t="shared" si="460"/>
        <v>0</v>
      </c>
      <c r="N888" s="1268">
        <f t="shared" si="460"/>
        <v>0</v>
      </c>
      <c r="O888" s="1268">
        <f t="shared" si="460"/>
        <v>375</v>
      </c>
      <c r="P888" s="1268">
        <f t="shared" si="460"/>
        <v>944923</v>
      </c>
      <c r="Q888" s="1268">
        <f t="shared" si="460"/>
        <v>0</v>
      </c>
      <c r="R888" s="1268">
        <f t="shared" si="460"/>
        <v>0</v>
      </c>
      <c r="S888" s="1268">
        <f t="shared" si="460"/>
        <v>0</v>
      </c>
      <c r="T888" s="1268">
        <f t="shared" si="460"/>
        <v>0</v>
      </c>
      <c r="U888" s="1268">
        <f t="shared" si="460"/>
        <v>0</v>
      </c>
      <c r="V888" s="1268">
        <f t="shared" si="460"/>
        <v>0</v>
      </c>
      <c r="W888" s="1328">
        <v>0</v>
      </c>
      <c r="X888" s="1268">
        <f t="shared" si="460"/>
        <v>74010</v>
      </c>
      <c r="Y888" s="1268">
        <f t="shared" si="460"/>
        <v>0</v>
      </c>
    </row>
    <row r="889" spans="1:25" s="1280" customFormat="1" ht="123" customHeight="1">
      <c r="A889" s="1281"/>
      <c r="B889" s="1277" t="s">
        <v>2491</v>
      </c>
      <c r="C889" s="1268">
        <f>C890</f>
        <v>1018933</v>
      </c>
      <c r="D889" s="1268">
        <f t="shared" ref="D889:Y889" si="461">D890</f>
        <v>0</v>
      </c>
      <c r="E889" s="1268">
        <f t="shared" si="461"/>
        <v>0</v>
      </c>
      <c r="F889" s="1268">
        <f t="shared" si="461"/>
        <v>0</v>
      </c>
      <c r="G889" s="1268">
        <f t="shared" si="461"/>
        <v>0</v>
      </c>
      <c r="H889" s="1268">
        <f t="shared" si="461"/>
        <v>0</v>
      </c>
      <c r="I889" s="1268">
        <f t="shared" si="461"/>
        <v>0</v>
      </c>
      <c r="J889" s="1268">
        <f t="shared" si="461"/>
        <v>0</v>
      </c>
      <c r="K889" s="1278">
        <f t="shared" si="461"/>
        <v>0</v>
      </c>
      <c r="L889" s="1268">
        <f t="shared" si="461"/>
        <v>0</v>
      </c>
      <c r="M889" s="1278">
        <f t="shared" si="461"/>
        <v>0</v>
      </c>
      <c r="N889" s="1268">
        <f t="shared" si="461"/>
        <v>0</v>
      </c>
      <c r="O889" s="1268">
        <f t="shared" si="461"/>
        <v>375</v>
      </c>
      <c r="P889" s="1268">
        <f t="shared" si="461"/>
        <v>944923</v>
      </c>
      <c r="Q889" s="1268">
        <f t="shared" si="461"/>
        <v>0</v>
      </c>
      <c r="R889" s="1268">
        <f t="shared" si="461"/>
        <v>0</v>
      </c>
      <c r="S889" s="1268">
        <f t="shared" si="461"/>
        <v>0</v>
      </c>
      <c r="T889" s="1268">
        <f t="shared" si="461"/>
        <v>0</v>
      </c>
      <c r="U889" s="1268">
        <f t="shared" si="461"/>
        <v>0</v>
      </c>
      <c r="V889" s="1268">
        <f t="shared" si="461"/>
        <v>0</v>
      </c>
      <c r="W889" s="1328">
        <v>0</v>
      </c>
      <c r="X889" s="1268">
        <f t="shared" si="461"/>
        <v>74010</v>
      </c>
      <c r="Y889" s="1268">
        <f t="shared" si="461"/>
        <v>0</v>
      </c>
    </row>
    <row r="890" spans="1:25" s="1280" customFormat="1" ht="42.6" customHeight="1">
      <c r="A890" s="1281">
        <v>135</v>
      </c>
      <c r="B890" s="1277" t="s">
        <v>1278</v>
      </c>
      <c r="C890" s="1268">
        <f t="shared" ref="C890" si="462">D890+N890+P890+R890+T890+V890+X890</f>
        <v>1018933</v>
      </c>
      <c r="D890" s="1268">
        <v>0</v>
      </c>
      <c r="E890" s="1268">
        <v>0</v>
      </c>
      <c r="F890" s="1268">
        <v>0</v>
      </c>
      <c r="G890" s="1268">
        <v>0</v>
      </c>
      <c r="H890" s="1268">
        <v>0</v>
      </c>
      <c r="I890" s="1268">
        <v>0</v>
      </c>
      <c r="J890" s="1268">
        <v>0</v>
      </c>
      <c r="K890" s="1278">
        <v>0</v>
      </c>
      <c r="L890" s="1268">
        <v>0</v>
      </c>
      <c r="M890" s="1278">
        <v>0</v>
      </c>
      <c r="N890" s="1268">
        <v>0</v>
      </c>
      <c r="O890" s="1268">
        <v>375</v>
      </c>
      <c r="P890" s="1268">
        <v>944923</v>
      </c>
      <c r="Q890" s="1268">
        <v>0</v>
      </c>
      <c r="R890" s="1268">
        <v>0</v>
      </c>
      <c r="S890" s="1268">
        <v>0</v>
      </c>
      <c r="T890" s="1268">
        <v>0</v>
      </c>
      <c r="U890" s="1268">
        <v>0</v>
      </c>
      <c r="V890" s="1268">
        <v>0</v>
      </c>
      <c r="W890" s="1328">
        <v>0</v>
      </c>
      <c r="X890" s="1268">
        <v>74010</v>
      </c>
      <c r="Y890" s="1268">
        <v>0</v>
      </c>
    </row>
    <row r="891" spans="1:25" s="1280" customFormat="1" ht="123" customHeight="1">
      <c r="A891" s="1281"/>
      <c r="B891" s="1277" t="s">
        <v>2262</v>
      </c>
      <c r="C891" s="1268">
        <f>C892+C893+C895+C894</f>
        <v>17742029</v>
      </c>
      <c r="D891" s="1268">
        <f t="shared" ref="D891:Y891" si="463">D892+D893+D895+D894</f>
        <v>0</v>
      </c>
      <c r="E891" s="1268">
        <f t="shared" si="463"/>
        <v>0</v>
      </c>
      <c r="F891" s="1268">
        <f t="shared" si="463"/>
        <v>0</v>
      </c>
      <c r="G891" s="1268">
        <f t="shared" si="463"/>
        <v>0</v>
      </c>
      <c r="H891" s="1268">
        <f t="shared" si="463"/>
        <v>0</v>
      </c>
      <c r="I891" s="1268">
        <f t="shared" si="463"/>
        <v>0</v>
      </c>
      <c r="J891" s="1268">
        <f t="shared" si="463"/>
        <v>0</v>
      </c>
      <c r="K891" s="1268">
        <f t="shared" si="463"/>
        <v>0</v>
      </c>
      <c r="L891" s="1268">
        <f t="shared" si="463"/>
        <v>0</v>
      </c>
      <c r="M891" s="1268">
        <f t="shared" si="463"/>
        <v>3</v>
      </c>
      <c r="N891" s="1268">
        <f t="shared" si="463"/>
        <v>6764733</v>
      </c>
      <c r="O891" s="1268">
        <f t="shared" si="463"/>
        <v>3845</v>
      </c>
      <c r="P891" s="1268">
        <f t="shared" si="463"/>
        <v>9688607</v>
      </c>
      <c r="Q891" s="1268">
        <f t="shared" si="463"/>
        <v>0</v>
      </c>
      <c r="R891" s="1268">
        <f t="shared" si="463"/>
        <v>0</v>
      </c>
      <c r="S891" s="1268">
        <f t="shared" si="463"/>
        <v>0</v>
      </c>
      <c r="T891" s="1268">
        <f t="shared" si="463"/>
        <v>0</v>
      </c>
      <c r="U891" s="1268">
        <f t="shared" si="463"/>
        <v>0</v>
      </c>
      <c r="V891" s="1268">
        <f t="shared" si="463"/>
        <v>0</v>
      </c>
      <c r="W891" s="1268">
        <f t="shared" si="463"/>
        <v>0</v>
      </c>
      <c r="X891" s="1268">
        <f t="shared" si="463"/>
        <v>1288689</v>
      </c>
      <c r="Y891" s="1268">
        <f t="shared" si="463"/>
        <v>0</v>
      </c>
    </row>
    <row r="892" spans="1:25" s="1280" customFormat="1">
      <c r="A892" s="1281">
        <v>136</v>
      </c>
      <c r="B892" s="1277" t="s">
        <v>1554</v>
      </c>
      <c r="C892" s="1268">
        <f>D892+N892+P892+R892+T892+V892+X892+L892</f>
        <v>3382856</v>
      </c>
      <c r="D892" s="1268">
        <f>SUM(E892:J892)</f>
        <v>0</v>
      </c>
      <c r="E892" s="1289">
        <v>0</v>
      </c>
      <c r="F892" s="1289">
        <v>0</v>
      </c>
      <c r="G892" s="1289">
        <v>0</v>
      </c>
      <c r="H892" s="1289">
        <v>0</v>
      </c>
      <c r="I892" s="1289">
        <v>0</v>
      </c>
      <c r="J892" s="1289">
        <v>0</v>
      </c>
      <c r="K892" s="1278">
        <v>0</v>
      </c>
      <c r="L892" s="1289">
        <v>0</v>
      </c>
      <c r="M892" s="1278">
        <v>0</v>
      </c>
      <c r="N892" s="1289">
        <v>0</v>
      </c>
      <c r="O892" s="1289">
        <v>1245</v>
      </c>
      <c r="P892" s="1289">
        <v>3137143</v>
      </c>
      <c r="Q892" s="1289">
        <v>0</v>
      </c>
      <c r="R892" s="1289">
        <v>0</v>
      </c>
      <c r="S892" s="1289">
        <v>0</v>
      </c>
      <c r="T892" s="1289">
        <v>0</v>
      </c>
      <c r="U892" s="1289">
        <v>0</v>
      </c>
      <c r="V892" s="1289">
        <v>0</v>
      </c>
      <c r="W892" s="1328">
        <v>0</v>
      </c>
      <c r="X892" s="1289">
        <v>245713</v>
      </c>
      <c r="Y892" s="1289">
        <v>0</v>
      </c>
    </row>
    <row r="893" spans="1:25" s="1280" customFormat="1">
      <c r="A893" s="1281">
        <v>137</v>
      </c>
      <c r="B893" s="1277" t="s">
        <v>1555</v>
      </c>
      <c r="C893" s="1268">
        <f t="shared" ref="C893:C895" si="464">D893+N893+P893+R893+T893+V893+X893+L893</f>
        <v>3532300</v>
      </c>
      <c r="D893" s="1268">
        <f t="shared" ref="D893:D895" si="465">SUM(E893:J893)</f>
        <v>0</v>
      </c>
      <c r="E893" s="1289">
        <v>0</v>
      </c>
      <c r="F893" s="1289">
        <v>0</v>
      </c>
      <c r="G893" s="1289">
        <v>0</v>
      </c>
      <c r="H893" s="1289">
        <v>0</v>
      </c>
      <c r="I893" s="1289">
        <v>0</v>
      </c>
      <c r="J893" s="1289">
        <v>0</v>
      </c>
      <c r="K893" s="1278">
        <v>0</v>
      </c>
      <c r="L893" s="1289">
        <v>0</v>
      </c>
      <c r="M893" s="1278">
        <v>0</v>
      </c>
      <c r="N893" s="1289">
        <v>0</v>
      </c>
      <c r="O893" s="1289">
        <v>1300</v>
      </c>
      <c r="P893" s="1289">
        <v>3275732</v>
      </c>
      <c r="Q893" s="1289">
        <v>0</v>
      </c>
      <c r="R893" s="1289">
        <v>0</v>
      </c>
      <c r="S893" s="1289">
        <v>0</v>
      </c>
      <c r="T893" s="1289">
        <v>0</v>
      </c>
      <c r="U893" s="1289">
        <v>0</v>
      </c>
      <c r="V893" s="1289">
        <v>0</v>
      </c>
      <c r="W893" s="1328">
        <v>0</v>
      </c>
      <c r="X893" s="1289">
        <v>256568</v>
      </c>
      <c r="Y893" s="1289">
        <v>0</v>
      </c>
    </row>
    <row r="894" spans="1:25" s="1280" customFormat="1">
      <c r="A894" s="1281">
        <v>138</v>
      </c>
      <c r="B894" s="1277" t="s">
        <v>1449</v>
      </c>
      <c r="C894" s="1268">
        <f t="shared" si="464"/>
        <v>3532300</v>
      </c>
      <c r="D894" s="1268">
        <f t="shared" si="465"/>
        <v>0</v>
      </c>
      <c r="E894" s="1289">
        <v>0</v>
      </c>
      <c r="F894" s="1289">
        <v>0</v>
      </c>
      <c r="G894" s="1289">
        <v>0</v>
      </c>
      <c r="H894" s="1289">
        <v>0</v>
      </c>
      <c r="I894" s="1289">
        <v>0</v>
      </c>
      <c r="J894" s="1289">
        <v>0</v>
      </c>
      <c r="K894" s="1278">
        <v>0</v>
      </c>
      <c r="L894" s="1289">
        <v>0</v>
      </c>
      <c r="M894" s="1278">
        <v>0</v>
      </c>
      <c r="N894" s="1289">
        <v>0</v>
      </c>
      <c r="O894" s="1289">
        <v>1300</v>
      </c>
      <c r="P894" s="1289">
        <v>3275732</v>
      </c>
      <c r="Q894" s="1289">
        <v>0</v>
      </c>
      <c r="R894" s="1289">
        <v>0</v>
      </c>
      <c r="S894" s="1289">
        <v>0</v>
      </c>
      <c r="T894" s="1289">
        <v>0</v>
      </c>
      <c r="U894" s="1289">
        <v>0</v>
      </c>
      <c r="V894" s="1289">
        <v>0</v>
      </c>
      <c r="W894" s="1328">
        <v>0</v>
      </c>
      <c r="X894" s="1289">
        <v>256568</v>
      </c>
      <c r="Y894" s="1289">
        <v>0</v>
      </c>
    </row>
    <row r="895" spans="1:25" s="1280" customFormat="1">
      <c r="A895" s="1281">
        <v>139</v>
      </c>
      <c r="B895" s="1277" t="s">
        <v>1556</v>
      </c>
      <c r="C895" s="1268">
        <f t="shared" si="464"/>
        <v>7294573</v>
      </c>
      <c r="D895" s="1268">
        <f t="shared" si="465"/>
        <v>0</v>
      </c>
      <c r="E895" s="1289">
        <v>0</v>
      </c>
      <c r="F895" s="1289">
        <v>0</v>
      </c>
      <c r="G895" s="1289">
        <v>0</v>
      </c>
      <c r="H895" s="1289">
        <v>0</v>
      </c>
      <c r="I895" s="1289">
        <v>0</v>
      </c>
      <c r="J895" s="1289">
        <v>0</v>
      </c>
      <c r="K895" s="1278">
        <v>0</v>
      </c>
      <c r="L895" s="1289">
        <v>0</v>
      </c>
      <c r="M895" s="1278">
        <v>3</v>
      </c>
      <c r="N895" s="1289">
        <v>6764733</v>
      </c>
      <c r="O895" s="1289">
        <v>0</v>
      </c>
      <c r="P895" s="1289">
        <v>0</v>
      </c>
      <c r="Q895" s="1289">
        <v>0</v>
      </c>
      <c r="R895" s="1289">
        <v>0</v>
      </c>
      <c r="S895" s="1289">
        <v>0</v>
      </c>
      <c r="T895" s="1289">
        <v>0</v>
      </c>
      <c r="U895" s="1289">
        <v>0</v>
      </c>
      <c r="V895" s="1289">
        <v>0</v>
      </c>
      <c r="W895" s="1328">
        <v>0</v>
      </c>
      <c r="X895" s="1289">
        <v>529840</v>
      </c>
      <c r="Y895" s="1289">
        <v>0</v>
      </c>
    </row>
    <row r="896" spans="1:25" s="1280" customFormat="1">
      <c r="A896" s="1281"/>
      <c r="B896" s="1277" t="s">
        <v>67</v>
      </c>
      <c r="C896" s="1268">
        <f>C897</f>
        <v>1734270</v>
      </c>
      <c r="D896" s="1268">
        <f t="shared" ref="D896:Y896" si="466">D897</f>
        <v>0</v>
      </c>
      <c r="E896" s="1268">
        <f t="shared" si="466"/>
        <v>0</v>
      </c>
      <c r="F896" s="1268">
        <f t="shared" si="466"/>
        <v>0</v>
      </c>
      <c r="G896" s="1268">
        <f t="shared" si="466"/>
        <v>0</v>
      </c>
      <c r="H896" s="1268">
        <f t="shared" si="466"/>
        <v>0</v>
      </c>
      <c r="I896" s="1268">
        <f t="shared" si="466"/>
        <v>0</v>
      </c>
      <c r="J896" s="1268">
        <f t="shared" si="466"/>
        <v>0</v>
      </c>
      <c r="K896" s="1278">
        <f t="shared" si="466"/>
        <v>0</v>
      </c>
      <c r="L896" s="1268">
        <f t="shared" si="466"/>
        <v>0</v>
      </c>
      <c r="M896" s="1278">
        <f t="shared" si="466"/>
        <v>0</v>
      </c>
      <c r="N896" s="1268">
        <f t="shared" si="466"/>
        <v>0</v>
      </c>
      <c r="O896" s="1268">
        <f t="shared" si="466"/>
        <v>512.4</v>
      </c>
      <c r="P896" s="1268">
        <f t="shared" si="466"/>
        <v>1608302</v>
      </c>
      <c r="Q896" s="1268">
        <f t="shared" si="466"/>
        <v>0</v>
      </c>
      <c r="R896" s="1268">
        <f t="shared" si="466"/>
        <v>0</v>
      </c>
      <c r="S896" s="1268">
        <f t="shared" si="466"/>
        <v>0</v>
      </c>
      <c r="T896" s="1268">
        <f t="shared" si="466"/>
        <v>0</v>
      </c>
      <c r="U896" s="1268">
        <f t="shared" si="466"/>
        <v>0</v>
      </c>
      <c r="V896" s="1268">
        <f t="shared" si="466"/>
        <v>0</v>
      </c>
      <c r="W896" s="1328">
        <v>0</v>
      </c>
      <c r="X896" s="1268">
        <f t="shared" si="466"/>
        <v>125968</v>
      </c>
      <c r="Y896" s="1268">
        <f t="shared" si="466"/>
        <v>0</v>
      </c>
    </row>
    <row r="897" spans="1:25" s="1280" customFormat="1" ht="165.6" customHeight="1">
      <c r="A897" s="1281"/>
      <c r="B897" s="1277" t="s">
        <v>1346</v>
      </c>
      <c r="C897" s="1268">
        <f>C898</f>
        <v>1734270</v>
      </c>
      <c r="D897" s="1268">
        <f t="shared" ref="D897:Y897" si="467">D898</f>
        <v>0</v>
      </c>
      <c r="E897" s="1268">
        <f t="shared" si="467"/>
        <v>0</v>
      </c>
      <c r="F897" s="1268">
        <f t="shared" si="467"/>
        <v>0</v>
      </c>
      <c r="G897" s="1268">
        <f t="shared" si="467"/>
        <v>0</v>
      </c>
      <c r="H897" s="1268">
        <f t="shared" si="467"/>
        <v>0</v>
      </c>
      <c r="I897" s="1268">
        <f t="shared" si="467"/>
        <v>0</v>
      </c>
      <c r="J897" s="1268">
        <f t="shared" si="467"/>
        <v>0</v>
      </c>
      <c r="K897" s="1278">
        <f t="shared" si="467"/>
        <v>0</v>
      </c>
      <c r="L897" s="1268">
        <f t="shared" si="467"/>
        <v>0</v>
      </c>
      <c r="M897" s="1278">
        <f t="shared" si="467"/>
        <v>0</v>
      </c>
      <c r="N897" s="1268">
        <f t="shared" si="467"/>
        <v>0</v>
      </c>
      <c r="O897" s="1268">
        <f t="shared" si="467"/>
        <v>512.4</v>
      </c>
      <c r="P897" s="1268">
        <f t="shared" si="467"/>
        <v>1608302</v>
      </c>
      <c r="Q897" s="1268">
        <f t="shared" si="467"/>
        <v>0</v>
      </c>
      <c r="R897" s="1268">
        <f t="shared" si="467"/>
        <v>0</v>
      </c>
      <c r="S897" s="1268">
        <f t="shared" si="467"/>
        <v>0</v>
      </c>
      <c r="T897" s="1268">
        <f t="shared" si="467"/>
        <v>0</v>
      </c>
      <c r="U897" s="1268">
        <f t="shared" si="467"/>
        <v>0</v>
      </c>
      <c r="V897" s="1268">
        <f t="shared" si="467"/>
        <v>0</v>
      </c>
      <c r="W897" s="1328">
        <v>0</v>
      </c>
      <c r="X897" s="1268">
        <f t="shared" si="467"/>
        <v>125968</v>
      </c>
      <c r="Y897" s="1268">
        <f t="shared" si="467"/>
        <v>0</v>
      </c>
    </row>
    <row r="898" spans="1:25" s="1280" customFormat="1" ht="130.19999999999999" customHeight="1">
      <c r="A898" s="1281">
        <v>140</v>
      </c>
      <c r="B898" s="1277" t="s">
        <v>1940</v>
      </c>
      <c r="C898" s="1268">
        <f>D898+N898+P898+R898+T898+V898+X898</f>
        <v>1734270</v>
      </c>
      <c r="D898" s="1268">
        <v>0</v>
      </c>
      <c r="E898" s="1268">
        <v>0</v>
      </c>
      <c r="F898" s="1268">
        <v>0</v>
      </c>
      <c r="G898" s="1268">
        <v>0</v>
      </c>
      <c r="H898" s="1268">
        <v>0</v>
      </c>
      <c r="I898" s="1268">
        <v>0</v>
      </c>
      <c r="J898" s="1268">
        <v>0</v>
      </c>
      <c r="K898" s="1278">
        <v>0</v>
      </c>
      <c r="L898" s="1268">
        <v>0</v>
      </c>
      <c r="M898" s="1278">
        <v>0</v>
      </c>
      <c r="N898" s="1268">
        <v>0</v>
      </c>
      <c r="O898" s="1268">
        <v>512.4</v>
      </c>
      <c r="P898" s="1268">
        <v>1608302</v>
      </c>
      <c r="Q898" s="1268">
        <v>0</v>
      </c>
      <c r="R898" s="1268">
        <v>0</v>
      </c>
      <c r="S898" s="1268">
        <v>0</v>
      </c>
      <c r="T898" s="1268">
        <v>0</v>
      </c>
      <c r="U898" s="1268">
        <v>0</v>
      </c>
      <c r="V898" s="1268">
        <v>0</v>
      </c>
      <c r="W898" s="1328">
        <v>0</v>
      </c>
      <c r="X898" s="1268">
        <v>125968</v>
      </c>
      <c r="Y898" s="1268">
        <v>0</v>
      </c>
    </row>
    <row r="899" spans="1:25" s="1280" customFormat="1">
      <c r="A899" s="1562" t="s">
        <v>2263</v>
      </c>
      <c r="B899" s="1563"/>
      <c r="C899" s="1563"/>
      <c r="D899" s="1563"/>
      <c r="E899" s="1563"/>
      <c r="F899" s="1563"/>
      <c r="G899" s="1563"/>
      <c r="H899" s="1563"/>
      <c r="I899" s="1563"/>
      <c r="J899" s="1563"/>
      <c r="K899" s="1563"/>
      <c r="L899" s="1563"/>
      <c r="M899" s="1563"/>
      <c r="N899" s="1563"/>
      <c r="O899" s="1563"/>
      <c r="P899" s="1563"/>
      <c r="Q899" s="1563"/>
      <c r="R899" s="1563"/>
      <c r="S899" s="1563"/>
      <c r="T899" s="1563"/>
      <c r="U899" s="1563"/>
      <c r="V899" s="1563"/>
      <c r="W899" s="1563"/>
      <c r="X899" s="1563"/>
      <c r="Y899" s="1564"/>
    </row>
    <row r="900" spans="1:25" s="1280" customFormat="1" ht="75.599999999999994">
      <c r="A900" s="1277"/>
      <c r="B900" s="1277" t="s">
        <v>42</v>
      </c>
      <c r="C900" s="1268">
        <f t="shared" ref="C900:Y900" si="468">C901+C1192+C1230+C1304+C1329+C1342+C1353+C1364+C1370+C1392+C1404+C1414+C1423+C1438+C1444+C1470+C1513+C1516+C1523+C1544+C1555+C1570+C1573+C1581+C1584+C1605+C1607+C1548+C1560+C1226+C1399+C1460+C1591+C1598+C1339+C1564</f>
        <v>1940378406.4320352</v>
      </c>
      <c r="D900" s="1268">
        <f t="shared" si="468"/>
        <v>475928033.05719572</v>
      </c>
      <c r="E900" s="1268">
        <f t="shared" si="468"/>
        <v>54427966.901091345</v>
      </c>
      <c r="F900" s="1268">
        <f t="shared" si="468"/>
        <v>180645205.63127598</v>
      </c>
      <c r="G900" s="1268">
        <f t="shared" si="468"/>
        <v>19439207.850000001</v>
      </c>
      <c r="H900" s="1268">
        <f t="shared" si="468"/>
        <v>85025430.25000003</v>
      </c>
      <c r="I900" s="1268">
        <f t="shared" si="468"/>
        <v>83726731.489999995</v>
      </c>
      <c r="J900" s="1268">
        <f t="shared" si="468"/>
        <v>52663490.934828408</v>
      </c>
      <c r="K900" s="1278">
        <f t="shared" si="468"/>
        <v>4</v>
      </c>
      <c r="L900" s="1268">
        <f t="shared" si="468"/>
        <v>3179822.4896000009</v>
      </c>
      <c r="M900" s="1278">
        <f t="shared" si="468"/>
        <v>43</v>
      </c>
      <c r="N900" s="1268">
        <f t="shared" si="468"/>
        <v>92067098.230000004</v>
      </c>
      <c r="O900" s="1268">
        <f t="shared" si="468"/>
        <v>286811.09000000003</v>
      </c>
      <c r="P900" s="1268">
        <f t="shared" si="468"/>
        <v>836533652.24514425</v>
      </c>
      <c r="Q900" s="1268">
        <f t="shared" si="468"/>
        <v>6642.5999999999995</v>
      </c>
      <c r="R900" s="1268">
        <f t="shared" si="468"/>
        <v>7931591.71</v>
      </c>
      <c r="S900" s="1268">
        <f t="shared" si="468"/>
        <v>191623.03999999998</v>
      </c>
      <c r="T900" s="1268">
        <f t="shared" si="468"/>
        <v>446015342.6528672</v>
      </c>
      <c r="U900" s="1268">
        <f t="shared" si="468"/>
        <v>0</v>
      </c>
      <c r="V900" s="1268">
        <f t="shared" si="468"/>
        <v>0</v>
      </c>
      <c r="W900" s="1268">
        <v>0</v>
      </c>
      <c r="X900" s="1268">
        <f t="shared" si="468"/>
        <v>75290930.587227896</v>
      </c>
      <c r="Y900" s="1268">
        <f t="shared" si="468"/>
        <v>186348</v>
      </c>
    </row>
    <row r="901" spans="1:25" s="1280" customFormat="1" ht="75.599999999999994">
      <c r="A901" s="1281"/>
      <c r="B901" s="1267" t="s">
        <v>1103</v>
      </c>
      <c r="C901" s="1268">
        <f t="shared" ref="C901:Y901" si="469">SUM(C902:C1191)</f>
        <v>1102581450.6032</v>
      </c>
      <c r="D901" s="1268">
        <f t="shared" si="469"/>
        <v>368450004.82000005</v>
      </c>
      <c r="E901" s="1268">
        <f t="shared" si="469"/>
        <v>40088365.07</v>
      </c>
      <c r="F901" s="1268">
        <f t="shared" si="469"/>
        <v>139394763.26999998</v>
      </c>
      <c r="G901" s="1268">
        <f t="shared" si="469"/>
        <v>18913900</v>
      </c>
      <c r="H901" s="1268">
        <f t="shared" si="469"/>
        <v>66325428.240000002</v>
      </c>
      <c r="I901" s="1268">
        <f t="shared" si="469"/>
        <v>65749631.959999993</v>
      </c>
      <c r="J901" s="1268">
        <f t="shared" si="469"/>
        <v>37977916.280000001</v>
      </c>
      <c r="K901" s="1278">
        <f t="shared" si="469"/>
        <v>2</v>
      </c>
      <c r="L901" s="1268">
        <f t="shared" si="469"/>
        <v>1589911.2432000004</v>
      </c>
      <c r="M901" s="1278">
        <f t="shared" si="469"/>
        <v>41</v>
      </c>
      <c r="N901" s="1268">
        <f t="shared" si="469"/>
        <v>88423368</v>
      </c>
      <c r="O901" s="1268">
        <f t="shared" si="469"/>
        <v>140565.75</v>
      </c>
      <c r="P901" s="1268">
        <f t="shared" si="469"/>
        <v>396976547.63999999</v>
      </c>
      <c r="Q901" s="1268">
        <f t="shared" si="469"/>
        <v>5887.7</v>
      </c>
      <c r="R901" s="1268">
        <f t="shared" si="469"/>
        <v>6911485.71</v>
      </c>
      <c r="S901" s="1268">
        <f t="shared" si="469"/>
        <v>103496.95999999999</v>
      </c>
      <c r="T901" s="1268">
        <f t="shared" si="469"/>
        <v>222604209.50999999</v>
      </c>
      <c r="U901" s="1268">
        <f t="shared" si="469"/>
        <v>0</v>
      </c>
      <c r="V901" s="1268">
        <f t="shared" si="469"/>
        <v>0</v>
      </c>
      <c r="W901" s="1268">
        <v>0</v>
      </c>
      <c r="X901" s="1268">
        <f t="shared" si="469"/>
        <v>17625923.68</v>
      </c>
      <c r="Y901" s="1268">
        <f t="shared" si="469"/>
        <v>0</v>
      </c>
    </row>
    <row r="902" spans="1:25" s="1280" customFormat="1" ht="75.599999999999994">
      <c r="A902" s="1352">
        <v>1</v>
      </c>
      <c r="B902" s="1267" t="s">
        <v>1992</v>
      </c>
      <c r="C902" s="1268">
        <f>D902+N902+P902+R902+T902+V902+Y902+L902+X902</f>
        <v>2381298</v>
      </c>
      <c r="D902" s="1268">
        <f t="shared" ref="D902:D965" si="470">SUM(E902:J902)</f>
        <v>0</v>
      </c>
      <c r="E902" s="1268">
        <v>0</v>
      </c>
      <c r="F902" s="1316">
        <v>0</v>
      </c>
      <c r="G902" s="1316">
        <v>0</v>
      </c>
      <c r="H902" s="1268">
        <v>0</v>
      </c>
      <c r="I902" s="1316">
        <v>0</v>
      </c>
      <c r="J902" s="1316">
        <v>0</v>
      </c>
      <c r="K902" s="1317">
        <v>0</v>
      </c>
      <c r="L902" s="1316">
        <v>0</v>
      </c>
      <c r="M902" s="1317">
        <v>0</v>
      </c>
      <c r="N902" s="1316">
        <v>0</v>
      </c>
      <c r="O902" s="1316">
        <v>0</v>
      </c>
      <c r="P902" s="1316">
        <v>0</v>
      </c>
      <c r="Q902" s="1316">
        <v>0</v>
      </c>
      <c r="R902" s="1316">
        <v>0</v>
      </c>
      <c r="S902" s="1316">
        <v>460.7</v>
      </c>
      <c r="T902" s="1316">
        <v>2208333</v>
      </c>
      <c r="U902" s="1268">
        <v>0</v>
      </c>
      <c r="V902" s="1316">
        <v>0</v>
      </c>
      <c r="W902" s="1316">
        <v>0</v>
      </c>
      <c r="X902" s="1316">
        <v>172965</v>
      </c>
      <c r="Y902" s="1316">
        <v>0</v>
      </c>
    </row>
    <row r="903" spans="1:25" s="1280" customFormat="1">
      <c r="A903" s="1352">
        <v>2</v>
      </c>
      <c r="B903" s="1267" t="s">
        <v>2264</v>
      </c>
      <c r="C903" s="1268">
        <f t="shared" ref="C903:C966" si="471">D903+N903+P903+R903+T903+V903+Y903+L903+X903</f>
        <v>4386000</v>
      </c>
      <c r="D903" s="1268">
        <f t="shared" si="470"/>
        <v>4336505</v>
      </c>
      <c r="E903" s="1268">
        <v>0</v>
      </c>
      <c r="F903" s="1316">
        <v>4336505</v>
      </c>
      <c r="G903" s="1316">
        <v>0</v>
      </c>
      <c r="H903" s="1268">
        <v>0</v>
      </c>
      <c r="I903" s="1316">
        <v>0</v>
      </c>
      <c r="J903" s="1316">
        <v>0</v>
      </c>
      <c r="K903" s="1317">
        <v>0</v>
      </c>
      <c r="L903" s="1316">
        <v>0</v>
      </c>
      <c r="M903" s="1317">
        <v>0</v>
      </c>
      <c r="N903" s="1316">
        <v>0</v>
      </c>
      <c r="O903" s="1316">
        <v>0</v>
      </c>
      <c r="P903" s="1316">
        <v>0</v>
      </c>
      <c r="Q903" s="1316">
        <v>0</v>
      </c>
      <c r="R903" s="1316">
        <v>0</v>
      </c>
      <c r="S903" s="1316">
        <v>0</v>
      </c>
      <c r="T903" s="1316">
        <v>0</v>
      </c>
      <c r="U903" s="1268">
        <v>0</v>
      </c>
      <c r="V903" s="1316">
        <v>0</v>
      </c>
      <c r="W903" s="1316">
        <v>0</v>
      </c>
      <c r="X903" s="1316">
        <v>49495</v>
      </c>
      <c r="Y903" s="1316">
        <v>0</v>
      </c>
    </row>
    <row r="904" spans="1:25" s="1280" customFormat="1">
      <c r="A904" s="1352">
        <v>3</v>
      </c>
      <c r="B904" s="1267" t="s">
        <v>2040</v>
      </c>
      <c r="C904" s="1268">
        <f t="shared" si="471"/>
        <v>3266338</v>
      </c>
      <c r="D904" s="1268">
        <f t="shared" si="470"/>
        <v>0</v>
      </c>
      <c r="E904" s="1268">
        <v>0</v>
      </c>
      <c r="F904" s="1316">
        <v>0</v>
      </c>
      <c r="G904" s="1316">
        <v>0</v>
      </c>
      <c r="H904" s="1268">
        <v>0</v>
      </c>
      <c r="I904" s="1316">
        <v>0</v>
      </c>
      <c r="J904" s="1316">
        <v>0</v>
      </c>
      <c r="K904" s="1317">
        <v>0</v>
      </c>
      <c r="L904" s="1316">
        <v>0</v>
      </c>
      <c r="M904" s="1317">
        <v>0</v>
      </c>
      <c r="N904" s="1316">
        <v>0</v>
      </c>
      <c r="O904" s="1316">
        <v>1223</v>
      </c>
      <c r="P904" s="1316">
        <v>3217231</v>
      </c>
      <c r="Q904" s="1316">
        <v>0</v>
      </c>
      <c r="R904" s="1316">
        <v>0</v>
      </c>
      <c r="S904" s="1316">
        <v>0</v>
      </c>
      <c r="T904" s="1316">
        <v>0</v>
      </c>
      <c r="U904" s="1268">
        <v>0</v>
      </c>
      <c r="V904" s="1316">
        <v>0</v>
      </c>
      <c r="W904" s="1316">
        <v>0</v>
      </c>
      <c r="X904" s="1316">
        <v>49107</v>
      </c>
      <c r="Y904" s="1316">
        <v>0</v>
      </c>
    </row>
    <row r="905" spans="1:25" s="1280" customFormat="1">
      <c r="A905" s="1352">
        <v>4</v>
      </c>
      <c r="B905" s="1267" t="s">
        <v>2041</v>
      </c>
      <c r="C905" s="1268">
        <f t="shared" si="471"/>
        <v>3240797</v>
      </c>
      <c r="D905" s="1268">
        <f t="shared" si="470"/>
        <v>0</v>
      </c>
      <c r="E905" s="1268">
        <v>0</v>
      </c>
      <c r="F905" s="1316">
        <v>0</v>
      </c>
      <c r="G905" s="1316">
        <v>0</v>
      </c>
      <c r="H905" s="1268">
        <v>0</v>
      </c>
      <c r="I905" s="1316">
        <v>0</v>
      </c>
      <c r="J905" s="1316">
        <v>0</v>
      </c>
      <c r="K905" s="1317">
        <v>0</v>
      </c>
      <c r="L905" s="1316">
        <v>0</v>
      </c>
      <c r="M905" s="1317">
        <v>0</v>
      </c>
      <c r="N905" s="1316">
        <v>0</v>
      </c>
      <c r="O905" s="1316">
        <v>1074</v>
      </c>
      <c r="P905" s="1316">
        <v>3185844</v>
      </c>
      <c r="Q905" s="1316">
        <v>0</v>
      </c>
      <c r="R905" s="1316">
        <v>0</v>
      </c>
      <c r="S905" s="1316">
        <v>0</v>
      </c>
      <c r="T905" s="1316">
        <v>0</v>
      </c>
      <c r="U905" s="1268">
        <v>0</v>
      </c>
      <c r="V905" s="1316">
        <v>0</v>
      </c>
      <c r="W905" s="1316">
        <v>0</v>
      </c>
      <c r="X905" s="1316">
        <v>54953</v>
      </c>
      <c r="Y905" s="1316">
        <v>0</v>
      </c>
    </row>
    <row r="906" spans="1:25" s="1280" customFormat="1">
      <c r="A906" s="1352">
        <v>5</v>
      </c>
      <c r="B906" s="1267" t="s">
        <v>2265</v>
      </c>
      <c r="C906" s="1268">
        <f t="shared" si="471"/>
        <v>339862.32</v>
      </c>
      <c r="D906" s="1268">
        <f t="shared" si="470"/>
        <v>316071.96000000002</v>
      </c>
      <c r="E906" s="1268">
        <v>0</v>
      </c>
      <c r="F906" s="1316">
        <v>0</v>
      </c>
      <c r="G906" s="1316">
        <v>0</v>
      </c>
      <c r="H906" s="1268">
        <v>0</v>
      </c>
      <c r="I906" s="1316">
        <v>0</v>
      </c>
      <c r="J906" s="1268">
        <v>316071.96000000002</v>
      </c>
      <c r="K906" s="1317">
        <v>0</v>
      </c>
      <c r="L906" s="1316">
        <v>0</v>
      </c>
      <c r="M906" s="1317">
        <v>0</v>
      </c>
      <c r="N906" s="1316">
        <v>0</v>
      </c>
      <c r="O906" s="1316">
        <v>0</v>
      </c>
      <c r="P906" s="1316">
        <v>0</v>
      </c>
      <c r="Q906" s="1316">
        <v>0</v>
      </c>
      <c r="R906" s="1316">
        <v>0</v>
      </c>
      <c r="S906" s="1316">
        <v>0</v>
      </c>
      <c r="T906" s="1316">
        <v>0</v>
      </c>
      <c r="U906" s="1268">
        <v>0</v>
      </c>
      <c r="V906" s="1316">
        <v>0</v>
      </c>
      <c r="W906" s="1316">
        <v>0</v>
      </c>
      <c r="X906" s="1316">
        <v>23790.36</v>
      </c>
      <c r="Y906" s="1316">
        <v>0</v>
      </c>
    </row>
    <row r="907" spans="1:25" s="1326" customFormat="1">
      <c r="A907" s="1352">
        <v>6</v>
      </c>
      <c r="B907" s="1267" t="s">
        <v>2042</v>
      </c>
      <c r="C907" s="1268">
        <f t="shared" si="471"/>
        <v>1501103.24</v>
      </c>
      <c r="D907" s="1268">
        <f t="shared" si="470"/>
        <v>0</v>
      </c>
      <c r="E907" s="1268">
        <v>0</v>
      </c>
      <c r="F907" s="1316">
        <v>0</v>
      </c>
      <c r="G907" s="1316">
        <v>0</v>
      </c>
      <c r="H907" s="1268">
        <v>0</v>
      </c>
      <c r="I907" s="1316">
        <v>0</v>
      </c>
      <c r="J907" s="1316">
        <v>0</v>
      </c>
      <c r="K907" s="1317">
        <v>0</v>
      </c>
      <c r="L907" s="1316">
        <v>0</v>
      </c>
      <c r="M907" s="1317">
        <v>0</v>
      </c>
      <c r="N907" s="1316">
        <v>0</v>
      </c>
      <c r="O907" s="1316">
        <v>0</v>
      </c>
      <c r="P907" s="1316">
        <v>0</v>
      </c>
      <c r="Q907" s="1316">
        <v>0</v>
      </c>
      <c r="R907" s="1316">
        <v>0</v>
      </c>
      <c r="S907" s="1316">
        <v>2224</v>
      </c>
      <c r="T907" s="1316">
        <v>1441059.11</v>
      </c>
      <c r="U907" s="1268">
        <v>0</v>
      </c>
      <c r="V907" s="1316">
        <v>0</v>
      </c>
      <c r="W907" s="1316">
        <v>0</v>
      </c>
      <c r="X907" s="1316">
        <v>60044.13</v>
      </c>
      <c r="Y907" s="1316">
        <v>0</v>
      </c>
    </row>
    <row r="908" spans="1:25" s="1326" customFormat="1" ht="75.599999999999994">
      <c r="A908" s="1352">
        <v>7</v>
      </c>
      <c r="B908" s="1267" t="s">
        <v>1692</v>
      </c>
      <c r="C908" s="1268">
        <f t="shared" si="471"/>
        <v>405647.25</v>
      </c>
      <c r="D908" s="1268">
        <f t="shared" si="470"/>
        <v>386449</v>
      </c>
      <c r="E908" s="1316">
        <v>0</v>
      </c>
      <c r="F908" s="1316">
        <v>386449</v>
      </c>
      <c r="G908" s="1316">
        <v>0</v>
      </c>
      <c r="H908" s="1316">
        <v>0</v>
      </c>
      <c r="I908" s="1316">
        <v>0</v>
      </c>
      <c r="J908" s="1316">
        <v>0</v>
      </c>
      <c r="K908" s="1317">
        <v>0</v>
      </c>
      <c r="L908" s="1316">
        <v>0</v>
      </c>
      <c r="M908" s="1317">
        <v>0</v>
      </c>
      <c r="N908" s="1316">
        <v>0</v>
      </c>
      <c r="O908" s="1316">
        <v>0</v>
      </c>
      <c r="P908" s="1316">
        <v>0</v>
      </c>
      <c r="Q908" s="1316">
        <v>0</v>
      </c>
      <c r="R908" s="1316">
        <v>0</v>
      </c>
      <c r="S908" s="1316">
        <v>0</v>
      </c>
      <c r="T908" s="1316">
        <v>0</v>
      </c>
      <c r="U908" s="1268">
        <v>0</v>
      </c>
      <c r="V908" s="1316">
        <v>0</v>
      </c>
      <c r="W908" s="1316">
        <v>0</v>
      </c>
      <c r="X908" s="1316">
        <v>19198.25</v>
      </c>
      <c r="Y908" s="1316">
        <v>0</v>
      </c>
    </row>
    <row r="909" spans="1:25" s="1326" customFormat="1" ht="75.599999999999994">
      <c r="A909" s="1352">
        <v>8</v>
      </c>
      <c r="B909" s="1267" t="s">
        <v>2492</v>
      </c>
      <c r="C909" s="1268">
        <f t="shared" si="471"/>
        <v>1184205.7000000002</v>
      </c>
      <c r="D909" s="1268">
        <f t="shared" si="470"/>
        <v>1163720.8500000001</v>
      </c>
      <c r="E909" s="1316">
        <v>0</v>
      </c>
      <c r="F909" s="1316">
        <v>1163720.8500000001</v>
      </c>
      <c r="G909" s="1316">
        <v>0</v>
      </c>
      <c r="H909" s="1316">
        <v>0</v>
      </c>
      <c r="I909" s="1316">
        <v>0</v>
      </c>
      <c r="J909" s="1316">
        <v>0</v>
      </c>
      <c r="K909" s="1317">
        <v>0</v>
      </c>
      <c r="L909" s="1316">
        <v>0</v>
      </c>
      <c r="M909" s="1317">
        <v>0</v>
      </c>
      <c r="N909" s="1316">
        <v>0</v>
      </c>
      <c r="O909" s="1316">
        <v>0</v>
      </c>
      <c r="P909" s="1316">
        <v>0</v>
      </c>
      <c r="Q909" s="1316">
        <v>0</v>
      </c>
      <c r="R909" s="1316">
        <v>0</v>
      </c>
      <c r="S909" s="1316">
        <v>0</v>
      </c>
      <c r="T909" s="1316">
        <v>0</v>
      </c>
      <c r="U909" s="1268">
        <v>0</v>
      </c>
      <c r="V909" s="1316">
        <v>0</v>
      </c>
      <c r="W909" s="1316">
        <v>0</v>
      </c>
      <c r="X909" s="1316">
        <v>20484.849999999999</v>
      </c>
      <c r="Y909" s="1316">
        <v>0</v>
      </c>
    </row>
    <row r="910" spans="1:25" s="1326" customFormat="1">
      <c r="A910" s="1352">
        <v>9</v>
      </c>
      <c r="B910" s="1267" t="s">
        <v>2260</v>
      </c>
      <c r="C910" s="1268">
        <f t="shared" si="471"/>
        <v>3694005.76</v>
      </c>
      <c r="D910" s="1268">
        <f t="shared" si="470"/>
        <v>0</v>
      </c>
      <c r="E910" s="1316">
        <v>0</v>
      </c>
      <c r="F910" s="1316">
        <v>0</v>
      </c>
      <c r="G910" s="1316">
        <v>0</v>
      </c>
      <c r="H910" s="1316">
        <v>0</v>
      </c>
      <c r="I910" s="1316">
        <v>0</v>
      </c>
      <c r="J910" s="1316">
        <v>0</v>
      </c>
      <c r="K910" s="1317">
        <v>0</v>
      </c>
      <c r="L910" s="1316">
        <v>0</v>
      </c>
      <c r="M910" s="1317">
        <v>0</v>
      </c>
      <c r="N910" s="1316">
        <v>0</v>
      </c>
      <c r="O910" s="1316">
        <v>1230.72</v>
      </c>
      <c r="P910" s="1316">
        <v>3672352</v>
      </c>
      <c r="Q910" s="1316">
        <v>0</v>
      </c>
      <c r="R910" s="1316">
        <v>0</v>
      </c>
      <c r="S910" s="1316">
        <v>0</v>
      </c>
      <c r="T910" s="1316">
        <v>0</v>
      </c>
      <c r="U910" s="1268">
        <v>0</v>
      </c>
      <c r="V910" s="1316">
        <v>0</v>
      </c>
      <c r="W910" s="1316">
        <v>0</v>
      </c>
      <c r="X910" s="1316">
        <v>21653.759999999998</v>
      </c>
      <c r="Y910" s="1316">
        <v>0</v>
      </c>
    </row>
    <row r="911" spans="1:25" s="1326" customFormat="1" ht="75.599999999999994">
      <c r="A911" s="1352">
        <v>10</v>
      </c>
      <c r="B911" s="1267" t="s">
        <v>2043</v>
      </c>
      <c r="C911" s="1268">
        <f t="shared" si="471"/>
        <v>2663040.7399999998</v>
      </c>
      <c r="D911" s="1268">
        <f t="shared" si="470"/>
        <v>1182195.94</v>
      </c>
      <c r="E911" s="1316">
        <v>0</v>
      </c>
      <c r="F911" s="1316">
        <v>1182195.94</v>
      </c>
      <c r="G911" s="1316">
        <v>0</v>
      </c>
      <c r="H911" s="1316">
        <v>0</v>
      </c>
      <c r="I911" s="1316">
        <v>0</v>
      </c>
      <c r="J911" s="1316">
        <v>0</v>
      </c>
      <c r="K911" s="1317">
        <v>0</v>
      </c>
      <c r="L911" s="1316">
        <v>0</v>
      </c>
      <c r="M911" s="1317">
        <v>0</v>
      </c>
      <c r="N911" s="1316">
        <v>0</v>
      </c>
      <c r="O911" s="1316">
        <v>0</v>
      </c>
      <c r="P911" s="1316">
        <v>0</v>
      </c>
      <c r="Q911" s="1316">
        <v>0</v>
      </c>
      <c r="R911" s="1316">
        <v>0</v>
      </c>
      <c r="S911" s="1316">
        <v>760.3</v>
      </c>
      <c r="T911" s="1316">
        <v>1440398</v>
      </c>
      <c r="U911" s="1268">
        <v>0</v>
      </c>
      <c r="V911" s="1316">
        <v>0</v>
      </c>
      <c r="W911" s="1316">
        <v>0</v>
      </c>
      <c r="X911" s="1316">
        <v>40446.800000000003</v>
      </c>
      <c r="Y911" s="1316">
        <v>0</v>
      </c>
    </row>
    <row r="912" spans="1:25" s="1326" customFormat="1">
      <c r="A912" s="1352">
        <v>11</v>
      </c>
      <c r="B912" s="1267" t="s">
        <v>235</v>
      </c>
      <c r="C912" s="1268">
        <f t="shared" si="471"/>
        <v>1122930.8400000001</v>
      </c>
      <c r="D912" s="1268">
        <f t="shared" si="470"/>
        <v>0</v>
      </c>
      <c r="E912" s="1316">
        <v>0</v>
      </c>
      <c r="F912" s="1316">
        <v>0</v>
      </c>
      <c r="G912" s="1316">
        <v>0</v>
      </c>
      <c r="H912" s="1316">
        <v>0</v>
      </c>
      <c r="I912" s="1316">
        <v>0</v>
      </c>
      <c r="J912" s="1316">
        <v>0</v>
      </c>
      <c r="K912" s="1317">
        <v>0</v>
      </c>
      <c r="L912" s="1316">
        <v>0</v>
      </c>
      <c r="M912" s="1317">
        <v>0</v>
      </c>
      <c r="N912" s="1316">
        <v>0</v>
      </c>
      <c r="O912" s="1316">
        <v>0</v>
      </c>
      <c r="P912" s="1316">
        <v>0</v>
      </c>
      <c r="Q912" s="1316">
        <v>0</v>
      </c>
      <c r="R912" s="1316">
        <v>0</v>
      </c>
      <c r="S912" s="1316">
        <v>449</v>
      </c>
      <c r="T912" s="1316">
        <v>1107998</v>
      </c>
      <c r="U912" s="1268">
        <v>0</v>
      </c>
      <c r="V912" s="1316">
        <v>0</v>
      </c>
      <c r="W912" s="1316">
        <v>0</v>
      </c>
      <c r="X912" s="1316">
        <v>14932.84</v>
      </c>
      <c r="Y912" s="1316">
        <v>0</v>
      </c>
    </row>
    <row r="913" spans="1:25" s="1287" customFormat="1" ht="75.599999999999994">
      <c r="A913" s="1352">
        <v>12</v>
      </c>
      <c r="B913" s="1267" t="s">
        <v>2303</v>
      </c>
      <c r="C913" s="1268">
        <f t="shared" si="471"/>
        <v>1100726.33</v>
      </c>
      <c r="D913" s="1268">
        <f t="shared" si="470"/>
        <v>0</v>
      </c>
      <c r="E913" s="1316">
        <v>0</v>
      </c>
      <c r="F913" s="1316">
        <v>0</v>
      </c>
      <c r="G913" s="1316">
        <v>0</v>
      </c>
      <c r="H913" s="1316">
        <v>0</v>
      </c>
      <c r="I913" s="1316">
        <v>0</v>
      </c>
      <c r="J913" s="1316">
        <v>0</v>
      </c>
      <c r="K913" s="1317">
        <v>0</v>
      </c>
      <c r="L913" s="1316">
        <v>0</v>
      </c>
      <c r="M913" s="1317">
        <v>0</v>
      </c>
      <c r="N913" s="1316">
        <v>0</v>
      </c>
      <c r="O913" s="1316">
        <v>0</v>
      </c>
      <c r="P913" s="1316">
        <v>0</v>
      </c>
      <c r="Q913" s="1316">
        <v>0</v>
      </c>
      <c r="R913" s="1316">
        <v>0</v>
      </c>
      <c r="S913" s="1316">
        <v>440</v>
      </c>
      <c r="T913" s="1316">
        <v>1085789</v>
      </c>
      <c r="U913" s="1268">
        <v>0</v>
      </c>
      <c r="V913" s="1316">
        <v>0</v>
      </c>
      <c r="W913" s="1316">
        <v>0</v>
      </c>
      <c r="X913" s="1316">
        <v>14937.33</v>
      </c>
      <c r="Y913" s="1316">
        <v>0</v>
      </c>
    </row>
    <row r="914" spans="1:25" s="1326" customFormat="1">
      <c r="A914" s="1352">
        <v>13</v>
      </c>
      <c r="B914" s="1267" t="s">
        <v>263</v>
      </c>
      <c r="C914" s="1268">
        <f t="shared" si="471"/>
        <v>1977340.09</v>
      </c>
      <c r="D914" s="1268">
        <f t="shared" si="470"/>
        <v>0</v>
      </c>
      <c r="E914" s="1316">
        <v>0</v>
      </c>
      <c r="F914" s="1316">
        <v>0</v>
      </c>
      <c r="G914" s="1316">
        <v>0</v>
      </c>
      <c r="H914" s="1316">
        <v>0</v>
      </c>
      <c r="I914" s="1316">
        <v>0</v>
      </c>
      <c r="J914" s="1316">
        <v>0</v>
      </c>
      <c r="K914" s="1317">
        <v>0</v>
      </c>
      <c r="L914" s="1316">
        <v>0</v>
      </c>
      <c r="M914" s="1317">
        <v>0</v>
      </c>
      <c r="N914" s="1316">
        <v>0</v>
      </c>
      <c r="O914" s="1316">
        <v>866.8</v>
      </c>
      <c r="P914" s="1316">
        <v>1942894</v>
      </c>
      <c r="Q914" s="1316">
        <v>0</v>
      </c>
      <c r="R914" s="1316">
        <v>0</v>
      </c>
      <c r="S914" s="1316">
        <v>0</v>
      </c>
      <c r="T914" s="1316">
        <v>0</v>
      </c>
      <c r="U914" s="1268">
        <v>0</v>
      </c>
      <c r="V914" s="1316">
        <v>0</v>
      </c>
      <c r="W914" s="1316">
        <v>0</v>
      </c>
      <c r="X914" s="1316">
        <v>34446.089999999997</v>
      </c>
      <c r="Y914" s="1316">
        <v>0</v>
      </c>
    </row>
    <row r="915" spans="1:25" s="1326" customFormat="1">
      <c r="A915" s="1352">
        <v>14</v>
      </c>
      <c r="B915" s="1267" t="s">
        <v>237</v>
      </c>
      <c r="C915" s="1268">
        <f t="shared" si="471"/>
        <v>528117.35</v>
      </c>
      <c r="D915" s="1268">
        <f t="shared" si="470"/>
        <v>0</v>
      </c>
      <c r="E915" s="1316">
        <v>0</v>
      </c>
      <c r="F915" s="1316">
        <v>0</v>
      </c>
      <c r="G915" s="1316">
        <v>0</v>
      </c>
      <c r="H915" s="1316">
        <v>0</v>
      </c>
      <c r="I915" s="1316">
        <v>0</v>
      </c>
      <c r="J915" s="1316">
        <v>0</v>
      </c>
      <c r="K915" s="1317">
        <v>0</v>
      </c>
      <c r="L915" s="1316">
        <v>0</v>
      </c>
      <c r="M915" s="1317">
        <v>0</v>
      </c>
      <c r="N915" s="1316">
        <v>0</v>
      </c>
      <c r="O915" s="1316">
        <v>255</v>
      </c>
      <c r="P915" s="1316">
        <v>502202</v>
      </c>
      <c r="Q915" s="1316">
        <v>0</v>
      </c>
      <c r="R915" s="1316">
        <v>0</v>
      </c>
      <c r="S915" s="1316">
        <v>0</v>
      </c>
      <c r="T915" s="1316">
        <v>0</v>
      </c>
      <c r="U915" s="1268">
        <v>0</v>
      </c>
      <c r="V915" s="1316">
        <v>0</v>
      </c>
      <c r="W915" s="1316">
        <v>0</v>
      </c>
      <c r="X915" s="1316">
        <v>25915.35</v>
      </c>
      <c r="Y915" s="1316">
        <v>0</v>
      </c>
    </row>
    <row r="916" spans="1:25" s="1280" customFormat="1" ht="75.599999999999994">
      <c r="A916" s="1352">
        <v>15</v>
      </c>
      <c r="B916" s="1267" t="s">
        <v>2493</v>
      </c>
      <c r="C916" s="1268">
        <f t="shared" si="471"/>
        <v>2351899.71</v>
      </c>
      <c r="D916" s="1268">
        <f t="shared" si="470"/>
        <v>2302986</v>
      </c>
      <c r="E916" s="1316">
        <v>2302986</v>
      </c>
      <c r="F916" s="1316">
        <v>0</v>
      </c>
      <c r="G916" s="1316">
        <v>0</v>
      </c>
      <c r="H916" s="1316">
        <v>0</v>
      </c>
      <c r="I916" s="1316">
        <v>0</v>
      </c>
      <c r="J916" s="1316">
        <v>0</v>
      </c>
      <c r="K916" s="1317">
        <v>0</v>
      </c>
      <c r="L916" s="1316">
        <v>0</v>
      </c>
      <c r="M916" s="1317">
        <v>0</v>
      </c>
      <c r="N916" s="1316">
        <v>0</v>
      </c>
      <c r="O916" s="1316">
        <v>0</v>
      </c>
      <c r="P916" s="1316">
        <v>0</v>
      </c>
      <c r="Q916" s="1316">
        <v>0</v>
      </c>
      <c r="R916" s="1316">
        <v>0</v>
      </c>
      <c r="S916" s="1316">
        <v>0</v>
      </c>
      <c r="T916" s="1316">
        <v>0</v>
      </c>
      <c r="U916" s="1268">
        <v>0</v>
      </c>
      <c r="V916" s="1316">
        <v>0</v>
      </c>
      <c r="W916" s="1316">
        <v>0</v>
      </c>
      <c r="X916" s="1316">
        <v>48913.71</v>
      </c>
      <c r="Y916" s="1316">
        <v>0</v>
      </c>
    </row>
    <row r="917" spans="1:25" s="1280" customFormat="1">
      <c r="A917" s="1352">
        <v>16</v>
      </c>
      <c r="B917" s="1267" t="s">
        <v>319</v>
      </c>
      <c r="C917" s="1268">
        <f t="shared" si="471"/>
        <v>725443.24</v>
      </c>
      <c r="D917" s="1268">
        <f t="shared" si="470"/>
        <v>691635</v>
      </c>
      <c r="E917" s="1316">
        <v>0</v>
      </c>
      <c r="F917" s="1316">
        <v>691635</v>
      </c>
      <c r="G917" s="1316">
        <v>0</v>
      </c>
      <c r="H917" s="1316">
        <v>0</v>
      </c>
      <c r="I917" s="1316">
        <v>0</v>
      </c>
      <c r="J917" s="1316">
        <v>0</v>
      </c>
      <c r="K917" s="1317">
        <v>0</v>
      </c>
      <c r="L917" s="1316">
        <v>0</v>
      </c>
      <c r="M917" s="1317">
        <v>0</v>
      </c>
      <c r="N917" s="1316">
        <v>0</v>
      </c>
      <c r="O917" s="1316">
        <v>0</v>
      </c>
      <c r="P917" s="1316">
        <v>0</v>
      </c>
      <c r="Q917" s="1316">
        <v>0</v>
      </c>
      <c r="R917" s="1316">
        <v>0</v>
      </c>
      <c r="S917" s="1316">
        <v>0</v>
      </c>
      <c r="T917" s="1316">
        <v>0</v>
      </c>
      <c r="U917" s="1268">
        <v>0</v>
      </c>
      <c r="V917" s="1316">
        <v>0</v>
      </c>
      <c r="W917" s="1316">
        <v>0</v>
      </c>
      <c r="X917" s="1316">
        <v>33808.239999999998</v>
      </c>
      <c r="Y917" s="1316">
        <v>0</v>
      </c>
    </row>
    <row r="918" spans="1:25" s="1280" customFormat="1" ht="75.599999999999994">
      <c r="A918" s="1352">
        <v>17</v>
      </c>
      <c r="B918" s="1267" t="s">
        <v>307</v>
      </c>
      <c r="C918" s="1268">
        <f t="shared" si="471"/>
        <v>3832087.03</v>
      </c>
      <c r="D918" s="1268">
        <f t="shared" si="470"/>
        <v>0</v>
      </c>
      <c r="E918" s="1316">
        <v>0</v>
      </c>
      <c r="F918" s="1316">
        <v>0</v>
      </c>
      <c r="G918" s="1316">
        <v>0</v>
      </c>
      <c r="H918" s="1316">
        <v>0</v>
      </c>
      <c r="I918" s="1316">
        <v>0</v>
      </c>
      <c r="J918" s="1316">
        <v>0</v>
      </c>
      <c r="K918" s="1317">
        <v>0</v>
      </c>
      <c r="L918" s="1316">
        <v>0</v>
      </c>
      <c r="M918" s="1317">
        <v>0</v>
      </c>
      <c r="N918" s="1316">
        <v>0</v>
      </c>
      <c r="O918" s="1316">
        <v>378</v>
      </c>
      <c r="P918" s="1316">
        <v>3805331</v>
      </c>
      <c r="Q918" s="1316">
        <v>0</v>
      </c>
      <c r="R918" s="1316">
        <v>0</v>
      </c>
      <c r="S918" s="1316">
        <v>0</v>
      </c>
      <c r="T918" s="1316">
        <v>0</v>
      </c>
      <c r="U918" s="1268">
        <v>0</v>
      </c>
      <c r="V918" s="1316">
        <v>0</v>
      </c>
      <c r="W918" s="1316">
        <v>0</v>
      </c>
      <c r="X918" s="1316">
        <v>26756.03</v>
      </c>
      <c r="Y918" s="1316">
        <v>0</v>
      </c>
    </row>
    <row r="919" spans="1:25" s="1280" customFormat="1" ht="75.599999999999994">
      <c r="A919" s="1352">
        <v>18</v>
      </c>
      <c r="B919" s="1267" t="s">
        <v>2494</v>
      </c>
      <c r="C919" s="1268">
        <f t="shared" si="471"/>
        <v>5363868.12</v>
      </c>
      <c r="D919" s="1268">
        <f t="shared" si="470"/>
        <v>1916650</v>
      </c>
      <c r="E919" s="1316">
        <v>1916650</v>
      </c>
      <c r="F919" s="1316">
        <v>0</v>
      </c>
      <c r="G919" s="1316">
        <v>0</v>
      </c>
      <c r="H919" s="1316">
        <v>0</v>
      </c>
      <c r="I919" s="1316">
        <v>0</v>
      </c>
      <c r="J919" s="1316">
        <v>0</v>
      </c>
      <c r="K919" s="1317">
        <v>0</v>
      </c>
      <c r="L919" s="1316">
        <v>0</v>
      </c>
      <c r="M919" s="1317">
        <v>0</v>
      </c>
      <c r="N919" s="1316">
        <v>0</v>
      </c>
      <c r="O919" s="1316">
        <v>0</v>
      </c>
      <c r="P919" s="1316">
        <v>0</v>
      </c>
      <c r="Q919" s="1316">
        <v>0</v>
      </c>
      <c r="R919" s="1316">
        <v>0</v>
      </c>
      <c r="S919" s="1316">
        <v>1359.5</v>
      </c>
      <c r="T919" s="1316">
        <v>3354841</v>
      </c>
      <c r="U919" s="1268">
        <v>0</v>
      </c>
      <c r="V919" s="1316">
        <v>0</v>
      </c>
      <c r="W919" s="1316">
        <v>0</v>
      </c>
      <c r="X919" s="1316">
        <v>92377.12</v>
      </c>
      <c r="Y919" s="1316">
        <v>0</v>
      </c>
    </row>
    <row r="920" spans="1:25" s="1280" customFormat="1">
      <c r="A920" s="1352">
        <v>19</v>
      </c>
      <c r="B920" s="1267" t="s">
        <v>245</v>
      </c>
      <c r="C920" s="1268">
        <f t="shared" si="471"/>
        <v>1032018.21</v>
      </c>
      <c r="D920" s="1268">
        <f t="shared" si="470"/>
        <v>0</v>
      </c>
      <c r="E920" s="1316">
        <v>0</v>
      </c>
      <c r="F920" s="1316">
        <v>0</v>
      </c>
      <c r="G920" s="1316">
        <v>0</v>
      </c>
      <c r="H920" s="1316">
        <v>0</v>
      </c>
      <c r="I920" s="1316">
        <v>0</v>
      </c>
      <c r="J920" s="1316">
        <v>0</v>
      </c>
      <c r="K920" s="1317">
        <v>0</v>
      </c>
      <c r="L920" s="1316">
        <v>0</v>
      </c>
      <c r="M920" s="1317">
        <v>0</v>
      </c>
      <c r="N920" s="1316">
        <v>0</v>
      </c>
      <c r="O920" s="1316">
        <v>0</v>
      </c>
      <c r="P920" s="1316">
        <v>0</v>
      </c>
      <c r="Q920" s="1316">
        <v>0</v>
      </c>
      <c r="R920" s="1316">
        <v>0</v>
      </c>
      <c r="S920" s="1316">
        <v>492</v>
      </c>
      <c r="T920" s="1316">
        <v>1017434</v>
      </c>
      <c r="U920" s="1268">
        <v>0</v>
      </c>
      <c r="V920" s="1316">
        <v>0</v>
      </c>
      <c r="W920" s="1316">
        <v>0</v>
      </c>
      <c r="X920" s="1316">
        <v>14584.21</v>
      </c>
      <c r="Y920" s="1316">
        <v>0</v>
      </c>
    </row>
    <row r="921" spans="1:25" s="1280" customFormat="1">
      <c r="A921" s="1352">
        <v>20</v>
      </c>
      <c r="B921" s="1267" t="s">
        <v>239</v>
      </c>
      <c r="C921" s="1268">
        <f t="shared" si="471"/>
        <v>1745786.78</v>
      </c>
      <c r="D921" s="1268">
        <f t="shared" si="470"/>
        <v>0</v>
      </c>
      <c r="E921" s="1316">
        <v>0</v>
      </c>
      <c r="F921" s="1316">
        <v>0</v>
      </c>
      <c r="G921" s="1316">
        <v>0</v>
      </c>
      <c r="H921" s="1316">
        <v>0</v>
      </c>
      <c r="I921" s="1316">
        <v>0</v>
      </c>
      <c r="J921" s="1316">
        <v>0</v>
      </c>
      <c r="K921" s="1317">
        <v>0</v>
      </c>
      <c r="L921" s="1316">
        <v>0</v>
      </c>
      <c r="M921" s="1317">
        <v>0</v>
      </c>
      <c r="N921" s="1316">
        <v>0</v>
      </c>
      <c r="O921" s="1316">
        <v>0</v>
      </c>
      <c r="P921" s="1316">
        <v>0</v>
      </c>
      <c r="Q921" s="1316">
        <v>0</v>
      </c>
      <c r="R921" s="1316">
        <v>0</v>
      </c>
      <c r="S921" s="1316">
        <v>694</v>
      </c>
      <c r="T921" s="1316">
        <v>1712585</v>
      </c>
      <c r="U921" s="1268">
        <v>0</v>
      </c>
      <c r="V921" s="1316">
        <v>0</v>
      </c>
      <c r="W921" s="1316">
        <v>0</v>
      </c>
      <c r="X921" s="1316">
        <v>33201.78</v>
      </c>
      <c r="Y921" s="1316">
        <v>0</v>
      </c>
    </row>
    <row r="922" spans="1:25" s="1280" customFormat="1">
      <c r="A922" s="1352">
        <v>21</v>
      </c>
      <c r="B922" s="1267" t="s">
        <v>278</v>
      </c>
      <c r="C922" s="1268">
        <f t="shared" si="471"/>
        <v>1343321.03</v>
      </c>
      <c r="D922" s="1268">
        <f t="shared" si="470"/>
        <v>0</v>
      </c>
      <c r="E922" s="1316">
        <v>0</v>
      </c>
      <c r="F922" s="1316">
        <v>0</v>
      </c>
      <c r="G922" s="1316">
        <v>0</v>
      </c>
      <c r="H922" s="1316">
        <v>0</v>
      </c>
      <c r="I922" s="1316">
        <v>0</v>
      </c>
      <c r="J922" s="1316">
        <v>0</v>
      </c>
      <c r="K922" s="1317">
        <v>0</v>
      </c>
      <c r="L922" s="1316">
        <v>0</v>
      </c>
      <c r="M922" s="1317">
        <v>0</v>
      </c>
      <c r="N922" s="1316">
        <v>0</v>
      </c>
      <c r="O922" s="1316">
        <v>440</v>
      </c>
      <c r="P922" s="1316">
        <v>1314984</v>
      </c>
      <c r="Q922" s="1316">
        <v>0</v>
      </c>
      <c r="R922" s="1316">
        <v>0</v>
      </c>
      <c r="S922" s="1316">
        <v>0</v>
      </c>
      <c r="T922" s="1316">
        <v>0</v>
      </c>
      <c r="U922" s="1268">
        <v>0</v>
      </c>
      <c r="V922" s="1316">
        <v>0</v>
      </c>
      <c r="W922" s="1316">
        <v>0</v>
      </c>
      <c r="X922" s="1316">
        <v>28337.03</v>
      </c>
      <c r="Y922" s="1316">
        <v>0</v>
      </c>
    </row>
    <row r="923" spans="1:25" s="1280" customFormat="1" ht="75.599999999999994">
      <c r="A923" s="1352">
        <v>22</v>
      </c>
      <c r="B923" s="1267" t="s">
        <v>309</v>
      </c>
      <c r="C923" s="1268">
        <f t="shared" si="471"/>
        <v>1392128.91</v>
      </c>
      <c r="D923" s="1268">
        <f t="shared" si="470"/>
        <v>0</v>
      </c>
      <c r="E923" s="1316">
        <v>0</v>
      </c>
      <c r="F923" s="1316">
        <v>0</v>
      </c>
      <c r="G923" s="1316">
        <v>0</v>
      </c>
      <c r="H923" s="1316">
        <v>0</v>
      </c>
      <c r="I923" s="1316">
        <v>0</v>
      </c>
      <c r="J923" s="1316">
        <v>0</v>
      </c>
      <c r="K923" s="1317">
        <v>0</v>
      </c>
      <c r="L923" s="1316">
        <v>0</v>
      </c>
      <c r="M923" s="1317">
        <v>0</v>
      </c>
      <c r="N923" s="1316">
        <v>0</v>
      </c>
      <c r="O923" s="1316">
        <v>438.23</v>
      </c>
      <c r="P923" s="1316">
        <v>1375500</v>
      </c>
      <c r="Q923" s="1316">
        <v>0</v>
      </c>
      <c r="R923" s="1316">
        <v>0</v>
      </c>
      <c r="S923" s="1316">
        <v>0</v>
      </c>
      <c r="T923" s="1316">
        <v>0</v>
      </c>
      <c r="U923" s="1268">
        <v>0</v>
      </c>
      <c r="V923" s="1316">
        <v>0</v>
      </c>
      <c r="W923" s="1316">
        <v>0</v>
      </c>
      <c r="X923" s="1316">
        <v>16628.91</v>
      </c>
      <c r="Y923" s="1316">
        <v>0</v>
      </c>
    </row>
    <row r="924" spans="1:25" s="1280" customFormat="1">
      <c r="A924" s="1352">
        <v>23</v>
      </c>
      <c r="B924" s="1267" t="s">
        <v>2046</v>
      </c>
      <c r="C924" s="1268">
        <f t="shared" si="471"/>
        <v>5243379.43</v>
      </c>
      <c r="D924" s="1268">
        <f t="shared" si="470"/>
        <v>0</v>
      </c>
      <c r="E924" s="1316">
        <v>0</v>
      </c>
      <c r="F924" s="1316">
        <v>0</v>
      </c>
      <c r="G924" s="1316">
        <v>0</v>
      </c>
      <c r="H924" s="1316">
        <v>0</v>
      </c>
      <c r="I924" s="1316">
        <v>0</v>
      </c>
      <c r="J924" s="1316">
        <v>0</v>
      </c>
      <c r="K924" s="1317">
        <v>0</v>
      </c>
      <c r="L924" s="1316">
        <v>0</v>
      </c>
      <c r="M924" s="1317">
        <v>0</v>
      </c>
      <c r="N924" s="1316">
        <v>0</v>
      </c>
      <c r="O924" s="1316">
        <v>0</v>
      </c>
      <c r="P924" s="1316">
        <v>0</v>
      </c>
      <c r="Q924" s="1316">
        <v>0</v>
      </c>
      <c r="R924" s="1316">
        <v>0</v>
      </c>
      <c r="S924" s="1316">
        <v>2108</v>
      </c>
      <c r="T924" s="1316">
        <v>5201917</v>
      </c>
      <c r="U924" s="1268">
        <v>0</v>
      </c>
      <c r="V924" s="1316">
        <v>0</v>
      </c>
      <c r="W924" s="1316">
        <v>0</v>
      </c>
      <c r="X924" s="1316">
        <v>41462.43</v>
      </c>
      <c r="Y924" s="1316">
        <v>0</v>
      </c>
    </row>
    <row r="925" spans="1:25" s="1280" customFormat="1" ht="75.599999999999994">
      <c r="A925" s="1352">
        <v>24</v>
      </c>
      <c r="B925" s="1267" t="s">
        <v>308</v>
      </c>
      <c r="C925" s="1268">
        <f t="shared" si="471"/>
        <v>2224973.3199999998</v>
      </c>
      <c r="D925" s="1268">
        <f t="shared" si="470"/>
        <v>2171746</v>
      </c>
      <c r="E925" s="1316">
        <v>0</v>
      </c>
      <c r="F925" s="1316">
        <v>0</v>
      </c>
      <c r="G925" s="1316">
        <v>0</v>
      </c>
      <c r="H925" s="1316">
        <v>0</v>
      </c>
      <c r="I925" s="1316">
        <v>2171746</v>
      </c>
      <c r="J925" s="1316">
        <v>0</v>
      </c>
      <c r="K925" s="1317">
        <v>0</v>
      </c>
      <c r="L925" s="1316">
        <v>0</v>
      </c>
      <c r="M925" s="1317">
        <v>0</v>
      </c>
      <c r="N925" s="1316">
        <v>0</v>
      </c>
      <c r="O925" s="1316">
        <v>0</v>
      </c>
      <c r="P925" s="1316">
        <v>0</v>
      </c>
      <c r="Q925" s="1316">
        <v>0</v>
      </c>
      <c r="R925" s="1316">
        <v>0</v>
      </c>
      <c r="S925" s="1316">
        <v>0</v>
      </c>
      <c r="T925" s="1316">
        <v>0</v>
      </c>
      <c r="U925" s="1268">
        <v>0</v>
      </c>
      <c r="V925" s="1316">
        <v>0</v>
      </c>
      <c r="W925" s="1316">
        <v>0</v>
      </c>
      <c r="X925" s="1316">
        <v>53227.32</v>
      </c>
      <c r="Y925" s="1316">
        <v>0</v>
      </c>
    </row>
    <row r="926" spans="1:25" s="1280" customFormat="1">
      <c r="A926" s="1352">
        <v>25</v>
      </c>
      <c r="B926" s="1267" t="s">
        <v>1904</v>
      </c>
      <c r="C926" s="1268">
        <f t="shared" si="471"/>
        <v>1533757</v>
      </c>
      <c r="D926" s="1268">
        <f t="shared" si="470"/>
        <v>0</v>
      </c>
      <c r="E926" s="1316">
        <v>0</v>
      </c>
      <c r="F926" s="1316">
        <v>0</v>
      </c>
      <c r="G926" s="1316">
        <v>0</v>
      </c>
      <c r="H926" s="1316">
        <v>0</v>
      </c>
      <c r="I926" s="1316">
        <v>0</v>
      </c>
      <c r="J926" s="1316">
        <v>0</v>
      </c>
      <c r="K926" s="1317">
        <v>0</v>
      </c>
      <c r="L926" s="1316">
        <v>0</v>
      </c>
      <c r="M926" s="1317">
        <v>0</v>
      </c>
      <c r="N926" s="1316">
        <v>0</v>
      </c>
      <c r="O926" s="1316">
        <v>772.9</v>
      </c>
      <c r="P926" s="1316">
        <v>1508376.44</v>
      </c>
      <c r="Q926" s="1316">
        <v>0</v>
      </c>
      <c r="R926" s="1316">
        <v>0</v>
      </c>
      <c r="S926" s="1316">
        <v>0</v>
      </c>
      <c r="T926" s="1316">
        <v>0</v>
      </c>
      <c r="U926" s="1268">
        <v>0</v>
      </c>
      <c r="V926" s="1316">
        <v>0</v>
      </c>
      <c r="W926" s="1316">
        <v>0</v>
      </c>
      <c r="X926" s="1316">
        <v>25380.560000000001</v>
      </c>
      <c r="Y926" s="1316">
        <v>0</v>
      </c>
    </row>
    <row r="927" spans="1:25" s="1280" customFormat="1">
      <c r="A927" s="1352">
        <v>26</v>
      </c>
      <c r="B927" s="1267" t="s">
        <v>240</v>
      </c>
      <c r="C927" s="1268">
        <f t="shared" si="471"/>
        <v>821562.94</v>
      </c>
      <c r="D927" s="1268">
        <f t="shared" si="470"/>
        <v>792400</v>
      </c>
      <c r="E927" s="1316">
        <v>0</v>
      </c>
      <c r="F927" s="1316">
        <v>792400</v>
      </c>
      <c r="G927" s="1316">
        <v>0</v>
      </c>
      <c r="H927" s="1316">
        <v>0</v>
      </c>
      <c r="I927" s="1316">
        <v>0</v>
      </c>
      <c r="J927" s="1316">
        <v>0</v>
      </c>
      <c r="K927" s="1317">
        <v>0</v>
      </c>
      <c r="L927" s="1316">
        <v>0</v>
      </c>
      <c r="M927" s="1317">
        <v>0</v>
      </c>
      <c r="N927" s="1316">
        <v>0</v>
      </c>
      <c r="O927" s="1316">
        <v>0</v>
      </c>
      <c r="P927" s="1316">
        <v>0</v>
      </c>
      <c r="Q927" s="1316">
        <v>0</v>
      </c>
      <c r="R927" s="1316">
        <v>0</v>
      </c>
      <c r="S927" s="1316">
        <v>0</v>
      </c>
      <c r="T927" s="1316">
        <v>0</v>
      </c>
      <c r="U927" s="1268">
        <v>0</v>
      </c>
      <c r="V927" s="1316">
        <v>0</v>
      </c>
      <c r="W927" s="1316">
        <v>0</v>
      </c>
      <c r="X927" s="1316">
        <v>29162.94</v>
      </c>
      <c r="Y927" s="1316">
        <v>0</v>
      </c>
    </row>
    <row r="928" spans="1:25" s="1280" customFormat="1" ht="75.599999999999994">
      <c r="A928" s="1352">
        <v>27</v>
      </c>
      <c r="B928" s="1267" t="s">
        <v>2495</v>
      </c>
      <c r="C928" s="1268">
        <f t="shared" si="471"/>
        <v>3607233.46</v>
      </c>
      <c r="D928" s="1268">
        <f t="shared" si="470"/>
        <v>0</v>
      </c>
      <c r="E928" s="1316">
        <v>0</v>
      </c>
      <c r="F928" s="1316">
        <v>0</v>
      </c>
      <c r="G928" s="1316">
        <v>0</v>
      </c>
      <c r="H928" s="1316">
        <v>0</v>
      </c>
      <c r="I928" s="1316">
        <v>0</v>
      </c>
      <c r="J928" s="1316">
        <v>0</v>
      </c>
      <c r="K928" s="1317">
        <v>0</v>
      </c>
      <c r="L928" s="1316">
        <v>0</v>
      </c>
      <c r="M928" s="1317">
        <v>0</v>
      </c>
      <c r="N928" s="1316">
        <v>0</v>
      </c>
      <c r="O928" s="1316">
        <v>0</v>
      </c>
      <c r="P928" s="1316">
        <v>0</v>
      </c>
      <c r="Q928" s="1316">
        <v>0</v>
      </c>
      <c r="R928" s="1316">
        <v>0</v>
      </c>
      <c r="S928" s="1316">
        <v>1444</v>
      </c>
      <c r="T928" s="1316">
        <v>3563362</v>
      </c>
      <c r="U928" s="1268">
        <v>0</v>
      </c>
      <c r="V928" s="1316">
        <v>0</v>
      </c>
      <c r="W928" s="1316">
        <v>0</v>
      </c>
      <c r="X928" s="1316">
        <v>43871.46</v>
      </c>
      <c r="Y928" s="1316">
        <v>0</v>
      </c>
    </row>
    <row r="929" spans="1:25" s="1280" customFormat="1">
      <c r="A929" s="1352">
        <v>28</v>
      </c>
      <c r="B929" s="1267" t="s">
        <v>323</v>
      </c>
      <c r="C929" s="1268">
        <f t="shared" si="471"/>
        <v>1030213</v>
      </c>
      <c r="D929" s="1268">
        <f t="shared" si="470"/>
        <v>0</v>
      </c>
      <c r="E929" s="1316">
        <v>0</v>
      </c>
      <c r="F929" s="1316">
        <v>0</v>
      </c>
      <c r="G929" s="1316">
        <v>0</v>
      </c>
      <c r="H929" s="1316">
        <v>0</v>
      </c>
      <c r="I929" s="1316">
        <v>0</v>
      </c>
      <c r="J929" s="1316">
        <v>0</v>
      </c>
      <c r="K929" s="1317">
        <v>0</v>
      </c>
      <c r="L929" s="1316">
        <v>0</v>
      </c>
      <c r="M929" s="1317">
        <v>0</v>
      </c>
      <c r="N929" s="1316">
        <v>0</v>
      </c>
      <c r="O929" s="1316">
        <v>513.79999999999995</v>
      </c>
      <c r="P929" s="1316">
        <v>1003268.64</v>
      </c>
      <c r="Q929" s="1316">
        <v>0</v>
      </c>
      <c r="R929" s="1316">
        <v>0</v>
      </c>
      <c r="S929" s="1316">
        <v>0</v>
      </c>
      <c r="T929" s="1316">
        <v>0</v>
      </c>
      <c r="U929" s="1268">
        <v>0</v>
      </c>
      <c r="V929" s="1316">
        <v>0</v>
      </c>
      <c r="W929" s="1316">
        <v>0</v>
      </c>
      <c r="X929" s="1316">
        <v>26944.36</v>
      </c>
      <c r="Y929" s="1316">
        <v>0</v>
      </c>
    </row>
    <row r="930" spans="1:25" s="1280" customFormat="1">
      <c r="A930" s="1352">
        <v>29</v>
      </c>
      <c r="B930" s="1267" t="s">
        <v>306</v>
      </c>
      <c r="C930" s="1268">
        <f t="shared" si="471"/>
        <v>4821294.4400000004</v>
      </c>
      <c r="D930" s="1268">
        <f t="shared" si="470"/>
        <v>3958875.92</v>
      </c>
      <c r="E930" s="1316">
        <v>0</v>
      </c>
      <c r="F930" s="1316">
        <v>2452879.84</v>
      </c>
      <c r="G930" s="1316">
        <v>0</v>
      </c>
      <c r="H930" s="1316">
        <v>0</v>
      </c>
      <c r="I930" s="1316">
        <v>1505996.08</v>
      </c>
      <c r="J930" s="1316">
        <v>0</v>
      </c>
      <c r="K930" s="1317">
        <v>1</v>
      </c>
      <c r="L930" s="1268">
        <v>794955.62</v>
      </c>
      <c r="M930" s="1317">
        <v>0</v>
      </c>
      <c r="N930" s="1316">
        <v>0</v>
      </c>
      <c r="O930" s="1316">
        <v>0</v>
      </c>
      <c r="P930" s="1316">
        <v>0</v>
      </c>
      <c r="Q930" s="1316">
        <v>0</v>
      </c>
      <c r="R930" s="1316">
        <v>0</v>
      </c>
      <c r="S930" s="1316">
        <v>0</v>
      </c>
      <c r="T930" s="1316">
        <v>0</v>
      </c>
      <c r="U930" s="1268">
        <v>0</v>
      </c>
      <c r="V930" s="1316">
        <v>0</v>
      </c>
      <c r="W930" s="1316">
        <v>0</v>
      </c>
      <c r="X930" s="1316">
        <f>42891.7+24571.2</f>
        <v>67462.899999999994</v>
      </c>
      <c r="Y930" s="1316">
        <v>0</v>
      </c>
    </row>
    <row r="931" spans="1:25" s="1280" customFormat="1" ht="75.599999999999994">
      <c r="A931" s="1352">
        <v>30</v>
      </c>
      <c r="B931" s="1267" t="s">
        <v>2304</v>
      </c>
      <c r="C931" s="1268">
        <f t="shared" si="471"/>
        <v>1137886</v>
      </c>
      <c r="D931" s="1268">
        <f t="shared" si="470"/>
        <v>0</v>
      </c>
      <c r="E931" s="1316">
        <v>0</v>
      </c>
      <c r="F931" s="1316">
        <v>0</v>
      </c>
      <c r="G931" s="1316">
        <v>0</v>
      </c>
      <c r="H931" s="1316">
        <v>0</v>
      </c>
      <c r="I931" s="1316">
        <v>0</v>
      </c>
      <c r="J931" s="1316">
        <v>0</v>
      </c>
      <c r="K931" s="1317">
        <v>0</v>
      </c>
      <c r="L931" s="1316">
        <v>0</v>
      </c>
      <c r="M931" s="1317">
        <v>0</v>
      </c>
      <c r="N931" s="1316">
        <v>0</v>
      </c>
      <c r="O931" s="1316">
        <v>0</v>
      </c>
      <c r="P931" s="1316">
        <v>0</v>
      </c>
      <c r="Q931" s="1316">
        <v>0</v>
      </c>
      <c r="R931" s="1316">
        <v>0</v>
      </c>
      <c r="S931" s="1316">
        <v>785.5</v>
      </c>
      <c r="T931" s="1316">
        <v>1119392.8600000001</v>
      </c>
      <c r="U931" s="1268">
        <v>0</v>
      </c>
      <c r="V931" s="1316">
        <v>0</v>
      </c>
      <c r="W931" s="1316">
        <v>0</v>
      </c>
      <c r="X931" s="1316">
        <v>18493.14</v>
      </c>
      <c r="Y931" s="1316">
        <v>0</v>
      </c>
    </row>
    <row r="932" spans="1:25" s="1280" customFormat="1" ht="75.599999999999994">
      <c r="A932" s="1352">
        <v>31</v>
      </c>
      <c r="B932" s="1267" t="s">
        <v>223</v>
      </c>
      <c r="C932" s="1268">
        <f t="shared" si="471"/>
        <v>896741</v>
      </c>
      <c r="D932" s="1268">
        <f t="shared" si="470"/>
        <v>868331.95</v>
      </c>
      <c r="E932" s="1268">
        <v>0</v>
      </c>
      <c r="F932" s="1268">
        <v>0</v>
      </c>
      <c r="G932" s="1268">
        <v>0</v>
      </c>
      <c r="H932" s="1268">
        <v>0</v>
      </c>
      <c r="I932" s="1268">
        <v>868331.95</v>
      </c>
      <c r="J932" s="1268">
        <v>0</v>
      </c>
      <c r="K932" s="1278">
        <v>0</v>
      </c>
      <c r="L932" s="1268">
        <v>0</v>
      </c>
      <c r="M932" s="1278">
        <v>0</v>
      </c>
      <c r="N932" s="1268">
        <v>0</v>
      </c>
      <c r="O932" s="1268">
        <v>0</v>
      </c>
      <c r="P932" s="1268">
        <v>0</v>
      </c>
      <c r="Q932" s="1268">
        <v>0</v>
      </c>
      <c r="R932" s="1268">
        <v>0</v>
      </c>
      <c r="S932" s="1268">
        <v>0</v>
      </c>
      <c r="T932" s="1268">
        <v>0</v>
      </c>
      <c r="U932" s="1268">
        <v>0</v>
      </c>
      <c r="V932" s="1268">
        <v>0</v>
      </c>
      <c r="W932" s="1316">
        <v>0</v>
      </c>
      <c r="X932" s="1268">
        <v>28409.05</v>
      </c>
      <c r="Y932" s="1316">
        <v>0</v>
      </c>
    </row>
    <row r="933" spans="1:25" s="1280" customFormat="1">
      <c r="A933" s="1352">
        <v>32</v>
      </c>
      <c r="B933" s="1309" t="s">
        <v>288</v>
      </c>
      <c r="C933" s="1268">
        <f t="shared" si="471"/>
        <v>7082325</v>
      </c>
      <c r="D933" s="1268">
        <f t="shared" si="470"/>
        <v>6933846.3099999996</v>
      </c>
      <c r="E933" s="1310">
        <v>0</v>
      </c>
      <c r="F933" s="1310">
        <v>6933846.3099999996</v>
      </c>
      <c r="G933" s="1310">
        <v>0</v>
      </c>
      <c r="H933" s="1310">
        <v>0</v>
      </c>
      <c r="I933" s="1310">
        <v>0</v>
      </c>
      <c r="J933" s="1310">
        <v>0</v>
      </c>
      <c r="K933" s="1308">
        <v>0</v>
      </c>
      <c r="L933" s="1310">
        <v>0</v>
      </c>
      <c r="M933" s="1308">
        <v>0</v>
      </c>
      <c r="N933" s="1310">
        <v>0</v>
      </c>
      <c r="O933" s="1310">
        <v>0</v>
      </c>
      <c r="P933" s="1310">
        <v>0</v>
      </c>
      <c r="Q933" s="1310">
        <v>0</v>
      </c>
      <c r="R933" s="1310">
        <v>0</v>
      </c>
      <c r="S933" s="1310">
        <v>0</v>
      </c>
      <c r="T933" s="1310">
        <v>0</v>
      </c>
      <c r="U933" s="1310">
        <v>0</v>
      </c>
      <c r="V933" s="1310">
        <v>0</v>
      </c>
      <c r="W933" s="1316">
        <v>0</v>
      </c>
      <c r="X933" s="1310">
        <f>247467.47-98988.78</f>
        <v>148478.69</v>
      </c>
      <c r="Y933" s="1316">
        <v>0</v>
      </c>
    </row>
    <row r="934" spans="1:25" s="1280" customFormat="1" ht="75.599999999999994">
      <c r="A934" s="1352">
        <v>33</v>
      </c>
      <c r="B934" s="1267" t="s">
        <v>2266</v>
      </c>
      <c r="C934" s="1268">
        <f t="shared" si="471"/>
        <v>2423389.86</v>
      </c>
      <c r="D934" s="1268">
        <f t="shared" si="470"/>
        <v>2351360</v>
      </c>
      <c r="E934" s="1316">
        <v>0</v>
      </c>
      <c r="F934" s="1316">
        <v>0</v>
      </c>
      <c r="G934" s="1316">
        <v>0</v>
      </c>
      <c r="H934" s="1316">
        <v>0</v>
      </c>
      <c r="I934" s="1316">
        <v>2351360</v>
      </c>
      <c r="J934" s="1316">
        <v>0</v>
      </c>
      <c r="K934" s="1317">
        <v>0</v>
      </c>
      <c r="L934" s="1316">
        <v>0</v>
      </c>
      <c r="M934" s="1317">
        <v>0</v>
      </c>
      <c r="N934" s="1316">
        <v>0</v>
      </c>
      <c r="O934" s="1316">
        <v>0</v>
      </c>
      <c r="P934" s="1316">
        <v>0</v>
      </c>
      <c r="Q934" s="1316">
        <v>0</v>
      </c>
      <c r="R934" s="1316">
        <v>0</v>
      </c>
      <c r="S934" s="1316">
        <v>0</v>
      </c>
      <c r="T934" s="1316">
        <v>0</v>
      </c>
      <c r="U934" s="1268">
        <v>0</v>
      </c>
      <c r="V934" s="1316">
        <v>0</v>
      </c>
      <c r="W934" s="1316">
        <v>0</v>
      </c>
      <c r="X934" s="1316">
        <v>72029.86</v>
      </c>
      <c r="Y934" s="1316">
        <v>0</v>
      </c>
    </row>
    <row r="935" spans="1:25" s="1280" customFormat="1">
      <c r="A935" s="1410">
        <v>34</v>
      </c>
      <c r="B935" s="1267" t="s">
        <v>2049</v>
      </c>
      <c r="C935" s="1268">
        <f t="shared" si="471"/>
        <v>541177.32999999996</v>
      </c>
      <c r="D935" s="1268">
        <f t="shared" si="470"/>
        <v>506075.99</v>
      </c>
      <c r="E935" s="1268"/>
      <c r="F935" s="1268">
        <v>0</v>
      </c>
      <c r="G935" s="1268">
        <v>0</v>
      </c>
      <c r="H935" s="1268">
        <v>372486.55</v>
      </c>
      <c r="I935" s="1268">
        <v>0</v>
      </c>
      <c r="J935" s="1268">
        <v>133589.44</v>
      </c>
      <c r="K935" s="1278">
        <v>0</v>
      </c>
      <c r="L935" s="1268">
        <v>0</v>
      </c>
      <c r="M935" s="1278">
        <v>0</v>
      </c>
      <c r="N935" s="1268">
        <v>0</v>
      </c>
      <c r="O935" s="1268">
        <v>0</v>
      </c>
      <c r="P935" s="1268">
        <v>0</v>
      </c>
      <c r="Q935" s="1268">
        <v>0</v>
      </c>
      <c r="R935" s="1268">
        <v>0</v>
      </c>
      <c r="S935" s="1268">
        <v>0</v>
      </c>
      <c r="T935" s="1268">
        <v>0</v>
      </c>
      <c r="U935" s="1268">
        <v>0</v>
      </c>
      <c r="V935" s="1268">
        <v>0</v>
      </c>
      <c r="W935" s="1268">
        <v>0</v>
      </c>
      <c r="X935" s="1268">
        <v>35101.339999999997</v>
      </c>
      <c r="Y935" s="1268">
        <v>0</v>
      </c>
    </row>
    <row r="936" spans="1:25" s="1280" customFormat="1" ht="75.599999999999994">
      <c r="A936" s="1352">
        <v>35</v>
      </c>
      <c r="B936" s="1267" t="s">
        <v>2496</v>
      </c>
      <c r="C936" s="1268">
        <f t="shared" si="471"/>
        <v>7436799.4199999999</v>
      </c>
      <c r="D936" s="1268">
        <f t="shared" si="470"/>
        <v>5609661</v>
      </c>
      <c r="E936" s="1316">
        <v>0</v>
      </c>
      <c r="F936" s="1316">
        <v>2144221</v>
      </c>
      <c r="G936" s="1316">
        <v>0</v>
      </c>
      <c r="H936" s="1316">
        <v>1316489</v>
      </c>
      <c r="I936" s="1316">
        <v>1316489</v>
      </c>
      <c r="J936" s="1316">
        <v>832462</v>
      </c>
      <c r="K936" s="1317">
        <v>0</v>
      </c>
      <c r="L936" s="1316">
        <v>0</v>
      </c>
      <c r="M936" s="1317">
        <v>0</v>
      </c>
      <c r="N936" s="1316">
        <v>0</v>
      </c>
      <c r="O936" s="1316">
        <v>526.79999999999995</v>
      </c>
      <c r="P936" s="1316">
        <v>1653500</v>
      </c>
      <c r="Q936" s="1316">
        <v>0</v>
      </c>
      <c r="R936" s="1316">
        <v>0</v>
      </c>
      <c r="S936" s="1316">
        <v>0</v>
      </c>
      <c r="T936" s="1316">
        <v>0</v>
      </c>
      <c r="U936" s="1268">
        <v>0</v>
      </c>
      <c r="V936" s="1316">
        <v>0</v>
      </c>
      <c r="W936" s="1316">
        <v>0</v>
      </c>
      <c r="X936" s="1316">
        <v>173638.42</v>
      </c>
      <c r="Y936" s="1316">
        <v>0</v>
      </c>
    </row>
    <row r="937" spans="1:25" s="1280" customFormat="1">
      <c r="A937" s="1352">
        <v>36</v>
      </c>
      <c r="B937" s="1267" t="s">
        <v>2051</v>
      </c>
      <c r="C937" s="1268">
        <f t="shared" si="471"/>
        <v>4619990</v>
      </c>
      <c r="D937" s="1268">
        <f t="shared" si="470"/>
        <v>0</v>
      </c>
      <c r="E937" s="1316">
        <v>0</v>
      </c>
      <c r="F937" s="1316">
        <v>0</v>
      </c>
      <c r="G937" s="1316">
        <v>0</v>
      </c>
      <c r="H937" s="1316">
        <v>0</v>
      </c>
      <c r="I937" s="1316">
        <v>0</v>
      </c>
      <c r="J937" s="1316">
        <v>0</v>
      </c>
      <c r="K937" s="1317">
        <v>0</v>
      </c>
      <c r="L937" s="1316">
        <v>0</v>
      </c>
      <c r="M937" s="1317">
        <v>0</v>
      </c>
      <c r="N937" s="1316">
        <v>0</v>
      </c>
      <c r="O937" s="1316">
        <v>2319</v>
      </c>
      <c r="P937" s="1316">
        <v>4526621.91</v>
      </c>
      <c r="Q937" s="1316">
        <v>0</v>
      </c>
      <c r="R937" s="1316">
        <v>0</v>
      </c>
      <c r="S937" s="1316">
        <v>0</v>
      </c>
      <c r="T937" s="1316">
        <v>0</v>
      </c>
      <c r="U937" s="1268">
        <v>0</v>
      </c>
      <c r="V937" s="1316">
        <v>0</v>
      </c>
      <c r="W937" s="1316">
        <v>0</v>
      </c>
      <c r="X937" s="1316">
        <v>93368.09</v>
      </c>
      <c r="Y937" s="1316">
        <v>0</v>
      </c>
    </row>
    <row r="938" spans="1:25" s="1280" customFormat="1">
      <c r="A938" s="1352">
        <v>37</v>
      </c>
      <c r="B938" s="1267" t="s">
        <v>2052</v>
      </c>
      <c r="C938" s="1268">
        <f t="shared" si="471"/>
        <v>1870910</v>
      </c>
      <c r="D938" s="1268">
        <f t="shared" si="470"/>
        <v>0</v>
      </c>
      <c r="E938" s="1316">
        <v>0</v>
      </c>
      <c r="F938" s="1316">
        <v>0</v>
      </c>
      <c r="G938" s="1316">
        <v>0</v>
      </c>
      <c r="H938" s="1316">
        <v>0</v>
      </c>
      <c r="I938" s="1316">
        <v>0</v>
      </c>
      <c r="J938" s="1316">
        <v>0</v>
      </c>
      <c r="K938" s="1317">
        <v>0</v>
      </c>
      <c r="L938" s="1316">
        <v>0</v>
      </c>
      <c r="M938" s="1317">
        <v>0</v>
      </c>
      <c r="N938" s="1316">
        <v>0</v>
      </c>
      <c r="O938" s="1316">
        <v>946.3</v>
      </c>
      <c r="P938" s="1316">
        <v>1846434.09</v>
      </c>
      <c r="Q938" s="1316">
        <v>0</v>
      </c>
      <c r="R938" s="1316">
        <v>0</v>
      </c>
      <c r="S938" s="1316">
        <v>0</v>
      </c>
      <c r="T938" s="1316">
        <v>0</v>
      </c>
      <c r="U938" s="1268">
        <v>0</v>
      </c>
      <c r="V938" s="1316">
        <v>0</v>
      </c>
      <c r="W938" s="1316">
        <v>0</v>
      </c>
      <c r="X938" s="1316">
        <v>24475.91</v>
      </c>
      <c r="Y938" s="1316">
        <v>0</v>
      </c>
    </row>
    <row r="939" spans="1:25" s="1280" customFormat="1">
      <c r="A939" s="1352">
        <v>38</v>
      </c>
      <c r="B939" s="1267" t="s">
        <v>2053</v>
      </c>
      <c r="C939" s="1268">
        <f t="shared" si="471"/>
        <v>939858</v>
      </c>
      <c r="D939" s="1268">
        <f t="shared" si="470"/>
        <v>888159.72</v>
      </c>
      <c r="E939" s="1316">
        <v>888159.72</v>
      </c>
      <c r="F939" s="1316">
        <v>0</v>
      </c>
      <c r="G939" s="1316">
        <v>0</v>
      </c>
      <c r="H939" s="1316">
        <v>0</v>
      </c>
      <c r="I939" s="1316">
        <v>0</v>
      </c>
      <c r="J939" s="1316">
        <v>0</v>
      </c>
      <c r="K939" s="1317">
        <v>0</v>
      </c>
      <c r="L939" s="1316">
        <v>0</v>
      </c>
      <c r="M939" s="1317">
        <v>0</v>
      </c>
      <c r="N939" s="1316">
        <v>0</v>
      </c>
      <c r="O939" s="1316">
        <v>0</v>
      </c>
      <c r="P939" s="1316">
        <v>0</v>
      </c>
      <c r="Q939" s="1316">
        <v>0</v>
      </c>
      <c r="R939" s="1316">
        <v>0</v>
      </c>
      <c r="S939" s="1316">
        <v>0</v>
      </c>
      <c r="T939" s="1316">
        <v>0</v>
      </c>
      <c r="U939" s="1268">
        <v>0</v>
      </c>
      <c r="V939" s="1316">
        <v>0</v>
      </c>
      <c r="W939" s="1316">
        <v>0</v>
      </c>
      <c r="X939" s="1316">
        <v>51698.28</v>
      </c>
      <c r="Y939" s="1316">
        <v>0</v>
      </c>
    </row>
    <row r="940" spans="1:25" s="1280" customFormat="1">
      <c r="A940" s="1352">
        <v>39</v>
      </c>
      <c r="B940" s="1267" t="s">
        <v>2054</v>
      </c>
      <c r="C940" s="1268">
        <f t="shared" si="471"/>
        <v>2368392</v>
      </c>
      <c r="D940" s="1268">
        <f t="shared" si="470"/>
        <v>0</v>
      </c>
      <c r="E940" s="1316">
        <v>0</v>
      </c>
      <c r="F940" s="1316">
        <v>0</v>
      </c>
      <c r="G940" s="1316">
        <v>0</v>
      </c>
      <c r="H940" s="1316">
        <v>0</v>
      </c>
      <c r="I940" s="1316">
        <v>0</v>
      </c>
      <c r="J940" s="1316">
        <v>0</v>
      </c>
      <c r="K940" s="1317">
        <v>0</v>
      </c>
      <c r="L940" s="1316">
        <v>0</v>
      </c>
      <c r="M940" s="1317">
        <v>0</v>
      </c>
      <c r="N940" s="1316">
        <v>0</v>
      </c>
      <c r="O940" s="1316">
        <v>1200</v>
      </c>
      <c r="P940" s="1316">
        <v>2341251.4700000002</v>
      </c>
      <c r="Q940" s="1316">
        <v>0</v>
      </c>
      <c r="R940" s="1316">
        <v>0</v>
      </c>
      <c r="S940" s="1316">
        <v>0</v>
      </c>
      <c r="T940" s="1316">
        <v>0</v>
      </c>
      <c r="U940" s="1268">
        <v>0</v>
      </c>
      <c r="V940" s="1316">
        <v>0</v>
      </c>
      <c r="W940" s="1316">
        <v>0</v>
      </c>
      <c r="X940" s="1316">
        <v>27140.53</v>
      </c>
      <c r="Y940" s="1316">
        <v>0</v>
      </c>
    </row>
    <row r="941" spans="1:25" s="1280" customFormat="1" ht="75.599999999999994">
      <c r="A941" s="1352">
        <v>40</v>
      </c>
      <c r="B941" s="1267" t="s">
        <v>2319</v>
      </c>
      <c r="C941" s="1268">
        <f t="shared" si="471"/>
        <v>172302</v>
      </c>
      <c r="D941" s="1268">
        <f t="shared" si="470"/>
        <v>158927.35</v>
      </c>
      <c r="E941" s="1316">
        <v>158927.35</v>
      </c>
      <c r="F941" s="1316">
        <v>0</v>
      </c>
      <c r="G941" s="1316">
        <v>0</v>
      </c>
      <c r="H941" s="1316">
        <v>0</v>
      </c>
      <c r="I941" s="1316">
        <v>0</v>
      </c>
      <c r="J941" s="1316">
        <v>0</v>
      </c>
      <c r="K941" s="1317">
        <v>0</v>
      </c>
      <c r="L941" s="1316">
        <v>0</v>
      </c>
      <c r="M941" s="1317">
        <v>0</v>
      </c>
      <c r="N941" s="1316">
        <v>0</v>
      </c>
      <c r="O941" s="1316">
        <v>0</v>
      </c>
      <c r="P941" s="1316">
        <v>0</v>
      </c>
      <c r="Q941" s="1316">
        <v>0</v>
      </c>
      <c r="R941" s="1316">
        <v>0</v>
      </c>
      <c r="S941" s="1316">
        <v>0</v>
      </c>
      <c r="T941" s="1316">
        <v>0</v>
      </c>
      <c r="U941" s="1268">
        <v>0</v>
      </c>
      <c r="V941" s="1316">
        <v>0</v>
      </c>
      <c r="W941" s="1316">
        <v>0</v>
      </c>
      <c r="X941" s="1316">
        <v>13374.65</v>
      </c>
      <c r="Y941" s="1316">
        <v>0</v>
      </c>
    </row>
    <row r="942" spans="1:25" s="1280" customFormat="1">
      <c r="A942" s="1352">
        <v>41</v>
      </c>
      <c r="B942" s="1267" t="s">
        <v>283</v>
      </c>
      <c r="C942" s="1268">
        <f t="shared" si="471"/>
        <v>1067445.46</v>
      </c>
      <c r="D942" s="1268">
        <f t="shared" si="470"/>
        <v>1032521</v>
      </c>
      <c r="E942" s="1316"/>
      <c r="F942" s="1316">
        <v>1032521</v>
      </c>
      <c r="G942" s="1316">
        <v>0</v>
      </c>
      <c r="H942" s="1316">
        <v>0</v>
      </c>
      <c r="I942" s="1316">
        <v>0</v>
      </c>
      <c r="J942" s="1316">
        <v>0</v>
      </c>
      <c r="K942" s="1317">
        <v>0</v>
      </c>
      <c r="L942" s="1316">
        <v>0</v>
      </c>
      <c r="M942" s="1317">
        <v>0</v>
      </c>
      <c r="N942" s="1316">
        <v>0</v>
      </c>
      <c r="O942" s="1316">
        <v>0</v>
      </c>
      <c r="P942" s="1316">
        <v>0</v>
      </c>
      <c r="Q942" s="1316">
        <v>0</v>
      </c>
      <c r="R942" s="1316">
        <v>0</v>
      </c>
      <c r="S942" s="1316">
        <v>0</v>
      </c>
      <c r="T942" s="1316">
        <v>0</v>
      </c>
      <c r="U942" s="1268">
        <v>0</v>
      </c>
      <c r="V942" s="1316">
        <v>0</v>
      </c>
      <c r="W942" s="1316">
        <v>0</v>
      </c>
      <c r="X942" s="1316">
        <v>34924.46</v>
      </c>
      <c r="Y942" s="1316">
        <v>0</v>
      </c>
    </row>
    <row r="943" spans="1:25" s="1280" customFormat="1">
      <c r="A943" s="1352">
        <v>42</v>
      </c>
      <c r="B943" s="1267" t="s">
        <v>270</v>
      </c>
      <c r="C943" s="1268">
        <f t="shared" si="471"/>
        <v>2206356.6</v>
      </c>
      <c r="D943" s="1268">
        <f t="shared" si="470"/>
        <v>0</v>
      </c>
      <c r="E943" s="1316">
        <v>0</v>
      </c>
      <c r="F943" s="1316">
        <v>0</v>
      </c>
      <c r="G943" s="1316">
        <v>0</v>
      </c>
      <c r="H943" s="1316">
        <v>0</v>
      </c>
      <c r="I943" s="1316">
        <v>0</v>
      </c>
      <c r="J943" s="1316">
        <v>0</v>
      </c>
      <c r="K943" s="1317">
        <v>0</v>
      </c>
      <c r="L943" s="1316">
        <v>0</v>
      </c>
      <c r="M943" s="1317">
        <v>0</v>
      </c>
      <c r="N943" s="1316">
        <v>0</v>
      </c>
      <c r="O943" s="1316">
        <v>868.1</v>
      </c>
      <c r="P943" s="1316">
        <v>2187433</v>
      </c>
      <c r="Q943" s="1316">
        <v>0</v>
      </c>
      <c r="R943" s="1316">
        <v>0</v>
      </c>
      <c r="S943" s="1316">
        <v>0</v>
      </c>
      <c r="T943" s="1316">
        <v>0</v>
      </c>
      <c r="U943" s="1268">
        <v>0</v>
      </c>
      <c r="V943" s="1316">
        <v>0</v>
      </c>
      <c r="W943" s="1316">
        <v>0</v>
      </c>
      <c r="X943" s="1316">
        <v>18923.599999999999</v>
      </c>
      <c r="Y943" s="1316">
        <v>0</v>
      </c>
    </row>
    <row r="944" spans="1:25" s="1280" customFormat="1">
      <c r="A944" s="1352">
        <v>43</v>
      </c>
      <c r="B944" s="1267" t="s">
        <v>228</v>
      </c>
      <c r="C944" s="1268">
        <f t="shared" si="471"/>
        <v>1271010.81</v>
      </c>
      <c r="D944" s="1268">
        <f t="shared" si="470"/>
        <v>1223384</v>
      </c>
      <c r="E944" s="1316">
        <v>0</v>
      </c>
      <c r="F944" s="1316">
        <v>1223384</v>
      </c>
      <c r="G944" s="1316">
        <v>0</v>
      </c>
      <c r="H944" s="1316">
        <v>0</v>
      </c>
      <c r="I944" s="1316">
        <v>0</v>
      </c>
      <c r="J944" s="1316">
        <v>0</v>
      </c>
      <c r="K944" s="1317">
        <v>0</v>
      </c>
      <c r="L944" s="1316">
        <v>0</v>
      </c>
      <c r="M944" s="1317">
        <v>0</v>
      </c>
      <c r="N944" s="1316">
        <v>0</v>
      </c>
      <c r="O944" s="1316">
        <v>0</v>
      </c>
      <c r="P944" s="1316">
        <v>0</v>
      </c>
      <c r="Q944" s="1316">
        <v>0</v>
      </c>
      <c r="R944" s="1316">
        <v>0</v>
      </c>
      <c r="S944" s="1316">
        <v>0</v>
      </c>
      <c r="T944" s="1316">
        <v>0</v>
      </c>
      <c r="U944" s="1268">
        <v>0</v>
      </c>
      <c r="V944" s="1316">
        <v>0</v>
      </c>
      <c r="W944" s="1316">
        <v>0</v>
      </c>
      <c r="X944" s="1316">
        <v>47626.81</v>
      </c>
      <c r="Y944" s="1316">
        <v>0</v>
      </c>
    </row>
    <row r="945" spans="1:25" s="1280" customFormat="1" ht="75.599999999999994">
      <c r="A945" s="1352">
        <v>44</v>
      </c>
      <c r="B945" s="1267" t="s">
        <v>2229</v>
      </c>
      <c r="C945" s="1268">
        <f t="shared" si="471"/>
        <v>1233633</v>
      </c>
      <c r="D945" s="1268">
        <f t="shared" si="470"/>
        <v>0</v>
      </c>
      <c r="E945" s="1316">
        <v>0</v>
      </c>
      <c r="F945" s="1316">
        <v>0</v>
      </c>
      <c r="G945" s="1316">
        <v>0</v>
      </c>
      <c r="H945" s="1316">
        <v>0</v>
      </c>
      <c r="I945" s="1316">
        <v>0</v>
      </c>
      <c r="J945" s="1316">
        <v>0</v>
      </c>
      <c r="K945" s="1317">
        <v>0</v>
      </c>
      <c r="L945" s="1316">
        <v>0</v>
      </c>
      <c r="M945" s="1317">
        <v>0</v>
      </c>
      <c r="N945" s="1316">
        <v>0</v>
      </c>
      <c r="O945" s="1316">
        <v>471.1</v>
      </c>
      <c r="P945" s="1316">
        <v>1201497</v>
      </c>
      <c r="Q945" s="1316">
        <v>0</v>
      </c>
      <c r="R945" s="1316">
        <v>0</v>
      </c>
      <c r="S945" s="1316">
        <v>0</v>
      </c>
      <c r="T945" s="1316">
        <v>0</v>
      </c>
      <c r="U945" s="1268">
        <v>0</v>
      </c>
      <c r="V945" s="1316">
        <v>0</v>
      </c>
      <c r="W945" s="1316">
        <v>0</v>
      </c>
      <c r="X945" s="1316">
        <v>32136</v>
      </c>
      <c r="Y945" s="1316">
        <v>0</v>
      </c>
    </row>
    <row r="946" spans="1:25" s="1280" customFormat="1">
      <c r="A946" s="1352">
        <v>45</v>
      </c>
      <c r="B946" s="1267" t="s">
        <v>293</v>
      </c>
      <c r="C946" s="1268">
        <f t="shared" si="471"/>
        <v>2369961</v>
      </c>
      <c r="D946" s="1268">
        <f t="shared" si="470"/>
        <v>2299360.42</v>
      </c>
      <c r="E946" s="1316">
        <v>0</v>
      </c>
      <c r="F946" s="1316">
        <v>0</v>
      </c>
      <c r="G946" s="1316">
        <v>0</v>
      </c>
      <c r="H946" s="1316">
        <v>0</v>
      </c>
      <c r="I946" s="1316">
        <v>2299360.42</v>
      </c>
      <c r="J946" s="1316">
        <v>0</v>
      </c>
      <c r="K946" s="1317">
        <v>0</v>
      </c>
      <c r="L946" s="1316">
        <v>0</v>
      </c>
      <c r="M946" s="1317">
        <v>0</v>
      </c>
      <c r="N946" s="1316">
        <v>0</v>
      </c>
      <c r="O946" s="1316">
        <v>0</v>
      </c>
      <c r="P946" s="1316">
        <v>0</v>
      </c>
      <c r="Q946" s="1316">
        <v>0</v>
      </c>
      <c r="R946" s="1316">
        <v>0</v>
      </c>
      <c r="S946" s="1316">
        <v>0</v>
      </c>
      <c r="T946" s="1316">
        <v>0</v>
      </c>
      <c r="U946" s="1268">
        <v>0</v>
      </c>
      <c r="V946" s="1316">
        <v>0</v>
      </c>
      <c r="W946" s="1316">
        <v>0</v>
      </c>
      <c r="X946" s="1316">
        <v>70600.58</v>
      </c>
      <c r="Y946" s="1316">
        <v>0</v>
      </c>
    </row>
    <row r="947" spans="1:25" s="1280" customFormat="1">
      <c r="A947" s="1352">
        <v>46</v>
      </c>
      <c r="B947" s="1267" t="s">
        <v>244</v>
      </c>
      <c r="C947" s="1268">
        <f t="shared" si="471"/>
        <v>2721106</v>
      </c>
      <c r="D947" s="1268">
        <f t="shared" si="470"/>
        <v>0</v>
      </c>
      <c r="E947" s="1316">
        <v>0</v>
      </c>
      <c r="F947" s="1316">
        <v>0</v>
      </c>
      <c r="G947" s="1316">
        <v>0</v>
      </c>
      <c r="H947" s="1316">
        <v>0</v>
      </c>
      <c r="I947" s="1316">
        <v>0</v>
      </c>
      <c r="J947" s="1316">
        <v>0</v>
      </c>
      <c r="K947" s="1317">
        <v>0</v>
      </c>
      <c r="L947" s="1316">
        <v>0</v>
      </c>
      <c r="M947" s="1317">
        <v>0</v>
      </c>
      <c r="N947" s="1316">
        <v>0</v>
      </c>
      <c r="O947" s="1316">
        <v>1371</v>
      </c>
      <c r="P947" s="1316">
        <v>2675640.48</v>
      </c>
      <c r="Q947" s="1316">
        <v>0</v>
      </c>
      <c r="R947" s="1316">
        <v>0</v>
      </c>
      <c r="S947" s="1316">
        <v>0</v>
      </c>
      <c r="T947" s="1316">
        <v>0</v>
      </c>
      <c r="U947" s="1268">
        <v>0</v>
      </c>
      <c r="V947" s="1316">
        <v>0</v>
      </c>
      <c r="W947" s="1316">
        <v>0</v>
      </c>
      <c r="X947" s="1316">
        <v>45465.52</v>
      </c>
      <c r="Y947" s="1316">
        <v>0</v>
      </c>
    </row>
    <row r="948" spans="1:25" s="1280" customFormat="1">
      <c r="A948" s="1352">
        <v>47</v>
      </c>
      <c r="B948" s="1267" t="s">
        <v>275</v>
      </c>
      <c r="C948" s="1268">
        <f t="shared" si="471"/>
        <v>2253297</v>
      </c>
      <c r="D948" s="1268">
        <f t="shared" si="470"/>
        <v>0</v>
      </c>
      <c r="E948" s="1316">
        <v>0</v>
      </c>
      <c r="F948" s="1316">
        <v>0</v>
      </c>
      <c r="G948" s="1316">
        <v>0</v>
      </c>
      <c r="H948" s="1316">
        <v>0</v>
      </c>
      <c r="I948" s="1316">
        <v>0</v>
      </c>
      <c r="J948" s="1316">
        <v>0</v>
      </c>
      <c r="K948" s="1317">
        <v>0</v>
      </c>
      <c r="L948" s="1316">
        <v>0</v>
      </c>
      <c r="M948" s="1317">
        <v>0</v>
      </c>
      <c r="N948" s="1316">
        <v>0</v>
      </c>
      <c r="O948" s="1316">
        <v>1126</v>
      </c>
      <c r="P948" s="1316">
        <v>2198421.81</v>
      </c>
      <c r="Q948" s="1316">
        <v>0</v>
      </c>
      <c r="R948" s="1316">
        <v>0</v>
      </c>
      <c r="S948" s="1316">
        <v>0</v>
      </c>
      <c r="T948" s="1316">
        <v>0</v>
      </c>
      <c r="U948" s="1268">
        <v>0</v>
      </c>
      <c r="V948" s="1316">
        <v>0</v>
      </c>
      <c r="W948" s="1316">
        <v>0</v>
      </c>
      <c r="X948" s="1316">
        <v>54875.19</v>
      </c>
      <c r="Y948" s="1316">
        <v>0</v>
      </c>
    </row>
    <row r="949" spans="1:25" s="1280" customFormat="1">
      <c r="A949" s="1352">
        <v>48</v>
      </c>
      <c r="B949" s="1267" t="s">
        <v>290</v>
      </c>
      <c r="C949" s="1268">
        <f t="shared" si="471"/>
        <v>2791637.75</v>
      </c>
      <c r="D949" s="1268">
        <f t="shared" si="470"/>
        <v>2719544</v>
      </c>
      <c r="E949" s="1316">
        <v>0</v>
      </c>
      <c r="F949" s="1316">
        <v>0</v>
      </c>
      <c r="G949" s="1316">
        <v>0</v>
      </c>
      <c r="H949" s="1316">
        <v>0</v>
      </c>
      <c r="I949" s="1316">
        <v>2719544</v>
      </c>
      <c r="J949" s="1316">
        <v>0</v>
      </c>
      <c r="K949" s="1317">
        <v>0</v>
      </c>
      <c r="L949" s="1316">
        <v>0</v>
      </c>
      <c r="M949" s="1317">
        <v>0</v>
      </c>
      <c r="N949" s="1316">
        <v>0</v>
      </c>
      <c r="O949" s="1316">
        <v>0</v>
      </c>
      <c r="P949" s="1316">
        <v>0</v>
      </c>
      <c r="Q949" s="1316">
        <v>0</v>
      </c>
      <c r="R949" s="1316">
        <v>0</v>
      </c>
      <c r="S949" s="1316">
        <v>0</v>
      </c>
      <c r="T949" s="1316">
        <v>0</v>
      </c>
      <c r="U949" s="1268">
        <v>0</v>
      </c>
      <c r="V949" s="1316">
        <v>0</v>
      </c>
      <c r="W949" s="1316">
        <v>0</v>
      </c>
      <c r="X949" s="1316">
        <v>72093.75</v>
      </c>
      <c r="Y949" s="1316">
        <v>0</v>
      </c>
    </row>
    <row r="950" spans="1:25" s="1280" customFormat="1" ht="75.599999999999994">
      <c r="A950" s="1352">
        <v>49</v>
      </c>
      <c r="B950" s="1267" t="s">
        <v>2267</v>
      </c>
      <c r="C950" s="1268">
        <f t="shared" si="471"/>
        <v>662518</v>
      </c>
      <c r="D950" s="1268">
        <f t="shared" si="470"/>
        <v>0</v>
      </c>
      <c r="E950" s="1316">
        <v>0</v>
      </c>
      <c r="F950" s="1316">
        <v>0</v>
      </c>
      <c r="G950" s="1316">
        <v>0</v>
      </c>
      <c r="H950" s="1316">
        <v>0</v>
      </c>
      <c r="I950" s="1316">
        <v>0</v>
      </c>
      <c r="J950" s="1316">
        <v>0</v>
      </c>
      <c r="K950" s="1317">
        <v>0</v>
      </c>
      <c r="L950" s="1316">
        <v>0</v>
      </c>
      <c r="M950" s="1317">
        <v>0</v>
      </c>
      <c r="N950" s="1316">
        <v>0</v>
      </c>
      <c r="O950" s="1316">
        <v>0</v>
      </c>
      <c r="P950" s="1316">
        <v>0</v>
      </c>
      <c r="Q950" s="1316">
        <v>682</v>
      </c>
      <c r="R950" s="1316">
        <v>606548.71</v>
      </c>
      <c r="S950" s="1316">
        <v>0</v>
      </c>
      <c r="T950" s="1316">
        <v>0</v>
      </c>
      <c r="U950" s="1268">
        <v>0</v>
      </c>
      <c r="V950" s="1316">
        <v>0</v>
      </c>
      <c r="W950" s="1316">
        <v>0</v>
      </c>
      <c r="X950" s="1316">
        <v>55969.29</v>
      </c>
      <c r="Y950" s="1316">
        <v>0</v>
      </c>
    </row>
    <row r="951" spans="1:25" s="1280" customFormat="1">
      <c r="A951" s="1352">
        <v>50</v>
      </c>
      <c r="B951" s="1267" t="s">
        <v>2230</v>
      </c>
      <c r="C951" s="1268">
        <f t="shared" si="471"/>
        <v>3706393</v>
      </c>
      <c r="D951" s="1268">
        <f t="shared" si="470"/>
        <v>3513736.4</v>
      </c>
      <c r="E951" s="1316">
        <v>0</v>
      </c>
      <c r="F951" s="1316">
        <v>0</v>
      </c>
      <c r="G951" s="1316">
        <v>0</v>
      </c>
      <c r="H951" s="1316">
        <v>1334405.58</v>
      </c>
      <c r="I951" s="1316">
        <v>1334408.94</v>
      </c>
      <c r="J951" s="1316">
        <v>844921.88</v>
      </c>
      <c r="K951" s="1317">
        <v>0</v>
      </c>
      <c r="L951" s="1316">
        <v>0</v>
      </c>
      <c r="M951" s="1317">
        <v>0</v>
      </c>
      <c r="N951" s="1316">
        <v>0</v>
      </c>
      <c r="O951" s="1316">
        <v>0</v>
      </c>
      <c r="P951" s="1316">
        <v>0</v>
      </c>
      <c r="Q951" s="1316">
        <v>0</v>
      </c>
      <c r="R951" s="1316">
        <v>0</v>
      </c>
      <c r="S951" s="1316">
        <v>0</v>
      </c>
      <c r="T951" s="1316">
        <v>0</v>
      </c>
      <c r="U951" s="1268">
        <v>0</v>
      </c>
      <c r="V951" s="1316">
        <v>0</v>
      </c>
      <c r="W951" s="1316">
        <v>0</v>
      </c>
      <c r="X951" s="1316">
        <v>192656.6</v>
      </c>
      <c r="Y951" s="1316">
        <v>0</v>
      </c>
    </row>
    <row r="952" spans="1:25" s="1280" customFormat="1">
      <c r="A952" s="1352">
        <v>51</v>
      </c>
      <c r="B952" s="1267" t="s">
        <v>251</v>
      </c>
      <c r="C952" s="1268">
        <f t="shared" si="471"/>
        <v>3687908</v>
      </c>
      <c r="D952" s="1268">
        <f t="shared" si="470"/>
        <v>3608964.94</v>
      </c>
      <c r="E952" s="1268">
        <v>0</v>
      </c>
      <c r="F952" s="1268">
        <v>0</v>
      </c>
      <c r="G952" s="1268">
        <v>0</v>
      </c>
      <c r="H952" s="1268">
        <v>0</v>
      </c>
      <c r="I952" s="1268">
        <v>3608964.94</v>
      </c>
      <c r="J952" s="1268">
        <v>0</v>
      </c>
      <c r="K952" s="1278">
        <v>0</v>
      </c>
      <c r="L952" s="1268">
        <v>0</v>
      </c>
      <c r="M952" s="1278">
        <v>0</v>
      </c>
      <c r="N952" s="1268">
        <v>0</v>
      </c>
      <c r="O952" s="1268">
        <v>0</v>
      </c>
      <c r="P952" s="1268">
        <v>0</v>
      </c>
      <c r="Q952" s="1268">
        <v>0</v>
      </c>
      <c r="R952" s="1268">
        <v>0</v>
      </c>
      <c r="S952" s="1268">
        <v>0</v>
      </c>
      <c r="T952" s="1268">
        <v>0</v>
      </c>
      <c r="U952" s="1268">
        <v>0</v>
      </c>
      <c r="V952" s="1268">
        <v>0</v>
      </c>
      <c r="W952" s="1316">
        <v>0</v>
      </c>
      <c r="X952" s="1268">
        <v>78943.06</v>
      </c>
      <c r="Y952" s="1316">
        <v>0</v>
      </c>
    </row>
    <row r="953" spans="1:25" s="1280" customFormat="1">
      <c r="A953" s="1352">
        <v>52</v>
      </c>
      <c r="B953" s="1267" t="s">
        <v>241</v>
      </c>
      <c r="C953" s="1268">
        <f t="shared" si="471"/>
        <v>359651</v>
      </c>
      <c r="D953" s="1268">
        <f t="shared" si="470"/>
        <v>336815.11</v>
      </c>
      <c r="E953" s="1316">
        <v>0</v>
      </c>
      <c r="F953" s="1316">
        <v>0</v>
      </c>
      <c r="G953" s="1316">
        <v>0</v>
      </c>
      <c r="H953" s="1316">
        <v>336815.11</v>
      </c>
      <c r="I953" s="1316">
        <v>0</v>
      </c>
      <c r="J953" s="1316">
        <v>0</v>
      </c>
      <c r="K953" s="1317">
        <v>0</v>
      </c>
      <c r="L953" s="1316">
        <v>0</v>
      </c>
      <c r="M953" s="1317">
        <v>0</v>
      </c>
      <c r="N953" s="1316">
        <v>0</v>
      </c>
      <c r="O953" s="1316">
        <v>0</v>
      </c>
      <c r="P953" s="1316">
        <v>0</v>
      </c>
      <c r="Q953" s="1316">
        <v>0</v>
      </c>
      <c r="R953" s="1316">
        <v>0</v>
      </c>
      <c r="S953" s="1316">
        <v>0</v>
      </c>
      <c r="T953" s="1316">
        <v>0</v>
      </c>
      <c r="U953" s="1268">
        <v>0</v>
      </c>
      <c r="V953" s="1316">
        <v>0</v>
      </c>
      <c r="W953" s="1316">
        <v>0</v>
      </c>
      <c r="X953" s="1316">
        <v>22835.89</v>
      </c>
      <c r="Y953" s="1316">
        <v>0</v>
      </c>
    </row>
    <row r="954" spans="1:25" s="1280" customFormat="1">
      <c r="A954" s="1352">
        <v>53</v>
      </c>
      <c r="B954" s="1267" t="s">
        <v>232</v>
      </c>
      <c r="C954" s="1268">
        <f t="shared" si="471"/>
        <v>5944665.5700000003</v>
      </c>
      <c r="D954" s="1268">
        <f t="shared" si="470"/>
        <v>0</v>
      </c>
      <c r="E954" s="1316">
        <v>0</v>
      </c>
      <c r="F954" s="1316">
        <v>0</v>
      </c>
      <c r="G954" s="1316">
        <v>0</v>
      </c>
      <c r="H954" s="1316">
        <v>0</v>
      </c>
      <c r="I954" s="1316">
        <v>0</v>
      </c>
      <c r="J954" s="1316">
        <v>0</v>
      </c>
      <c r="K954" s="1317">
        <v>0</v>
      </c>
      <c r="L954" s="1316">
        <v>0</v>
      </c>
      <c r="M954" s="1317">
        <v>0</v>
      </c>
      <c r="N954" s="1316">
        <v>0</v>
      </c>
      <c r="O954" s="1316">
        <v>592</v>
      </c>
      <c r="P954" s="1316">
        <v>2821895.96</v>
      </c>
      <c r="Q954" s="1316">
        <v>0</v>
      </c>
      <c r="R954" s="1316">
        <v>0</v>
      </c>
      <c r="S954" s="1316">
        <v>922</v>
      </c>
      <c r="T954" s="1316">
        <v>2938246.13</v>
      </c>
      <c r="U954" s="1268">
        <v>0</v>
      </c>
      <c r="V954" s="1316">
        <v>0</v>
      </c>
      <c r="W954" s="1316">
        <v>0</v>
      </c>
      <c r="X954" s="1316">
        <f>97255.64+87267.84</f>
        <v>184523.47999999998</v>
      </c>
      <c r="Y954" s="1316">
        <v>0</v>
      </c>
    </row>
    <row r="955" spans="1:25" s="1280" customFormat="1" ht="75.599999999999994">
      <c r="A955" s="1352">
        <v>54</v>
      </c>
      <c r="B955" s="1267" t="s">
        <v>2056</v>
      </c>
      <c r="C955" s="1268">
        <f t="shared" si="471"/>
        <v>2903468</v>
      </c>
      <c r="D955" s="1268">
        <f t="shared" si="470"/>
        <v>0</v>
      </c>
      <c r="E955" s="1316">
        <v>0</v>
      </c>
      <c r="F955" s="1316">
        <v>0</v>
      </c>
      <c r="G955" s="1316">
        <v>0</v>
      </c>
      <c r="H955" s="1316">
        <v>0</v>
      </c>
      <c r="I955" s="1316">
        <v>0</v>
      </c>
      <c r="J955" s="1316">
        <v>0</v>
      </c>
      <c r="K955" s="1317">
        <v>0</v>
      </c>
      <c r="L955" s="1316">
        <v>0</v>
      </c>
      <c r="M955" s="1317">
        <v>0</v>
      </c>
      <c r="N955" s="1316">
        <v>0</v>
      </c>
      <c r="O955" s="1316">
        <v>978</v>
      </c>
      <c r="P955" s="1316">
        <v>2758739</v>
      </c>
      <c r="Q955" s="1316">
        <v>0</v>
      </c>
      <c r="R955" s="1316">
        <v>0</v>
      </c>
      <c r="S955" s="1316">
        <v>0</v>
      </c>
      <c r="T955" s="1316">
        <v>0</v>
      </c>
      <c r="U955" s="1268">
        <v>0</v>
      </c>
      <c r="V955" s="1316">
        <v>0</v>
      </c>
      <c r="W955" s="1316">
        <v>0</v>
      </c>
      <c r="X955" s="1316">
        <v>144729</v>
      </c>
      <c r="Y955" s="1316">
        <v>0</v>
      </c>
    </row>
    <row r="956" spans="1:25" s="1280" customFormat="1">
      <c r="A956" s="1352">
        <v>55</v>
      </c>
      <c r="B956" s="1267" t="s">
        <v>302</v>
      </c>
      <c r="C956" s="1268">
        <f t="shared" si="471"/>
        <v>4265098</v>
      </c>
      <c r="D956" s="1268">
        <f t="shared" si="470"/>
        <v>0</v>
      </c>
      <c r="E956" s="1268">
        <v>0</v>
      </c>
      <c r="F956" s="1268">
        <v>0</v>
      </c>
      <c r="G956" s="1268">
        <v>0</v>
      </c>
      <c r="H956" s="1268">
        <v>0</v>
      </c>
      <c r="I956" s="1268">
        <v>0</v>
      </c>
      <c r="J956" s="1268">
        <v>0</v>
      </c>
      <c r="K956" s="1278">
        <v>0</v>
      </c>
      <c r="L956" s="1268">
        <v>0</v>
      </c>
      <c r="M956" s="1278">
        <v>0</v>
      </c>
      <c r="N956" s="1268">
        <v>0</v>
      </c>
      <c r="O956" s="1268">
        <v>0</v>
      </c>
      <c r="P956" s="1268">
        <v>0</v>
      </c>
      <c r="Q956" s="1268">
        <v>0</v>
      </c>
      <c r="R956" s="1268">
        <v>0</v>
      </c>
      <c r="S956" s="1268">
        <v>2927.5</v>
      </c>
      <c r="T956" s="1268">
        <v>4173107.62</v>
      </c>
      <c r="U956" s="1268">
        <v>0</v>
      </c>
      <c r="V956" s="1268">
        <v>0</v>
      </c>
      <c r="W956" s="1316">
        <v>0</v>
      </c>
      <c r="X956" s="1268">
        <v>91990.38</v>
      </c>
      <c r="Y956" s="1316">
        <v>0</v>
      </c>
    </row>
    <row r="957" spans="1:25" s="1280" customFormat="1" ht="75.599999999999994">
      <c r="A957" s="1352">
        <v>56</v>
      </c>
      <c r="B957" s="1267" t="s">
        <v>2499</v>
      </c>
      <c r="C957" s="1268">
        <f t="shared" si="471"/>
        <v>1520503</v>
      </c>
      <c r="D957" s="1268">
        <f t="shared" si="470"/>
        <v>0</v>
      </c>
      <c r="E957" s="1310">
        <v>0</v>
      </c>
      <c r="F957" s="1310">
        <v>0</v>
      </c>
      <c r="G957" s="1310">
        <v>0</v>
      </c>
      <c r="H957" s="1310">
        <v>0</v>
      </c>
      <c r="I957" s="1310">
        <v>0</v>
      </c>
      <c r="J957" s="1310">
        <v>0</v>
      </c>
      <c r="K957" s="1308">
        <v>0</v>
      </c>
      <c r="L957" s="1310">
        <v>0</v>
      </c>
      <c r="M957" s="1308">
        <v>0</v>
      </c>
      <c r="N957" s="1310">
        <v>0</v>
      </c>
      <c r="O957" s="1310">
        <v>613.5</v>
      </c>
      <c r="P957" s="1310">
        <v>1520503</v>
      </c>
      <c r="Q957" s="1310">
        <v>0</v>
      </c>
      <c r="R957" s="1310">
        <v>0</v>
      </c>
      <c r="S957" s="1310">
        <v>0</v>
      </c>
      <c r="T957" s="1310">
        <v>0</v>
      </c>
      <c r="U957" s="1310">
        <v>0</v>
      </c>
      <c r="V957" s="1310">
        <v>0</v>
      </c>
      <c r="W957" s="1316">
        <v>0</v>
      </c>
      <c r="X957" s="1310">
        <v>0</v>
      </c>
      <c r="Y957" s="1316">
        <v>0</v>
      </c>
    </row>
    <row r="958" spans="1:25" s="1280" customFormat="1" ht="75.599999999999994">
      <c r="A958" s="1352">
        <v>57</v>
      </c>
      <c r="B958" s="1267" t="s">
        <v>2497</v>
      </c>
      <c r="C958" s="1268">
        <f t="shared" si="471"/>
        <v>1967436</v>
      </c>
      <c r="D958" s="1268">
        <f t="shared" si="470"/>
        <v>1967436</v>
      </c>
      <c r="E958" s="1310">
        <v>0</v>
      </c>
      <c r="F958" s="1310">
        <v>0</v>
      </c>
      <c r="G958" s="1310">
        <v>0</v>
      </c>
      <c r="H958" s="1310">
        <v>0</v>
      </c>
      <c r="I958" s="1310">
        <v>0</v>
      </c>
      <c r="J958" s="1310">
        <v>1967436</v>
      </c>
      <c r="K958" s="1308">
        <v>0</v>
      </c>
      <c r="L958" s="1310">
        <v>0</v>
      </c>
      <c r="M958" s="1308">
        <v>0</v>
      </c>
      <c r="N958" s="1310">
        <v>0</v>
      </c>
      <c r="O958" s="1310">
        <v>0</v>
      </c>
      <c r="P958" s="1310">
        <v>0</v>
      </c>
      <c r="Q958" s="1310">
        <v>0</v>
      </c>
      <c r="R958" s="1310">
        <v>0</v>
      </c>
      <c r="S958" s="1310">
        <v>0</v>
      </c>
      <c r="T958" s="1310">
        <v>0</v>
      </c>
      <c r="U958" s="1310">
        <v>0</v>
      </c>
      <c r="V958" s="1310">
        <v>0</v>
      </c>
      <c r="W958" s="1316">
        <v>0</v>
      </c>
      <c r="X958" s="1310">
        <v>0</v>
      </c>
      <c r="Y958" s="1316">
        <v>0</v>
      </c>
    </row>
    <row r="959" spans="1:25" s="1280" customFormat="1" ht="75.599999999999994">
      <c r="A959" s="1352">
        <v>58</v>
      </c>
      <c r="B959" s="1267" t="s">
        <v>2498</v>
      </c>
      <c r="C959" s="1268">
        <f t="shared" si="471"/>
        <v>1910072.01</v>
      </c>
      <c r="D959" s="1268">
        <f t="shared" si="470"/>
        <v>0</v>
      </c>
      <c r="E959" s="1310">
        <v>0</v>
      </c>
      <c r="F959" s="1310">
        <v>0</v>
      </c>
      <c r="G959" s="1310">
        <v>0</v>
      </c>
      <c r="H959" s="1310">
        <v>0</v>
      </c>
      <c r="I959" s="1310">
        <v>0</v>
      </c>
      <c r="J959" s="1310">
        <v>0</v>
      </c>
      <c r="K959" s="1308">
        <v>0</v>
      </c>
      <c r="L959" s="1310">
        <v>0</v>
      </c>
      <c r="M959" s="1308">
        <v>0</v>
      </c>
      <c r="N959" s="1310">
        <v>0</v>
      </c>
      <c r="O959" s="1310">
        <v>0</v>
      </c>
      <c r="P959" s="1310">
        <v>0</v>
      </c>
      <c r="Q959" s="1310">
        <v>0</v>
      </c>
      <c r="R959" s="1310">
        <v>0</v>
      </c>
      <c r="S959" s="1310">
        <v>741.2</v>
      </c>
      <c r="T959" s="1310">
        <v>1910072.01</v>
      </c>
      <c r="U959" s="1310">
        <v>0</v>
      </c>
      <c r="V959" s="1310">
        <v>0</v>
      </c>
      <c r="W959" s="1316">
        <v>0</v>
      </c>
      <c r="X959" s="1310">
        <v>0</v>
      </c>
      <c r="Y959" s="1316">
        <v>0</v>
      </c>
    </row>
    <row r="960" spans="1:25" s="1280" customFormat="1" ht="75.599999999999994">
      <c r="A960" s="1352">
        <v>59</v>
      </c>
      <c r="B960" s="1267" t="s">
        <v>2060</v>
      </c>
      <c r="C960" s="1268">
        <f t="shared" si="471"/>
        <v>1529019</v>
      </c>
      <c r="D960" s="1268">
        <f t="shared" si="470"/>
        <v>0</v>
      </c>
      <c r="E960" s="1310">
        <v>0</v>
      </c>
      <c r="F960" s="1310">
        <v>0</v>
      </c>
      <c r="G960" s="1310">
        <v>0</v>
      </c>
      <c r="H960" s="1310">
        <v>0</v>
      </c>
      <c r="I960" s="1310">
        <v>0</v>
      </c>
      <c r="J960" s="1310">
        <v>0</v>
      </c>
      <c r="K960" s="1308">
        <v>0</v>
      </c>
      <c r="L960" s="1310">
        <v>0</v>
      </c>
      <c r="M960" s="1308">
        <v>0</v>
      </c>
      <c r="N960" s="1310">
        <v>0</v>
      </c>
      <c r="O960" s="1310">
        <v>608</v>
      </c>
      <c r="P960" s="1310">
        <v>1529019</v>
      </c>
      <c r="Q960" s="1310">
        <v>0</v>
      </c>
      <c r="R960" s="1310">
        <v>0</v>
      </c>
      <c r="S960" s="1310">
        <v>0</v>
      </c>
      <c r="T960" s="1310">
        <v>0</v>
      </c>
      <c r="U960" s="1310">
        <v>0</v>
      </c>
      <c r="V960" s="1310">
        <v>0</v>
      </c>
      <c r="W960" s="1316">
        <v>0</v>
      </c>
      <c r="X960" s="1310">
        <v>0</v>
      </c>
      <c r="Y960" s="1316">
        <v>0</v>
      </c>
    </row>
    <row r="961" spans="1:25" s="1280" customFormat="1">
      <c r="A961" s="1352">
        <v>60</v>
      </c>
      <c r="B961" s="1267" t="s">
        <v>2061</v>
      </c>
      <c r="C961" s="1268">
        <f t="shared" si="471"/>
        <v>5506560</v>
      </c>
      <c r="D961" s="1268">
        <f t="shared" si="470"/>
        <v>0</v>
      </c>
      <c r="E961" s="1310">
        <v>0</v>
      </c>
      <c r="F961" s="1310">
        <v>0</v>
      </c>
      <c r="G961" s="1310">
        <v>0</v>
      </c>
      <c r="H961" s="1310">
        <v>0</v>
      </c>
      <c r="I961" s="1310">
        <v>0</v>
      </c>
      <c r="J961" s="1310">
        <v>0</v>
      </c>
      <c r="K961" s="1308">
        <v>0</v>
      </c>
      <c r="L961" s="1310">
        <v>0</v>
      </c>
      <c r="M961" s="1308">
        <v>0</v>
      </c>
      <c r="N961" s="1310">
        <v>0</v>
      </c>
      <c r="O961" s="1310">
        <v>566</v>
      </c>
      <c r="P961" s="1310">
        <v>1424902</v>
      </c>
      <c r="Q961" s="1310">
        <v>0</v>
      </c>
      <c r="R961" s="1310">
        <v>0</v>
      </c>
      <c r="S961" s="1310">
        <v>2700</v>
      </c>
      <c r="T961" s="1310">
        <v>4081658</v>
      </c>
      <c r="U961" s="1310">
        <v>0</v>
      </c>
      <c r="V961" s="1310">
        <v>0</v>
      </c>
      <c r="W961" s="1316">
        <v>0</v>
      </c>
      <c r="X961" s="1310">
        <v>0</v>
      </c>
      <c r="Y961" s="1316">
        <v>0</v>
      </c>
    </row>
    <row r="962" spans="1:25" s="1280" customFormat="1" ht="75.599999999999994">
      <c r="A962" s="1352">
        <v>61</v>
      </c>
      <c r="B962" s="1267" t="s">
        <v>2305</v>
      </c>
      <c r="C962" s="1268">
        <f t="shared" si="471"/>
        <v>838570</v>
      </c>
      <c r="D962" s="1268">
        <f t="shared" si="470"/>
        <v>0</v>
      </c>
      <c r="E962" s="1310">
        <v>0</v>
      </c>
      <c r="F962" s="1310">
        <v>0</v>
      </c>
      <c r="G962" s="1310">
        <v>0</v>
      </c>
      <c r="H962" s="1310">
        <v>0</v>
      </c>
      <c r="I962" s="1310">
        <v>0</v>
      </c>
      <c r="J962" s="1310">
        <v>0</v>
      </c>
      <c r="K962" s="1308">
        <v>0</v>
      </c>
      <c r="L962" s="1310">
        <v>0</v>
      </c>
      <c r="M962" s="1308">
        <v>0</v>
      </c>
      <c r="N962" s="1310">
        <v>0</v>
      </c>
      <c r="O962" s="1310">
        <v>327</v>
      </c>
      <c r="P962" s="1310">
        <v>838570</v>
      </c>
      <c r="Q962" s="1310">
        <v>0</v>
      </c>
      <c r="R962" s="1310">
        <v>0</v>
      </c>
      <c r="S962" s="1310">
        <v>0</v>
      </c>
      <c r="T962" s="1310">
        <v>0</v>
      </c>
      <c r="U962" s="1310">
        <v>0</v>
      </c>
      <c r="V962" s="1310">
        <v>0</v>
      </c>
      <c r="W962" s="1316">
        <v>0</v>
      </c>
      <c r="X962" s="1310">
        <v>0</v>
      </c>
      <c r="Y962" s="1316">
        <v>0</v>
      </c>
    </row>
    <row r="963" spans="1:25" s="1280" customFormat="1" ht="75.599999999999994">
      <c r="A963" s="1352">
        <v>62</v>
      </c>
      <c r="B963" s="1267" t="s">
        <v>2500</v>
      </c>
      <c r="C963" s="1268">
        <f t="shared" si="471"/>
        <v>1558282</v>
      </c>
      <c r="D963" s="1268">
        <f t="shared" si="470"/>
        <v>0</v>
      </c>
      <c r="E963" s="1310">
        <v>0</v>
      </c>
      <c r="F963" s="1310">
        <v>0</v>
      </c>
      <c r="G963" s="1310">
        <v>0</v>
      </c>
      <c r="H963" s="1310">
        <v>0</v>
      </c>
      <c r="I963" s="1310">
        <v>0</v>
      </c>
      <c r="J963" s="1310">
        <v>0</v>
      </c>
      <c r="K963" s="1308">
        <v>0</v>
      </c>
      <c r="L963" s="1310">
        <v>0</v>
      </c>
      <c r="M963" s="1308">
        <v>0</v>
      </c>
      <c r="N963" s="1310">
        <v>0</v>
      </c>
      <c r="O963" s="1310">
        <v>620</v>
      </c>
      <c r="P963" s="1310">
        <v>1558282</v>
      </c>
      <c r="Q963" s="1310">
        <v>0</v>
      </c>
      <c r="R963" s="1310">
        <v>0</v>
      </c>
      <c r="S963" s="1310">
        <v>0</v>
      </c>
      <c r="T963" s="1310">
        <v>0</v>
      </c>
      <c r="U963" s="1310">
        <v>0</v>
      </c>
      <c r="V963" s="1310">
        <v>0</v>
      </c>
      <c r="W963" s="1316">
        <v>0</v>
      </c>
      <c r="X963" s="1310">
        <v>0</v>
      </c>
      <c r="Y963" s="1316">
        <v>0</v>
      </c>
    </row>
    <row r="964" spans="1:25" s="1280" customFormat="1">
      <c r="A964" s="1352">
        <v>63</v>
      </c>
      <c r="B964" s="1267" t="s">
        <v>2064</v>
      </c>
      <c r="C964" s="1268">
        <f t="shared" si="471"/>
        <v>3700566</v>
      </c>
      <c r="D964" s="1268">
        <f t="shared" si="470"/>
        <v>3700566</v>
      </c>
      <c r="E964" s="1310">
        <v>0</v>
      </c>
      <c r="F964" s="1310">
        <v>0</v>
      </c>
      <c r="G964" s="1310">
        <v>0</v>
      </c>
      <c r="H964" s="1310">
        <v>0</v>
      </c>
      <c r="I964" s="1310">
        <v>0</v>
      </c>
      <c r="J964" s="1310">
        <v>3700566</v>
      </c>
      <c r="K964" s="1308">
        <v>0</v>
      </c>
      <c r="L964" s="1310">
        <v>0</v>
      </c>
      <c r="M964" s="1308">
        <v>0</v>
      </c>
      <c r="N964" s="1310">
        <v>0</v>
      </c>
      <c r="O964" s="1310">
        <v>0</v>
      </c>
      <c r="P964" s="1310">
        <v>0</v>
      </c>
      <c r="Q964" s="1310">
        <v>0</v>
      </c>
      <c r="R964" s="1310">
        <v>0</v>
      </c>
      <c r="S964" s="1310">
        <v>0</v>
      </c>
      <c r="T964" s="1310">
        <v>0</v>
      </c>
      <c r="U964" s="1310">
        <v>0</v>
      </c>
      <c r="V964" s="1310">
        <v>0</v>
      </c>
      <c r="W964" s="1316">
        <v>0</v>
      </c>
      <c r="X964" s="1310">
        <v>0</v>
      </c>
      <c r="Y964" s="1316">
        <v>0</v>
      </c>
    </row>
    <row r="965" spans="1:25" s="1280" customFormat="1">
      <c r="A965" s="1352">
        <v>64</v>
      </c>
      <c r="B965" s="1267" t="s">
        <v>2065</v>
      </c>
      <c r="C965" s="1268">
        <f t="shared" si="471"/>
        <v>7954399.7999999998</v>
      </c>
      <c r="D965" s="1268">
        <f t="shared" si="470"/>
        <v>7954399.7999999998</v>
      </c>
      <c r="E965" s="1310">
        <v>0</v>
      </c>
      <c r="F965" s="1310">
        <v>3180697.66</v>
      </c>
      <c r="G965" s="1310">
        <v>0</v>
      </c>
      <c r="H965" s="1310">
        <v>1695676</v>
      </c>
      <c r="I965" s="1310">
        <v>1989499.14</v>
      </c>
      <c r="J965" s="1310">
        <v>1088527</v>
      </c>
      <c r="K965" s="1308">
        <v>0</v>
      </c>
      <c r="L965" s="1310">
        <v>0</v>
      </c>
      <c r="M965" s="1308">
        <v>0</v>
      </c>
      <c r="N965" s="1310">
        <v>0</v>
      </c>
      <c r="O965" s="1310">
        <v>0</v>
      </c>
      <c r="P965" s="1310">
        <v>0</v>
      </c>
      <c r="Q965" s="1310">
        <v>0</v>
      </c>
      <c r="R965" s="1310">
        <v>0</v>
      </c>
      <c r="S965" s="1310">
        <v>0</v>
      </c>
      <c r="T965" s="1310">
        <v>0</v>
      </c>
      <c r="U965" s="1310">
        <v>0</v>
      </c>
      <c r="V965" s="1310">
        <v>0</v>
      </c>
      <c r="W965" s="1316">
        <v>0</v>
      </c>
      <c r="X965" s="1310">
        <v>0</v>
      </c>
      <c r="Y965" s="1316">
        <v>0</v>
      </c>
    </row>
    <row r="966" spans="1:25" s="1280" customFormat="1">
      <c r="A966" s="1352">
        <v>65</v>
      </c>
      <c r="B966" s="1267" t="s">
        <v>2237</v>
      </c>
      <c r="C966" s="1268">
        <f t="shared" si="471"/>
        <v>2999405</v>
      </c>
      <c r="D966" s="1268">
        <f t="shared" ref="D966:D1029" si="472">SUM(E966:J966)</f>
        <v>2999405</v>
      </c>
      <c r="E966" s="1310">
        <v>0</v>
      </c>
      <c r="F966" s="1310">
        <v>2999405</v>
      </c>
      <c r="G966" s="1310">
        <v>0</v>
      </c>
      <c r="H966" s="1310">
        <v>0</v>
      </c>
      <c r="I966" s="1310">
        <v>0</v>
      </c>
      <c r="J966" s="1310">
        <v>0</v>
      </c>
      <c r="K966" s="1308">
        <v>0</v>
      </c>
      <c r="L966" s="1310">
        <v>0</v>
      </c>
      <c r="M966" s="1308">
        <v>0</v>
      </c>
      <c r="N966" s="1310">
        <v>0</v>
      </c>
      <c r="O966" s="1310">
        <v>0</v>
      </c>
      <c r="P966" s="1310">
        <v>0</v>
      </c>
      <c r="Q966" s="1310">
        <v>0</v>
      </c>
      <c r="R966" s="1310">
        <v>0</v>
      </c>
      <c r="S966" s="1310">
        <v>0</v>
      </c>
      <c r="T966" s="1310">
        <v>0</v>
      </c>
      <c r="U966" s="1310">
        <v>0</v>
      </c>
      <c r="V966" s="1310">
        <v>0</v>
      </c>
      <c r="W966" s="1316">
        <v>0</v>
      </c>
      <c r="X966" s="1310">
        <v>0</v>
      </c>
      <c r="Y966" s="1316">
        <v>0</v>
      </c>
    </row>
    <row r="967" spans="1:25" s="1280" customFormat="1">
      <c r="A967" s="1352">
        <v>66</v>
      </c>
      <c r="B967" s="1267" t="s">
        <v>2247</v>
      </c>
      <c r="C967" s="1268">
        <f t="shared" ref="C967:C1030" si="473">D967+N967+P967+R967+T967+V967+Y967+L967+X967</f>
        <v>3061843</v>
      </c>
      <c r="D967" s="1268">
        <f t="shared" si="472"/>
        <v>3061843</v>
      </c>
      <c r="E967" s="1310">
        <v>0</v>
      </c>
      <c r="F967" s="1310">
        <v>0</v>
      </c>
      <c r="G967" s="1310">
        <v>0</v>
      </c>
      <c r="H967" s="1310">
        <v>0</v>
      </c>
      <c r="I967" s="1310">
        <v>3061843</v>
      </c>
      <c r="J967" s="1310">
        <v>0</v>
      </c>
      <c r="K967" s="1308">
        <v>0</v>
      </c>
      <c r="L967" s="1310">
        <v>0</v>
      </c>
      <c r="M967" s="1308">
        <v>0</v>
      </c>
      <c r="N967" s="1310">
        <v>0</v>
      </c>
      <c r="O967" s="1310">
        <v>0</v>
      </c>
      <c r="P967" s="1310">
        <v>0</v>
      </c>
      <c r="Q967" s="1310">
        <v>0</v>
      </c>
      <c r="R967" s="1310">
        <v>0</v>
      </c>
      <c r="S967" s="1310">
        <v>0</v>
      </c>
      <c r="T967" s="1310">
        <v>0</v>
      </c>
      <c r="U967" s="1310">
        <v>0</v>
      </c>
      <c r="V967" s="1310">
        <v>0</v>
      </c>
      <c r="W967" s="1316">
        <v>0</v>
      </c>
      <c r="X967" s="1310">
        <v>0</v>
      </c>
      <c r="Y967" s="1316">
        <v>0</v>
      </c>
    </row>
    <row r="968" spans="1:25" s="1280" customFormat="1" ht="75.599999999999994">
      <c r="A968" s="1352">
        <v>67</v>
      </c>
      <c r="B968" s="1267" t="s">
        <v>2238</v>
      </c>
      <c r="C968" s="1268">
        <f t="shared" si="473"/>
        <v>13597820.84</v>
      </c>
      <c r="D968" s="1268">
        <f t="shared" si="472"/>
        <v>0</v>
      </c>
      <c r="E968" s="1310">
        <v>0</v>
      </c>
      <c r="F968" s="1310">
        <v>0</v>
      </c>
      <c r="G968" s="1310">
        <v>0</v>
      </c>
      <c r="H968" s="1310">
        <v>0</v>
      </c>
      <c r="I968" s="1310">
        <v>0</v>
      </c>
      <c r="J968" s="1310">
        <v>0</v>
      </c>
      <c r="K968" s="1308">
        <v>0</v>
      </c>
      <c r="L968" s="1310">
        <v>0</v>
      </c>
      <c r="M968" s="1308">
        <v>0</v>
      </c>
      <c r="N968" s="1310">
        <v>0</v>
      </c>
      <c r="O968" s="1310">
        <v>1301.2</v>
      </c>
      <c r="P968" s="1310">
        <v>5598443</v>
      </c>
      <c r="Q968" s="1310">
        <v>0</v>
      </c>
      <c r="R968" s="1310">
        <v>0</v>
      </c>
      <c r="S968" s="1310">
        <v>2443.1999999999998</v>
      </c>
      <c r="T968" s="1310">
        <v>7999377.8399999999</v>
      </c>
      <c r="U968" s="1310">
        <v>0</v>
      </c>
      <c r="V968" s="1310">
        <v>0</v>
      </c>
      <c r="W968" s="1316">
        <v>0</v>
      </c>
      <c r="X968" s="1310">
        <v>0</v>
      </c>
      <c r="Y968" s="1316">
        <v>0</v>
      </c>
    </row>
    <row r="969" spans="1:25" s="1280" customFormat="1" ht="75.599999999999994">
      <c r="A969" s="1352">
        <v>68</v>
      </c>
      <c r="B969" s="1267" t="s">
        <v>2239</v>
      </c>
      <c r="C969" s="1268">
        <f t="shared" si="473"/>
        <v>26280874</v>
      </c>
      <c r="D969" s="1268">
        <f t="shared" si="472"/>
        <v>12030741</v>
      </c>
      <c r="E969" s="1310">
        <v>2220294</v>
      </c>
      <c r="F969" s="1310">
        <v>2965509</v>
      </c>
      <c r="G969" s="1310">
        <v>0</v>
      </c>
      <c r="H969" s="1310">
        <v>2591378</v>
      </c>
      <c r="I969" s="1310">
        <v>2591378</v>
      </c>
      <c r="J969" s="1310">
        <v>1662182</v>
      </c>
      <c r="K969" s="1308">
        <v>0</v>
      </c>
      <c r="L969" s="1310">
        <v>0</v>
      </c>
      <c r="M969" s="1308">
        <v>0</v>
      </c>
      <c r="N969" s="1310">
        <v>0</v>
      </c>
      <c r="O969" s="1310">
        <v>2600</v>
      </c>
      <c r="P969" s="1310">
        <v>8137216</v>
      </c>
      <c r="Q969" s="1310">
        <v>0</v>
      </c>
      <c r="R969" s="1310">
        <v>0</v>
      </c>
      <c r="S969" s="1310">
        <v>4090</v>
      </c>
      <c r="T969" s="1310">
        <v>6112917</v>
      </c>
      <c r="U969" s="1310">
        <v>0</v>
      </c>
      <c r="V969" s="1310">
        <v>0</v>
      </c>
      <c r="W969" s="1316">
        <v>0</v>
      </c>
      <c r="X969" s="1310">
        <v>0</v>
      </c>
      <c r="Y969" s="1316">
        <v>0</v>
      </c>
    </row>
    <row r="970" spans="1:25" s="1280" customFormat="1" ht="75.599999999999994">
      <c r="A970" s="1352">
        <v>69</v>
      </c>
      <c r="B970" s="1267" t="s">
        <v>2240</v>
      </c>
      <c r="C970" s="1268">
        <f t="shared" si="473"/>
        <v>3712475</v>
      </c>
      <c r="D970" s="1268">
        <f t="shared" si="472"/>
        <v>2656615</v>
      </c>
      <c r="E970" s="1310">
        <v>423283</v>
      </c>
      <c r="F970" s="1310">
        <v>566679</v>
      </c>
      <c r="G970" s="1310">
        <v>351035</v>
      </c>
      <c r="H970" s="1310">
        <v>496713</v>
      </c>
      <c r="I970" s="1310">
        <v>496713</v>
      </c>
      <c r="J970" s="1310">
        <v>322192</v>
      </c>
      <c r="K970" s="1308">
        <v>0</v>
      </c>
      <c r="L970" s="1310">
        <v>0</v>
      </c>
      <c r="M970" s="1308">
        <v>0</v>
      </c>
      <c r="N970" s="1310">
        <v>0</v>
      </c>
      <c r="O970" s="1310">
        <v>0</v>
      </c>
      <c r="P970" s="1310">
        <v>0</v>
      </c>
      <c r="Q970" s="1310">
        <v>0</v>
      </c>
      <c r="R970" s="1310">
        <v>0</v>
      </c>
      <c r="S970" s="1310">
        <v>700.6</v>
      </c>
      <c r="T970" s="1310">
        <v>1055860</v>
      </c>
      <c r="U970" s="1310">
        <v>0</v>
      </c>
      <c r="V970" s="1310">
        <v>0</v>
      </c>
      <c r="W970" s="1316">
        <v>0</v>
      </c>
      <c r="X970" s="1310">
        <v>0</v>
      </c>
      <c r="Y970" s="1316">
        <v>0</v>
      </c>
    </row>
    <row r="971" spans="1:25" s="1280" customFormat="1">
      <c r="A971" s="1352">
        <v>70</v>
      </c>
      <c r="B971" s="1267" t="s">
        <v>2268</v>
      </c>
      <c r="C971" s="1268">
        <f t="shared" si="473"/>
        <v>10172902</v>
      </c>
      <c r="D971" s="1268">
        <f t="shared" si="472"/>
        <v>2682725</v>
      </c>
      <c r="E971" s="1310">
        <v>0</v>
      </c>
      <c r="F971" s="1310">
        <v>0</v>
      </c>
      <c r="G971" s="1310">
        <v>2682725</v>
      </c>
      <c r="H971" s="1310">
        <v>0</v>
      </c>
      <c r="I971" s="1310">
        <v>0</v>
      </c>
      <c r="J971" s="1310">
        <v>0</v>
      </c>
      <c r="K971" s="1308">
        <v>0</v>
      </c>
      <c r="L971" s="1310">
        <v>0</v>
      </c>
      <c r="M971" s="1308">
        <v>0</v>
      </c>
      <c r="N971" s="1310">
        <v>0</v>
      </c>
      <c r="O971" s="1310">
        <v>0</v>
      </c>
      <c r="P971" s="1310">
        <v>0</v>
      </c>
      <c r="Q971" s="1310">
        <v>0</v>
      </c>
      <c r="R971" s="1310">
        <v>0</v>
      </c>
      <c r="S971" s="1310">
        <v>5016.3999999999996</v>
      </c>
      <c r="T971" s="1310">
        <v>7490177</v>
      </c>
      <c r="U971" s="1310">
        <v>0</v>
      </c>
      <c r="V971" s="1310">
        <v>0</v>
      </c>
      <c r="W971" s="1316">
        <v>0</v>
      </c>
      <c r="X971" s="1310">
        <v>0</v>
      </c>
      <c r="Y971" s="1316">
        <v>0</v>
      </c>
    </row>
    <row r="972" spans="1:25" s="1280" customFormat="1" ht="75.599999999999994">
      <c r="A972" s="1352">
        <v>71</v>
      </c>
      <c r="B972" s="1267" t="s">
        <v>2066</v>
      </c>
      <c r="C972" s="1268">
        <f t="shared" si="473"/>
        <v>1122522</v>
      </c>
      <c r="D972" s="1268">
        <f t="shared" si="472"/>
        <v>1122522</v>
      </c>
      <c r="E972" s="1310">
        <v>1122522</v>
      </c>
      <c r="F972" s="1310">
        <v>0</v>
      </c>
      <c r="G972" s="1310">
        <v>0</v>
      </c>
      <c r="H972" s="1310">
        <v>0</v>
      </c>
      <c r="I972" s="1310">
        <v>0</v>
      </c>
      <c r="J972" s="1310">
        <v>0</v>
      </c>
      <c r="K972" s="1308">
        <v>0</v>
      </c>
      <c r="L972" s="1310">
        <v>0</v>
      </c>
      <c r="M972" s="1308">
        <v>0</v>
      </c>
      <c r="N972" s="1310">
        <v>0</v>
      </c>
      <c r="O972" s="1310">
        <v>0</v>
      </c>
      <c r="P972" s="1310">
        <v>0</v>
      </c>
      <c r="Q972" s="1310">
        <v>0</v>
      </c>
      <c r="R972" s="1310">
        <v>0</v>
      </c>
      <c r="S972" s="1310">
        <v>0</v>
      </c>
      <c r="T972" s="1310">
        <v>0</v>
      </c>
      <c r="U972" s="1310">
        <v>0</v>
      </c>
      <c r="V972" s="1310">
        <v>0</v>
      </c>
      <c r="W972" s="1316">
        <v>0</v>
      </c>
      <c r="X972" s="1310">
        <v>0</v>
      </c>
      <c r="Y972" s="1316">
        <v>0</v>
      </c>
    </row>
    <row r="973" spans="1:25" s="1280" customFormat="1" ht="120.6" customHeight="1">
      <c r="A973" s="1352">
        <v>72</v>
      </c>
      <c r="B973" s="1267" t="s">
        <v>2067</v>
      </c>
      <c r="C973" s="1268">
        <f t="shared" si="473"/>
        <v>3345472.9</v>
      </c>
      <c r="D973" s="1268">
        <f t="shared" si="472"/>
        <v>636364</v>
      </c>
      <c r="E973" s="1310">
        <v>0</v>
      </c>
      <c r="F973" s="1310">
        <v>0</v>
      </c>
      <c r="G973" s="1310">
        <v>0</v>
      </c>
      <c r="H973" s="1310">
        <v>387788</v>
      </c>
      <c r="I973" s="1310">
        <v>0</v>
      </c>
      <c r="J973" s="1310">
        <v>248576</v>
      </c>
      <c r="K973" s="1308">
        <v>0</v>
      </c>
      <c r="L973" s="1310">
        <v>0</v>
      </c>
      <c r="M973" s="1308">
        <v>0</v>
      </c>
      <c r="N973" s="1310">
        <v>0</v>
      </c>
      <c r="O973" s="1310">
        <v>0</v>
      </c>
      <c r="P973" s="1310">
        <v>0</v>
      </c>
      <c r="Q973" s="1310">
        <v>0</v>
      </c>
      <c r="R973" s="1310">
        <v>0</v>
      </c>
      <c r="S973" s="1310">
        <v>558.35</v>
      </c>
      <c r="T973" s="1310">
        <v>2709108.9</v>
      </c>
      <c r="U973" s="1310">
        <v>0</v>
      </c>
      <c r="V973" s="1310">
        <v>0</v>
      </c>
      <c r="W973" s="1316">
        <v>0</v>
      </c>
      <c r="X973" s="1310">
        <v>0</v>
      </c>
      <c r="Y973" s="1316">
        <v>0</v>
      </c>
    </row>
    <row r="974" spans="1:25" s="1280" customFormat="1" ht="75.599999999999994">
      <c r="A974" s="1352">
        <v>73</v>
      </c>
      <c r="B974" s="1267" t="s">
        <v>2501</v>
      </c>
      <c r="C974" s="1268">
        <f t="shared" si="473"/>
        <v>966044</v>
      </c>
      <c r="D974" s="1268">
        <f t="shared" si="472"/>
        <v>264057</v>
      </c>
      <c r="E974" s="1310">
        <v>264057</v>
      </c>
      <c r="F974" s="1310">
        <v>0</v>
      </c>
      <c r="G974" s="1310">
        <v>0</v>
      </c>
      <c r="H974" s="1310">
        <v>0</v>
      </c>
      <c r="I974" s="1310">
        <v>0</v>
      </c>
      <c r="J974" s="1310">
        <v>0</v>
      </c>
      <c r="K974" s="1308">
        <v>0</v>
      </c>
      <c r="L974" s="1310">
        <v>0</v>
      </c>
      <c r="M974" s="1308">
        <v>0</v>
      </c>
      <c r="N974" s="1310">
        <v>0</v>
      </c>
      <c r="O974" s="1310">
        <v>0</v>
      </c>
      <c r="P974" s="1310">
        <v>0</v>
      </c>
      <c r="Q974" s="1310">
        <v>0</v>
      </c>
      <c r="R974" s="1310">
        <v>0</v>
      </c>
      <c r="S974" s="1310">
        <v>462.8</v>
      </c>
      <c r="T974" s="1310">
        <v>701987</v>
      </c>
      <c r="U974" s="1310">
        <v>0</v>
      </c>
      <c r="V974" s="1310">
        <v>0</v>
      </c>
      <c r="W974" s="1316">
        <v>0</v>
      </c>
      <c r="X974" s="1310">
        <v>0</v>
      </c>
      <c r="Y974" s="1316">
        <v>0</v>
      </c>
    </row>
    <row r="975" spans="1:25" s="1280" customFormat="1">
      <c r="A975" s="1352">
        <v>74</v>
      </c>
      <c r="B975" s="1267" t="s">
        <v>2069</v>
      </c>
      <c r="C975" s="1268">
        <f t="shared" si="473"/>
        <v>1440092</v>
      </c>
      <c r="D975" s="1268">
        <f t="shared" si="472"/>
        <v>0</v>
      </c>
      <c r="E975" s="1310">
        <v>0</v>
      </c>
      <c r="F975" s="1310">
        <v>0</v>
      </c>
      <c r="G975" s="1310">
        <v>0</v>
      </c>
      <c r="H975" s="1310">
        <v>0</v>
      </c>
      <c r="I975" s="1310">
        <v>0</v>
      </c>
      <c r="J975" s="1310">
        <v>0</v>
      </c>
      <c r="K975" s="1308">
        <v>0</v>
      </c>
      <c r="L975" s="1310">
        <v>0</v>
      </c>
      <c r="M975" s="1308">
        <v>0</v>
      </c>
      <c r="N975" s="1310">
        <v>0</v>
      </c>
      <c r="O975" s="1310">
        <v>530</v>
      </c>
      <c r="P975" s="1310">
        <v>1440092</v>
      </c>
      <c r="Q975" s="1310">
        <v>0</v>
      </c>
      <c r="R975" s="1310">
        <v>0</v>
      </c>
      <c r="S975" s="1310">
        <v>0</v>
      </c>
      <c r="T975" s="1310">
        <v>0</v>
      </c>
      <c r="U975" s="1310">
        <v>0</v>
      </c>
      <c r="V975" s="1310">
        <v>0</v>
      </c>
      <c r="W975" s="1316">
        <v>0</v>
      </c>
      <c r="X975" s="1310">
        <v>0</v>
      </c>
      <c r="Y975" s="1316">
        <v>0</v>
      </c>
    </row>
    <row r="976" spans="1:25" s="1280" customFormat="1">
      <c r="A976" s="1352">
        <v>75</v>
      </c>
      <c r="B976" s="1267" t="s">
        <v>2070</v>
      </c>
      <c r="C976" s="1268">
        <f t="shared" si="473"/>
        <v>1337066</v>
      </c>
      <c r="D976" s="1268">
        <f t="shared" si="472"/>
        <v>0</v>
      </c>
      <c r="E976" s="1310">
        <v>0</v>
      </c>
      <c r="F976" s="1310">
        <v>0</v>
      </c>
      <c r="G976" s="1310">
        <v>0</v>
      </c>
      <c r="H976" s="1310">
        <v>0</v>
      </c>
      <c r="I976" s="1310">
        <v>0</v>
      </c>
      <c r="J976" s="1310">
        <v>0</v>
      </c>
      <c r="K976" s="1308">
        <v>0</v>
      </c>
      <c r="L976" s="1310">
        <v>0</v>
      </c>
      <c r="M976" s="1308">
        <v>0</v>
      </c>
      <c r="N976" s="1310">
        <v>0</v>
      </c>
      <c r="O976" s="1310">
        <v>530</v>
      </c>
      <c r="P976" s="1310">
        <v>1337066</v>
      </c>
      <c r="Q976" s="1310">
        <v>0</v>
      </c>
      <c r="R976" s="1310">
        <v>0</v>
      </c>
      <c r="S976" s="1310">
        <v>0</v>
      </c>
      <c r="T976" s="1310">
        <v>0</v>
      </c>
      <c r="U976" s="1310">
        <v>0</v>
      </c>
      <c r="V976" s="1310">
        <v>0</v>
      </c>
      <c r="W976" s="1316">
        <v>0</v>
      </c>
      <c r="X976" s="1310">
        <v>0</v>
      </c>
      <c r="Y976" s="1316">
        <v>0</v>
      </c>
    </row>
    <row r="977" spans="1:25" s="1280" customFormat="1" ht="75.599999999999994">
      <c r="A977" s="1352">
        <v>76</v>
      </c>
      <c r="B977" s="1267" t="s">
        <v>2502</v>
      </c>
      <c r="C977" s="1268">
        <f t="shared" si="473"/>
        <v>376932</v>
      </c>
      <c r="D977" s="1268">
        <f t="shared" si="472"/>
        <v>376932</v>
      </c>
      <c r="E977" s="1310">
        <v>0</v>
      </c>
      <c r="F977" s="1310">
        <v>0</v>
      </c>
      <c r="G977" s="1310">
        <v>0</v>
      </c>
      <c r="H977" s="1310">
        <v>376932</v>
      </c>
      <c r="I977" s="1310">
        <v>0</v>
      </c>
      <c r="J977" s="1310">
        <v>0</v>
      </c>
      <c r="K977" s="1308">
        <v>0</v>
      </c>
      <c r="L977" s="1310">
        <v>0</v>
      </c>
      <c r="M977" s="1308">
        <v>0</v>
      </c>
      <c r="N977" s="1310">
        <v>0</v>
      </c>
      <c r="O977" s="1310">
        <v>0</v>
      </c>
      <c r="P977" s="1310">
        <v>0</v>
      </c>
      <c r="Q977" s="1310">
        <v>0</v>
      </c>
      <c r="R977" s="1310">
        <v>0</v>
      </c>
      <c r="S977" s="1310">
        <v>0</v>
      </c>
      <c r="T977" s="1310">
        <v>0</v>
      </c>
      <c r="U977" s="1310">
        <v>0</v>
      </c>
      <c r="V977" s="1310">
        <v>0</v>
      </c>
      <c r="W977" s="1316">
        <v>0</v>
      </c>
      <c r="X977" s="1310">
        <v>0</v>
      </c>
      <c r="Y977" s="1316">
        <v>0</v>
      </c>
    </row>
    <row r="978" spans="1:25" s="1280" customFormat="1" ht="75.599999999999994">
      <c r="A978" s="1352">
        <v>77</v>
      </c>
      <c r="B978" s="1267" t="s">
        <v>2503</v>
      </c>
      <c r="C978" s="1268">
        <f t="shared" si="473"/>
        <v>447464</v>
      </c>
      <c r="D978" s="1268">
        <f t="shared" si="472"/>
        <v>447464</v>
      </c>
      <c r="E978" s="1310">
        <v>0</v>
      </c>
      <c r="F978" s="1310">
        <v>0</v>
      </c>
      <c r="G978" s="1310">
        <v>0</v>
      </c>
      <c r="H978" s="1310">
        <v>447464</v>
      </c>
      <c r="I978" s="1310">
        <v>0</v>
      </c>
      <c r="J978" s="1310">
        <v>0</v>
      </c>
      <c r="K978" s="1308">
        <v>0</v>
      </c>
      <c r="L978" s="1310">
        <v>0</v>
      </c>
      <c r="M978" s="1308">
        <v>0</v>
      </c>
      <c r="N978" s="1310">
        <v>0</v>
      </c>
      <c r="O978" s="1310">
        <v>0</v>
      </c>
      <c r="P978" s="1310">
        <v>0</v>
      </c>
      <c r="Q978" s="1310">
        <v>0</v>
      </c>
      <c r="R978" s="1310">
        <v>0</v>
      </c>
      <c r="S978" s="1310">
        <v>0</v>
      </c>
      <c r="T978" s="1310">
        <v>0</v>
      </c>
      <c r="U978" s="1310">
        <v>0</v>
      </c>
      <c r="V978" s="1310">
        <v>0</v>
      </c>
      <c r="W978" s="1316">
        <v>0</v>
      </c>
      <c r="X978" s="1310">
        <v>0</v>
      </c>
      <c r="Y978" s="1316">
        <v>0</v>
      </c>
    </row>
    <row r="979" spans="1:25" s="1280" customFormat="1">
      <c r="A979" s="1352">
        <v>78</v>
      </c>
      <c r="B979" s="1267" t="s">
        <v>240</v>
      </c>
      <c r="C979" s="1268">
        <f t="shared" si="473"/>
        <v>2386092.04</v>
      </c>
      <c r="D979" s="1268">
        <f t="shared" si="472"/>
        <v>0</v>
      </c>
      <c r="E979" s="1310">
        <v>0</v>
      </c>
      <c r="F979" s="1310">
        <v>0</v>
      </c>
      <c r="G979" s="1310">
        <v>0</v>
      </c>
      <c r="H979" s="1310">
        <v>0</v>
      </c>
      <c r="I979" s="1310">
        <v>0</v>
      </c>
      <c r="J979" s="1310">
        <v>0</v>
      </c>
      <c r="K979" s="1308">
        <v>0</v>
      </c>
      <c r="L979" s="1310">
        <v>0</v>
      </c>
      <c r="M979" s="1308">
        <v>0</v>
      </c>
      <c r="N979" s="1310">
        <v>0</v>
      </c>
      <c r="O979" s="1310">
        <v>0</v>
      </c>
      <c r="P979" s="1310">
        <v>0</v>
      </c>
      <c r="Q979" s="1310">
        <v>0</v>
      </c>
      <c r="R979" s="1310">
        <v>0</v>
      </c>
      <c r="S979" s="1310">
        <v>926</v>
      </c>
      <c r="T979" s="1310">
        <v>2386092.04</v>
      </c>
      <c r="U979" s="1310">
        <v>0</v>
      </c>
      <c r="V979" s="1310">
        <v>0</v>
      </c>
      <c r="W979" s="1316">
        <v>0</v>
      </c>
      <c r="X979" s="1310">
        <v>0</v>
      </c>
      <c r="Y979" s="1316">
        <v>0</v>
      </c>
    </row>
    <row r="980" spans="1:25" s="1280" customFormat="1" ht="75.599999999999994">
      <c r="A980" s="1352">
        <v>79</v>
      </c>
      <c r="B980" s="1267" t="s">
        <v>2072</v>
      </c>
      <c r="C980" s="1268">
        <f t="shared" si="473"/>
        <v>3872794</v>
      </c>
      <c r="D980" s="1268">
        <f t="shared" si="472"/>
        <v>0</v>
      </c>
      <c r="E980" s="1310">
        <v>0</v>
      </c>
      <c r="F980" s="1310">
        <v>0</v>
      </c>
      <c r="G980" s="1310">
        <v>0</v>
      </c>
      <c r="H980" s="1310">
        <v>0</v>
      </c>
      <c r="I980" s="1310">
        <v>0</v>
      </c>
      <c r="J980" s="1310">
        <v>0</v>
      </c>
      <c r="K980" s="1308">
        <v>0</v>
      </c>
      <c r="L980" s="1310">
        <v>0</v>
      </c>
      <c r="M980" s="1308">
        <v>0</v>
      </c>
      <c r="N980" s="1310">
        <v>0</v>
      </c>
      <c r="O980" s="1310">
        <v>0</v>
      </c>
      <c r="P980" s="1310">
        <v>0</v>
      </c>
      <c r="Q980" s="1310">
        <v>0</v>
      </c>
      <c r="R980" s="1310">
        <v>0</v>
      </c>
      <c r="S980" s="1310">
        <v>1455.4</v>
      </c>
      <c r="T980" s="1310">
        <v>3872794</v>
      </c>
      <c r="U980" s="1310">
        <v>0</v>
      </c>
      <c r="V980" s="1310">
        <v>0</v>
      </c>
      <c r="W980" s="1316">
        <v>0</v>
      </c>
      <c r="X980" s="1310">
        <v>0</v>
      </c>
      <c r="Y980" s="1316">
        <v>0</v>
      </c>
    </row>
    <row r="981" spans="1:25" s="1280" customFormat="1" ht="75.599999999999994">
      <c r="A981" s="1352">
        <v>80</v>
      </c>
      <c r="B981" s="1267" t="s">
        <v>2073</v>
      </c>
      <c r="C981" s="1268">
        <f t="shared" si="473"/>
        <v>2836922</v>
      </c>
      <c r="D981" s="1268">
        <f t="shared" si="472"/>
        <v>0</v>
      </c>
      <c r="E981" s="1310">
        <v>0</v>
      </c>
      <c r="F981" s="1310">
        <v>0</v>
      </c>
      <c r="G981" s="1310">
        <v>0</v>
      </c>
      <c r="H981" s="1310">
        <v>0</v>
      </c>
      <c r="I981" s="1310">
        <v>0</v>
      </c>
      <c r="J981" s="1310">
        <v>0</v>
      </c>
      <c r="K981" s="1308">
        <v>0</v>
      </c>
      <c r="L981" s="1310">
        <v>0</v>
      </c>
      <c r="M981" s="1308">
        <v>0</v>
      </c>
      <c r="N981" s="1310">
        <v>0</v>
      </c>
      <c r="O981" s="1310">
        <v>1140</v>
      </c>
      <c r="P981" s="1310">
        <v>2836922</v>
      </c>
      <c r="Q981" s="1310">
        <v>0</v>
      </c>
      <c r="R981" s="1310">
        <v>0</v>
      </c>
      <c r="S981" s="1310">
        <v>0</v>
      </c>
      <c r="T981" s="1310">
        <v>0</v>
      </c>
      <c r="U981" s="1310">
        <v>0</v>
      </c>
      <c r="V981" s="1310">
        <v>0</v>
      </c>
      <c r="W981" s="1316">
        <v>0</v>
      </c>
      <c r="X981" s="1310">
        <v>0</v>
      </c>
      <c r="Y981" s="1316">
        <v>0</v>
      </c>
    </row>
    <row r="982" spans="1:25" s="1280" customFormat="1">
      <c r="A982" s="1352">
        <v>81</v>
      </c>
      <c r="B982" s="1267" t="s">
        <v>2074</v>
      </c>
      <c r="C982" s="1268">
        <f t="shared" si="473"/>
        <v>2030495</v>
      </c>
      <c r="D982" s="1268">
        <f t="shared" si="472"/>
        <v>0</v>
      </c>
      <c r="E982" s="1310">
        <v>0</v>
      </c>
      <c r="F982" s="1310">
        <v>0</v>
      </c>
      <c r="G982" s="1310">
        <v>0</v>
      </c>
      <c r="H982" s="1310">
        <v>0</v>
      </c>
      <c r="I982" s="1310">
        <v>0</v>
      </c>
      <c r="J982" s="1310">
        <v>0</v>
      </c>
      <c r="K982" s="1308">
        <v>0</v>
      </c>
      <c r="L982" s="1310">
        <v>0</v>
      </c>
      <c r="M982" s="1308">
        <v>0</v>
      </c>
      <c r="N982" s="1310">
        <v>0</v>
      </c>
      <c r="O982" s="1310">
        <v>819</v>
      </c>
      <c r="P982" s="1310">
        <v>2030495</v>
      </c>
      <c r="Q982" s="1310">
        <v>0</v>
      </c>
      <c r="R982" s="1310">
        <v>0</v>
      </c>
      <c r="S982" s="1310">
        <v>0</v>
      </c>
      <c r="T982" s="1310">
        <v>0</v>
      </c>
      <c r="U982" s="1310">
        <v>0</v>
      </c>
      <c r="V982" s="1310">
        <v>0</v>
      </c>
      <c r="W982" s="1316">
        <v>0</v>
      </c>
      <c r="X982" s="1310">
        <v>0</v>
      </c>
      <c r="Y982" s="1316">
        <v>0</v>
      </c>
    </row>
    <row r="983" spans="1:25" s="1280" customFormat="1">
      <c r="A983" s="1352">
        <v>82</v>
      </c>
      <c r="B983" s="1267" t="s">
        <v>2075</v>
      </c>
      <c r="C983" s="1268">
        <f t="shared" si="473"/>
        <v>1761507</v>
      </c>
      <c r="D983" s="1268">
        <f t="shared" si="472"/>
        <v>0</v>
      </c>
      <c r="E983" s="1310">
        <v>0</v>
      </c>
      <c r="F983" s="1310">
        <v>0</v>
      </c>
      <c r="G983" s="1310">
        <v>0</v>
      </c>
      <c r="H983" s="1310">
        <v>0</v>
      </c>
      <c r="I983" s="1310">
        <v>0</v>
      </c>
      <c r="J983" s="1310">
        <v>0</v>
      </c>
      <c r="K983" s="1308">
        <v>0</v>
      </c>
      <c r="L983" s="1310">
        <v>0</v>
      </c>
      <c r="M983" s="1308">
        <v>0</v>
      </c>
      <c r="N983" s="1310">
        <v>0</v>
      </c>
      <c r="O983" s="1310">
        <v>703</v>
      </c>
      <c r="P983" s="1310">
        <v>1761507</v>
      </c>
      <c r="Q983" s="1310">
        <v>0</v>
      </c>
      <c r="R983" s="1310">
        <v>0</v>
      </c>
      <c r="S983" s="1310">
        <v>0</v>
      </c>
      <c r="T983" s="1310">
        <v>0</v>
      </c>
      <c r="U983" s="1310">
        <v>0</v>
      </c>
      <c r="V983" s="1310">
        <v>0</v>
      </c>
      <c r="W983" s="1316">
        <v>0</v>
      </c>
      <c r="X983" s="1310">
        <v>0</v>
      </c>
      <c r="Y983" s="1316">
        <v>0</v>
      </c>
    </row>
    <row r="984" spans="1:25" s="1280" customFormat="1">
      <c r="A984" s="1352">
        <v>83</v>
      </c>
      <c r="B984" s="1267" t="s">
        <v>2076</v>
      </c>
      <c r="C984" s="1268">
        <f t="shared" si="473"/>
        <v>1489178</v>
      </c>
      <c r="D984" s="1268">
        <f t="shared" si="472"/>
        <v>0</v>
      </c>
      <c r="E984" s="1310">
        <v>0</v>
      </c>
      <c r="F984" s="1310">
        <v>0</v>
      </c>
      <c r="G984" s="1310">
        <v>0</v>
      </c>
      <c r="H984" s="1310">
        <v>0</v>
      </c>
      <c r="I984" s="1310">
        <v>0</v>
      </c>
      <c r="J984" s="1310">
        <v>0</v>
      </c>
      <c r="K984" s="1308">
        <v>0</v>
      </c>
      <c r="L984" s="1310">
        <v>0</v>
      </c>
      <c r="M984" s="1308">
        <v>0</v>
      </c>
      <c r="N984" s="1310">
        <v>0</v>
      </c>
      <c r="O984" s="1310">
        <v>592.02</v>
      </c>
      <c r="P984" s="1310">
        <v>1489178</v>
      </c>
      <c r="Q984" s="1310">
        <v>0</v>
      </c>
      <c r="R984" s="1310">
        <v>0</v>
      </c>
      <c r="S984" s="1310">
        <v>0</v>
      </c>
      <c r="T984" s="1310">
        <v>0</v>
      </c>
      <c r="U984" s="1310">
        <v>0</v>
      </c>
      <c r="V984" s="1310">
        <v>0</v>
      </c>
      <c r="W984" s="1316">
        <v>0</v>
      </c>
      <c r="X984" s="1310">
        <v>0</v>
      </c>
      <c r="Y984" s="1316">
        <v>0</v>
      </c>
    </row>
    <row r="985" spans="1:25" s="1280" customFormat="1" ht="75.599999999999994">
      <c r="A985" s="1410">
        <v>84</v>
      </c>
      <c r="B985" s="1267" t="s">
        <v>2077</v>
      </c>
      <c r="C985" s="1268">
        <f t="shared" si="473"/>
        <v>9225359</v>
      </c>
      <c r="D985" s="1268">
        <f t="shared" si="472"/>
        <v>0</v>
      </c>
      <c r="E985" s="1268">
        <v>0</v>
      </c>
      <c r="F985" s="1268">
        <v>0</v>
      </c>
      <c r="G985" s="1268">
        <v>0</v>
      </c>
      <c r="H985" s="1268">
        <v>0</v>
      </c>
      <c r="I985" s="1268">
        <v>0</v>
      </c>
      <c r="J985" s="1268">
        <v>0</v>
      </c>
      <c r="K985" s="1278">
        <v>0</v>
      </c>
      <c r="L985" s="1268">
        <v>0</v>
      </c>
      <c r="M985" s="1278">
        <v>0</v>
      </c>
      <c r="N985" s="1268">
        <v>0</v>
      </c>
      <c r="O985" s="1268">
        <v>0</v>
      </c>
      <c r="P985" s="1268">
        <v>0</v>
      </c>
      <c r="Q985" s="1268">
        <v>0</v>
      </c>
      <c r="R985" s="1268">
        <v>0</v>
      </c>
      <c r="S985" s="1268">
        <v>2250</v>
      </c>
      <c r="T985" s="1268">
        <v>9225359</v>
      </c>
      <c r="U985" s="1268">
        <v>0</v>
      </c>
      <c r="V985" s="1268">
        <v>0</v>
      </c>
      <c r="W985" s="1268">
        <v>0</v>
      </c>
      <c r="X985" s="1268">
        <v>0</v>
      </c>
      <c r="Y985" s="1268">
        <v>0</v>
      </c>
    </row>
    <row r="986" spans="1:25" s="1280" customFormat="1" ht="75.599999999999994">
      <c r="A986" s="1352">
        <v>85</v>
      </c>
      <c r="B986" s="1267" t="s">
        <v>2504</v>
      </c>
      <c r="C986" s="1268">
        <f t="shared" si="473"/>
        <v>2595070</v>
      </c>
      <c r="D986" s="1268">
        <f t="shared" si="472"/>
        <v>0</v>
      </c>
      <c r="E986" s="1310">
        <v>0</v>
      </c>
      <c r="F986" s="1310">
        <v>0</v>
      </c>
      <c r="G986" s="1310">
        <v>0</v>
      </c>
      <c r="H986" s="1310">
        <v>0</v>
      </c>
      <c r="I986" s="1310">
        <v>0</v>
      </c>
      <c r="J986" s="1310">
        <v>0</v>
      </c>
      <c r="K986" s="1308">
        <v>0</v>
      </c>
      <c r="L986" s="1310">
        <v>0</v>
      </c>
      <c r="M986" s="1308">
        <v>0</v>
      </c>
      <c r="N986" s="1310">
        <v>0</v>
      </c>
      <c r="O986" s="1310">
        <v>0</v>
      </c>
      <c r="P986" s="1310">
        <v>0</v>
      </c>
      <c r="Q986" s="1310">
        <v>0</v>
      </c>
      <c r="R986" s="1310">
        <v>0</v>
      </c>
      <c r="S986" s="1310">
        <v>839.4</v>
      </c>
      <c r="T986" s="1310">
        <v>2595070</v>
      </c>
      <c r="U986" s="1310">
        <v>0</v>
      </c>
      <c r="V986" s="1310">
        <v>0</v>
      </c>
      <c r="W986" s="1316">
        <v>0</v>
      </c>
      <c r="X986" s="1310">
        <v>0</v>
      </c>
      <c r="Y986" s="1316">
        <v>0</v>
      </c>
    </row>
    <row r="987" spans="1:25" s="1280" customFormat="1" ht="75.599999999999994">
      <c r="A987" s="1352">
        <v>86</v>
      </c>
      <c r="B987" s="1267" t="s">
        <v>2505</v>
      </c>
      <c r="C987" s="1268">
        <f t="shared" si="473"/>
        <v>840712</v>
      </c>
      <c r="D987" s="1268">
        <f t="shared" si="472"/>
        <v>0</v>
      </c>
      <c r="E987" s="1310">
        <v>0</v>
      </c>
      <c r="F987" s="1310">
        <v>0</v>
      </c>
      <c r="G987" s="1310">
        <v>0</v>
      </c>
      <c r="H987" s="1310">
        <v>0</v>
      </c>
      <c r="I987" s="1310">
        <v>0</v>
      </c>
      <c r="J987" s="1310">
        <v>0</v>
      </c>
      <c r="K987" s="1308">
        <v>0</v>
      </c>
      <c r="L987" s="1310">
        <v>0</v>
      </c>
      <c r="M987" s="1308">
        <v>0</v>
      </c>
      <c r="N987" s="1310">
        <v>0</v>
      </c>
      <c r="O987" s="1310">
        <v>328</v>
      </c>
      <c r="P987" s="1310">
        <v>840712</v>
      </c>
      <c r="Q987" s="1310">
        <v>0</v>
      </c>
      <c r="R987" s="1310">
        <v>0</v>
      </c>
      <c r="S987" s="1310">
        <v>0</v>
      </c>
      <c r="T987" s="1310">
        <v>0</v>
      </c>
      <c r="U987" s="1310">
        <v>0</v>
      </c>
      <c r="V987" s="1310">
        <v>0</v>
      </c>
      <c r="W987" s="1316">
        <v>0</v>
      </c>
      <c r="X987" s="1310">
        <v>0</v>
      </c>
      <c r="Y987" s="1316">
        <v>0</v>
      </c>
    </row>
    <row r="988" spans="1:25" s="1280" customFormat="1" ht="75.599999999999994">
      <c r="A988" s="1352">
        <v>87</v>
      </c>
      <c r="B988" s="1267" t="s">
        <v>2506</v>
      </c>
      <c r="C988" s="1268">
        <f t="shared" si="473"/>
        <v>3135690</v>
      </c>
      <c r="D988" s="1268">
        <f t="shared" si="472"/>
        <v>0</v>
      </c>
      <c r="E988" s="1310">
        <v>0</v>
      </c>
      <c r="F988" s="1310">
        <v>0</v>
      </c>
      <c r="G988" s="1310">
        <v>0</v>
      </c>
      <c r="H988" s="1310">
        <v>0</v>
      </c>
      <c r="I988" s="1310">
        <v>0</v>
      </c>
      <c r="J988" s="1310">
        <v>0</v>
      </c>
      <c r="K988" s="1308">
        <v>0</v>
      </c>
      <c r="L988" s="1310">
        <v>0</v>
      </c>
      <c r="M988" s="1308">
        <v>0</v>
      </c>
      <c r="N988" s="1310">
        <v>0</v>
      </c>
      <c r="O988" s="1310">
        <v>1262</v>
      </c>
      <c r="P988" s="1310">
        <v>3135690</v>
      </c>
      <c r="Q988" s="1310">
        <v>0</v>
      </c>
      <c r="R988" s="1310">
        <v>0</v>
      </c>
      <c r="S988" s="1310">
        <v>0</v>
      </c>
      <c r="T988" s="1310">
        <v>0</v>
      </c>
      <c r="U988" s="1310">
        <v>0</v>
      </c>
      <c r="V988" s="1310">
        <v>0</v>
      </c>
      <c r="W988" s="1316">
        <v>0</v>
      </c>
      <c r="X988" s="1310">
        <v>0</v>
      </c>
      <c r="Y988" s="1316">
        <v>0</v>
      </c>
    </row>
    <row r="989" spans="1:25" s="1280" customFormat="1">
      <c r="A989" s="1352">
        <v>88</v>
      </c>
      <c r="B989" s="1267" t="s">
        <v>2080</v>
      </c>
      <c r="C989" s="1268">
        <f t="shared" si="473"/>
        <v>454703</v>
      </c>
      <c r="D989" s="1268">
        <f t="shared" si="472"/>
        <v>454703</v>
      </c>
      <c r="E989" s="1310">
        <v>454703</v>
      </c>
      <c r="F989" s="1310">
        <v>0</v>
      </c>
      <c r="G989" s="1310">
        <v>0</v>
      </c>
      <c r="H989" s="1310">
        <v>0</v>
      </c>
      <c r="I989" s="1310">
        <v>0</v>
      </c>
      <c r="J989" s="1310">
        <v>0</v>
      </c>
      <c r="K989" s="1308">
        <v>0</v>
      </c>
      <c r="L989" s="1310">
        <v>0</v>
      </c>
      <c r="M989" s="1308">
        <v>0</v>
      </c>
      <c r="N989" s="1310">
        <v>0</v>
      </c>
      <c r="O989" s="1310">
        <v>0</v>
      </c>
      <c r="P989" s="1310">
        <v>0</v>
      </c>
      <c r="Q989" s="1310">
        <v>0</v>
      </c>
      <c r="R989" s="1310">
        <v>0</v>
      </c>
      <c r="S989" s="1310">
        <v>0</v>
      </c>
      <c r="T989" s="1310">
        <v>0</v>
      </c>
      <c r="U989" s="1310">
        <v>0</v>
      </c>
      <c r="V989" s="1310">
        <v>0</v>
      </c>
      <c r="W989" s="1316">
        <v>0</v>
      </c>
      <c r="X989" s="1310">
        <v>0</v>
      </c>
      <c r="Y989" s="1316">
        <v>0</v>
      </c>
    </row>
    <row r="990" spans="1:25" s="1280" customFormat="1">
      <c r="A990" s="1352">
        <v>89</v>
      </c>
      <c r="B990" s="1267" t="s">
        <v>2081</v>
      </c>
      <c r="C990" s="1268">
        <f t="shared" si="473"/>
        <v>3313369</v>
      </c>
      <c r="D990" s="1268">
        <f t="shared" si="472"/>
        <v>3313369</v>
      </c>
      <c r="E990" s="1310">
        <v>0</v>
      </c>
      <c r="F990" s="1310">
        <v>0</v>
      </c>
      <c r="G990" s="1310">
        <v>0</v>
      </c>
      <c r="H990" s="1310">
        <v>0</v>
      </c>
      <c r="I990" s="1310">
        <v>0</v>
      </c>
      <c r="J990" s="1310">
        <v>3313369</v>
      </c>
      <c r="K990" s="1308">
        <v>0</v>
      </c>
      <c r="L990" s="1310">
        <v>0</v>
      </c>
      <c r="M990" s="1308">
        <v>0</v>
      </c>
      <c r="N990" s="1310">
        <v>0</v>
      </c>
      <c r="O990" s="1310">
        <v>0</v>
      </c>
      <c r="P990" s="1310">
        <v>0</v>
      </c>
      <c r="Q990" s="1310">
        <v>0</v>
      </c>
      <c r="R990" s="1310">
        <v>0</v>
      </c>
      <c r="S990" s="1310">
        <v>0</v>
      </c>
      <c r="T990" s="1310">
        <v>0</v>
      </c>
      <c r="U990" s="1310">
        <v>0</v>
      </c>
      <c r="V990" s="1310">
        <v>0</v>
      </c>
      <c r="W990" s="1316">
        <v>0</v>
      </c>
      <c r="X990" s="1310">
        <v>0</v>
      </c>
      <c r="Y990" s="1316">
        <v>0</v>
      </c>
    </row>
    <row r="991" spans="1:25" s="1280" customFormat="1">
      <c r="A991" s="1352">
        <v>90</v>
      </c>
      <c r="B991" s="1267" t="s">
        <v>2082</v>
      </c>
      <c r="C991" s="1268">
        <f t="shared" si="473"/>
        <v>1495621</v>
      </c>
      <c r="D991" s="1268">
        <f t="shared" si="472"/>
        <v>0</v>
      </c>
      <c r="E991" s="1310">
        <v>0</v>
      </c>
      <c r="F991" s="1310">
        <v>0</v>
      </c>
      <c r="G991" s="1310">
        <v>0</v>
      </c>
      <c r="H991" s="1310">
        <v>0</v>
      </c>
      <c r="I991" s="1310">
        <v>0</v>
      </c>
      <c r="J991" s="1310">
        <v>0</v>
      </c>
      <c r="K991" s="1308">
        <v>0</v>
      </c>
      <c r="L991" s="1310">
        <v>0</v>
      </c>
      <c r="M991" s="1308">
        <v>0</v>
      </c>
      <c r="N991" s="1310">
        <v>0</v>
      </c>
      <c r="O991" s="1310">
        <v>0</v>
      </c>
      <c r="P991" s="1310">
        <v>0</v>
      </c>
      <c r="Q991" s="1310">
        <v>1026.4000000000001</v>
      </c>
      <c r="R991" s="1310">
        <v>1495621</v>
      </c>
      <c r="S991" s="1310">
        <v>0</v>
      </c>
      <c r="T991" s="1310">
        <v>0</v>
      </c>
      <c r="U991" s="1310">
        <v>0</v>
      </c>
      <c r="V991" s="1310">
        <v>0</v>
      </c>
      <c r="W991" s="1316">
        <v>0</v>
      </c>
      <c r="X991" s="1310">
        <v>0</v>
      </c>
      <c r="Y991" s="1316">
        <v>0</v>
      </c>
    </row>
    <row r="992" spans="1:25" s="1280" customFormat="1">
      <c r="A992" s="1352">
        <v>91</v>
      </c>
      <c r="B992" s="1267" t="s">
        <v>2083</v>
      </c>
      <c r="C992" s="1268">
        <f t="shared" si="473"/>
        <v>3635931</v>
      </c>
      <c r="D992" s="1268">
        <f t="shared" si="472"/>
        <v>0</v>
      </c>
      <c r="E992" s="1310">
        <v>0</v>
      </c>
      <c r="F992" s="1310">
        <v>0</v>
      </c>
      <c r="G992" s="1310">
        <v>0</v>
      </c>
      <c r="H992" s="1310">
        <v>0</v>
      </c>
      <c r="I992" s="1310">
        <v>0</v>
      </c>
      <c r="J992" s="1310">
        <v>0</v>
      </c>
      <c r="K992" s="1308">
        <v>0</v>
      </c>
      <c r="L992" s="1310">
        <v>0</v>
      </c>
      <c r="M992" s="1308">
        <v>0</v>
      </c>
      <c r="N992" s="1310">
        <v>0</v>
      </c>
      <c r="O992" s="1310">
        <v>713.4</v>
      </c>
      <c r="P992" s="1310">
        <v>2248288</v>
      </c>
      <c r="Q992" s="1310">
        <v>0</v>
      </c>
      <c r="R992" s="1310">
        <v>0</v>
      </c>
      <c r="S992" s="1310">
        <v>921.24</v>
      </c>
      <c r="T992" s="1310">
        <v>1387643</v>
      </c>
      <c r="U992" s="1310">
        <v>0</v>
      </c>
      <c r="V992" s="1310">
        <v>0</v>
      </c>
      <c r="W992" s="1316">
        <v>0</v>
      </c>
      <c r="X992" s="1310">
        <v>0</v>
      </c>
      <c r="Y992" s="1316">
        <v>0</v>
      </c>
    </row>
    <row r="993" spans="1:25" s="1280" customFormat="1">
      <c r="A993" s="1352">
        <v>92</v>
      </c>
      <c r="B993" s="1267" t="s">
        <v>263</v>
      </c>
      <c r="C993" s="1268">
        <f t="shared" si="473"/>
        <v>474537</v>
      </c>
      <c r="D993" s="1268">
        <f t="shared" si="472"/>
        <v>474537</v>
      </c>
      <c r="E993" s="1310">
        <v>474537</v>
      </c>
      <c r="F993" s="1310">
        <v>0</v>
      </c>
      <c r="G993" s="1310">
        <v>0</v>
      </c>
      <c r="H993" s="1310">
        <v>0</v>
      </c>
      <c r="I993" s="1310">
        <v>0</v>
      </c>
      <c r="J993" s="1310">
        <v>0</v>
      </c>
      <c r="K993" s="1308">
        <v>0</v>
      </c>
      <c r="L993" s="1310">
        <v>0</v>
      </c>
      <c r="M993" s="1308">
        <v>0</v>
      </c>
      <c r="N993" s="1310">
        <v>0</v>
      </c>
      <c r="O993" s="1310">
        <v>0</v>
      </c>
      <c r="P993" s="1310">
        <v>0</v>
      </c>
      <c r="Q993" s="1310">
        <v>0</v>
      </c>
      <c r="R993" s="1310">
        <v>0</v>
      </c>
      <c r="S993" s="1310">
        <v>0</v>
      </c>
      <c r="T993" s="1310">
        <v>0</v>
      </c>
      <c r="U993" s="1310">
        <v>0</v>
      </c>
      <c r="V993" s="1310">
        <v>0</v>
      </c>
      <c r="W993" s="1316">
        <v>0</v>
      </c>
      <c r="X993" s="1310">
        <v>0</v>
      </c>
      <c r="Y993" s="1316">
        <v>0</v>
      </c>
    </row>
    <row r="994" spans="1:25" s="1280" customFormat="1">
      <c r="A994" s="1352">
        <v>93</v>
      </c>
      <c r="B994" s="1267" t="s">
        <v>2084</v>
      </c>
      <c r="C994" s="1268">
        <f t="shared" si="473"/>
        <v>472639</v>
      </c>
      <c r="D994" s="1268">
        <f t="shared" si="472"/>
        <v>472639</v>
      </c>
      <c r="E994" s="1310">
        <v>472639</v>
      </c>
      <c r="F994" s="1310">
        <v>0</v>
      </c>
      <c r="G994" s="1310">
        <v>0</v>
      </c>
      <c r="H994" s="1310">
        <v>0</v>
      </c>
      <c r="I994" s="1310">
        <v>0</v>
      </c>
      <c r="J994" s="1310">
        <v>0</v>
      </c>
      <c r="K994" s="1308">
        <v>0</v>
      </c>
      <c r="L994" s="1310">
        <v>0</v>
      </c>
      <c r="M994" s="1308">
        <v>0</v>
      </c>
      <c r="N994" s="1310">
        <v>0</v>
      </c>
      <c r="O994" s="1310">
        <v>0</v>
      </c>
      <c r="P994" s="1310">
        <v>0</v>
      </c>
      <c r="Q994" s="1310">
        <v>0</v>
      </c>
      <c r="R994" s="1310">
        <v>0</v>
      </c>
      <c r="S994" s="1310">
        <v>0</v>
      </c>
      <c r="T994" s="1310">
        <v>0</v>
      </c>
      <c r="U994" s="1310">
        <v>0</v>
      </c>
      <c r="V994" s="1310">
        <v>0</v>
      </c>
      <c r="W994" s="1316">
        <v>0</v>
      </c>
      <c r="X994" s="1310">
        <v>0</v>
      </c>
      <c r="Y994" s="1316">
        <v>0</v>
      </c>
    </row>
    <row r="995" spans="1:25" s="1280" customFormat="1">
      <c r="A995" s="1352">
        <v>94</v>
      </c>
      <c r="B995" s="1267" t="s">
        <v>1735</v>
      </c>
      <c r="C995" s="1268">
        <f t="shared" si="473"/>
        <v>7502217</v>
      </c>
      <c r="D995" s="1268">
        <f t="shared" si="472"/>
        <v>7502217</v>
      </c>
      <c r="E995" s="1310">
        <v>0</v>
      </c>
      <c r="F995" s="1310">
        <v>7502217</v>
      </c>
      <c r="G995" s="1310">
        <v>0</v>
      </c>
      <c r="H995" s="1310">
        <v>0</v>
      </c>
      <c r="I995" s="1310">
        <v>0</v>
      </c>
      <c r="J995" s="1310">
        <v>0</v>
      </c>
      <c r="K995" s="1308">
        <v>0</v>
      </c>
      <c r="L995" s="1310">
        <v>0</v>
      </c>
      <c r="M995" s="1308">
        <v>0</v>
      </c>
      <c r="N995" s="1310">
        <v>0</v>
      </c>
      <c r="O995" s="1310">
        <v>0</v>
      </c>
      <c r="P995" s="1310">
        <v>0</v>
      </c>
      <c r="Q995" s="1310">
        <v>0</v>
      </c>
      <c r="R995" s="1310">
        <v>0</v>
      </c>
      <c r="S995" s="1310">
        <v>0</v>
      </c>
      <c r="T995" s="1310">
        <v>0</v>
      </c>
      <c r="U995" s="1310">
        <v>0</v>
      </c>
      <c r="V995" s="1310">
        <v>0</v>
      </c>
      <c r="W995" s="1316">
        <v>0</v>
      </c>
      <c r="X995" s="1310">
        <v>0</v>
      </c>
      <c r="Y995" s="1316">
        <v>0</v>
      </c>
    </row>
    <row r="996" spans="1:25" s="1280" customFormat="1" ht="75.599999999999994">
      <c r="A996" s="1352">
        <v>95</v>
      </c>
      <c r="B996" s="1267" t="s">
        <v>2507</v>
      </c>
      <c r="C996" s="1268">
        <f t="shared" si="473"/>
        <v>593036</v>
      </c>
      <c r="D996" s="1268">
        <f t="shared" si="472"/>
        <v>593036</v>
      </c>
      <c r="E996" s="1310">
        <v>593036</v>
      </c>
      <c r="F996" s="1310">
        <v>0</v>
      </c>
      <c r="G996" s="1310">
        <v>0</v>
      </c>
      <c r="H996" s="1310">
        <v>0</v>
      </c>
      <c r="I996" s="1310">
        <v>0</v>
      </c>
      <c r="J996" s="1310">
        <v>0</v>
      </c>
      <c r="K996" s="1308">
        <v>0</v>
      </c>
      <c r="L996" s="1310">
        <v>0</v>
      </c>
      <c r="M996" s="1308">
        <v>0</v>
      </c>
      <c r="N996" s="1310">
        <v>0</v>
      </c>
      <c r="O996" s="1310">
        <v>0</v>
      </c>
      <c r="P996" s="1310">
        <v>0</v>
      </c>
      <c r="Q996" s="1310">
        <v>0</v>
      </c>
      <c r="R996" s="1310">
        <v>0</v>
      </c>
      <c r="S996" s="1310">
        <v>0</v>
      </c>
      <c r="T996" s="1310">
        <v>0</v>
      </c>
      <c r="U996" s="1310">
        <v>0</v>
      </c>
      <c r="V996" s="1310">
        <v>0</v>
      </c>
      <c r="W996" s="1316">
        <v>0</v>
      </c>
      <c r="X996" s="1310">
        <v>0</v>
      </c>
      <c r="Y996" s="1316">
        <v>0</v>
      </c>
    </row>
    <row r="997" spans="1:25" s="1280" customFormat="1">
      <c r="A997" s="1352">
        <v>96</v>
      </c>
      <c r="B997" s="1267" t="s">
        <v>2086</v>
      </c>
      <c r="C997" s="1268">
        <f t="shared" si="473"/>
        <v>1238157</v>
      </c>
      <c r="D997" s="1268">
        <f t="shared" si="472"/>
        <v>1238157</v>
      </c>
      <c r="E997" s="1310">
        <v>290012</v>
      </c>
      <c r="F997" s="1310">
        <v>388957</v>
      </c>
      <c r="G997" s="1310">
        <v>0</v>
      </c>
      <c r="H997" s="1310">
        <v>341735</v>
      </c>
      <c r="I997" s="1310">
        <v>0</v>
      </c>
      <c r="J997" s="1310">
        <v>217453</v>
      </c>
      <c r="K997" s="1308">
        <v>0</v>
      </c>
      <c r="L997" s="1310">
        <v>0</v>
      </c>
      <c r="M997" s="1308">
        <v>0</v>
      </c>
      <c r="N997" s="1310">
        <v>0</v>
      </c>
      <c r="O997" s="1310">
        <v>0</v>
      </c>
      <c r="P997" s="1310">
        <v>0</v>
      </c>
      <c r="Q997" s="1310">
        <v>0</v>
      </c>
      <c r="R997" s="1310">
        <v>0</v>
      </c>
      <c r="S997" s="1310">
        <v>0</v>
      </c>
      <c r="T997" s="1310">
        <v>0</v>
      </c>
      <c r="U997" s="1310">
        <v>0</v>
      </c>
      <c r="V997" s="1310">
        <v>0</v>
      </c>
      <c r="W997" s="1316">
        <v>0</v>
      </c>
      <c r="X997" s="1310">
        <v>0</v>
      </c>
      <c r="Y997" s="1316">
        <v>0</v>
      </c>
    </row>
    <row r="998" spans="1:25" s="1280" customFormat="1">
      <c r="A998" s="1352">
        <v>97</v>
      </c>
      <c r="B998" s="1267" t="s">
        <v>2087</v>
      </c>
      <c r="C998" s="1268">
        <f t="shared" si="473"/>
        <v>1431229</v>
      </c>
      <c r="D998" s="1268">
        <f t="shared" si="472"/>
        <v>1431229</v>
      </c>
      <c r="E998" s="1310">
        <v>347336</v>
      </c>
      <c r="F998" s="1310">
        <v>671569</v>
      </c>
      <c r="G998" s="1310">
        <v>0</v>
      </c>
      <c r="H998" s="1310">
        <v>0</v>
      </c>
      <c r="I998" s="1310">
        <v>412324</v>
      </c>
      <c r="J998" s="1310">
        <v>0</v>
      </c>
      <c r="K998" s="1308">
        <v>0</v>
      </c>
      <c r="L998" s="1310">
        <v>0</v>
      </c>
      <c r="M998" s="1308">
        <v>0</v>
      </c>
      <c r="N998" s="1310">
        <v>0</v>
      </c>
      <c r="O998" s="1310">
        <v>0</v>
      </c>
      <c r="P998" s="1310">
        <v>0</v>
      </c>
      <c r="Q998" s="1310">
        <v>0</v>
      </c>
      <c r="R998" s="1310">
        <v>0</v>
      </c>
      <c r="S998" s="1310">
        <v>0</v>
      </c>
      <c r="T998" s="1310">
        <v>0</v>
      </c>
      <c r="U998" s="1310">
        <v>0</v>
      </c>
      <c r="V998" s="1310">
        <v>0</v>
      </c>
      <c r="W998" s="1316">
        <v>0</v>
      </c>
      <c r="X998" s="1310">
        <v>0</v>
      </c>
      <c r="Y998" s="1316">
        <v>0</v>
      </c>
    </row>
    <row r="999" spans="1:25" s="1280" customFormat="1" ht="75.599999999999994">
      <c r="A999" s="1352">
        <v>98</v>
      </c>
      <c r="B999" s="1267" t="s">
        <v>2088</v>
      </c>
      <c r="C999" s="1268">
        <f t="shared" si="473"/>
        <v>1746684</v>
      </c>
      <c r="D999" s="1268">
        <f t="shared" si="472"/>
        <v>0</v>
      </c>
      <c r="E999" s="1310">
        <v>0</v>
      </c>
      <c r="F999" s="1310">
        <v>0</v>
      </c>
      <c r="G999" s="1310">
        <v>0</v>
      </c>
      <c r="H999" s="1310">
        <v>0</v>
      </c>
      <c r="I999" s="1310">
        <v>0</v>
      </c>
      <c r="J999" s="1310">
        <v>0</v>
      </c>
      <c r="K999" s="1308">
        <v>0</v>
      </c>
      <c r="L999" s="1310">
        <v>0</v>
      </c>
      <c r="M999" s="1308">
        <v>0</v>
      </c>
      <c r="N999" s="1310">
        <v>0</v>
      </c>
      <c r="O999" s="1310">
        <v>0</v>
      </c>
      <c r="P999" s="1310">
        <v>0</v>
      </c>
      <c r="Q999" s="1310">
        <v>0</v>
      </c>
      <c r="R999" s="1310">
        <v>0</v>
      </c>
      <c r="S999" s="1310">
        <v>1155.08</v>
      </c>
      <c r="T999" s="1310">
        <v>1746684</v>
      </c>
      <c r="U999" s="1310">
        <v>0</v>
      </c>
      <c r="V999" s="1310">
        <v>0</v>
      </c>
      <c r="W999" s="1316">
        <v>0</v>
      </c>
      <c r="X999" s="1310">
        <v>0</v>
      </c>
      <c r="Y999" s="1316">
        <v>0</v>
      </c>
    </row>
    <row r="1000" spans="1:25" s="1280" customFormat="1" ht="75.599999999999994">
      <c r="A1000" s="1352">
        <v>99</v>
      </c>
      <c r="B1000" s="1267" t="s">
        <v>2089</v>
      </c>
      <c r="C1000" s="1268">
        <f t="shared" si="473"/>
        <v>2579386</v>
      </c>
      <c r="D1000" s="1268">
        <f t="shared" si="472"/>
        <v>2579386</v>
      </c>
      <c r="E1000" s="1310">
        <v>0</v>
      </c>
      <c r="F1000" s="1310">
        <v>2579386</v>
      </c>
      <c r="G1000" s="1310">
        <v>0</v>
      </c>
      <c r="H1000" s="1310">
        <v>0</v>
      </c>
      <c r="I1000" s="1310">
        <v>0</v>
      </c>
      <c r="J1000" s="1310">
        <v>0</v>
      </c>
      <c r="K1000" s="1308">
        <v>0</v>
      </c>
      <c r="L1000" s="1310">
        <v>0</v>
      </c>
      <c r="M1000" s="1308">
        <v>0</v>
      </c>
      <c r="N1000" s="1310">
        <v>0</v>
      </c>
      <c r="O1000" s="1310">
        <v>0</v>
      </c>
      <c r="P1000" s="1310">
        <v>0</v>
      </c>
      <c r="Q1000" s="1310">
        <v>0</v>
      </c>
      <c r="R1000" s="1310">
        <v>0</v>
      </c>
      <c r="S1000" s="1310">
        <v>0</v>
      </c>
      <c r="T1000" s="1310">
        <v>0</v>
      </c>
      <c r="U1000" s="1310">
        <v>0</v>
      </c>
      <c r="V1000" s="1310">
        <v>0</v>
      </c>
      <c r="W1000" s="1316">
        <v>0</v>
      </c>
      <c r="X1000" s="1310">
        <v>0</v>
      </c>
      <c r="Y1000" s="1316">
        <v>0</v>
      </c>
    </row>
    <row r="1001" spans="1:25" s="1280" customFormat="1" ht="75.599999999999994">
      <c r="A1001" s="1352">
        <v>100</v>
      </c>
      <c r="B1001" s="1267" t="s">
        <v>2269</v>
      </c>
      <c r="C1001" s="1268">
        <f t="shared" si="473"/>
        <v>1911181</v>
      </c>
      <c r="D1001" s="1268">
        <f t="shared" si="472"/>
        <v>0</v>
      </c>
      <c r="E1001" s="1310">
        <v>0</v>
      </c>
      <c r="F1001" s="1310">
        <v>0</v>
      </c>
      <c r="G1001" s="1310">
        <v>0</v>
      </c>
      <c r="H1001" s="1310">
        <v>0</v>
      </c>
      <c r="I1001" s="1310">
        <v>0</v>
      </c>
      <c r="J1001" s="1310">
        <v>0</v>
      </c>
      <c r="K1001" s="1308">
        <v>0</v>
      </c>
      <c r="L1001" s="1310">
        <v>0</v>
      </c>
      <c r="M1001" s="1308">
        <v>0</v>
      </c>
      <c r="N1001" s="1310">
        <v>0</v>
      </c>
      <c r="O1001" s="1310">
        <v>1322.1</v>
      </c>
      <c r="P1001" s="1310">
        <v>1911181</v>
      </c>
      <c r="Q1001" s="1310">
        <v>0</v>
      </c>
      <c r="R1001" s="1310">
        <v>0</v>
      </c>
      <c r="S1001" s="1310">
        <v>0</v>
      </c>
      <c r="T1001" s="1310">
        <v>0</v>
      </c>
      <c r="U1001" s="1310">
        <v>0</v>
      </c>
      <c r="V1001" s="1310">
        <v>0</v>
      </c>
      <c r="W1001" s="1316">
        <v>0</v>
      </c>
      <c r="X1001" s="1310">
        <v>0</v>
      </c>
      <c r="Y1001" s="1316">
        <v>0</v>
      </c>
    </row>
    <row r="1002" spans="1:25" s="1280" customFormat="1">
      <c r="A1002" s="1352">
        <v>101</v>
      </c>
      <c r="B1002" s="1267" t="s">
        <v>2091</v>
      </c>
      <c r="C1002" s="1268">
        <f t="shared" si="473"/>
        <v>1459916</v>
      </c>
      <c r="D1002" s="1268">
        <f t="shared" si="472"/>
        <v>0</v>
      </c>
      <c r="E1002" s="1310">
        <v>0</v>
      </c>
      <c r="F1002" s="1310">
        <v>0</v>
      </c>
      <c r="G1002" s="1310">
        <v>0</v>
      </c>
      <c r="H1002" s="1310">
        <v>0</v>
      </c>
      <c r="I1002" s="1310">
        <v>0</v>
      </c>
      <c r="J1002" s="1310">
        <v>0</v>
      </c>
      <c r="K1002" s="1308">
        <v>0</v>
      </c>
      <c r="L1002" s="1310">
        <v>0</v>
      </c>
      <c r="M1002" s="1308">
        <v>0</v>
      </c>
      <c r="N1002" s="1310">
        <v>0</v>
      </c>
      <c r="O1002" s="1310">
        <v>578</v>
      </c>
      <c r="P1002" s="1310">
        <v>1459916</v>
      </c>
      <c r="Q1002" s="1310">
        <v>0</v>
      </c>
      <c r="R1002" s="1310">
        <v>0</v>
      </c>
      <c r="S1002" s="1310">
        <v>0</v>
      </c>
      <c r="T1002" s="1310">
        <v>0</v>
      </c>
      <c r="U1002" s="1310">
        <v>0</v>
      </c>
      <c r="V1002" s="1310">
        <v>0</v>
      </c>
      <c r="W1002" s="1316">
        <v>0</v>
      </c>
      <c r="X1002" s="1310">
        <v>0</v>
      </c>
      <c r="Y1002" s="1316">
        <v>0</v>
      </c>
    </row>
    <row r="1003" spans="1:25" s="1280" customFormat="1">
      <c r="A1003" s="1352">
        <v>102</v>
      </c>
      <c r="B1003" s="1267" t="s">
        <v>1716</v>
      </c>
      <c r="C1003" s="1268">
        <f t="shared" si="473"/>
        <v>20008526.870000001</v>
      </c>
      <c r="D1003" s="1268">
        <f t="shared" si="472"/>
        <v>20008526.870000001</v>
      </c>
      <c r="E1003" s="1355">
        <v>0</v>
      </c>
      <c r="F1003" s="1355">
        <v>20008526.870000001</v>
      </c>
      <c r="G1003" s="1355"/>
      <c r="H1003" s="1355"/>
      <c r="I1003" s="1355">
        <v>0</v>
      </c>
      <c r="J1003" s="1355"/>
      <c r="K1003" s="1278">
        <v>0</v>
      </c>
      <c r="L1003" s="1355"/>
      <c r="M1003" s="1278">
        <v>0</v>
      </c>
      <c r="N1003" s="1355"/>
      <c r="O1003" s="1355">
        <v>0</v>
      </c>
      <c r="P1003" s="1355"/>
      <c r="Q1003" s="1355">
        <v>0</v>
      </c>
      <c r="R1003" s="1355"/>
      <c r="S1003" s="1355">
        <v>0</v>
      </c>
      <c r="T1003" s="1355"/>
      <c r="U1003" s="1355">
        <v>0</v>
      </c>
      <c r="V1003" s="1281">
        <v>0</v>
      </c>
      <c r="W1003" s="1316">
        <v>0</v>
      </c>
      <c r="X1003" s="1355">
        <v>0</v>
      </c>
      <c r="Y1003" s="1355"/>
    </row>
    <row r="1004" spans="1:25" s="1280" customFormat="1" ht="75.599999999999994">
      <c r="A1004" s="1352">
        <v>103</v>
      </c>
      <c r="B1004" s="1267" t="s">
        <v>2092</v>
      </c>
      <c r="C1004" s="1268">
        <f t="shared" si="473"/>
        <v>3165212.46</v>
      </c>
      <c r="D1004" s="1268">
        <f t="shared" si="472"/>
        <v>0</v>
      </c>
      <c r="E1004" s="1310">
        <v>0</v>
      </c>
      <c r="F1004" s="1310">
        <v>0</v>
      </c>
      <c r="G1004" s="1310">
        <v>0</v>
      </c>
      <c r="H1004" s="1310">
        <v>0</v>
      </c>
      <c r="I1004" s="1310">
        <v>0</v>
      </c>
      <c r="J1004" s="1310">
        <v>0</v>
      </c>
      <c r="K1004" s="1308">
        <v>0</v>
      </c>
      <c r="L1004" s="1310">
        <v>0</v>
      </c>
      <c r="M1004" s="1308">
        <v>0</v>
      </c>
      <c r="N1004" s="1310">
        <v>0</v>
      </c>
      <c r="O1004" s="1310">
        <v>1164.9000000000001</v>
      </c>
      <c r="P1004" s="1310">
        <v>3165212.46</v>
      </c>
      <c r="Q1004" s="1310">
        <v>0</v>
      </c>
      <c r="R1004" s="1310">
        <v>0</v>
      </c>
      <c r="S1004" s="1310">
        <v>0</v>
      </c>
      <c r="T1004" s="1310">
        <v>0</v>
      </c>
      <c r="U1004" s="1310">
        <v>0</v>
      </c>
      <c r="V1004" s="1310">
        <v>0</v>
      </c>
      <c r="W1004" s="1316">
        <v>0</v>
      </c>
      <c r="X1004" s="1310">
        <v>0</v>
      </c>
      <c r="Y1004" s="1316">
        <v>0</v>
      </c>
    </row>
    <row r="1005" spans="1:25" s="1280" customFormat="1">
      <c r="A1005" s="1352">
        <v>104</v>
      </c>
      <c r="B1005" s="1267" t="s">
        <v>258</v>
      </c>
      <c r="C1005" s="1268">
        <f t="shared" si="473"/>
        <v>1168390</v>
      </c>
      <c r="D1005" s="1268">
        <f t="shared" si="472"/>
        <v>0</v>
      </c>
      <c r="E1005" s="1310">
        <v>0</v>
      </c>
      <c r="F1005" s="1310">
        <v>0</v>
      </c>
      <c r="G1005" s="1310">
        <v>0</v>
      </c>
      <c r="H1005" s="1310">
        <v>0</v>
      </c>
      <c r="I1005" s="1310">
        <v>0</v>
      </c>
      <c r="J1005" s="1310">
        <v>0</v>
      </c>
      <c r="K1005" s="1308">
        <v>0</v>
      </c>
      <c r="L1005" s="1310">
        <v>0</v>
      </c>
      <c r="M1005" s="1308">
        <v>0</v>
      </c>
      <c r="N1005" s="1310">
        <v>0</v>
      </c>
      <c r="O1005" s="1310">
        <v>0</v>
      </c>
      <c r="P1005" s="1310">
        <v>0</v>
      </c>
      <c r="Q1005" s="1310">
        <v>0</v>
      </c>
      <c r="R1005" s="1310">
        <v>0</v>
      </c>
      <c r="S1005" s="1310">
        <v>775</v>
      </c>
      <c r="T1005" s="1310">
        <v>1168390</v>
      </c>
      <c r="U1005" s="1310">
        <v>0</v>
      </c>
      <c r="V1005" s="1310">
        <v>0</v>
      </c>
      <c r="W1005" s="1316">
        <v>0</v>
      </c>
      <c r="X1005" s="1310">
        <v>0</v>
      </c>
      <c r="Y1005" s="1316">
        <v>0</v>
      </c>
    </row>
    <row r="1006" spans="1:25" s="1280" customFormat="1">
      <c r="A1006" s="1352">
        <v>105</v>
      </c>
      <c r="B1006" s="1267" t="s">
        <v>2249</v>
      </c>
      <c r="C1006" s="1268">
        <f t="shared" si="473"/>
        <v>2237907</v>
      </c>
      <c r="D1006" s="1268">
        <f t="shared" si="472"/>
        <v>0</v>
      </c>
      <c r="E1006" s="1268">
        <v>0</v>
      </c>
      <c r="F1006" s="1268">
        <v>0</v>
      </c>
      <c r="G1006" s="1268">
        <v>0</v>
      </c>
      <c r="H1006" s="1268">
        <v>0</v>
      </c>
      <c r="I1006" s="1268">
        <v>0</v>
      </c>
      <c r="J1006" s="1268">
        <v>0</v>
      </c>
      <c r="K1006" s="1278">
        <v>0</v>
      </c>
      <c r="L1006" s="1268">
        <v>0</v>
      </c>
      <c r="M1006" s="1278">
        <v>0</v>
      </c>
      <c r="N1006" s="1268">
        <v>0</v>
      </c>
      <c r="O1006" s="1268">
        <v>885.4</v>
      </c>
      <c r="P1006" s="1268">
        <v>2237907</v>
      </c>
      <c r="Q1006" s="1268">
        <v>0</v>
      </c>
      <c r="R1006" s="1268">
        <v>0</v>
      </c>
      <c r="S1006" s="1268">
        <v>0</v>
      </c>
      <c r="T1006" s="1268">
        <v>0</v>
      </c>
      <c r="U1006" s="1268">
        <v>0</v>
      </c>
      <c r="V1006" s="1268">
        <v>0</v>
      </c>
      <c r="W1006" s="1316">
        <v>0</v>
      </c>
      <c r="X1006" s="1268">
        <v>0</v>
      </c>
      <c r="Y1006" s="1316">
        <v>0</v>
      </c>
    </row>
    <row r="1007" spans="1:25" s="1280" customFormat="1">
      <c r="A1007" s="1352">
        <v>106</v>
      </c>
      <c r="B1007" s="1309" t="s">
        <v>2248</v>
      </c>
      <c r="C1007" s="1268">
        <f t="shared" si="473"/>
        <v>5139921</v>
      </c>
      <c r="D1007" s="1268">
        <f t="shared" si="472"/>
        <v>0</v>
      </c>
      <c r="E1007" s="1310">
        <v>0</v>
      </c>
      <c r="F1007" s="1310">
        <v>0</v>
      </c>
      <c r="G1007" s="1310">
        <v>0</v>
      </c>
      <c r="H1007" s="1310">
        <v>0</v>
      </c>
      <c r="I1007" s="1310">
        <v>0</v>
      </c>
      <c r="J1007" s="1310">
        <v>0</v>
      </c>
      <c r="K1007" s="1308">
        <v>0</v>
      </c>
      <c r="L1007" s="1310">
        <v>0</v>
      </c>
      <c r="M1007" s="1308">
        <v>0</v>
      </c>
      <c r="N1007" s="1310">
        <v>0</v>
      </c>
      <c r="O1007" s="1310">
        <v>618</v>
      </c>
      <c r="P1007" s="1310">
        <v>1579789</v>
      </c>
      <c r="Q1007" s="1310">
        <v>0</v>
      </c>
      <c r="R1007" s="1310">
        <v>0</v>
      </c>
      <c r="S1007" s="1310">
        <v>2308.9</v>
      </c>
      <c r="T1007" s="1310">
        <v>3560132</v>
      </c>
      <c r="U1007" s="1310">
        <v>0</v>
      </c>
      <c r="V1007" s="1310">
        <v>0</v>
      </c>
      <c r="W1007" s="1316">
        <v>0</v>
      </c>
      <c r="X1007" s="1310">
        <v>0</v>
      </c>
      <c r="Y1007" s="1316">
        <v>0</v>
      </c>
    </row>
    <row r="1008" spans="1:25" s="1280" customFormat="1">
      <c r="A1008" s="1352">
        <v>107</v>
      </c>
      <c r="B1008" s="1267" t="s">
        <v>2251</v>
      </c>
      <c r="C1008" s="1268">
        <f t="shared" si="473"/>
        <v>2540822</v>
      </c>
      <c r="D1008" s="1268">
        <f t="shared" si="472"/>
        <v>0</v>
      </c>
      <c r="E1008" s="1310">
        <v>0</v>
      </c>
      <c r="F1008" s="1310">
        <v>0</v>
      </c>
      <c r="G1008" s="1310">
        <v>0</v>
      </c>
      <c r="H1008" s="1310">
        <v>0</v>
      </c>
      <c r="I1008" s="1310">
        <v>0</v>
      </c>
      <c r="J1008" s="1310">
        <v>0</v>
      </c>
      <c r="K1008" s="1308">
        <v>0</v>
      </c>
      <c r="L1008" s="1310">
        <v>0</v>
      </c>
      <c r="M1008" s="1308">
        <v>0</v>
      </c>
      <c r="N1008" s="1310">
        <v>0</v>
      </c>
      <c r="O1008" s="1310">
        <v>0</v>
      </c>
      <c r="P1008" s="1310">
        <v>0</v>
      </c>
      <c r="Q1008" s="1310">
        <v>2950</v>
      </c>
      <c r="R1008" s="1310">
        <v>2540822</v>
      </c>
      <c r="S1008" s="1310">
        <v>0</v>
      </c>
      <c r="T1008" s="1310">
        <v>0</v>
      </c>
      <c r="U1008" s="1310">
        <v>0</v>
      </c>
      <c r="V1008" s="1310">
        <v>0</v>
      </c>
      <c r="W1008" s="1316">
        <v>0</v>
      </c>
      <c r="X1008" s="1310">
        <v>0</v>
      </c>
      <c r="Y1008" s="1316">
        <v>0</v>
      </c>
    </row>
    <row r="1009" spans="1:25" s="1280" customFormat="1">
      <c r="A1009" s="1352">
        <v>108</v>
      </c>
      <c r="B1009" s="1267" t="s">
        <v>2252</v>
      </c>
      <c r="C1009" s="1268">
        <f t="shared" si="473"/>
        <v>2518802</v>
      </c>
      <c r="D1009" s="1268">
        <f t="shared" si="472"/>
        <v>0</v>
      </c>
      <c r="E1009" s="1310">
        <v>0</v>
      </c>
      <c r="F1009" s="1310">
        <v>0</v>
      </c>
      <c r="G1009" s="1310">
        <v>0</v>
      </c>
      <c r="H1009" s="1310">
        <v>0</v>
      </c>
      <c r="I1009" s="1310">
        <v>0</v>
      </c>
      <c r="J1009" s="1310">
        <v>0</v>
      </c>
      <c r="K1009" s="1308">
        <v>0</v>
      </c>
      <c r="L1009" s="1310">
        <v>0</v>
      </c>
      <c r="M1009" s="1308">
        <v>0</v>
      </c>
      <c r="N1009" s="1310">
        <v>0</v>
      </c>
      <c r="O1009" s="1310">
        <v>927</v>
      </c>
      <c r="P1009" s="1310">
        <v>2518802</v>
      </c>
      <c r="Q1009" s="1310">
        <v>0</v>
      </c>
      <c r="R1009" s="1310">
        <v>0</v>
      </c>
      <c r="S1009" s="1310">
        <v>0</v>
      </c>
      <c r="T1009" s="1310">
        <v>0</v>
      </c>
      <c r="U1009" s="1310">
        <v>0</v>
      </c>
      <c r="V1009" s="1310">
        <v>0</v>
      </c>
      <c r="W1009" s="1316">
        <v>0</v>
      </c>
      <c r="X1009" s="1310">
        <v>0</v>
      </c>
      <c r="Y1009" s="1316">
        <v>0</v>
      </c>
    </row>
    <row r="1010" spans="1:25" s="1280" customFormat="1">
      <c r="A1010" s="1352">
        <v>109</v>
      </c>
      <c r="B1010" s="1267" t="s">
        <v>2250</v>
      </c>
      <c r="C1010" s="1268">
        <f t="shared" si="473"/>
        <v>2695344</v>
      </c>
      <c r="D1010" s="1268">
        <f t="shared" si="472"/>
        <v>0</v>
      </c>
      <c r="E1010" s="1310">
        <v>0</v>
      </c>
      <c r="F1010" s="1310">
        <v>0</v>
      </c>
      <c r="G1010" s="1310">
        <v>0</v>
      </c>
      <c r="H1010" s="1310">
        <v>0</v>
      </c>
      <c r="I1010" s="1310">
        <v>0</v>
      </c>
      <c r="J1010" s="1310">
        <v>0</v>
      </c>
      <c r="K1010" s="1308">
        <v>0</v>
      </c>
      <c r="L1010" s="1310">
        <v>0</v>
      </c>
      <c r="M1010" s="1308">
        <v>0</v>
      </c>
      <c r="N1010" s="1310">
        <v>0</v>
      </c>
      <c r="O1010" s="1310">
        <v>1070</v>
      </c>
      <c r="P1010" s="1310">
        <v>2695344</v>
      </c>
      <c r="Q1010" s="1310">
        <v>0</v>
      </c>
      <c r="R1010" s="1310">
        <v>0</v>
      </c>
      <c r="S1010" s="1310">
        <v>0</v>
      </c>
      <c r="T1010" s="1310">
        <v>0</v>
      </c>
      <c r="U1010" s="1310">
        <v>0</v>
      </c>
      <c r="V1010" s="1310">
        <v>0</v>
      </c>
      <c r="W1010" s="1316">
        <v>0</v>
      </c>
      <c r="X1010" s="1310">
        <v>0</v>
      </c>
      <c r="Y1010" s="1316">
        <v>0</v>
      </c>
    </row>
    <row r="1011" spans="1:25" s="1280" customFormat="1">
      <c r="A1011" s="1352">
        <v>110</v>
      </c>
      <c r="B1011" s="1267" t="s">
        <v>327</v>
      </c>
      <c r="C1011" s="1268">
        <f t="shared" si="473"/>
        <v>5491877</v>
      </c>
      <c r="D1011" s="1268">
        <f t="shared" si="472"/>
        <v>0</v>
      </c>
      <c r="E1011" s="1310">
        <v>0</v>
      </c>
      <c r="F1011" s="1310">
        <v>0</v>
      </c>
      <c r="G1011" s="1310">
        <v>0</v>
      </c>
      <c r="H1011" s="1310">
        <v>0</v>
      </c>
      <c r="I1011" s="1310">
        <v>0</v>
      </c>
      <c r="J1011" s="1310">
        <v>0</v>
      </c>
      <c r="K1011" s="1308">
        <v>0</v>
      </c>
      <c r="L1011" s="1310">
        <v>0</v>
      </c>
      <c r="M1011" s="1308">
        <v>0</v>
      </c>
      <c r="N1011" s="1310">
        <v>0</v>
      </c>
      <c r="O1011" s="1310">
        <v>2192.4</v>
      </c>
      <c r="P1011" s="1310">
        <v>5491877</v>
      </c>
      <c r="Q1011" s="1310">
        <v>0</v>
      </c>
      <c r="R1011" s="1310">
        <v>0</v>
      </c>
      <c r="S1011" s="1310">
        <v>0</v>
      </c>
      <c r="T1011" s="1310">
        <v>0</v>
      </c>
      <c r="U1011" s="1310">
        <v>0</v>
      </c>
      <c r="V1011" s="1310">
        <v>0</v>
      </c>
      <c r="W1011" s="1316">
        <v>0</v>
      </c>
      <c r="X1011" s="1310">
        <v>0</v>
      </c>
      <c r="Y1011" s="1316">
        <v>0</v>
      </c>
    </row>
    <row r="1012" spans="1:25" s="1280" customFormat="1" ht="75.599999999999994">
      <c r="A1012" s="1352">
        <v>111</v>
      </c>
      <c r="B1012" s="1267" t="s">
        <v>2233</v>
      </c>
      <c r="C1012" s="1268">
        <f t="shared" si="473"/>
        <v>1243453</v>
      </c>
      <c r="D1012" s="1268">
        <f t="shared" si="472"/>
        <v>1243453</v>
      </c>
      <c r="E1012" s="1310">
        <v>0</v>
      </c>
      <c r="F1012" s="1310">
        <v>0</v>
      </c>
      <c r="G1012" s="1310">
        <v>0</v>
      </c>
      <c r="H1012" s="1310">
        <v>754141</v>
      </c>
      <c r="I1012" s="1310">
        <v>0</v>
      </c>
      <c r="J1012" s="1310">
        <v>489312</v>
      </c>
      <c r="K1012" s="1308">
        <v>0</v>
      </c>
      <c r="L1012" s="1310">
        <v>0</v>
      </c>
      <c r="M1012" s="1308">
        <v>0</v>
      </c>
      <c r="N1012" s="1310">
        <v>0</v>
      </c>
      <c r="O1012" s="1310">
        <v>0</v>
      </c>
      <c r="P1012" s="1310">
        <v>0</v>
      </c>
      <c r="Q1012" s="1310">
        <v>0</v>
      </c>
      <c r="R1012" s="1310">
        <v>0</v>
      </c>
      <c r="S1012" s="1310">
        <v>0</v>
      </c>
      <c r="T1012" s="1310">
        <v>0</v>
      </c>
      <c r="U1012" s="1310">
        <v>0</v>
      </c>
      <c r="V1012" s="1310">
        <v>0</v>
      </c>
      <c r="W1012" s="1316">
        <v>0</v>
      </c>
      <c r="X1012" s="1310">
        <v>0</v>
      </c>
      <c r="Y1012" s="1316">
        <v>0</v>
      </c>
    </row>
    <row r="1013" spans="1:25" s="1280" customFormat="1">
      <c r="A1013" s="1352">
        <v>112</v>
      </c>
      <c r="B1013" s="1267" t="s">
        <v>2253</v>
      </c>
      <c r="C1013" s="1268">
        <f t="shared" si="473"/>
        <v>1219348</v>
      </c>
      <c r="D1013" s="1268">
        <f t="shared" si="472"/>
        <v>0</v>
      </c>
      <c r="E1013" s="1310">
        <v>0</v>
      </c>
      <c r="F1013" s="1310">
        <v>0</v>
      </c>
      <c r="G1013" s="1310">
        <v>0</v>
      </c>
      <c r="H1013" s="1310">
        <v>0</v>
      </c>
      <c r="I1013" s="1310">
        <v>0</v>
      </c>
      <c r="J1013" s="1310">
        <v>0</v>
      </c>
      <c r="K1013" s="1308">
        <v>0</v>
      </c>
      <c r="L1013" s="1310">
        <v>0</v>
      </c>
      <c r="M1013" s="1308">
        <v>0</v>
      </c>
      <c r="N1013" s="1310">
        <v>0</v>
      </c>
      <c r="O1013" s="1310">
        <v>379.8</v>
      </c>
      <c r="P1013" s="1310">
        <v>1219348</v>
      </c>
      <c r="Q1013" s="1310">
        <v>0</v>
      </c>
      <c r="R1013" s="1310">
        <v>0</v>
      </c>
      <c r="S1013" s="1310">
        <v>0</v>
      </c>
      <c r="T1013" s="1310">
        <v>0</v>
      </c>
      <c r="U1013" s="1310">
        <v>0</v>
      </c>
      <c r="V1013" s="1310">
        <v>0</v>
      </c>
      <c r="W1013" s="1316">
        <v>0</v>
      </c>
      <c r="X1013" s="1310">
        <v>0</v>
      </c>
      <c r="Y1013" s="1316">
        <v>0</v>
      </c>
    </row>
    <row r="1014" spans="1:25" s="1285" customFormat="1" ht="75.599999999999994">
      <c r="A1014" s="1352">
        <v>113</v>
      </c>
      <c r="B1014" s="1267" t="s">
        <v>2254</v>
      </c>
      <c r="C1014" s="1268">
        <f t="shared" si="473"/>
        <v>1772460</v>
      </c>
      <c r="D1014" s="1268">
        <f t="shared" si="472"/>
        <v>0</v>
      </c>
      <c r="E1014" s="1310">
        <v>0</v>
      </c>
      <c r="F1014" s="1310">
        <v>0</v>
      </c>
      <c r="G1014" s="1310">
        <v>0</v>
      </c>
      <c r="H1014" s="1310">
        <v>0</v>
      </c>
      <c r="I1014" s="1310">
        <v>0</v>
      </c>
      <c r="J1014" s="1310">
        <v>0</v>
      </c>
      <c r="K1014" s="1308">
        <v>0</v>
      </c>
      <c r="L1014" s="1310">
        <v>0</v>
      </c>
      <c r="M1014" s="1308">
        <v>0</v>
      </c>
      <c r="N1014" s="1310">
        <v>0</v>
      </c>
      <c r="O1014" s="1310">
        <v>550.79999999999995</v>
      </c>
      <c r="P1014" s="1310">
        <v>1772460</v>
      </c>
      <c r="Q1014" s="1310">
        <v>0</v>
      </c>
      <c r="R1014" s="1310">
        <v>0</v>
      </c>
      <c r="S1014" s="1310">
        <v>0</v>
      </c>
      <c r="T1014" s="1310">
        <v>0</v>
      </c>
      <c r="U1014" s="1310">
        <v>0</v>
      </c>
      <c r="V1014" s="1310">
        <v>0</v>
      </c>
      <c r="W1014" s="1316">
        <v>0</v>
      </c>
      <c r="X1014" s="1310">
        <v>0</v>
      </c>
      <c r="Y1014" s="1316">
        <v>0</v>
      </c>
    </row>
    <row r="1015" spans="1:25" s="1285" customFormat="1">
      <c r="A1015" s="1352">
        <v>114</v>
      </c>
      <c r="B1015" s="1267" t="s">
        <v>2255</v>
      </c>
      <c r="C1015" s="1268">
        <f t="shared" si="473"/>
        <v>1739484</v>
      </c>
      <c r="D1015" s="1268">
        <f t="shared" si="472"/>
        <v>0</v>
      </c>
      <c r="E1015" s="1310">
        <v>0</v>
      </c>
      <c r="F1015" s="1310">
        <v>0</v>
      </c>
      <c r="G1015" s="1310">
        <v>0</v>
      </c>
      <c r="H1015" s="1310">
        <v>0</v>
      </c>
      <c r="I1015" s="1310">
        <v>0</v>
      </c>
      <c r="J1015" s="1310">
        <v>0</v>
      </c>
      <c r="K1015" s="1308">
        <v>0</v>
      </c>
      <c r="L1015" s="1310">
        <v>0</v>
      </c>
      <c r="M1015" s="1308">
        <v>0</v>
      </c>
      <c r="N1015" s="1310">
        <v>0</v>
      </c>
      <c r="O1015" s="1310">
        <v>0</v>
      </c>
      <c r="P1015" s="1310">
        <v>0</v>
      </c>
      <c r="Q1015" s="1310">
        <v>0</v>
      </c>
      <c r="R1015" s="1310">
        <v>0</v>
      </c>
      <c r="S1015" s="1310">
        <v>653.70000000000005</v>
      </c>
      <c r="T1015" s="1310">
        <v>1739484</v>
      </c>
      <c r="U1015" s="1310">
        <v>0</v>
      </c>
      <c r="V1015" s="1310">
        <v>0</v>
      </c>
      <c r="W1015" s="1316">
        <v>0</v>
      </c>
      <c r="X1015" s="1310">
        <v>0</v>
      </c>
      <c r="Y1015" s="1316">
        <v>0</v>
      </c>
    </row>
    <row r="1016" spans="1:25" s="1285" customFormat="1">
      <c r="A1016" s="1352">
        <v>115</v>
      </c>
      <c r="B1016" s="1267" t="s">
        <v>2256</v>
      </c>
      <c r="C1016" s="1268">
        <f t="shared" si="473"/>
        <v>6145549</v>
      </c>
      <c r="D1016" s="1268">
        <f t="shared" si="472"/>
        <v>6145549</v>
      </c>
      <c r="E1016" s="1310">
        <v>0</v>
      </c>
      <c r="F1016" s="1310">
        <v>0</v>
      </c>
      <c r="G1016" s="1310">
        <v>0</v>
      </c>
      <c r="H1016" s="1310">
        <v>2996142</v>
      </c>
      <c r="I1016" s="1310">
        <v>3149407</v>
      </c>
      <c r="J1016" s="1310">
        <v>0</v>
      </c>
      <c r="K1016" s="1308">
        <v>0</v>
      </c>
      <c r="L1016" s="1310">
        <v>0</v>
      </c>
      <c r="M1016" s="1308">
        <v>0</v>
      </c>
      <c r="N1016" s="1310">
        <v>0</v>
      </c>
      <c r="O1016" s="1310">
        <v>0</v>
      </c>
      <c r="P1016" s="1310">
        <v>0</v>
      </c>
      <c r="Q1016" s="1310">
        <v>0</v>
      </c>
      <c r="R1016" s="1310">
        <v>0</v>
      </c>
      <c r="S1016" s="1310">
        <v>0</v>
      </c>
      <c r="T1016" s="1310">
        <v>0</v>
      </c>
      <c r="U1016" s="1310">
        <v>0</v>
      </c>
      <c r="V1016" s="1310">
        <v>0</v>
      </c>
      <c r="W1016" s="1316">
        <v>0</v>
      </c>
      <c r="X1016" s="1310">
        <v>0</v>
      </c>
      <c r="Y1016" s="1316">
        <v>0</v>
      </c>
    </row>
    <row r="1017" spans="1:25" s="1285" customFormat="1">
      <c r="A1017" s="1352">
        <v>116</v>
      </c>
      <c r="B1017" s="1267" t="s">
        <v>2257</v>
      </c>
      <c r="C1017" s="1268">
        <f t="shared" si="473"/>
        <v>2668650</v>
      </c>
      <c r="D1017" s="1268">
        <f t="shared" si="472"/>
        <v>0</v>
      </c>
      <c r="E1017" s="1310">
        <v>0</v>
      </c>
      <c r="F1017" s="1310">
        <v>0</v>
      </c>
      <c r="G1017" s="1310">
        <v>0</v>
      </c>
      <c r="H1017" s="1310">
        <v>0</v>
      </c>
      <c r="I1017" s="1310">
        <v>0</v>
      </c>
      <c r="J1017" s="1310">
        <v>0</v>
      </c>
      <c r="K1017" s="1308">
        <v>0</v>
      </c>
      <c r="L1017" s="1310">
        <v>0</v>
      </c>
      <c r="M1017" s="1308">
        <v>0</v>
      </c>
      <c r="N1017" s="1310">
        <v>0</v>
      </c>
      <c r="O1017" s="1310">
        <v>1066</v>
      </c>
      <c r="P1017" s="1310">
        <v>2668650</v>
      </c>
      <c r="Q1017" s="1310">
        <v>0</v>
      </c>
      <c r="R1017" s="1310">
        <v>0</v>
      </c>
      <c r="S1017" s="1310">
        <v>0</v>
      </c>
      <c r="T1017" s="1310">
        <v>0</v>
      </c>
      <c r="U1017" s="1310">
        <v>0</v>
      </c>
      <c r="V1017" s="1310">
        <v>0</v>
      </c>
      <c r="W1017" s="1316">
        <v>0</v>
      </c>
      <c r="X1017" s="1310">
        <v>0</v>
      </c>
      <c r="Y1017" s="1316">
        <v>0</v>
      </c>
    </row>
    <row r="1018" spans="1:25" s="1285" customFormat="1" ht="75.599999999999994">
      <c r="A1018" s="1352">
        <v>117</v>
      </c>
      <c r="B1018" s="1267" t="s">
        <v>2508</v>
      </c>
      <c r="C1018" s="1268">
        <f t="shared" si="473"/>
        <v>4485650</v>
      </c>
      <c r="D1018" s="1268">
        <f t="shared" si="472"/>
        <v>0</v>
      </c>
      <c r="E1018" s="1310">
        <v>0</v>
      </c>
      <c r="F1018" s="1310">
        <v>0</v>
      </c>
      <c r="G1018" s="1310">
        <v>0</v>
      </c>
      <c r="H1018" s="1310">
        <v>0</v>
      </c>
      <c r="I1018" s="1310">
        <v>0</v>
      </c>
      <c r="J1018" s="1310">
        <v>0</v>
      </c>
      <c r="K1018" s="1308">
        <v>0</v>
      </c>
      <c r="L1018" s="1310">
        <v>0</v>
      </c>
      <c r="M1018" s="1308">
        <v>0</v>
      </c>
      <c r="N1018" s="1310">
        <v>0</v>
      </c>
      <c r="O1018" s="1310">
        <v>1789</v>
      </c>
      <c r="P1018" s="1310">
        <v>4485650</v>
      </c>
      <c r="Q1018" s="1310">
        <v>0</v>
      </c>
      <c r="R1018" s="1310">
        <v>0</v>
      </c>
      <c r="S1018" s="1310">
        <v>0</v>
      </c>
      <c r="T1018" s="1310">
        <v>0</v>
      </c>
      <c r="U1018" s="1310">
        <v>0</v>
      </c>
      <c r="V1018" s="1310">
        <v>0</v>
      </c>
      <c r="W1018" s="1316">
        <v>0</v>
      </c>
      <c r="X1018" s="1310">
        <v>0</v>
      </c>
      <c r="Y1018" s="1316">
        <v>0</v>
      </c>
    </row>
    <row r="1019" spans="1:25" s="1285" customFormat="1">
      <c r="A1019" s="1352">
        <v>118</v>
      </c>
      <c r="B1019" s="1267" t="s">
        <v>1683</v>
      </c>
      <c r="C1019" s="1268">
        <f t="shared" si="473"/>
        <v>1321814</v>
      </c>
      <c r="D1019" s="1268">
        <f t="shared" si="472"/>
        <v>0</v>
      </c>
      <c r="E1019" s="1310">
        <v>0</v>
      </c>
      <c r="F1019" s="1310">
        <v>0</v>
      </c>
      <c r="G1019" s="1310">
        <v>0</v>
      </c>
      <c r="H1019" s="1310">
        <v>0</v>
      </c>
      <c r="I1019" s="1310">
        <v>0</v>
      </c>
      <c r="J1019" s="1310">
        <v>0</v>
      </c>
      <c r="K1019" s="1308">
        <v>0</v>
      </c>
      <c r="L1019" s="1310">
        <v>0</v>
      </c>
      <c r="M1019" s="1308">
        <v>0</v>
      </c>
      <c r="N1019" s="1310">
        <v>0</v>
      </c>
      <c r="O1019" s="1310">
        <v>522.6</v>
      </c>
      <c r="P1019" s="1310">
        <v>1321814</v>
      </c>
      <c r="Q1019" s="1310">
        <v>0</v>
      </c>
      <c r="R1019" s="1310">
        <v>0</v>
      </c>
      <c r="S1019" s="1310">
        <v>0</v>
      </c>
      <c r="T1019" s="1310">
        <v>0</v>
      </c>
      <c r="U1019" s="1310">
        <v>0</v>
      </c>
      <c r="V1019" s="1310">
        <v>0</v>
      </c>
      <c r="W1019" s="1316">
        <v>0</v>
      </c>
      <c r="X1019" s="1310">
        <v>0</v>
      </c>
      <c r="Y1019" s="1316">
        <v>0</v>
      </c>
    </row>
    <row r="1020" spans="1:25" s="1285" customFormat="1" ht="75.599999999999994">
      <c r="A1020" s="1352">
        <v>119</v>
      </c>
      <c r="B1020" s="1267" t="s">
        <v>2509</v>
      </c>
      <c r="C1020" s="1268">
        <f t="shared" si="473"/>
        <v>1685452.24</v>
      </c>
      <c r="D1020" s="1268">
        <f t="shared" si="472"/>
        <v>1685452.24</v>
      </c>
      <c r="E1020" s="1310">
        <v>0</v>
      </c>
      <c r="F1020" s="1310">
        <v>992918.75</v>
      </c>
      <c r="G1020" s="1310">
        <v>0</v>
      </c>
      <c r="H1020" s="1310">
        <v>226980</v>
      </c>
      <c r="I1020" s="1310">
        <v>322025.49</v>
      </c>
      <c r="J1020" s="1310">
        <v>143528</v>
      </c>
      <c r="K1020" s="1308">
        <v>0</v>
      </c>
      <c r="L1020" s="1310">
        <v>0</v>
      </c>
      <c r="M1020" s="1308">
        <v>0</v>
      </c>
      <c r="N1020" s="1310">
        <v>0</v>
      </c>
      <c r="O1020" s="1310">
        <v>0</v>
      </c>
      <c r="P1020" s="1310">
        <v>0</v>
      </c>
      <c r="Q1020" s="1310">
        <v>0</v>
      </c>
      <c r="R1020" s="1310">
        <v>0</v>
      </c>
      <c r="S1020" s="1310">
        <v>0</v>
      </c>
      <c r="T1020" s="1310">
        <v>0</v>
      </c>
      <c r="U1020" s="1310">
        <v>0</v>
      </c>
      <c r="V1020" s="1310">
        <v>0</v>
      </c>
      <c r="W1020" s="1316">
        <v>0</v>
      </c>
      <c r="X1020" s="1310">
        <v>0</v>
      </c>
      <c r="Y1020" s="1316">
        <v>0</v>
      </c>
    </row>
    <row r="1021" spans="1:25" s="1285" customFormat="1" ht="75.599999999999994">
      <c r="A1021" s="1352">
        <v>120</v>
      </c>
      <c r="B1021" s="1267" t="s">
        <v>2511</v>
      </c>
      <c r="C1021" s="1268">
        <f t="shared" si="473"/>
        <v>1752447</v>
      </c>
      <c r="D1021" s="1268">
        <f t="shared" si="472"/>
        <v>238431</v>
      </c>
      <c r="E1021" s="1310">
        <v>0</v>
      </c>
      <c r="F1021" s="1310">
        <v>0</v>
      </c>
      <c r="G1021" s="1310">
        <v>0</v>
      </c>
      <c r="H1021" s="1310">
        <v>0</v>
      </c>
      <c r="I1021" s="1310">
        <v>0</v>
      </c>
      <c r="J1021" s="1310">
        <v>238431</v>
      </c>
      <c r="K1021" s="1308">
        <v>0</v>
      </c>
      <c r="L1021" s="1310">
        <v>0</v>
      </c>
      <c r="M1021" s="1308">
        <v>0</v>
      </c>
      <c r="N1021" s="1310">
        <v>0</v>
      </c>
      <c r="O1021" s="1310">
        <v>0</v>
      </c>
      <c r="P1021" s="1310">
        <v>0</v>
      </c>
      <c r="Q1021" s="1310">
        <v>0</v>
      </c>
      <c r="R1021" s="1310">
        <v>0</v>
      </c>
      <c r="S1021" s="1310">
        <v>992.95</v>
      </c>
      <c r="T1021" s="1310">
        <v>1514016</v>
      </c>
      <c r="U1021" s="1310">
        <v>0</v>
      </c>
      <c r="V1021" s="1310">
        <v>0</v>
      </c>
      <c r="W1021" s="1316">
        <v>0</v>
      </c>
      <c r="X1021" s="1310">
        <v>0</v>
      </c>
      <c r="Y1021" s="1316">
        <v>0</v>
      </c>
    </row>
    <row r="1022" spans="1:25" s="1285" customFormat="1" ht="75.599999999999994">
      <c r="A1022" s="1352">
        <v>121</v>
      </c>
      <c r="B1022" s="1267" t="s">
        <v>2510</v>
      </c>
      <c r="C1022" s="1268">
        <f t="shared" si="473"/>
        <v>1664986</v>
      </c>
      <c r="D1022" s="1268">
        <f t="shared" si="472"/>
        <v>0</v>
      </c>
      <c r="E1022" s="1310">
        <v>0</v>
      </c>
      <c r="F1022" s="1310">
        <v>0</v>
      </c>
      <c r="G1022" s="1310">
        <v>0</v>
      </c>
      <c r="H1022" s="1310">
        <v>0</v>
      </c>
      <c r="I1022" s="1310">
        <v>0</v>
      </c>
      <c r="J1022" s="1310">
        <v>0</v>
      </c>
      <c r="K1022" s="1308">
        <v>0</v>
      </c>
      <c r="L1022" s="1310">
        <v>0</v>
      </c>
      <c r="M1022" s="1308">
        <v>0</v>
      </c>
      <c r="N1022" s="1310">
        <v>0</v>
      </c>
      <c r="O1022" s="1310">
        <v>654.79</v>
      </c>
      <c r="P1022" s="1310">
        <v>1664986</v>
      </c>
      <c r="Q1022" s="1310">
        <v>0</v>
      </c>
      <c r="R1022" s="1310">
        <v>0</v>
      </c>
      <c r="S1022" s="1310">
        <v>0</v>
      </c>
      <c r="T1022" s="1310">
        <v>0</v>
      </c>
      <c r="U1022" s="1310">
        <v>0</v>
      </c>
      <c r="V1022" s="1310">
        <v>0</v>
      </c>
      <c r="W1022" s="1316">
        <v>0</v>
      </c>
      <c r="X1022" s="1310">
        <v>0</v>
      </c>
      <c r="Y1022" s="1316">
        <v>0</v>
      </c>
    </row>
    <row r="1023" spans="1:25" s="1285" customFormat="1">
      <c r="A1023" s="1352">
        <v>122</v>
      </c>
      <c r="B1023" s="1267" t="s">
        <v>2096</v>
      </c>
      <c r="C1023" s="1268">
        <f t="shared" si="473"/>
        <v>2509708</v>
      </c>
      <c r="D1023" s="1268">
        <f t="shared" si="472"/>
        <v>0</v>
      </c>
      <c r="E1023" s="1310">
        <v>0</v>
      </c>
      <c r="F1023" s="1310">
        <v>0</v>
      </c>
      <c r="G1023" s="1310">
        <v>0</v>
      </c>
      <c r="H1023" s="1310">
        <v>0</v>
      </c>
      <c r="I1023" s="1310">
        <v>0</v>
      </c>
      <c r="J1023" s="1310">
        <v>0</v>
      </c>
      <c r="K1023" s="1308">
        <v>0</v>
      </c>
      <c r="L1023" s="1310">
        <v>0</v>
      </c>
      <c r="M1023" s="1308">
        <v>0</v>
      </c>
      <c r="N1023" s="1310">
        <v>0</v>
      </c>
      <c r="O1023" s="1310">
        <v>770.8</v>
      </c>
      <c r="P1023" s="1310">
        <v>2509708</v>
      </c>
      <c r="Q1023" s="1310">
        <v>0</v>
      </c>
      <c r="R1023" s="1310">
        <v>0</v>
      </c>
      <c r="S1023" s="1310">
        <v>0</v>
      </c>
      <c r="T1023" s="1310">
        <v>0</v>
      </c>
      <c r="U1023" s="1310">
        <v>0</v>
      </c>
      <c r="V1023" s="1310">
        <v>0</v>
      </c>
      <c r="W1023" s="1316">
        <v>0</v>
      </c>
      <c r="X1023" s="1310">
        <v>0</v>
      </c>
      <c r="Y1023" s="1316">
        <v>0</v>
      </c>
    </row>
    <row r="1024" spans="1:25" s="1285" customFormat="1" ht="75.599999999999994">
      <c r="A1024" s="1352">
        <v>123</v>
      </c>
      <c r="B1024" s="1267" t="s">
        <v>2512</v>
      </c>
      <c r="C1024" s="1268">
        <f t="shared" si="473"/>
        <v>2139068.59</v>
      </c>
      <c r="D1024" s="1268">
        <f t="shared" si="472"/>
        <v>0</v>
      </c>
      <c r="E1024" s="1310">
        <v>0</v>
      </c>
      <c r="F1024" s="1310">
        <v>0</v>
      </c>
      <c r="G1024" s="1310">
        <v>0</v>
      </c>
      <c r="H1024" s="1310">
        <v>0</v>
      </c>
      <c r="I1024" s="1310">
        <v>0</v>
      </c>
      <c r="J1024" s="1310">
        <v>0</v>
      </c>
      <c r="K1024" s="1308">
        <v>0</v>
      </c>
      <c r="L1024" s="1310">
        <v>0</v>
      </c>
      <c r="M1024" s="1308">
        <v>0</v>
      </c>
      <c r="N1024" s="1310">
        <v>0</v>
      </c>
      <c r="O1024" s="1310">
        <v>632</v>
      </c>
      <c r="P1024" s="1310">
        <v>2139068.59</v>
      </c>
      <c r="Q1024" s="1310">
        <v>0</v>
      </c>
      <c r="R1024" s="1310">
        <v>0</v>
      </c>
      <c r="S1024" s="1310">
        <v>0</v>
      </c>
      <c r="T1024" s="1310">
        <v>0</v>
      </c>
      <c r="U1024" s="1310">
        <v>0</v>
      </c>
      <c r="V1024" s="1310">
        <v>0</v>
      </c>
      <c r="W1024" s="1316">
        <v>0</v>
      </c>
      <c r="X1024" s="1310">
        <v>0</v>
      </c>
      <c r="Y1024" s="1316">
        <v>0</v>
      </c>
    </row>
    <row r="1025" spans="1:25" s="1285" customFormat="1">
      <c r="A1025" s="1352">
        <v>124</v>
      </c>
      <c r="B1025" s="1267" t="s">
        <v>2098</v>
      </c>
      <c r="C1025" s="1268">
        <f t="shared" si="473"/>
        <v>899225</v>
      </c>
      <c r="D1025" s="1268">
        <f t="shared" si="472"/>
        <v>899225</v>
      </c>
      <c r="E1025" s="1310">
        <v>0</v>
      </c>
      <c r="F1025" s="1310">
        <v>0</v>
      </c>
      <c r="G1025" s="1310">
        <v>0</v>
      </c>
      <c r="H1025" s="1310">
        <v>0</v>
      </c>
      <c r="I1025" s="1310">
        <v>0</v>
      </c>
      <c r="J1025" s="1310">
        <v>899225</v>
      </c>
      <c r="K1025" s="1308">
        <v>0</v>
      </c>
      <c r="L1025" s="1310">
        <v>0</v>
      </c>
      <c r="M1025" s="1308">
        <v>0</v>
      </c>
      <c r="N1025" s="1310">
        <v>0</v>
      </c>
      <c r="O1025" s="1310">
        <v>0</v>
      </c>
      <c r="P1025" s="1310">
        <v>0</v>
      </c>
      <c r="Q1025" s="1310">
        <v>0</v>
      </c>
      <c r="R1025" s="1310">
        <v>0</v>
      </c>
      <c r="S1025" s="1310">
        <v>0</v>
      </c>
      <c r="T1025" s="1310">
        <v>0</v>
      </c>
      <c r="U1025" s="1310">
        <v>0</v>
      </c>
      <c r="V1025" s="1310">
        <v>0</v>
      </c>
      <c r="W1025" s="1316">
        <v>0</v>
      </c>
      <c r="X1025" s="1310">
        <v>0</v>
      </c>
      <c r="Y1025" s="1316">
        <v>0</v>
      </c>
    </row>
    <row r="1026" spans="1:25" s="1286" customFormat="1" ht="75.599999999999994">
      <c r="A1026" s="1352">
        <v>125</v>
      </c>
      <c r="B1026" s="1267" t="s">
        <v>2099</v>
      </c>
      <c r="C1026" s="1268">
        <f t="shared" si="473"/>
        <v>8338382</v>
      </c>
      <c r="D1026" s="1268">
        <f t="shared" si="472"/>
        <v>8338382</v>
      </c>
      <c r="E1026" s="1310">
        <v>0</v>
      </c>
      <c r="F1026" s="1310">
        <v>8338382</v>
      </c>
      <c r="G1026" s="1310">
        <v>0</v>
      </c>
      <c r="H1026" s="1310">
        <v>0</v>
      </c>
      <c r="I1026" s="1310">
        <v>0</v>
      </c>
      <c r="J1026" s="1310">
        <v>0</v>
      </c>
      <c r="K1026" s="1308">
        <v>0</v>
      </c>
      <c r="L1026" s="1310">
        <v>0</v>
      </c>
      <c r="M1026" s="1308">
        <v>0</v>
      </c>
      <c r="N1026" s="1310">
        <v>0</v>
      </c>
      <c r="O1026" s="1310">
        <v>0</v>
      </c>
      <c r="P1026" s="1310">
        <v>0</v>
      </c>
      <c r="Q1026" s="1310">
        <v>0</v>
      </c>
      <c r="R1026" s="1310">
        <v>0</v>
      </c>
      <c r="S1026" s="1310">
        <v>0</v>
      </c>
      <c r="T1026" s="1310">
        <v>0</v>
      </c>
      <c r="U1026" s="1310">
        <v>0</v>
      </c>
      <c r="V1026" s="1310">
        <v>0</v>
      </c>
      <c r="W1026" s="1316">
        <v>0</v>
      </c>
      <c r="X1026" s="1310">
        <v>0</v>
      </c>
      <c r="Y1026" s="1316">
        <v>0</v>
      </c>
    </row>
    <row r="1027" spans="1:25" s="1285" customFormat="1" ht="75.599999999999994">
      <c r="A1027" s="1352">
        <v>126</v>
      </c>
      <c r="B1027" s="1267" t="s">
        <v>314</v>
      </c>
      <c r="C1027" s="1268">
        <f t="shared" si="473"/>
        <v>1750958</v>
      </c>
      <c r="D1027" s="1268">
        <f t="shared" si="472"/>
        <v>0</v>
      </c>
      <c r="E1027" s="1310">
        <v>0</v>
      </c>
      <c r="F1027" s="1310">
        <v>0</v>
      </c>
      <c r="G1027" s="1310">
        <v>0</v>
      </c>
      <c r="H1027" s="1310">
        <v>0</v>
      </c>
      <c r="I1027" s="1310">
        <v>0</v>
      </c>
      <c r="J1027" s="1310">
        <v>0</v>
      </c>
      <c r="K1027" s="1308">
        <v>0</v>
      </c>
      <c r="L1027" s="1310">
        <v>0</v>
      </c>
      <c r="M1027" s="1308">
        <v>0</v>
      </c>
      <c r="N1027" s="1310">
        <v>0</v>
      </c>
      <c r="O1027" s="1310">
        <v>0</v>
      </c>
      <c r="P1027" s="1310">
        <v>0</v>
      </c>
      <c r="Q1027" s="1310">
        <v>0</v>
      </c>
      <c r="R1027" s="1310">
        <v>0</v>
      </c>
      <c r="S1027" s="1310">
        <v>1142.5999999999999</v>
      </c>
      <c r="T1027" s="1310">
        <v>1750958</v>
      </c>
      <c r="U1027" s="1310">
        <v>0</v>
      </c>
      <c r="V1027" s="1310">
        <v>0</v>
      </c>
      <c r="W1027" s="1316">
        <v>0</v>
      </c>
      <c r="X1027" s="1310">
        <v>0</v>
      </c>
      <c r="Y1027" s="1316">
        <v>0</v>
      </c>
    </row>
    <row r="1028" spans="1:25" s="1280" customFormat="1">
      <c r="A1028" s="1352">
        <v>127</v>
      </c>
      <c r="B1028" s="1267" t="s">
        <v>2270</v>
      </c>
      <c r="C1028" s="1268">
        <f t="shared" si="473"/>
        <v>3804226</v>
      </c>
      <c r="D1028" s="1268">
        <f t="shared" si="472"/>
        <v>3804226</v>
      </c>
      <c r="E1028" s="1310">
        <v>0</v>
      </c>
      <c r="F1028" s="1310">
        <v>3804226</v>
      </c>
      <c r="G1028" s="1310">
        <v>0</v>
      </c>
      <c r="H1028" s="1310">
        <v>0</v>
      </c>
      <c r="I1028" s="1310">
        <v>0</v>
      </c>
      <c r="J1028" s="1310">
        <v>0</v>
      </c>
      <c r="K1028" s="1308">
        <v>0</v>
      </c>
      <c r="L1028" s="1310">
        <v>0</v>
      </c>
      <c r="M1028" s="1308">
        <v>0</v>
      </c>
      <c r="N1028" s="1310">
        <v>0</v>
      </c>
      <c r="O1028" s="1310">
        <v>0</v>
      </c>
      <c r="P1028" s="1310">
        <v>0</v>
      </c>
      <c r="Q1028" s="1310">
        <v>0</v>
      </c>
      <c r="R1028" s="1310">
        <v>0</v>
      </c>
      <c r="S1028" s="1310">
        <v>0</v>
      </c>
      <c r="T1028" s="1310">
        <v>0</v>
      </c>
      <c r="U1028" s="1310">
        <v>0</v>
      </c>
      <c r="V1028" s="1310">
        <v>0</v>
      </c>
      <c r="W1028" s="1316">
        <v>0</v>
      </c>
      <c r="X1028" s="1310">
        <v>0</v>
      </c>
      <c r="Y1028" s="1316">
        <v>0</v>
      </c>
    </row>
    <row r="1029" spans="1:25" s="1280" customFormat="1" ht="75.599999999999994">
      <c r="A1029" s="1352">
        <v>128</v>
      </c>
      <c r="B1029" s="1267" t="s">
        <v>2271</v>
      </c>
      <c r="C1029" s="1268">
        <f t="shared" si="473"/>
        <v>2741799</v>
      </c>
      <c r="D1029" s="1268">
        <f t="shared" si="472"/>
        <v>0</v>
      </c>
      <c r="E1029" s="1310">
        <v>0</v>
      </c>
      <c r="F1029" s="1310">
        <v>0</v>
      </c>
      <c r="G1029" s="1310">
        <v>0</v>
      </c>
      <c r="H1029" s="1310">
        <v>0</v>
      </c>
      <c r="I1029" s="1310">
        <v>0</v>
      </c>
      <c r="J1029" s="1310">
        <v>0</v>
      </c>
      <c r="K1029" s="1308">
        <v>0</v>
      </c>
      <c r="L1029" s="1310">
        <v>0</v>
      </c>
      <c r="M1029" s="1308">
        <v>0</v>
      </c>
      <c r="N1029" s="1310">
        <v>0</v>
      </c>
      <c r="O1029" s="1310">
        <v>1111.3</v>
      </c>
      <c r="P1029" s="1310">
        <v>2741799</v>
      </c>
      <c r="Q1029" s="1310">
        <v>0</v>
      </c>
      <c r="R1029" s="1310">
        <v>0</v>
      </c>
      <c r="S1029" s="1310">
        <v>0</v>
      </c>
      <c r="T1029" s="1310">
        <v>0</v>
      </c>
      <c r="U1029" s="1310">
        <v>0</v>
      </c>
      <c r="V1029" s="1310">
        <v>0</v>
      </c>
      <c r="W1029" s="1316">
        <v>0</v>
      </c>
      <c r="X1029" s="1310">
        <v>0</v>
      </c>
      <c r="Y1029" s="1316">
        <v>0</v>
      </c>
    </row>
    <row r="1030" spans="1:25" s="1280" customFormat="1" ht="75.599999999999994">
      <c r="A1030" s="1352">
        <v>129</v>
      </c>
      <c r="B1030" s="1267" t="s">
        <v>2103</v>
      </c>
      <c r="C1030" s="1268">
        <f t="shared" si="473"/>
        <v>3094009</v>
      </c>
      <c r="D1030" s="1268">
        <f t="shared" ref="D1030:D1093" si="474">SUM(E1030:J1030)</f>
        <v>0</v>
      </c>
      <c r="E1030" s="1310">
        <v>0</v>
      </c>
      <c r="F1030" s="1310">
        <v>0</v>
      </c>
      <c r="G1030" s="1310">
        <v>0</v>
      </c>
      <c r="H1030" s="1310">
        <v>0</v>
      </c>
      <c r="I1030" s="1310">
        <v>0</v>
      </c>
      <c r="J1030" s="1310">
        <v>0</v>
      </c>
      <c r="K1030" s="1308">
        <v>0</v>
      </c>
      <c r="L1030" s="1310">
        <v>0</v>
      </c>
      <c r="M1030" s="1308">
        <v>0</v>
      </c>
      <c r="N1030" s="1310">
        <v>0</v>
      </c>
      <c r="O1030" s="1310">
        <v>1237.19</v>
      </c>
      <c r="P1030" s="1310">
        <v>3094009</v>
      </c>
      <c r="Q1030" s="1310">
        <v>0</v>
      </c>
      <c r="R1030" s="1310">
        <v>0</v>
      </c>
      <c r="S1030" s="1310">
        <v>0</v>
      </c>
      <c r="T1030" s="1310">
        <v>0</v>
      </c>
      <c r="U1030" s="1310">
        <v>0</v>
      </c>
      <c r="V1030" s="1310">
        <v>0</v>
      </c>
      <c r="W1030" s="1316">
        <v>0</v>
      </c>
      <c r="X1030" s="1310">
        <v>0</v>
      </c>
      <c r="Y1030" s="1316">
        <v>0</v>
      </c>
    </row>
    <row r="1031" spans="1:25" s="1280" customFormat="1" ht="75.599999999999994">
      <c r="A1031" s="1352">
        <v>130</v>
      </c>
      <c r="B1031" s="1267" t="s">
        <v>2320</v>
      </c>
      <c r="C1031" s="1268">
        <f t="shared" ref="C1031:C1094" si="475">D1031+N1031+P1031+R1031+T1031+V1031+Y1031+L1031+X1031</f>
        <v>5209814</v>
      </c>
      <c r="D1031" s="1268">
        <f t="shared" si="474"/>
        <v>0</v>
      </c>
      <c r="E1031" s="1310">
        <v>0</v>
      </c>
      <c r="F1031" s="1310">
        <v>0</v>
      </c>
      <c r="G1031" s="1310">
        <v>0</v>
      </c>
      <c r="H1031" s="1310">
        <v>0</v>
      </c>
      <c r="I1031" s="1310">
        <v>0</v>
      </c>
      <c r="J1031" s="1310">
        <v>0</v>
      </c>
      <c r="K1031" s="1308">
        <v>0</v>
      </c>
      <c r="L1031" s="1310">
        <v>0</v>
      </c>
      <c r="M1031" s="1308">
        <v>0</v>
      </c>
      <c r="N1031" s="1310">
        <v>0</v>
      </c>
      <c r="O1031" s="1310">
        <v>2089.3000000000002</v>
      </c>
      <c r="P1031" s="1310">
        <v>5209814</v>
      </c>
      <c r="Q1031" s="1310">
        <v>0</v>
      </c>
      <c r="R1031" s="1310">
        <v>0</v>
      </c>
      <c r="S1031" s="1310">
        <v>0</v>
      </c>
      <c r="T1031" s="1310">
        <v>0</v>
      </c>
      <c r="U1031" s="1310">
        <v>0</v>
      </c>
      <c r="V1031" s="1310">
        <v>0</v>
      </c>
      <c r="W1031" s="1316">
        <v>0</v>
      </c>
      <c r="X1031" s="1310">
        <v>0</v>
      </c>
      <c r="Y1031" s="1316">
        <v>0</v>
      </c>
    </row>
    <row r="1032" spans="1:25" s="1280" customFormat="1" ht="75.599999999999994">
      <c r="A1032" s="1352">
        <v>131</v>
      </c>
      <c r="B1032" s="1267" t="s">
        <v>2513</v>
      </c>
      <c r="C1032" s="1268">
        <f t="shared" si="475"/>
        <v>2900664</v>
      </c>
      <c r="D1032" s="1268">
        <f t="shared" si="474"/>
        <v>0</v>
      </c>
      <c r="E1032" s="1310">
        <v>0</v>
      </c>
      <c r="F1032" s="1310">
        <v>0</v>
      </c>
      <c r="G1032" s="1310">
        <v>0</v>
      </c>
      <c r="H1032" s="1310">
        <v>0</v>
      </c>
      <c r="I1032" s="1310">
        <v>0</v>
      </c>
      <c r="J1032" s="1310">
        <v>0</v>
      </c>
      <c r="K1032" s="1308">
        <v>0</v>
      </c>
      <c r="L1032" s="1310">
        <v>0</v>
      </c>
      <c r="M1032" s="1308">
        <v>0</v>
      </c>
      <c r="N1032" s="1310">
        <v>0</v>
      </c>
      <c r="O1032" s="1310">
        <v>601.79999999999995</v>
      </c>
      <c r="P1032" s="1310">
        <v>1918551</v>
      </c>
      <c r="Q1032" s="1310">
        <v>0</v>
      </c>
      <c r="R1032" s="1310">
        <v>0</v>
      </c>
      <c r="S1032" s="1310">
        <v>642.29999999999995</v>
      </c>
      <c r="T1032" s="1310">
        <v>982113</v>
      </c>
      <c r="U1032" s="1310">
        <v>0</v>
      </c>
      <c r="V1032" s="1310">
        <v>0</v>
      </c>
      <c r="W1032" s="1316">
        <v>0</v>
      </c>
      <c r="X1032" s="1310">
        <v>0</v>
      </c>
      <c r="Y1032" s="1316">
        <v>0</v>
      </c>
    </row>
    <row r="1033" spans="1:25" s="1280" customFormat="1" ht="75.599999999999994">
      <c r="A1033" s="1352">
        <v>132</v>
      </c>
      <c r="B1033" s="1267" t="s">
        <v>1910</v>
      </c>
      <c r="C1033" s="1268">
        <f t="shared" si="475"/>
        <v>2833946</v>
      </c>
      <c r="D1033" s="1268">
        <f t="shared" si="474"/>
        <v>0</v>
      </c>
      <c r="E1033" s="1310">
        <v>0</v>
      </c>
      <c r="F1033" s="1310">
        <v>0</v>
      </c>
      <c r="G1033" s="1310">
        <v>0</v>
      </c>
      <c r="H1033" s="1310">
        <v>0</v>
      </c>
      <c r="I1033" s="1310">
        <v>0</v>
      </c>
      <c r="J1033" s="1310">
        <v>0</v>
      </c>
      <c r="K1033" s="1308">
        <v>0</v>
      </c>
      <c r="L1033" s="1310">
        <v>0</v>
      </c>
      <c r="M1033" s="1308">
        <v>0</v>
      </c>
      <c r="N1033" s="1310">
        <v>0</v>
      </c>
      <c r="O1033" s="1310">
        <v>0</v>
      </c>
      <c r="P1033" s="1310">
        <v>0</v>
      </c>
      <c r="Q1033" s="1310">
        <v>0</v>
      </c>
      <c r="R1033" s="1310">
        <v>0</v>
      </c>
      <c r="S1033" s="1310">
        <v>2377.8000000000002</v>
      </c>
      <c r="T1033" s="1310">
        <v>2833946</v>
      </c>
      <c r="U1033" s="1310">
        <v>0</v>
      </c>
      <c r="V1033" s="1310">
        <v>0</v>
      </c>
      <c r="W1033" s="1316">
        <v>0</v>
      </c>
      <c r="X1033" s="1310">
        <v>0</v>
      </c>
      <c r="Y1033" s="1316">
        <v>0</v>
      </c>
    </row>
    <row r="1034" spans="1:25" s="1280" customFormat="1">
      <c r="A1034" s="1352">
        <v>133</v>
      </c>
      <c r="B1034" s="1267" t="s">
        <v>1708</v>
      </c>
      <c r="C1034" s="1268">
        <f t="shared" si="475"/>
        <v>13009851</v>
      </c>
      <c r="D1034" s="1268">
        <f t="shared" si="474"/>
        <v>0</v>
      </c>
      <c r="E1034" s="1310">
        <v>0</v>
      </c>
      <c r="F1034" s="1310">
        <v>0</v>
      </c>
      <c r="G1034" s="1310">
        <v>0</v>
      </c>
      <c r="H1034" s="1310">
        <v>0</v>
      </c>
      <c r="I1034" s="1310">
        <v>0</v>
      </c>
      <c r="J1034" s="1310">
        <v>0</v>
      </c>
      <c r="K1034" s="1308">
        <v>0</v>
      </c>
      <c r="L1034" s="1310">
        <v>0</v>
      </c>
      <c r="M1034" s="1308">
        <v>0</v>
      </c>
      <c r="N1034" s="1310">
        <v>0</v>
      </c>
      <c r="O1034" s="1310">
        <v>2075.06</v>
      </c>
      <c r="P1034" s="1310">
        <v>6610091</v>
      </c>
      <c r="Q1034" s="1310">
        <v>0</v>
      </c>
      <c r="R1034" s="1310">
        <v>0</v>
      </c>
      <c r="S1034" s="1310">
        <v>4223.1000000000004</v>
      </c>
      <c r="T1034" s="1310">
        <v>6399760</v>
      </c>
      <c r="U1034" s="1310">
        <v>0</v>
      </c>
      <c r="V1034" s="1310">
        <v>0</v>
      </c>
      <c r="W1034" s="1316">
        <v>0</v>
      </c>
      <c r="X1034" s="1310">
        <v>0</v>
      </c>
      <c r="Y1034" s="1316">
        <v>0</v>
      </c>
    </row>
    <row r="1035" spans="1:25" s="1280" customFormat="1" ht="75.599999999999994">
      <c r="A1035" s="1352">
        <v>134</v>
      </c>
      <c r="B1035" s="1267" t="s">
        <v>2514</v>
      </c>
      <c r="C1035" s="1268">
        <f t="shared" si="475"/>
        <v>1480760</v>
      </c>
      <c r="D1035" s="1268">
        <f t="shared" si="474"/>
        <v>1480760</v>
      </c>
      <c r="E1035" s="1310">
        <v>1480760</v>
      </c>
      <c r="F1035" s="1310">
        <v>0</v>
      </c>
      <c r="G1035" s="1310">
        <v>0</v>
      </c>
      <c r="H1035" s="1310">
        <v>0</v>
      </c>
      <c r="I1035" s="1310">
        <v>0</v>
      </c>
      <c r="J1035" s="1310">
        <v>0</v>
      </c>
      <c r="K1035" s="1308">
        <v>0</v>
      </c>
      <c r="L1035" s="1310">
        <v>0</v>
      </c>
      <c r="M1035" s="1308">
        <v>0</v>
      </c>
      <c r="N1035" s="1310">
        <v>0</v>
      </c>
      <c r="O1035" s="1310">
        <v>0</v>
      </c>
      <c r="P1035" s="1310">
        <v>0</v>
      </c>
      <c r="Q1035" s="1310">
        <v>0</v>
      </c>
      <c r="R1035" s="1310">
        <v>0</v>
      </c>
      <c r="S1035" s="1310">
        <v>0</v>
      </c>
      <c r="T1035" s="1310">
        <v>0</v>
      </c>
      <c r="U1035" s="1310">
        <v>0</v>
      </c>
      <c r="V1035" s="1310">
        <v>0</v>
      </c>
      <c r="W1035" s="1316">
        <v>0</v>
      </c>
      <c r="X1035" s="1310">
        <v>0</v>
      </c>
      <c r="Y1035" s="1316">
        <v>0</v>
      </c>
    </row>
    <row r="1036" spans="1:25" s="1280" customFormat="1">
      <c r="A1036" s="1410">
        <v>135</v>
      </c>
      <c r="B1036" s="1267" t="s">
        <v>1907</v>
      </c>
      <c r="C1036" s="1268">
        <f t="shared" si="475"/>
        <v>7890789</v>
      </c>
      <c r="D1036" s="1268">
        <f t="shared" si="474"/>
        <v>7890789</v>
      </c>
      <c r="E1036" s="1268">
        <v>0</v>
      </c>
      <c r="F1036" s="1268">
        <v>4211389</v>
      </c>
      <c r="G1036" s="1268">
        <v>0</v>
      </c>
      <c r="H1036" s="1268">
        <v>3679400</v>
      </c>
      <c r="I1036" s="1268">
        <v>0</v>
      </c>
      <c r="J1036" s="1268">
        <v>0</v>
      </c>
      <c r="K1036" s="1278">
        <v>0</v>
      </c>
      <c r="L1036" s="1268">
        <v>0</v>
      </c>
      <c r="M1036" s="1278">
        <v>0</v>
      </c>
      <c r="N1036" s="1268">
        <v>0</v>
      </c>
      <c r="O1036" s="1268">
        <v>0</v>
      </c>
      <c r="P1036" s="1268">
        <v>0</v>
      </c>
      <c r="Q1036" s="1268">
        <v>0</v>
      </c>
      <c r="R1036" s="1268">
        <v>0</v>
      </c>
      <c r="S1036" s="1268">
        <v>0</v>
      </c>
      <c r="T1036" s="1268">
        <v>0</v>
      </c>
      <c r="U1036" s="1268">
        <v>0</v>
      </c>
      <c r="V1036" s="1268">
        <v>0</v>
      </c>
      <c r="W1036" s="1268">
        <v>0</v>
      </c>
      <c r="X1036" s="1268">
        <v>0</v>
      </c>
      <c r="Y1036" s="1268">
        <v>0</v>
      </c>
    </row>
    <row r="1037" spans="1:25" s="1280" customFormat="1">
      <c r="A1037" s="1352">
        <v>136</v>
      </c>
      <c r="B1037" s="1267" t="s">
        <v>1738</v>
      </c>
      <c r="C1037" s="1268">
        <f t="shared" si="475"/>
        <v>9024554</v>
      </c>
      <c r="D1037" s="1268">
        <f t="shared" si="474"/>
        <v>3261516</v>
      </c>
      <c r="E1037" s="1310">
        <v>3261516</v>
      </c>
      <c r="F1037" s="1310">
        <v>0</v>
      </c>
      <c r="G1037" s="1310">
        <v>0</v>
      </c>
      <c r="H1037" s="1310">
        <v>0</v>
      </c>
      <c r="I1037" s="1310">
        <v>0</v>
      </c>
      <c r="J1037" s="1310">
        <v>0</v>
      </c>
      <c r="K1037" s="1308">
        <v>0</v>
      </c>
      <c r="L1037" s="1310">
        <v>0</v>
      </c>
      <c r="M1037" s="1308">
        <v>0</v>
      </c>
      <c r="N1037" s="1310">
        <v>0</v>
      </c>
      <c r="O1037" s="1310">
        <v>0</v>
      </c>
      <c r="P1037" s="1310">
        <v>0</v>
      </c>
      <c r="Q1037" s="1310">
        <v>0</v>
      </c>
      <c r="R1037" s="1310">
        <v>0</v>
      </c>
      <c r="S1037" s="1310">
        <v>3807.3</v>
      </c>
      <c r="T1037" s="1310">
        <v>5763038</v>
      </c>
      <c r="U1037" s="1310">
        <v>0</v>
      </c>
      <c r="V1037" s="1310">
        <v>0</v>
      </c>
      <c r="W1037" s="1316">
        <v>0</v>
      </c>
      <c r="X1037" s="1310">
        <v>0</v>
      </c>
      <c r="Y1037" s="1316">
        <v>0</v>
      </c>
    </row>
    <row r="1038" spans="1:25" s="1280" customFormat="1">
      <c r="A1038" s="1352">
        <v>137</v>
      </c>
      <c r="B1038" s="1267" t="s">
        <v>1686</v>
      </c>
      <c r="C1038" s="1268">
        <f t="shared" si="475"/>
        <v>4760511</v>
      </c>
      <c r="D1038" s="1268">
        <f t="shared" si="474"/>
        <v>1524592</v>
      </c>
      <c r="E1038" s="1310">
        <v>1524592</v>
      </c>
      <c r="F1038" s="1310">
        <v>0</v>
      </c>
      <c r="G1038" s="1310">
        <v>0</v>
      </c>
      <c r="H1038" s="1310">
        <v>0</v>
      </c>
      <c r="I1038" s="1310">
        <v>0</v>
      </c>
      <c r="J1038" s="1310">
        <v>0</v>
      </c>
      <c r="K1038" s="1308">
        <v>0</v>
      </c>
      <c r="L1038" s="1310">
        <v>0</v>
      </c>
      <c r="M1038" s="1308">
        <v>0</v>
      </c>
      <c r="N1038" s="1310">
        <v>0</v>
      </c>
      <c r="O1038" s="1310">
        <v>0</v>
      </c>
      <c r="P1038" s="1310">
        <v>0</v>
      </c>
      <c r="Q1038" s="1310">
        <v>0</v>
      </c>
      <c r="R1038" s="1310">
        <v>0</v>
      </c>
      <c r="S1038" s="1310">
        <v>2130</v>
      </c>
      <c r="T1038" s="1310">
        <v>3235919</v>
      </c>
      <c r="U1038" s="1310">
        <v>0</v>
      </c>
      <c r="V1038" s="1310">
        <v>0</v>
      </c>
      <c r="W1038" s="1316">
        <v>0</v>
      </c>
      <c r="X1038" s="1310">
        <v>0</v>
      </c>
      <c r="Y1038" s="1316">
        <v>0</v>
      </c>
    </row>
    <row r="1039" spans="1:25" s="1280" customFormat="1">
      <c r="A1039" s="1352">
        <v>138</v>
      </c>
      <c r="B1039" s="1267" t="s">
        <v>1709</v>
      </c>
      <c r="C1039" s="1268">
        <f t="shared" si="475"/>
        <v>7269337</v>
      </c>
      <c r="D1039" s="1268">
        <f t="shared" si="474"/>
        <v>0</v>
      </c>
      <c r="E1039" s="1310">
        <v>0</v>
      </c>
      <c r="F1039" s="1310">
        <v>0</v>
      </c>
      <c r="G1039" s="1310">
        <v>0</v>
      </c>
      <c r="H1039" s="1310">
        <v>0</v>
      </c>
      <c r="I1039" s="1310">
        <v>0</v>
      </c>
      <c r="J1039" s="1310">
        <v>0</v>
      </c>
      <c r="K1039" s="1308">
        <v>0</v>
      </c>
      <c r="L1039" s="1310">
        <v>0</v>
      </c>
      <c r="M1039" s="1308">
        <v>0</v>
      </c>
      <c r="N1039" s="1310">
        <v>0</v>
      </c>
      <c r="O1039" s="1310">
        <v>1117.2</v>
      </c>
      <c r="P1039" s="1310">
        <v>3578424</v>
      </c>
      <c r="Q1039" s="1310">
        <v>0</v>
      </c>
      <c r="R1039" s="1310">
        <v>0</v>
      </c>
      <c r="S1039" s="1310">
        <v>2430</v>
      </c>
      <c r="T1039" s="1310">
        <v>3690913</v>
      </c>
      <c r="U1039" s="1310">
        <v>0</v>
      </c>
      <c r="V1039" s="1310">
        <v>0</v>
      </c>
      <c r="W1039" s="1316">
        <v>0</v>
      </c>
      <c r="X1039" s="1310">
        <v>0</v>
      </c>
      <c r="Y1039" s="1316">
        <v>0</v>
      </c>
    </row>
    <row r="1040" spans="1:25" s="1280" customFormat="1">
      <c r="A1040" s="1352">
        <v>139</v>
      </c>
      <c r="B1040" s="1267" t="s">
        <v>1904</v>
      </c>
      <c r="C1040" s="1268">
        <f t="shared" si="475"/>
        <v>1960392</v>
      </c>
      <c r="D1040" s="1268">
        <f t="shared" si="474"/>
        <v>1960392</v>
      </c>
      <c r="E1040" s="1310">
        <v>0</v>
      </c>
      <c r="F1040" s="1310">
        <v>0</v>
      </c>
      <c r="G1040" s="1310">
        <v>0</v>
      </c>
      <c r="H1040" s="1310">
        <v>1960392</v>
      </c>
      <c r="I1040" s="1310">
        <v>0</v>
      </c>
      <c r="J1040" s="1310">
        <v>0</v>
      </c>
      <c r="K1040" s="1308">
        <v>0</v>
      </c>
      <c r="L1040" s="1310">
        <v>0</v>
      </c>
      <c r="M1040" s="1308">
        <v>0</v>
      </c>
      <c r="N1040" s="1310">
        <v>0</v>
      </c>
      <c r="O1040" s="1310">
        <v>0</v>
      </c>
      <c r="P1040" s="1310">
        <v>0</v>
      </c>
      <c r="Q1040" s="1310">
        <v>0</v>
      </c>
      <c r="R1040" s="1310">
        <v>0</v>
      </c>
      <c r="S1040" s="1310">
        <v>0</v>
      </c>
      <c r="T1040" s="1310">
        <v>0</v>
      </c>
      <c r="U1040" s="1310">
        <v>0</v>
      </c>
      <c r="V1040" s="1310">
        <v>0</v>
      </c>
      <c r="W1040" s="1316">
        <v>0</v>
      </c>
      <c r="X1040" s="1310">
        <v>0</v>
      </c>
      <c r="Y1040" s="1316">
        <v>0</v>
      </c>
    </row>
    <row r="1041" spans="1:25" s="1280" customFormat="1">
      <c r="A1041" s="1352">
        <v>140</v>
      </c>
      <c r="B1041" s="1267" t="s">
        <v>1889</v>
      </c>
      <c r="C1041" s="1268">
        <f t="shared" si="475"/>
        <v>1910739</v>
      </c>
      <c r="D1041" s="1268">
        <f t="shared" si="474"/>
        <v>0</v>
      </c>
      <c r="E1041" s="1310">
        <v>0</v>
      </c>
      <c r="F1041" s="1310">
        <v>0</v>
      </c>
      <c r="G1041" s="1310">
        <v>0</v>
      </c>
      <c r="H1041" s="1310">
        <v>0</v>
      </c>
      <c r="I1041" s="1310">
        <v>0</v>
      </c>
      <c r="J1041" s="1310">
        <v>0</v>
      </c>
      <c r="K1041" s="1308">
        <v>0</v>
      </c>
      <c r="L1041" s="1310">
        <v>0</v>
      </c>
      <c r="M1041" s="1308">
        <v>0</v>
      </c>
      <c r="N1041" s="1310">
        <v>0</v>
      </c>
      <c r="O1041" s="1310">
        <v>583.20000000000005</v>
      </c>
      <c r="P1041" s="1310">
        <v>1910739</v>
      </c>
      <c r="Q1041" s="1310">
        <v>0</v>
      </c>
      <c r="R1041" s="1310">
        <v>0</v>
      </c>
      <c r="S1041" s="1310">
        <v>0</v>
      </c>
      <c r="T1041" s="1310">
        <v>0</v>
      </c>
      <c r="U1041" s="1310">
        <v>0</v>
      </c>
      <c r="V1041" s="1310">
        <v>0</v>
      </c>
      <c r="W1041" s="1316">
        <v>0</v>
      </c>
      <c r="X1041" s="1310">
        <v>0</v>
      </c>
      <c r="Y1041" s="1316">
        <v>0</v>
      </c>
    </row>
    <row r="1042" spans="1:25" s="1280" customFormat="1" ht="75.599999999999994">
      <c r="A1042" s="1352">
        <v>141</v>
      </c>
      <c r="B1042" s="1267" t="s">
        <v>2515</v>
      </c>
      <c r="C1042" s="1268">
        <f t="shared" si="475"/>
        <v>2891052</v>
      </c>
      <c r="D1042" s="1268">
        <f t="shared" si="474"/>
        <v>0</v>
      </c>
      <c r="E1042" s="1310">
        <v>0</v>
      </c>
      <c r="F1042" s="1310">
        <v>0</v>
      </c>
      <c r="G1042" s="1310">
        <v>0</v>
      </c>
      <c r="H1042" s="1310">
        <v>0</v>
      </c>
      <c r="I1042" s="1310">
        <v>0</v>
      </c>
      <c r="J1042" s="1310">
        <v>0</v>
      </c>
      <c r="K1042" s="1308">
        <v>0</v>
      </c>
      <c r="L1042" s="1310">
        <v>0</v>
      </c>
      <c r="M1042" s="1308">
        <v>0</v>
      </c>
      <c r="N1042" s="1310">
        <v>0</v>
      </c>
      <c r="O1042" s="1310">
        <v>1064</v>
      </c>
      <c r="P1042" s="1310">
        <v>2891052</v>
      </c>
      <c r="Q1042" s="1310">
        <v>0</v>
      </c>
      <c r="R1042" s="1310">
        <v>0</v>
      </c>
      <c r="S1042" s="1310">
        <v>0</v>
      </c>
      <c r="T1042" s="1310">
        <v>0</v>
      </c>
      <c r="U1042" s="1310">
        <v>0</v>
      </c>
      <c r="V1042" s="1310">
        <v>0</v>
      </c>
      <c r="W1042" s="1316">
        <v>0</v>
      </c>
      <c r="X1042" s="1310">
        <v>0</v>
      </c>
      <c r="Y1042" s="1316">
        <v>0</v>
      </c>
    </row>
    <row r="1043" spans="1:25" s="1280" customFormat="1" ht="75.599999999999994">
      <c r="A1043" s="1352">
        <v>142</v>
      </c>
      <c r="B1043" s="1267" t="s">
        <v>2077</v>
      </c>
      <c r="C1043" s="1268">
        <f t="shared" si="475"/>
        <v>1775454</v>
      </c>
      <c r="D1043" s="1268">
        <f t="shared" si="474"/>
        <v>0</v>
      </c>
      <c r="E1043" s="1310">
        <v>0</v>
      </c>
      <c r="F1043" s="1310">
        <v>0</v>
      </c>
      <c r="G1043" s="1310">
        <v>0</v>
      </c>
      <c r="H1043" s="1310">
        <v>0</v>
      </c>
      <c r="I1043" s="1310">
        <v>0</v>
      </c>
      <c r="J1043" s="1310">
        <v>0</v>
      </c>
      <c r="K1043" s="1308">
        <v>0</v>
      </c>
      <c r="L1043" s="1310">
        <v>0</v>
      </c>
      <c r="M1043" s="1308">
        <v>0</v>
      </c>
      <c r="N1043" s="1310">
        <v>0</v>
      </c>
      <c r="O1043" s="1310">
        <v>699.4</v>
      </c>
      <c r="P1043" s="1310">
        <v>1775454</v>
      </c>
      <c r="Q1043" s="1310">
        <v>0</v>
      </c>
      <c r="R1043" s="1310">
        <v>0</v>
      </c>
      <c r="S1043" s="1310">
        <v>0</v>
      </c>
      <c r="T1043" s="1310">
        <v>0</v>
      </c>
      <c r="U1043" s="1310">
        <v>0</v>
      </c>
      <c r="V1043" s="1310">
        <v>0</v>
      </c>
      <c r="W1043" s="1316">
        <v>0</v>
      </c>
      <c r="X1043" s="1310">
        <v>0</v>
      </c>
      <c r="Y1043" s="1316">
        <v>0</v>
      </c>
    </row>
    <row r="1044" spans="1:25" s="1280" customFormat="1" ht="75.599999999999994">
      <c r="A1044" s="1352">
        <v>143</v>
      </c>
      <c r="B1044" s="1267" t="s">
        <v>2106</v>
      </c>
      <c r="C1044" s="1268">
        <f t="shared" si="475"/>
        <v>2229085</v>
      </c>
      <c r="D1044" s="1268">
        <f t="shared" si="474"/>
        <v>0</v>
      </c>
      <c r="E1044" s="1310">
        <v>0</v>
      </c>
      <c r="F1044" s="1310">
        <v>0</v>
      </c>
      <c r="G1044" s="1310">
        <v>0</v>
      </c>
      <c r="H1044" s="1310">
        <v>0</v>
      </c>
      <c r="I1044" s="1310">
        <v>0</v>
      </c>
      <c r="J1044" s="1310">
        <v>0</v>
      </c>
      <c r="K1044" s="1308">
        <v>0</v>
      </c>
      <c r="L1044" s="1310">
        <v>0</v>
      </c>
      <c r="M1044" s="1308">
        <v>0</v>
      </c>
      <c r="N1044" s="1310">
        <v>0</v>
      </c>
      <c r="O1044" s="1310">
        <v>881.1</v>
      </c>
      <c r="P1044" s="1310">
        <v>2229085</v>
      </c>
      <c r="Q1044" s="1310">
        <v>0</v>
      </c>
      <c r="R1044" s="1310">
        <v>0</v>
      </c>
      <c r="S1044" s="1310">
        <v>0</v>
      </c>
      <c r="T1044" s="1310">
        <v>0</v>
      </c>
      <c r="U1044" s="1310">
        <v>0</v>
      </c>
      <c r="V1044" s="1310">
        <v>0</v>
      </c>
      <c r="W1044" s="1316">
        <v>0</v>
      </c>
      <c r="X1044" s="1310">
        <v>0</v>
      </c>
      <c r="Y1044" s="1316">
        <v>0</v>
      </c>
    </row>
    <row r="1045" spans="1:25" s="1280" customFormat="1" ht="75.599999999999994">
      <c r="A1045" s="1352">
        <v>144</v>
      </c>
      <c r="B1045" s="1267" t="s">
        <v>2107</v>
      </c>
      <c r="C1045" s="1268">
        <f t="shared" si="475"/>
        <v>6698599.2599999998</v>
      </c>
      <c r="D1045" s="1268">
        <f t="shared" si="474"/>
        <v>0</v>
      </c>
      <c r="E1045" s="1310">
        <v>0</v>
      </c>
      <c r="F1045" s="1310">
        <v>0</v>
      </c>
      <c r="G1045" s="1310">
        <v>0</v>
      </c>
      <c r="H1045" s="1310">
        <v>0</v>
      </c>
      <c r="I1045" s="1310">
        <v>0</v>
      </c>
      <c r="J1045" s="1310">
        <v>0</v>
      </c>
      <c r="K1045" s="1308">
        <v>0</v>
      </c>
      <c r="L1045" s="1310">
        <v>0</v>
      </c>
      <c r="M1045" s="1308">
        <v>0</v>
      </c>
      <c r="N1045" s="1310">
        <v>0</v>
      </c>
      <c r="O1045" s="1310">
        <v>2465.3000000000002</v>
      </c>
      <c r="P1045" s="1310">
        <v>6698599.2599999998</v>
      </c>
      <c r="Q1045" s="1310">
        <v>0</v>
      </c>
      <c r="R1045" s="1310">
        <v>0</v>
      </c>
      <c r="S1045" s="1310">
        <v>0</v>
      </c>
      <c r="T1045" s="1310">
        <v>0</v>
      </c>
      <c r="U1045" s="1310">
        <v>0</v>
      </c>
      <c r="V1045" s="1310">
        <v>0</v>
      </c>
      <c r="W1045" s="1316">
        <v>0</v>
      </c>
      <c r="X1045" s="1310">
        <v>0</v>
      </c>
      <c r="Y1045" s="1316">
        <v>0</v>
      </c>
    </row>
    <row r="1046" spans="1:25" s="1280" customFormat="1" ht="75.599999999999994">
      <c r="A1046" s="1352">
        <v>145</v>
      </c>
      <c r="B1046" s="1267" t="s">
        <v>2108</v>
      </c>
      <c r="C1046" s="1268">
        <f t="shared" si="475"/>
        <v>5336490</v>
      </c>
      <c r="D1046" s="1268">
        <f t="shared" si="474"/>
        <v>0</v>
      </c>
      <c r="E1046" s="1310">
        <v>0</v>
      </c>
      <c r="F1046" s="1310">
        <v>0</v>
      </c>
      <c r="G1046" s="1310">
        <v>0</v>
      </c>
      <c r="H1046" s="1310">
        <v>0</v>
      </c>
      <c r="I1046" s="1310">
        <v>0</v>
      </c>
      <c r="J1046" s="1310">
        <v>0</v>
      </c>
      <c r="K1046" s="1308">
        <v>0</v>
      </c>
      <c r="L1046" s="1310">
        <v>0</v>
      </c>
      <c r="M1046" s="1308">
        <v>0</v>
      </c>
      <c r="N1046" s="1310">
        <v>0</v>
      </c>
      <c r="O1046" s="1310">
        <v>1964</v>
      </c>
      <c r="P1046" s="1310">
        <v>5336490</v>
      </c>
      <c r="Q1046" s="1310">
        <v>0</v>
      </c>
      <c r="R1046" s="1310">
        <v>0</v>
      </c>
      <c r="S1046" s="1310">
        <v>0</v>
      </c>
      <c r="T1046" s="1310">
        <v>0</v>
      </c>
      <c r="U1046" s="1310">
        <v>0</v>
      </c>
      <c r="V1046" s="1310">
        <v>0</v>
      </c>
      <c r="W1046" s="1316">
        <v>0</v>
      </c>
      <c r="X1046" s="1310">
        <v>0</v>
      </c>
      <c r="Y1046" s="1316">
        <v>0</v>
      </c>
    </row>
    <row r="1047" spans="1:25" s="1280" customFormat="1">
      <c r="A1047" s="1352">
        <v>146</v>
      </c>
      <c r="B1047" s="1267" t="s">
        <v>2109</v>
      </c>
      <c r="C1047" s="1268">
        <f t="shared" si="475"/>
        <v>8790475.0800000001</v>
      </c>
      <c r="D1047" s="1268">
        <f t="shared" si="474"/>
        <v>0</v>
      </c>
      <c r="E1047" s="1310">
        <v>0</v>
      </c>
      <c r="F1047" s="1310">
        <v>0</v>
      </c>
      <c r="G1047" s="1310">
        <v>0</v>
      </c>
      <c r="H1047" s="1310">
        <v>0</v>
      </c>
      <c r="I1047" s="1310">
        <v>0</v>
      </c>
      <c r="J1047" s="1310">
        <v>0</v>
      </c>
      <c r="K1047" s="1308">
        <v>0</v>
      </c>
      <c r="L1047" s="1310">
        <v>0</v>
      </c>
      <c r="M1047" s="1308">
        <v>0</v>
      </c>
      <c r="N1047" s="1310">
        <v>0</v>
      </c>
      <c r="O1047" s="1310">
        <v>2738</v>
      </c>
      <c r="P1047" s="1310">
        <v>8790475.0800000001</v>
      </c>
      <c r="Q1047" s="1310">
        <v>0</v>
      </c>
      <c r="R1047" s="1310">
        <v>0</v>
      </c>
      <c r="S1047" s="1310">
        <v>0</v>
      </c>
      <c r="T1047" s="1310">
        <v>0</v>
      </c>
      <c r="U1047" s="1310">
        <v>0</v>
      </c>
      <c r="V1047" s="1310">
        <v>0</v>
      </c>
      <c r="W1047" s="1316">
        <v>0</v>
      </c>
      <c r="X1047" s="1310">
        <v>0</v>
      </c>
      <c r="Y1047" s="1316">
        <v>0</v>
      </c>
    </row>
    <row r="1048" spans="1:25" s="1280" customFormat="1">
      <c r="A1048" s="1352">
        <v>147</v>
      </c>
      <c r="B1048" s="1267" t="s">
        <v>2110</v>
      </c>
      <c r="C1048" s="1268">
        <f t="shared" si="475"/>
        <v>5332832</v>
      </c>
      <c r="D1048" s="1268">
        <f t="shared" si="474"/>
        <v>0</v>
      </c>
      <c r="E1048" s="1310">
        <v>0</v>
      </c>
      <c r="F1048" s="1310">
        <v>0</v>
      </c>
      <c r="G1048" s="1310">
        <v>0</v>
      </c>
      <c r="H1048" s="1310">
        <v>0</v>
      </c>
      <c r="I1048" s="1310">
        <v>0</v>
      </c>
      <c r="J1048" s="1310">
        <v>0</v>
      </c>
      <c r="K1048" s="1308">
        <v>0</v>
      </c>
      <c r="L1048" s="1310">
        <v>0</v>
      </c>
      <c r="M1048" s="1308">
        <v>0</v>
      </c>
      <c r="N1048" s="1310">
        <v>0</v>
      </c>
      <c r="O1048" s="1310">
        <v>1085</v>
      </c>
      <c r="P1048" s="1310">
        <v>2715104</v>
      </c>
      <c r="Q1048" s="1310">
        <v>0</v>
      </c>
      <c r="R1048" s="1310">
        <v>0</v>
      </c>
      <c r="S1048" s="1310">
        <v>1710</v>
      </c>
      <c r="T1048" s="1310">
        <v>2617728</v>
      </c>
      <c r="U1048" s="1310">
        <v>0</v>
      </c>
      <c r="V1048" s="1310">
        <v>0</v>
      </c>
      <c r="W1048" s="1316">
        <v>0</v>
      </c>
      <c r="X1048" s="1310">
        <v>0</v>
      </c>
      <c r="Y1048" s="1316">
        <v>0</v>
      </c>
    </row>
    <row r="1049" spans="1:25" s="1280" customFormat="1">
      <c r="A1049" s="1352">
        <v>148</v>
      </c>
      <c r="B1049" s="1267" t="s">
        <v>2111</v>
      </c>
      <c r="C1049" s="1268">
        <f t="shared" si="475"/>
        <v>3933209</v>
      </c>
      <c r="D1049" s="1268">
        <f t="shared" si="474"/>
        <v>0</v>
      </c>
      <c r="E1049" s="1310">
        <v>0</v>
      </c>
      <c r="F1049" s="1310">
        <v>0</v>
      </c>
      <c r="G1049" s="1310">
        <v>0</v>
      </c>
      <c r="H1049" s="1310">
        <v>0</v>
      </c>
      <c r="I1049" s="1310">
        <v>0</v>
      </c>
      <c r="J1049" s="1310">
        <v>0</v>
      </c>
      <c r="K1049" s="1308">
        <v>0</v>
      </c>
      <c r="L1049" s="1310">
        <v>0</v>
      </c>
      <c r="M1049" s="1308">
        <v>2</v>
      </c>
      <c r="N1049" s="1310">
        <v>3933209</v>
      </c>
      <c r="O1049" s="1310">
        <v>0</v>
      </c>
      <c r="P1049" s="1310">
        <v>0</v>
      </c>
      <c r="Q1049" s="1310">
        <v>0</v>
      </c>
      <c r="R1049" s="1310">
        <v>0</v>
      </c>
      <c r="S1049" s="1310">
        <v>0</v>
      </c>
      <c r="T1049" s="1310">
        <v>0</v>
      </c>
      <c r="U1049" s="1310">
        <v>0</v>
      </c>
      <c r="V1049" s="1310">
        <v>0</v>
      </c>
      <c r="W1049" s="1316">
        <v>0</v>
      </c>
      <c r="X1049" s="1310">
        <v>0</v>
      </c>
      <c r="Y1049" s="1316">
        <v>0</v>
      </c>
    </row>
    <row r="1050" spans="1:25" s="1280" customFormat="1">
      <c r="A1050" s="1352">
        <v>149</v>
      </c>
      <c r="B1050" s="1267" t="s">
        <v>2112</v>
      </c>
      <c r="C1050" s="1268">
        <f t="shared" si="475"/>
        <v>15072649</v>
      </c>
      <c r="D1050" s="1268">
        <f t="shared" si="474"/>
        <v>7895026</v>
      </c>
      <c r="E1050" s="1310">
        <v>0</v>
      </c>
      <c r="F1050" s="1310">
        <v>2871256</v>
      </c>
      <c r="G1050" s="1310">
        <v>0</v>
      </c>
      <c r="H1050" s="1310">
        <v>2511885</v>
      </c>
      <c r="I1050" s="1310">
        <v>2511885</v>
      </c>
      <c r="J1050" s="1310">
        <v>0</v>
      </c>
      <c r="K1050" s="1308">
        <v>0</v>
      </c>
      <c r="L1050" s="1310">
        <v>0</v>
      </c>
      <c r="M1050" s="1308">
        <v>0</v>
      </c>
      <c r="N1050" s="1310">
        <v>0</v>
      </c>
      <c r="O1050" s="1310">
        <v>1079</v>
      </c>
      <c r="P1050" s="1310">
        <v>3473427</v>
      </c>
      <c r="Q1050" s="1310">
        <v>0</v>
      </c>
      <c r="R1050" s="1310">
        <v>0</v>
      </c>
      <c r="S1050" s="1310">
        <v>2433.33</v>
      </c>
      <c r="T1050" s="1310">
        <v>3704196</v>
      </c>
      <c r="U1050" s="1310">
        <v>0</v>
      </c>
      <c r="V1050" s="1310">
        <v>0</v>
      </c>
      <c r="W1050" s="1316">
        <v>0</v>
      </c>
      <c r="X1050" s="1310">
        <v>0</v>
      </c>
      <c r="Y1050" s="1316">
        <v>0</v>
      </c>
    </row>
    <row r="1051" spans="1:25" s="1280" customFormat="1">
      <c r="A1051" s="1352">
        <v>150</v>
      </c>
      <c r="B1051" s="1267" t="s">
        <v>2113</v>
      </c>
      <c r="C1051" s="1268">
        <f t="shared" si="475"/>
        <v>33693985.130000003</v>
      </c>
      <c r="D1051" s="1268">
        <f t="shared" si="474"/>
        <v>21055360.050000001</v>
      </c>
      <c r="E1051" s="1310">
        <v>3206724</v>
      </c>
      <c r="F1051" s="1310">
        <v>5315440.05</v>
      </c>
      <c r="G1051" s="1310">
        <v>2633459</v>
      </c>
      <c r="H1051" s="1310">
        <v>3748725</v>
      </c>
      <c r="I1051" s="1310">
        <v>3748725</v>
      </c>
      <c r="J1051" s="1310">
        <v>2402287</v>
      </c>
      <c r="K1051" s="1308">
        <v>0</v>
      </c>
      <c r="L1051" s="1310">
        <v>0</v>
      </c>
      <c r="M1051" s="1308">
        <v>0</v>
      </c>
      <c r="N1051" s="1310">
        <v>0</v>
      </c>
      <c r="O1051" s="1310">
        <v>2400</v>
      </c>
      <c r="P1051" s="1310">
        <v>12638625.08</v>
      </c>
      <c r="Q1051" s="1310">
        <v>0</v>
      </c>
      <c r="R1051" s="1310">
        <v>0</v>
      </c>
      <c r="S1051" s="1310">
        <v>0</v>
      </c>
      <c r="T1051" s="1310">
        <v>0</v>
      </c>
      <c r="U1051" s="1310">
        <v>0</v>
      </c>
      <c r="V1051" s="1310">
        <v>0</v>
      </c>
      <c r="W1051" s="1316">
        <v>0</v>
      </c>
      <c r="X1051" s="1310">
        <v>0</v>
      </c>
      <c r="Y1051" s="1316">
        <v>0</v>
      </c>
    </row>
    <row r="1052" spans="1:25" s="1280" customFormat="1">
      <c r="A1052" s="1352">
        <v>151</v>
      </c>
      <c r="B1052" s="1267" t="s">
        <v>2272</v>
      </c>
      <c r="C1052" s="1268">
        <f t="shared" si="475"/>
        <v>7017719</v>
      </c>
      <c r="D1052" s="1268">
        <f t="shared" si="474"/>
        <v>0</v>
      </c>
      <c r="E1052" s="1310">
        <v>0</v>
      </c>
      <c r="F1052" s="1310">
        <v>0</v>
      </c>
      <c r="G1052" s="1310">
        <v>0</v>
      </c>
      <c r="H1052" s="1310">
        <v>0</v>
      </c>
      <c r="I1052" s="1310">
        <v>0</v>
      </c>
      <c r="J1052" s="1310">
        <v>0</v>
      </c>
      <c r="K1052" s="1308">
        <v>0</v>
      </c>
      <c r="L1052" s="1310">
        <v>0</v>
      </c>
      <c r="M1052" s="1308">
        <v>0</v>
      </c>
      <c r="N1052" s="1310">
        <v>0</v>
      </c>
      <c r="O1052" s="1310">
        <v>2807.9</v>
      </c>
      <c r="P1052" s="1310">
        <v>7017719</v>
      </c>
      <c r="Q1052" s="1310">
        <v>0</v>
      </c>
      <c r="R1052" s="1310">
        <v>0</v>
      </c>
      <c r="S1052" s="1310">
        <v>0</v>
      </c>
      <c r="T1052" s="1310">
        <v>0</v>
      </c>
      <c r="U1052" s="1310">
        <v>0</v>
      </c>
      <c r="V1052" s="1310">
        <v>0</v>
      </c>
      <c r="W1052" s="1316">
        <v>0</v>
      </c>
      <c r="X1052" s="1310">
        <v>0</v>
      </c>
      <c r="Y1052" s="1316">
        <v>0</v>
      </c>
    </row>
    <row r="1053" spans="1:25" s="1280" customFormat="1" ht="75.599999999999994">
      <c r="A1053" s="1352">
        <v>152</v>
      </c>
      <c r="B1053" s="1267" t="s">
        <v>2115</v>
      </c>
      <c r="C1053" s="1268">
        <f t="shared" si="475"/>
        <v>2244189</v>
      </c>
      <c r="D1053" s="1268">
        <f t="shared" si="474"/>
        <v>0</v>
      </c>
      <c r="E1053" s="1310">
        <v>0</v>
      </c>
      <c r="F1053" s="1310">
        <v>0</v>
      </c>
      <c r="G1053" s="1310">
        <v>0</v>
      </c>
      <c r="H1053" s="1310">
        <v>0</v>
      </c>
      <c r="I1053" s="1310">
        <v>0</v>
      </c>
      <c r="J1053" s="1310">
        <v>0</v>
      </c>
      <c r="K1053" s="1308">
        <v>0</v>
      </c>
      <c r="L1053" s="1310">
        <v>0</v>
      </c>
      <c r="M1053" s="1308">
        <v>0</v>
      </c>
      <c r="N1053" s="1310">
        <v>0</v>
      </c>
      <c r="O1053" s="1310">
        <v>895</v>
      </c>
      <c r="P1053" s="1310">
        <v>2244189</v>
      </c>
      <c r="Q1053" s="1310">
        <v>0</v>
      </c>
      <c r="R1053" s="1310">
        <v>0</v>
      </c>
      <c r="S1053" s="1310">
        <v>0</v>
      </c>
      <c r="T1053" s="1310">
        <v>0</v>
      </c>
      <c r="U1053" s="1310">
        <v>0</v>
      </c>
      <c r="V1053" s="1310">
        <v>0</v>
      </c>
      <c r="W1053" s="1316">
        <v>0</v>
      </c>
      <c r="X1053" s="1310">
        <v>0</v>
      </c>
      <c r="Y1053" s="1316">
        <v>0</v>
      </c>
    </row>
    <row r="1054" spans="1:25" s="1280" customFormat="1">
      <c r="A1054" s="1352">
        <v>153</v>
      </c>
      <c r="B1054" s="1267" t="s">
        <v>2116</v>
      </c>
      <c r="C1054" s="1268">
        <f t="shared" si="475"/>
        <v>3823864</v>
      </c>
      <c r="D1054" s="1268">
        <f t="shared" si="474"/>
        <v>0</v>
      </c>
      <c r="E1054" s="1310">
        <v>0</v>
      </c>
      <c r="F1054" s="1310">
        <v>0</v>
      </c>
      <c r="G1054" s="1310">
        <v>0</v>
      </c>
      <c r="H1054" s="1310">
        <v>0</v>
      </c>
      <c r="I1054" s="1310">
        <v>0</v>
      </c>
      <c r="J1054" s="1310">
        <v>0</v>
      </c>
      <c r="K1054" s="1308">
        <v>0</v>
      </c>
      <c r="L1054" s="1310">
        <v>0</v>
      </c>
      <c r="M1054" s="1308">
        <v>0</v>
      </c>
      <c r="N1054" s="1310">
        <v>0</v>
      </c>
      <c r="O1054" s="1310">
        <v>1525.26</v>
      </c>
      <c r="P1054" s="1310">
        <v>3823864</v>
      </c>
      <c r="Q1054" s="1310">
        <v>0</v>
      </c>
      <c r="R1054" s="1310">
        <v>0</v>
      </c>
      <c r="S1054" s="1310">
        <v>0</v>
      </c>
      <c r="T1054" s="1310">
        <v>0</v>
      </c>
      <c r="U1054" s="1310">
        <v>0</v>
      </c>
      <c r="V1054" s="1310">
        <v>0</v>
      </c>
      <c r="W1054" s="1316">
        <v>0</v>
      </c>
      <c r="X1054" s="1310">
        <v>0</v>
      </c>
      <c r="Y1054" s="1316">
        <v>0</v>
      </c>
    </row>
    <row r="1055" spans="1:25" s="1280" customFormat="1">
      <c r="A1055" s="1352">
        <v>154</v>
      </c>
      <c r="B1055" s="1267" t="s">
        <v>2117</v>
      </c>
      <c r="C1055" s="1268">
        <f t="shared" si="475"/>
        <v>3683615</v>
      </c>
      <c r="D1055" s="1268">
        <f t="shared" si="474"/>
        <v>0</v>
      </c>
      <c r="E1055" s="1310">
        <v>0</v>
      </c>
      <c r="F1055" s="1310">
        <v>0</v>
      </c>
      <c r="G1055" s="1310">
        <v>0</v>
      </c>
      <c r="H1055" s="1310">
        <v>0</v>
      </c>
      <c r="I1055" s="1310">
        <v>0</v>
      </c>
      <c r="J1055" s="1310">
        <v>0</v>
      </c>
      <c r="K1055" s="1308">
        <v>0</v>
      </c>
      <c r="L1055" s="1310">
        <v>0</v>
      </c>
      <c r="M1055" s="1308">
        <v>0</v>
      </c>
      <c r="N1055" s="1310">
        <v>0</v>
      </c>
      <c r="O1055" s="1310">
        <v>1475</v>
      </c>
      <c r="P1055" s="1310">
        <v>3683615</v>
      </c>
      <c r="Q1055" s="1310">
        <v>0</v>
      </c>
      <c r="R1055" s="1310">
        <v>0</v>
      </c>
      <c r="S1055" s="1310">
        <v>0</v>
      </c>
      <c r="T1055" s="1310">
        <v>0</v>
      </c>
      <c r="U1055" s="1310">
        <v>0</v>
      </c>
      <c r="V1055" s="1310">
        <v>0</v>
      </c>
      <c r="W1055" s="1316">
        <v>0</v>
      </c>
      <c r="X1055" s="1310">
        <v>0</v>
      </c>
      <c r="Y1055" s="1316">
        <v>0</v>
      </c>
    </row>
    <row r="1056" spans="1:25" s="1280" customFormat="1">
      <c r="A1056" s="1352">
        <v>155</v>
      </c>
      <c r="B1056" s="1267" t="s">
        <v>2118</v>
      </c>
      <c r="C1056" s="1268">
        <f t="shared" si="475"/>
        <v>1834011</v>
      </c>
      <c r="D1056" s="1268">
        <f t="shared" si="474"/>
        <v>0</v>
      </c>
      <c r="E1056" s="1310">
        <v>0</v>
      </c>
      <c r="F1056" s="1310">
        <v>0</v>
      </c>
      <c r="G1056" s="1310">
        <v>0</v>
      </c>
      <c r="H1056" s="1310">
        <v>0</v>
      </c>
      <c r="I1056" s="1310">
        <v>0</v>
      </c>
      <c r="J1056" s="1310">
        <v>0</v>
      </c>
      <c r="K1056" s="1308">
        <v>0</v>
      </c>
      <c r="L1056" s="1310">
        <v>0</v>
      </c>
      <c r="M1056" s="1308">
        <v>0</v>
      </c>
      <c r="N1056" s="1310">
        <v>0</v>
      </c>
      <c r="O1056" s="1310">
        <v>730</v>
      </c>
      <c r="P1056" s="1310">
        <v>1834011</v>
      </c>
      <c r="Q1056" s="1310">
        <v>0</v>
      </c>
      <c r="R1056" s="1310">
        <v>0</v>
      </c>
      <c r="S1056" s="1310">
        <v>0</v>
      </c>
      <c r="T1056" s="1310">
        <v>0</v>
      </c>
      <c r="U1056" s="1310">
        <v>0</v>
      </c>
      <c r="V1056" s="1310">
        <v>0</v>
      </c>
      <c r="W1056" s="1316">
        <v>0</v>
      </c>
      <c r="X1056" s="1310">
        <v>0</v>
      </c>
      <c r="Y1056" s="1316">
        <v>0</v>
      </c>
    </row>
    <row r="1057" spans="1:25" s="1287" customFormat="1" ht="75.599999999999994">
      <c r="A1057" s="1352">
        <v>156</v>
      </c>
      <c r="B1057" s="1267" t="s">
        <v>2119</v>
      </c>
      <c r="C1057" s="1268">
        <f t="shared" si="475"/>
        <v>3174246</v>
      </c>
      <c r="D1057" s="1268">
        <f t="shared" si="474"/>
        <v>0</v>
      </c>
      <c r="E1057" s="1310">
        <v>0</v>
      </c>
      <c r="F1057" s="1310">
        <v>0</v>
      </c>
      <c r="G1057" s="1310">
        <v>0</v>
      </c>
      <c r="H1057" s="1310">
        <v>0</v>
      </c>
      <c r="I1057" s="1310">
        <v>0</v>
      </c>
      <c r="J1057" s="1310">
        <v>0</v>
      </c>
      <c r="K1057" s="1308">
        <v>0</v>
      </c>
      <c r="L1057" s="1310">
        <v>0</v>
      </c>
      <c r="M1057" s="1308">
        <v>0</v>
      </c>
      <c r="N1057" s="1310">
        <v>0</v>
      </c>
      <c r="O1057" s="1310">
        <v>1262</v>
      </c>
      <c r="P1057" s="1310">
        <v>3174246</v>
      </c>
      <c r="Q1057" s="1310">
        <v>0</v>
      </c>
      <c r="R1057" s="1310">
        <v>0</v>
      </c>
      <c r="S1057" s="1310">
        <v>0</v>
      </c>
      <c r="T1057" s="1310">
        <v>0</v>
      </c>
      <c r="U1057" s="1310">
        <v>0</v>
      </c>
      <c r="V1057" s="1310">
        <v>0</v>
      </c>
      <c r="W1057" s="1316">
        <v>0</v>
      </c>
      <c r="X1057" s="1310">
        <v>0</v>
      </c>
      <c r="Y1057" s="1316">
        <v>0</v>
      </c>
    </row>
    <row r="1058" spans="1:25" s="1287" customFormat="1" ht="75.599999999999994">
      <c r="A1058" s="1352">
        <v>157</v>
      </c>
      <c r="B1058" s="1267" t="s">
        <v>2120</v>
      </c>
      <c r="C1058" s="1268">
        <f t="shared" si="475"/>
        <v>9148745</v>
      </c>
      <c r="D1058" s="1268">
        <f t="shared" si="474"/>
        <v>0</v>
      </c>
      <c r="E1058" s="1310">
        <v>0</v>
      </c>
      <c r="F1058" s="1310">
        <v>0</v>
      </c>
      <c r="G1058" s="1310">
        <v>0</v>
      </c>
      <c r="H1058" s="1310">
        <v>0</v>
      </c>
      <c r="I1058" s="1310">
        <v>0</v>
      </c>
      <c r="J1058" s="1310">
        <v>0</v>
      </c>
      <c r="K1058" s="1308">
        <v>0</v>
      </c>
      <c r="L1058" s="1310">
        <v>0</v>
      </c>
      <c r="M1058" s="1308">
        <v>2</v>
      </c>
      <c r="N1058" s="1310">
        <v>3933713</v>
      </c>
      <c r="O1058" s="1310">
        <v>450</v>
      </c>
      <c r="P1058" s="1310">
        <v>1160262</v>
      </c>
      <c r="Q1058" s="1310">
        <v>0</v>
      </c>
      <c r="R1058" s="1310">
        <v>0</v>
      </c>
      <c r="S1058" s="1310">
        <v>2642</v>
      </c>
      <c r="T1058" s="1310">
        <v>4054770</v>
      </c>
      <c r="U1058" s="1310">
        <v>0</v>
      </c>
      <c r="V1058" s="1310">
        <v>0</v>
      </c>
      <c r="W1058" s="1316">
        <v>0</v>
      </c>
      <c r="X1058" s="1310">
        <v>0</v>
      </c>
      <c r="Y1058" s="1316">
        <v>0</v>
      </c>
    </row>
    <row r="1059" spans="1:25" s="1287" customFormat="1" ht="75.599999999999994">
      <c r="A1059" s="1352">
        <v>158</v>
      </c>
      <c r="B1059" s="1267" t="s">
        <v>2121</v>
      </c>
      <c r="C1059" s="1268">
        <f t="shared" si="475"/>
        <v>9148189</v>
      </c>
      <c r="D1059" s="1268">
        <f t="shared" si="474"/>
        <v>0</v>
      </c>
      <c r="E1059" s="1310">
        <v>0</v>
      </c>
      <c r="F1059" s="1310">
        <v>0</v>
      </c>
      <c r="G1059" s="1310">
        <v>0</v>
      </c>
      <c r="H1059" s="1310">
        <v>0</v>
      </c>
      <c r="I1059" s="1310">
        <v>0</v>
      </c>
      <c r="J1059" s="1310">
        <v>0</v>
      </c>
      <c r="K1059" s="1308">
        <v>0</v>
      </c>
      <c r="L1059" s="1310">
        <v>0</v>
      </c>
      <c r="M1059" s="1308">
        <v>2</v>
      </c>
      <c r="N1059" s="1310">
        <v>3933360</v>
      </c>
      <c r="O1059" s="1310">
        <v>450</v>
      </c>
      <c r="P1059" s="1310">
        <v>1160192</v>
      </c>
      <c r="Q1059" s="1310">
        <v>0</v>
      </c>
      <c r="R1059" s="1310">
        <v>0</v>
      </c>
      <c r="S1059" s="1310">
        <v>2642</v>
      </c>
      <c r="T1059" s="1310">
        <v>4054637</v>
      </c>
      <c r="U1059" s="1310">
        <v>0</v>
      </c>
      <c r="V1059" s="1310">
        <v>0</v>
      </c>
      <c r="W1059" s="1316">
        <v>0</v>
      </c>
      <c r="X1059" s="1310">
        <v>0</v>
      </c>
      <c r="Y1059" s="1316">
        <v>0</v>
      </c>
    </row>
    <row r="1060" spans="1:25" s="1287" customFormat="1">
      <c r="A1060" s="1352">
        <v>159</v>
      </c>
      <c r="B1060" s="1267" t="s">
        <v>2122</v>
      </c>
      <c r="C1060" s="1268">
        <f t="shared" si="475"/>
        <v>5063291</v>
      </c>
      <c r="D1060" s="1268">
        <f t="shared" si="474"/>
        <v>0</v>
      </c>
      <c r="E1060" s="1310">
        <v>0</v>
      </c>
      <c r="F1060" s="1310">
        <v>0</v>
      </c>
      <c r="G1060" s="1310">
        <v>0</v>
      </c>
      <c r="H1060" s="1310">
        <v>0</v>
      </c>
      <c r="I1060" s="1310">
        <v>0</v>
      </c>
      <c r="J1060" s="1310">
        <v>0</v>
      </c>
      <c r="K1060" s="1308">
        <v>0</v>
      </c>
      <c r="L1060" s="1310">
        <v>0</v>
      </c>
      <c r="M1060" s="1308">
        <v>0</v>
      </c>
      <c r="N1060" s="1310">
        <v>0</v>
      </c>
      <c r="O1060" s="1310">
        <v>527.5</v>
      </c>
      <c r="P1060" s="1310">
        <v>1348831</v>
      </c>
      <c r="Q1060" s="1310">
        <v>0</v>
      </c>
      <c r="R1060" s="1310">
        <v>0</v>
      </c>
      <c r="S1060" s="1310">
        <v>2420</v>
      </c>
      <c r="T1060" s="1310">
        <v>3714460</v>
      </c>
      <c r="U1060" s="1310">
        <v>0</v>
      </c>
      <c r="V1060" s="1310">
        <v>0</v>
      </c>
      <c r="W1060" s="1316">
        <v>0</v>
      </c>
      <c r="X1060" s="1310">
        <v>0</v>
      </c>
      <c r="Y1060" s="1316">
        <v>0</v>
      </c>
    </row>
    <row r="1061" spans="1:25" s="1287" customFormat="1" ht="75.599999999999994">
      <c r="A1061" s="1352">
        <v>160</v>
      </c>
      <c r="B1061" s="1267" t="s">
        <v>2123</v>
      </c>
      <c r="C1061" s="1268">
        <f t="shared" si="475"/>
        <v>4631684</v>
      </c>
      <c r="D1061" s="1268">
        <f t="shared" si="474"/>
        <v>0</v>
      </c>
      <c r="E1061" s="1310">
        <v>0</v>
      </c>
      <c r="F1061" s="1310">
        <v>0</v>
      </c>
      <c r="G1061" s="1310">
        <v>0</v>
      </c>
      <c r="H1061" s="1310">
        <v>0</v>
      </c>
      <c r="I1061" s="1310">
        <v>0</v>
      </c>
      <c r="J1061" s="1310">
        <v>0</v>
      </c>
      <c r="K1061" s="1308">
        <v>0</v>
      </c>
      <c r="L1061" s="1310">
        <v>0</v>
      </c>
      <c r="M1061" s="1308">
        <v>0</v>
      </c>
      <c r="N1061" s="1310">
        <v>0</v>
      </c>
      <c r="O1061" s="1310">
        <v>513</v>
      </c>
      <c r="P1061" s="1310">
        <v>1311159</v>
      </c>
      <c r="Q1061" s="1310">
        <v>0</v>
      </c>
      <c r="R1061" s="1310">
        <v>0</v>
      </c>
      <c r="S1061" s="1310">
        <v>2160</v>
      </c>
      <c r="T1061" s="1310">
        <v>3320525</v>
      </c>
      <c r="U1061" s="1310">
        <v>0</v>
      </c>
      <c r="V1061" s="1310">
        <v>0</v>
      </c>
      <c r="W1061" s="1316">
        <v>0</v>
      </c>
      <c r="X1061" s="1310">
        <v>0</v>
      </c>
      <c r="Y1061" s="1316">
        <v>0</v>
      </c>
    </row>
    <row r="1062" spans="1:25" s="1280" customFormat="1">
      <c r="A1062" s="1352">
        <v>161</v>
      </c>
      <c r="B1062" s="1267" t="s">
        <v>2124</v>
      </c>
      <c r="C1062" s="1268">
        <f t="shared" si="475"/>
        <v>1604996</v>
      </c>
      <c r="D1062" s="1268">
        <f t="shared" si="474"/>
        <v>0</v>
      </c>
      <c r="E1062" s="1310">
        <v>0</v>
      </c>
      <c r="F1062" s="1310">
        <v>0</v>
      </c>
      <c r="G1062" s="1310">
        <v>0</v>
      </c>
      <c r="H1062" s="1310">
        <v>0</v>
      </c>
      <c r="I1062" s="1310">
        <v>0</v>
      </c>
      <c r="J1062" s="1310">
        <v>0</v>
      </c>
      <c r="K1062" s="1308">
        <v>0</v>
      </c>
      <c r="L1062" s="1310">
        <v>0</v>
      </c>
      <c r="M1062" s="1308">
        <v>0</v>
      </c>
      <c r="N1062" s="1310">
        <v>0</v>
      </c>
      <c r="O1062" s="1268">
        <v>637.6</v>
      </c>
      <c r="P1062" s="1268">
        <v>1604996</v>
      </c>
      <c r="Q1062" s="1310">
        <v>0</v>
      </c>
      <c r="R1062" s="1310">
        <v>0</v>
      </c>
      <c r="S1062" s="1310">
        <v>0</v>
      </c>
      <c r="T1062" s="1310">
        <v>0</v>
      </c>
      <c r="U1062" s="1310">
        <v>0</v>
      </c>
      <c r="V1062" s="1310">
        <v>0</v>
      </c>
      <c r="W1062" s="1316">
        <v>0</v>
      </c>
      <c r="X1062" s="1310">
        <v>0</v>
      </c>
      <c r="Y1062" s="1316">
        <v>0</v>
      </c>
    </row>
    <row r="1063" spans="1:25" s="1280" customFormat="1" ht="75.599999999999994">
      <c r="A1063" s="1352">
        <v>162</v>
      </c>
      <c r="B1063" s="1267" t="s">
        <v>2516</v>
      </c>
      <c r="C1063" s="1268">
        <f t="shared" si="475"/>
        <v>1474392</v>
      </c>
      <c r="D1063" s="1268">
        <f t="shared" si="474"/>
        <v>0</v>
      </c>
      <c r="E1063" s="1310">
        <v>0</v>
      </c>
      <c r="F1063" s="1310">
        <v>0</v>
      </c>
      <c r="G1063" s="1310">
        <v>0</v>
      </c>
      <c r="H1063" s="1310">
        <v>0</v>
      </c>
      <c r="I1063" s="1310">
        <v>0</v>
      </c>
      <c r="J1063" s="1310">
        <v>0</v>
      </c>
      <c r="K1063" s="1308">
        <v>0</v>
      </c>
      <c r="L1063" s="1310">
        <v>0</v>
      </c>
      <c r="M1063" s="1308">
        <v>0</v>
      </c>
      <c r="N1063" s="1310">
        <v>0</v>
      </c>
      <c r="O1063" s="1268">
        <v>585</v>
      </c>
      <c r="P1063" s="1310">
        <v>1474392</v>
      </c>
      <c r="Q1063" s="1310">
        <v>0</v>
      </c>
      <c r="R1063" s="1310">
        <v>0</v>
      </c>
      <c r="S1063" s="1310">
        <v>0</v>
      </c>
      <c r="T1063" s="1310">
        <v>0</v>
      </c>
      <c r="U1063" s="1310">
        <v>0</v>
      </c>
      <c r="V1063" s="1310">
        <v>0</v>
      </c>
      <c r="W1063" s="1316">
        <v>0</v>
      </c>
      <c r="X1063" s="1310">
        <v>0</v>
      </c>
      <c r="Y1063" s="1316">
        <v>0</v>
      </c>
    </row>
    <row r="1064" spans="1:25" s="1280" customFormat="1" ht="75.599999999999994">
      <c r="A1064" s="1352">
        <v>163</v>
      </c>
      <c r="B1064" s="1267" t="s">
        <v>2517</v>
      </c>
      <c r="C1064" s="1268">
        <f t="shared" si="475"/>
        <v>1473151</v>
      </c>
      <c r="D1064" s="1268">
        <f t="shared" si="474"/>
        <v>0</v>
      </c>
      <c r="E1064" s="1310">
        <v>0</v>
      </c>
      <c r="F1064" s="1310">
        <v>0</v>
      </c>
      <c r="G1064" s="1310">
        <v>0</v>
      </c>
      <c r="H1064" s="1310">
        <v>0</v>
      </c>
      <c r="I1064" s="1310">
        <v>0</v>
      </c>
      <c r="J1064" s="1310">
        <v>0</v>
      </c>
      <c r="K1064" s="1308">
        <v>0</v>
      </c>
      <c r="L1064" s="1310">
        <v>0</v>
      </c>
      <c r="M1064" s="1308">
        <v>0</v>
      </c>
      <c r="N1064" s="1310">
        <v>0</v>
      </c>
      <c r="O1064" s="1268">
        <v>585</v>
      </c>
      <c r="P1064" s="1310">
        <v>1473151</v>
      </c>
      <c r="Q1064" s="1310">
        <v>0</v>
      </c>
      <c r="R1064" s="1310">
        <v>0</v>
      </c>
      <c r="S1064" s="1310">
        <v>0</v>
      </c>
      <c r="T1064" s="1310">
        <v>0</v>
      </c>
      <c r="U1064" s="1310">
        <v>0</v>
      </c>
      <c r="V1064" s="1310">
        <v>0</v>
      </c>
      <c r="W1064" s="1316">
        <v>0</v>
      </c>
      <c r="X1064" s="1310">
        <v>0</v>
      </c>
      <c r="Y1064" s="1316">
        <v>0</v>
      </c>
    </row>
    <row r="1065" spans="1:25" s="1280" customFormat="1">
      <c r="A1065" s="1352">
        <v>164</v>
      </c>
      <c r="B1065" s="1267" t="s">
        <v>2127</v>
      </c>
      <c r="C1065" s="1268">
        <f t="shared" si="475"/>
        <v>4723244</v>
      </c>
      <c r="D1065" s="1268">
        <f t="shared" si="474"/>
        <v>0</v>
      </c>
      <c r="E1065" s="1310">
        <v>0</v>
      </c>
      <c r="F1065" s="1310">
        <v>0</v>
      </c>
      <c r="G1065" s="1310">
        <v>0</v>
      </c>
      <c r="H1065" s="1310">
        <v>0</v>
      </c>
      <c r="I1065" s="1310">
        <v>0</v>
      </c>
      <c r="J1065" s="1310">
        <v>0</v>
      </c>
      <c r="K1065" s="1308">
        <v>0</v>
      </c>
      <c r="L1065" s="1310">
        <v>0</v>
      </c>
      <c r="M1065" s="1308">
        <v>0</v>
      </c>
      <c r="N1065" s="1310">
        <v>0</v>
      </c>
      <c r="O1065" s="1310">
        <v>0</v>
      </c>
      <c r="P1065" s="1310">
        <v>0</v>
      </c>
      <c r="Q1065" s="1310">
        <v>0</v>
      </c>
      <c r="R1065" s="1310">
        <v>0</v>
      </c>
      <c r="S1065" s="1310">
        <v>1775</v>
      </c>
      <c r="T1065" s="1310">
        <v>4723244</v>
      </c>
      <c r="U1065" s="1310">
        <v>0</v>
      </c>
      <c r="V1065" s="1310">
        <v>0</v>
      </c>
      <c r="W1065" s="1316">
        <v>0</v>
      </c>
      <c r="X1065" s="1310">
        <v>0</v>
      </c>
      <c r="Y1065" s="1316">
        <v>0</v>
      </c>
    </row>
    <row r="1066" spans="1:25" s="1280" customFormat="1">
      <c r="A1066" s="1352">
        <v>165</v>
      </c>
      <c r="B1066" s="1267" t="s">
        <v>2128</v>
      </c>
      <c r="C1066" s="1268">
        <f t="shared" si="475"/>
        <v>5861128</v>
      </c>
      <c r="D1066" s="1268">
        <f t="shared" si="474"/>
        <v>0</v>
      </c>
      <c r="E1066" s="1310">
        <v>0</v>
      </c>
      <c r="F1066" s="1310">
        <v>0</v>
      </c>
      <c r="G1066" s="1310">
        <v>0</v>
      </c>
      <c r="H1066" s="1310">
        <v>0</v>
      </c>
      <c r="I1066" s="1310">
        <v>0</v>
      </c>
      <c r="J1066" s="1310">
        <v>0</v>
      </c>
      <c r="K1066" s="1308">
        <v>0</v>
      </c>
      <c r="L1066" s="1310">
        <v>0</v>
      </c>
      <c r="M1066" s="1308">
        <v>0</v>
      </c>
      <c r="N1066" s="1310">
        <v>0</v>
      </c>
      <c r="O1066" s="1310">
        <v>1094</v>
      </c>
      <c r="P1066" s="1310">
        <v>3469897</v>
      </c>
      <c r="Q1066" s="1310">
        <v>0</v>
      </c>
      <c r="R1066" s="1310">
        <v>0</v>
      </c>
      <c r="S1066" s="1310">
        <v>1574</v>
      </c>
      <c r="T1066" s="1310">
        <v>2391231</v>
      </c>
      <c r="U1066" s="1310">
        <v>0</v>
      </c>
      <c r="V1066" s="1310">
        <v>0</v>
      </c>
      <c r="W1066" s="1316">
        <v>0</v>
      </c>
      <c r="X1066" s="1310">
        <v>0</v>
      </c>
      <c r="Y1066" s="1316">
        <v>0</v>
      </c>
    </row>
    <row r="1067" spans="1:25" s="1280" customFormat="1">
      <c r="A1067" s="1352">
        <v>166</v>
      </c>
      <c r="B1067" s="1267" t="s">
        <v>2129</v>
      </c>
      <c r="C1067" s="1268">
        <f t="shared" si="475"/>
        <v>1187834</v>
      </c>
      <c r="D1067" s="1268">
        <f t="shared" si="474"/>
        <v>1187834</v>
      </c>
      <c r="E1067" s="1310">
        <v>0</v>
      </c>
      <c r="F1067" s="1310">
        <v>0</v>
      </c>
      <c r="G1067" s="1310">
        <v>0</v>
      </c>
      <c r="H1067" s="1310">
        <v>0</v>
      </c>
      <c r="I1067" s="1310">
        <v>0</v>
      </c>
      <c r="J1067" s="1310">
        <v>1187834</v>
      </c>
      <c r="K1067" s="1308">
        <v>0</v>
      </c>
      <c r="L1067" s="1310">
        <v>0</v>
      </c>
      <c r="M1067" s="1308">
        <v>0</v>
      </c>
      <c r="N1067" s="1310">
        <v>0</v>
      </c>
      <c r="O1067" s="1310">
        <v>0</v>
      </c>
      <c r="P1067" s="1310">
        <v>0</v>
      </c>
      <c r="Q1067" s="1310">
        <v>0</v>
      </c>
      <c r="R1067" s="1310">
        <v>0</v>
      </c>
      <c r="S1067" s="1310">
        <v>0</v>
      </c>
      <c r="T1067" s="1310">
        <v>0</v>
      </c>
      <c r="U1067" s="1310">
        <v>0</v>
      </c>
      <c r="V1067" s="1310">
        <v>0</v>
      </c>
      <c r="W1067" s="1316">
        <v>0</v>
      </c>
      <c r="X1067" s="1310">
        <v>0</v>
      </c>
      <c r="Y1067" s="1316">
        <v>0</v>
      </c>
    </row>
    <row r="1068" spans="1:25" s="1280" customFormat="1" ht="75.599999999999994">
      <c r="A1068" s="1352">
        <v>167</v>
      </c>
      <c r="B1068" s="1267" t="s">
        <v>2518</v>
      </c>
      <c r="C1068" s="1268">
        <f t="shared" si="475"/>
        <v>3815849</v>
      </c>
      <c r="D1068" s="1268">
        <f t="shared" si="474"/>
        <v>0</v>
      </c>
      <c r="E1068" s="1310">
        <v>0</v>
      </c>
      <c r="F1068" s="1310">
        <v>0</v>
      </c>
      <c r="G1068" s="1310">
        <v>0</v>
      </c>
      <c r="H1068" s="1310">
        <v>0</v>
      </c>
      <c r="I1068" s="1310">
        <v>0</v>
      </c>
      <c r="J1068" s="1310">
        <v>0</v>
      </c>
      <c r="K1068" s="1308">
        <v>0</v>
      </c>
      <c r="L1068" s="1310">
        <v>0</v>
      </c>
      <c r="M1068" s="1308">
        <v>0</v>
      </c>
      <c r="N1068" s="1310">
        <v>0</v>
      </c>
      <c r="O1068" s="1310">
        <v>0</v>
      </c>
      <c r="P1068" s="1310">
        <v>0</v>
      </c>
      <c r="Q1068" s="1310">
        <v>0</v>
      </c>
      <c r="R1068" s="1310">
        <v>0</v>
      </c>
      <c r="S1068" s="1310">
        <v>1434</v>
      </c>
      <c r="T1068" s="1310">
        <v>3815849</v>
      </c>
      <c r="U1068" s="1310">
        <v>0</v>
      </c>
      <c r="V1068" s="1310">
        <v>0</v>
      </c>
      <c r="W1068" s="1316">
        <v>0</v>
      </c>
      <c r="X1068" s="1310">
        <v>0</v>
      </c>
      <c r="Y1068" s="1316">
        <v>0</v>
      </c>
    </row>
    <row r="1069" spans="1:25" s="1280" customFormat="1" ht="75.599999999999994">
      <c r="A1069" s="1352">
        <v>168</v>
      </c>
      <c r="B1069" s="1267" t="s">
        <v>2519</v>
      </c>
      <c r="C1069" s="1268">
        <f t="shared" si="475"/>
        <v>1701968</v>
      </c>
      <c r="D1069" s="1268">
        <f t="shared" si="474"/>
        <v>1701968</v>
      </c>
      <c r="E1069" s="1310">
        <v>1701968</v>
      </c>
      <c r="F1069" s="1310">
        <v>0</v>
      </c>
      <c r="G1069" s="1310">
        <v>0</v>
      </c>
      <c r="H1069" s="1310">
        <v>0</v>
      </c>
      <c r="I1069" s="1310">
        <v>0</v>
      </c>
      <c r="J1069" s="1310">
        <v>0</v>
      </c>
      <c r="K1069" s="1308">
        <v>0</v>
      </c>
      <c r="L1069" s="1310">
        <v>0</v>
      </c>
      <c r="M1069" s="1308">
        <v>0</v>
      </c>
      <c r="N1069" s="1310">
        <v>0</v>
      </c>
      <c r="O1069" s="1310">
        <v>0</v>
      </c>
      <c r="P1069" s="1310">
        <v>0</v>
      </c>
      <c r="Q1069" s="1310">
        <v>0</v>
      </c>
      <c r="R1069" s="1310">
        <v>0</v>
      </c>
      <c r="S1069" s="1310">
        <v>0</v>
      </c>
      <c r="T1069" s="1310">
        <v>0</v>
      </c>
      <c r="U1069" s="1310">
        <v>0</v>
      </c>
      <c r="V1069" s="1310">
        <v>0</v>
      </c>
      <c r="W1069" s="1316">
        <v>0</v>
      </c>
      <c r="X1069" s="1310">
        <v>0</v>
      </c>
      <c r="Y1069" s="1316">
        <v>0</v>
      </c>
    </row>
    <row r="1070" spans="1:25" s="1280" customFormat="1">
      <c r="A1070" s="1352">
        <v>169</v>
      </c>
      <c r="B1070" s="1267" t="s">
        <v>2130</v>
      </c>
      <c r="C1070" s="1268">
        <f t="shared" si="475"/>
        <v>3858424</v>
      </c>
      <c r="D1070" s="1268">
        <f t="shared" si="474"/>
        <v>0</v>
      </c>
      <c r="E1070" s="1310">
        <v>0</v>
      </c>
      <c r="F1070" s="1310">
        <v>0</v>
      </c>
      <c r="G1070" s="1310">
        <v>0</v>
      </c>
      <c r="H1070" s="1310">
        <v>0</v>
      </c>
      <c r="I1070" s="1310">
        <v>0</v>
      </c>
      <c r="J1070" s="1310">
        <v>0</v>
      </c>
      <c r="K1070" s="1308">
        <v>0</v>
      </c>
      <c r="L1070" s="1310">
        <v>0</v>
      </c>
      <c r="M1070" s="1308">
        <v>0</v>
      </c>
      <c r="N1070" s="1310">
        <v>0</v>
      </c>
      <c r="O1070" s="1310">
        <v>0</v>
      </c>
      <c r="P1070" s="1310">
        <v>0</v>
      </c>
      <c r="Q1070" s="1310">
        <v>0</v>
      </c>
      <c r="R1070" s="1310">
        <v>0</v>
      </c>
      <c r="S1070" s="1310">
        <v>1450</v>
      </c>
      <c r="T1070" s="1310">
        <v>3858424</v>
      </c>
      <c r="U1070" s="1310">
        <v>0</v>
      </c>
      <c r="V1070" s="1310">
        <v>0</v>
      </c>
      <c r="W1070" s="1316">
        <v>0</v>
      </c>
      <c r="X1070" s="1310">
        <v>0</v>
      </c>
      <c r="Y1070" s="1316">
        <v>0</v>
      </c>
    </row>
    <row r="1071" spans="1:25" s="1280" customFormat="1">
      <c r="A1071" s="1352">
        <v>170</v>
      </c>
      <c r="B1071" s="1267" t="s">
        <v>2131</v>
      </c>
      <c r="C1071" s="1268">
        <f t="shared" si="475"/>
        <v>3342485</v>
      </c>
      <c r="D1071" s="1268">
        <f t="shared" si="474"/>
        <v>3342485</v>
      </c>
      <c r="E1071" s="1310">
        <v>3342485</v>
      </c>
      <c r="F1071" s="1310">
        <v>0</v>
      </c>
      <c r="G1071" s="1310">
        <v>0</v>
      </c>
      <c r="H1071" s="1310">
        <v>0</v>
      </c>
      <c r="I1071" s="1310">
        <v>0</v>
      </c>
      <c r="J1071" s="1310">
        <v>0</v>
      </c>
      <c r="K1071" s="1308">
        <v>0</v>
      </c>
      <c r="L1071" s="1310">
        <v>0</v>
      </c>
      <c r="M1071" s="1308">
        <v>0</v>
      </c>
      <c r="N1071" s="1310">
        <v>0</v>
      </c>
      <c r="O1071" s="1310">
        <v>0</v>
      </c>
      <c r="P1071" s="1310">
        <v>0</v>
      </c>
      <c r="Q1071" s="1310">
        <v>0</v>
      </c>
      <c r="R1071" s="1310">
        <v>0</v>
      </c>
      <c r="S1071" s="1310">
        <v>0</v>
      </c>
      <c r="T1071" s="1310">
        <v>0</v>
      </c>
      <c r="U1071" s="1310">
        <v>0</v>
      </c>
      <c r="V1071" s="1310">
        <v>0</v>
      </c>
      <c r="W1071" s="1316">
        <v>0</v>
      </c>
      <c r="X1071" s="1310">
        <v>0</v>
      </c>
      <c r="Y1071" s="1316">
        <v>0</v>
      </c>
    </row>
    <row r="1072" spans="1:25" s="1280" customFormat="1" ht="75.599999999999994">
      <c r="A1072" s="1352">
        <v>171</v>
      </c>
      <c r="B1072" s="1267" t="s">
        <v>2188</v>
      </c>
      <c r="C1072" s="1268">
        <f t="shared" si="475"/>
        <v>1721427</v>
      </c>
      <c r="D1072" s="1268">
        <f t="shared" si="474"/>
        <v>1721427</v>
      </c>
      <c r="E1072" s="1310">
        <v>0</v>
      </c>
      <c r="F1072" s="1310">
        <v>1721427</v>
      </c>
      <c r="G1072" s="1310">
        <v>0</v>
      </c>
      <c r="H1072" s="1310">
        <v>0</v>
      </c>
      <c r="I1072" s="1310">
        <v>0</v>
      </c>
      <c r="J1072" s="1310">
        <v>0</v>
      </c>
      <c r="K1072" s="1308">
        <v>0</v>
      </c>
      <c r="L1072" s="1310">
        <v>0</v>
      </c>
      <c r="M1072" s="1308">
        <v>0</v>
      </c>
      <c r="N1072" s="1310">
        <v>0</v>
      </c>
      <c r="O1072" s="1310">
        <v>0</v>
      </c>
      <c r="P1072" s="1310">
        <v>0</v>
      </c>
      <c r="Q1072" s="1310">
        <v>0</v>
      </c>
      <c r="R1072" s="1310">
        <v>0</v>
      </c>
      <c r="S1072" s="1310">
        <v>0</v>
      </c>
      <c r="T1072" s="1310">
        <v>0</v>
      </c>
      <c r="U1072" s="1310">
        <v>0</v>
      </c>
      <c r="V1072" s="1310">
        <v>0</v>
      </c>
      <c r="W1072" s="1316">
        <v>0</v>
      </c>
      <c r="X1072" s="1310">
        <v>0</v>
      </c>
      <c r="Y1072" s="1316">
        <v>0</v>
      </c>
    </row>
    <row r="1073" spans="1:25" s="1280" customFormat="1">
      <c r="A1073" s="1352">
        <v>172</v>
      </c>
      <c r="B1073" s="1267" t="s">
        <v>1914</v>
      </c>
      <c r="C1073" s="1268">
        <f t="shared" si="475"/>
        <v>6969833</v>
      </c>
      <c r="D1073" s="1268">
        <f t="shared" si="474"/>
        <v>6969833</v>
      </c>
      <c r="E1073" s="1310">
        <v>0</v>
      </c>
      <c r="F1073" s="1310">
        <v>0</v>
      </c>
      <c r="G1073" s="1310">
        <v>0</v>
      </c>
      <c r="H1073" s="1310">
        <v>6969833</v>
      </c>
      <c r="I1073" s="1310">
        <v>0</v>
      </c>
      <c r="J1073" s="1310">
        <v>0</v>
      </c>
      <c r="K1073" s="1308">
        <v>0</v>
      </c>
      <c r="L1073" s="1310">
        <v>0</v>
      </c>
      <c r="M1073" s="1308">
        <v>0</v>
      </c>
      <c r="N1073" s="1310">
        <v>0</v>
      </c>
      <c r="O1073" s="1310">
        <v>0</v>
      </c>
      <c r="P1073" s="1310">
        <v>0</v>
      </c>
      <c r="Q1073" s="1310">
        <v>0</v>
      </c>
      <c r="R1073" s="1310">
        <v>0</v>
      </c>
      <c r="S1073" s="1310">
        <v>0</v>
      </c>
      <c r="T1073" s="1310">
        <v>0</v>
      </c>
      <c r="U1073" s="1310">
        <v>0</v>
      </c>
      <c r="V1073" s="1310">
        <v>0</v>
      </c>
      <c r="W1073" s="1316">
        <v>0</v>
      </c>
      <c r="X1073" s="1310">
        <v>0</v>
      </c>
      <c r="Y1073" s="1316">
        <v>0</v>
      </c>
    </row>
    <row r="1074" spans="1:25" s="1280" customFormat="1" ht="75.599999999999994">
      <c r="A1074" s="1352">
        <v>173</v>
      </c>
      <c r="B1074" s="1267" t="s">
        <v>2132</v>
      </c>
      <c r="C1074" s="1268">
        <f t="shared" si="475"/>
        <v>2127173</v>
      </c>
      <c r="D1074" s="1268">
        <f t="shared" si="474"/>
        <v>2127173</v>
      </c>
      <c r="E1074" s="1310">
        <v>0</v>
      </c>
      <c r="F1074" s="1310">
        <v>2127173</v>
      </c>
      <c r="G1074" s="1310">
        <v>0</v>
      </c>
      <c r="H1074" s="1310">
        <v>0</v>
      </c>
      <c r="I1074" s="1310">
        <v>0</v>
      </c>
      <c r="J1074" s="1310">
        <v>0</v>
      </c>
      <c r="K1074" s="1308">
        <v>0</v>
      </c>
      <c r="L1074" s="1310">
        <v>0</v>
      </c>
      <c r="M1074" s="1308">
        <v>0</v>
      </c>
      <c r="N1074" s="1310">
        <v>0</v>
      </c>
      <c r="O1074" s="1310">
        <v>0</v>
      </c>
      <c r="P1074" s="1310">
        <v>0</v>
      </c>
      <c r="Q1074" s="1310">
        <v>0</v>
      </c>
      <c r="R1074" s="1310">
        <v>0</v>
      </c>
      <c r="S1074" s="1310">
        <v>0</v>
      </c>
      <c r="T1074" s="1310">
        <v>0</v>
      </c>
      <c r="U1074" s="1310">
        <v>0</v>
      </c>
      <c r="V1074" s="1310">
        <v>0</v>
      </c>
      <c r="W1074" s="1316">
        <v>0</v>
      </c>
      <c r="X1074" s="1310">
        <v>0</v>
      </c>
      <c r="Y1074" s="1316">
        <v>0</v>
      </c>
    </row>
    <row r="1075" spans="1:25" s="1280" customFormat="1" ht="75.599999999999994">
      <c r="A1075" s="1352">
        <v>174</v>
      </c>
      <c r="B1075" s="1267" t="s">
        <v>2133</v>
      </c>
      <c r="C1075" s="1268">
        <f t="shared" si="475"/>
        <v>1418636</v>
      </c>
      <c r="D1075" s="1268">
        <f t="shared" si="474"/>
        <v>0</v>
      </c>
      <c r="E1075" s="1310">
        <v>0</v>
      </c>
      <c r="F1075" s="1310">
        <v>0</v>
      </c>
      <c r="G1075" s="1310">
        <v>0</v>
      </c>
      <c r="H1075" s="1310">
        <v>0</v>
      </c>
      <c r="I1075" s="1310">
        <v>0</v>
      </c>
      <c r="J1075" s="1310">
        <v>0</v>
      </c>
      <c r="K1075" s="1308">
        <v>0</v>
      </c>
      <c r="L1075" s="1310">
        <v>0</v>
      </c>
      <c r="M1075" s="1308">
        <v>0</v>
      </c>
      <c r="N1075" s="1310">
        <v>0</v>
      </c>
      <c r="O1075" s="1310">
        <v>443.3</v>
      </c>
      <c r="P1075" s="1310">
        <v>1418636</v>
      </c>
      <c r="Q1075" s="1310">
        <v>0</v>
      </c>
      <c r="R1075" s="1310">
        <v>0</v>
      </c>
      <c r="S1075" s="1310">
        <v>0</v>
      </c>
      <c r="T1075" s="1310">
        <v>0</v>
      </c>
      <c r="U1075" s="1310">
        <v>0</v>
      </c>
      <c r="V1075" s="1310">
        <v>0</v>
      </c>
      <c r="W1075" s="1316">
        <v>0</v>
      </c>
      <c r="X1075" s="1310">
        <v>0</v>
      </c>
      <c r="Y1075" s="1316">
        <v>0</v>
      </c>
    </row>
    <row r="1076" spans="1:25" s="1280" customFormat="1" ht="75.599999999999994">
      <c r="A1076" s="1352">
        <v>175</v>
      </c>
      <c r="B1076" s="1267" t="s">
        <v>2134</v>
      </c>
      <c r="C1076" s="1268">
        <f t="shared" si="475"/>
        <v>2605172</v>
      </c>
      <c r="D1076" s="1268">
        <f t="shared" si="474"/>
        <v>0</v>
      </c>
      <c r="E1076" s="1310">
        <v>0</v>
      </c>
      <c r="F1076" s="1310">
        <v>0</v>
      </c>
      <c r="G1076" s="1310">
        <v>0</v>
      </c>
      <c r="H1076" s="1310">
        <v>0</v>
      </c>
      <c r="I1076" s="1310">
        <v>0</v>
      </c>
      <c r="J1076" s="1310">
        <v>0</v>
      </c>
      <c r="K1076" s="1308">
        <v>0</v>
      </c>
      <c r="L1076" s="1310">
        <v>0</v>
      </c>
      <c r="M1076" s="1308">
        <v>0</v>
      </c>
      <c r="N1076" s="1310">
        <v>0</v>
      </c>
      <c r="O1076" s="1310">
        <v>1040</v>
      </c>
      <c r="P1076" s="1310">
        <v>2605172</v>
      </c>
      <c r="Q1076" s="1310">
        <v>0</v>
      </c>
      <c r="R1076" s="1310">
        <v>0</v>
      </c>
      <c r="S1076" s="1310">
        <v>0</v>
      </c>
      <c r="T1076" s="1310">
        <v>0</v>
      </c>
      <c r="U1076" s="1310">
        <v>0</v>
      </c>
      <c r="V1076" s="1310">
        <v>0</v>
      </c>
      <c r="W1076" s="1316">
        <v>0</v>
      </c>
      <c r="X1076" s="1310">
        <v>0</v>
      </c>
      <c r="Y1076" s="1316">
        <v>0</v>
      </c>
    </row>
    <row r="1077" spans="1:25" s="1280" customFormat="1">
      <c r="A1077" s="1352">
        <v>176</v>
      </c>
      <c r="B1077" s="1267" t="s">
        <v>1700</v>
      </c>
      <c r="C1077" s="1268">
        <f t="shared" si="475"/>
        <v>2870788</v>
      </c>
      <c r="D1077" s="1268">
        <f t="shared" si="474"/>
        <v>0</v>
      </c>
      <c r="E1077" s="1310">
        <v>0</v>
      </c>
      <c r="F1077" s="1310">
        <v>0</v>
      </c>
      <c r="G1077" s="1310">
        <v>0</v>
      </c>
      <c r="H1077" s="1310">
        <v>0</v>
      </c>
      <c r="I1077" s="1310">
        <v>0</v>
      </c>
      <c r="J1077" s="1310">
        <v>0</v>
      </c>
      <c r="K1077" s="1308">
        <v>0</v>
      </c>
      <c r="L1077" s="1310">
        <v>0</v>
      </c>
      <c r="M1077" s="1308">
        <v>0</v>
      </c>
      <c r="N1077" s="1310">
        <v>0</v>
      </c>
      <c r="O1077" s="1310">
        <v>1147</v>
      </c>
      <c r="P1077" s="1310">
        <v>2870788</v>
      </c>
      <c r="Q1077" s="1310">
        <v>0</v>
      </c>
      <c r="R1077" s="1310">
        <v>0</v>
      </c>
      <c r="S1077" s="1310">
        <v>0</v>
      </c>
      <c r="T1077" s="1310">
        <v>0</v>
      </c>
      <c r="U1077" s="1310">
        <v>0</v>
      </c>
      <c r="V1077" s="1310">
        <v>0</v>
      </c>
      <c r="W1077" s="1316">
        <v>0</v>
      </c>
      <c r="X1077" s="1310">
        <v>0</v>
      </c>
      <c r="Y1077" s="1316">
        <v>0</v>
      </c>
    </row>
    <row r="1078" spans="1:25" s="1280" customFormat="1" ht="75.599999999999994">
      <c r="A1078" s="1352">
        <v>177</v>
      </c>
      <c r="B1078" s="1267" t="s">
        <v>2520</v>
      </c>
      <c r="C1078" s="1268">
        <f t="shared" si="475"/>
        <v>9375811</v>
      </c>
      <c r="D1078" s="1268">
        <f t="shared" si="474"/>
        <v>5583707</v>
      </c>
      <c r="E1078" s="1310">
        <v>0</v>
      </c>
      <c r="F1078" s="1310">
        <v>0</v>
      </c>
      <c r="G1078" s="1310">
        <v>0</v>
      </c>
      <c r="H1078" s="1310">
        <v>2113471</v>
      </c>
      <c r="I1078" s="1310">
        <v>2113471</v>
      </c>
      <c r="J1078" s="1310">
        <v>1356765</v>
      </c>
      <c r="K1078" s="1308">
        <v>0</v>
      </c>
      <c r="L1078" s="1310">
        <v>0</v>
      </c>
      <c r="M1078" s="1308">
        <v>0</v>
      </c>
      <c r="N1078" s="1310">
        <v>0</v>
      </c>
      <c r="O1078" s="1310">
        <v>1187</v>
      </c>
      <c r="P1078" s="1310">
        <v>3792104</v>
      </c>
      <c r="Q1078" s="1310">
        <v>0</v>
      </c>
      <c r="R1078" s="1310">
        <v>0</v>
      </c>
      <c r="S1078" s="1310">
        <v>0</v>
      </c>
      <c r="T1078" s="1310">
        <v>0</v>
      </c>
      <c r="U1078" s="1310">
        <v>0</v>
      </c>
      <c r="V1078" s="1310">
        <v>0</v>
      </c>
      <c r="W1078" s="1316">
        <v>0</v>
      </c>
      <c r="X1078" s="1310">
        <v>0</v>
      </c>
      <c r="Y1078" s="1316">
        <v>0</v>
      </c>
    </row>
    <row r="1079" spans="1:25" s="1280" customFormat="1" ht="75.599999999999994">
      <c r="A1079" s="1352">
        <v>178</v>
      </c>
      <c r="B1079" s="1267" t="s">
        <v>2521</v>
      </c>
      <c r="C1079" s="1268">
        <f t="shared" si="475"/>
        <v>10032917</v>
      </c>
      <c r="D1079" s="1268">
        <f t="shared" si="474"/>
        <v>2408099</v>
      </c>
      <c r="E1079" s="1310">
        <v>0</v>
      </c>
      <c r="F1079" s="1310">
        <v>2408099</v>
      </c>
      <c r="G1079" s="1310">
        <v>0</v>
      </c>
      <c r="H1079" s="1310">
        <v>0</v>
      </c>
      <c r="I1079" s="1310">
        <v>0</v>
      </c>
      <c r="J1079" s="1310">
        <v>0</v>
      </c>
      <c r="K1079" s="1308">
        <v>0</v>
      </c>
      <c r="L1079" s="1310">
        <v>0</v>
      </c>
      <c r="M1079" s="1308">
        <v>0</v>
      </c>
      <c r="N1079" s="1310">
        <v>0</v>
      </c>
      <c r="O1079" s="1310">
        <v>1187</v>
      </c>
      <c r="P1079" s="1310">
        <v>3790536</v>
      </c>
      <c r="Q1079" s="1310">
        <v>0</v>
      </c>
      <c r="R1079" s="1310">
        <v>0</v>
      </c>
      <c r="S1079" s="1310">
        <v>2528</v>
      </c>
      <c r="T1079" s="1310">
        <v>3834282</v>
      </c>
      <c r="U1079" s="1310">
        <v>0</v>
      </c>
      <c r="V1079" s="1310">
        <v>0</v>
      </c>
      <c r="W1079" s="1316">
        <v>0</v>
      </c>
      <c r="X1079" s="1310">
        <v>0</v>
      </c>
      <c r="Y1079" s="1316">
        <v>0</v>
      </c>
    </row>
    <row r="1080" spans="1:25" s="1280" customFormat="1">
      <c r="A1080" s="1352">
        <v>179</v>
      </c>
      <c r="B1080" s="1267" t="s">
        <v>2135</v>
      </c>
      <c r="C1080" s="1268">
        <f t="shared" si="475"/>
        <v>3275213</v>
      </c>
      <c r="D1080" s="1268">
        <f t="shared" si="474"/>
        <v>3275213</v>
      </c>
      <c r="E1080" s="1310">
        <v>0</v>
      </c>
      <c r="F1080" s="1310">
        <v>0</v>
      </c>
      <c r="G1080" s="1310">
        <v>0</v>
      </c>
      <c r="H1080" s="1310">
        <v>1994173</v>
      </c>
      <c r="I1080" s="1310">
        <v>0</v>
      </c>
      <c r="J1080" s="1310">
        <v>1281040</v>
      </c>
      <c r="K1080" s="1308">
        <v>0</v>
      </c>
      <c r="L1080" s="1310">
        <v>0</v>
      </c>
      <c r="M1080" s="1308">
        <v>0</v>
      </c>
      <c r="N1080" s="1310">
        <v>0</v>
      </c>
      <c r="O1080" s="1310">
        <v>0</v>
      </c>
      <c r="P1080" s="1310">
        <v>0</v>
      </c>
      <c r="Q1080" s="1310">
        <v>0</v>
      </c>
      <c r="R1080" s="1310">
        <v>0</v>
      </c>
      <c r="S1080" s="1310">
        <v>0</v>
      </c>
      <c r="T1080" s="1310">
        <v>0</v>
      </c>
      <c r="U1080" s="1310">
        <v>0</v>
      </c>
      <c r="V1080" s="1310">
        <v>0</v>
      </c>
      <c r="W1080" s="1316">
        <v>0</v>
      </c>
      <c r="X1080" s="1310">
        <v>0</v>
      </c>
      <c r="Y1080" s="1316">
        <v>0</v>
      </c>
    </row>
    <row r="1081" spans="1:25" s="1280" customFormat="1">
      <c r="A1081" s="1352">
        <v>180</v>
      </c>
      <c r="B1081" s="1267" t="s">
        <v>305</v>
      </c>
      <c r="C1081" s="1268">
        <f t="shared" si="475"/>
        <v>4914173</v>
      </c>
      <c r="D1081" s="1268">
        <f t="shared" si="474"/>
        <v>4914173</v>
      </c>
      <c r="E1081" s="1310">
        <v>0</v>
      </c>
      <c r="F1081" s="1310">
        <v>4914173</v>
      </c>
      <c r="G1081" s="1310">
        <v>0</v>
      </c>
      <c r="H1081" s="1310">
        <v>0</v>
      </c>
      <c r="I1081" s="1310">
        <v>0</v>
      </c>
      <c r="J1081" s="1310">
        <v>0</v>
      </c>
      <c r="K1081" s="1308">
        <v>0</v>
      </c>
      <c r="L1081" s="1310">
        <v>0</v>
      </c>
      <c r="M1081" s="1308">
        <v>0</v>
      </c>
      <c r="N1081" s="1310">
        <v>0</v>
      </c>
      <c r="O1081" s="1310">
        <v>0</v>
      </c>
      <c r="P1081" s="1310">
        <v>0</v>
      </c>
      <c r="Q1081" s="1310">
        <v>0</v>
      </c>
      <c r="R1081" s="1310">
        <v>0</v>
      </c>
      <c r="S1081" s="1310">
        <v>0</v>
      </c>
      <c r="T1081" s="1310">
        <v>0</v>
      </c>
      <c r="U1081" s="1310">
        <v>0</v>
      </c>
      <c r="V1081" s="1310">
        <v>0</v>
      </c>
      <c r="W1081" s="1316">
        <v>0</v>
      </c>
      <c r="X1081" s="1310">
        <v>0</v>
      </c>
      <c r="Y1081" s="1316">
        <v>0</v>
      </c>
    </row>
    <row r="1082" spans="1:25" s="1280" customFormat="1">
      <c r="A1082" s="1352">
        <v>181</v>
      </c>
      <c r="B1082" s="1267" t="s">
        <v>345</v>
      </c>
      <c r="C1082" s="1268">
        <f t="shared" si="475"/>
        <v>4694341</v>
      </c>
      <c r="D1082" s="1268">
        <f t="shared" si="474"/>
        <v>4694341</v>
      </c>
      <c r="E1082" s="1310">
        <v>0</v>
      </c>
      <c r="F1082" s="1310">
        <v>4694341</v>
      </c>
      <c r="G1082" s="1310">
        <v>0</v>
      </c>
      <c r="H1082" s="1310">
        <v>0</v>
      </c>
      <c r="I1082" s="1310">
        <v>0</v>
      </c>
      <c r="J1082" s="1310">
        <v>0</v>
      </c>
      <c r="K1082" s="1308">
        <v>0</v>
      </c>
      <c r="L1082" s="1310">
        <v>0</v>
      </c>
      <c r="M1082" s="1308">
        <v>0</v>
      </c>
      <c r="N1082" s="1310">
        <v>0</v>
      </c>
      <c r="O1082" s="1310">
        <v>0</v>
      </c>
      <c r="P1082" s="1310">
        <v>0</v>
      </c>
      <c r="Q1082" s="1310">
        <v>0</v>
      </c>
      <c r="R1082" s="1310">
        <v>0</v>
      </c>
      <c r="S1082" s="1310">
        <v>0</v>
      </c>
      <c r="T1082" s="1310">
        <v>0</v>
      </c>
      <c r="U1082" s="1310">
        <v>0</v>
      </c>
      <c r="V1082" s="1310">
        <v>0</v>
      </c>
      <c r="W1082" s="1316">
        <v>0</v>
      </c>
      <c r="X1082" s="1310">
        <v>0</v>
      </c>
      <c r="Y1082" s="1316">
        <v>0</v>
      </c>
    </row>
    <row r="1083" spans="1:25" s="1280" customFormat="1" ht="75.599999999999994">
      <c r="A1083" s="1352">
        <v>182</v>
      </c>
      <c r="B1083" s="1267" t="s">
        <v>2522</v>
      </c>
      <c r="C1083" s="1268">
        <f t="shared" si="475"/>
        <v>2576107</v>
      </c>
      <c r="D1083" s="1268">
        <f t="shared" si="474"/>
        <v>1502478</v>
      </c>
      <c r="E1083" s="1310">
        <v>1502478</v>
      </c>
      <c r="F1083" s="1310">
        <v>0</v>
      </c>
      <c r="G1083" s="1310">
        <v>0</v>
      </c>
      <c r="H1083" s="1310">
        <v>0</v>
      </c>
      <c r="I1083" s="1310">
        <v>0</v>
      </c>
      <c r="J1083" s="1310">
        <v>0</v>
      </c>
      <c r="K1083" s="1308">
        <v>0</v>
      </c>
      <c r="L1083" s="1310">
        <v>0</v>
      </c>
      <c r="M1083" s="1308">
        <v>0</v>
      </c>
      <c r="N1083" s="1310">
        <v>0</v>
      </c>
      <c r="O1083" s="1310">
        <v>0</v>
      </c>
      <c r="P1083" s="1310">
        <v>0</v>
      </c>
      <c r="Q1083" s="1310">
        <v>409.3</v>
      </c>
      <c r="R1083" s="1310">
        <v>1073629</v>
      </c>
      <c r="S1083" s="1310">
        <v>0</v>
      </c>
      <c r="T1083" s="1310">
        <v>0</v>
      </c>
      <c r="U1083" s="1310">
        <v>0</v>
      </c>
      <c r="V1083" s="1310">
        <v>0</v>
      </c>
      <c r="W1083" s="1316">
        <v>0</v>
      </c>
      <c r="X1083" s="1310">
        <v>0</v>
      </c>
      <c r="Y1083" s="1316">
        <v>0</v>
      </c>
    </row>
    <row r="1084" spans="1:25" s="1280" customFormat="1" ht="75.599999999999994">
      <c r="A1084" s="1352">
        <v>183</v>
      </c>
      <c r="B1084" s="1267" t="s">
        <v>2137</v>
      </c>
      <c r="C1084" s="1268">
        <f t="shared" si="475"/>
        <v>807803</v>
      </c>
      <c r="D1084" s="1268">
        <f t="shared" si="474"/>
        <v>0</v>
      </c>
      <c r="E1084" s="1310">
        <v>0</v>
      </c>
      <c r="F1084" s="1310">
        <v>0</v>
      </c>
      <c r="G1084" s="1310">
        <v>0</v>
      </c>
      <c r="H1084" s="1310">
        <v>0</v>
      </c>
      <c r="I1084" s="1310">
        <v>0</v>
      </c>
      <c r="J1084" s="1310">
        <v>0</v>
      </c>
      <c r="K1084" s="1308">
        <v>0</v>
      </c>
      <c r="L1084" s="1310">
        <v>0</v>
      </c>
      <c r="M1084" s="1308">
        <v>0</v>
      </c>
      <c r="N1084" s="1310">
        <v>0</v>
      </c>
      <c r="O1084" s="1310">
        <v>249</v>
      </c>
      <c r="P1084" s="1310">
        <v>807803</v>
      </c>
      <c r="Q1084" s="1310">
        <v>0</v>
      </c>
      <c r="R1084" s="1310">
        <v>0</v>
      </c>
      <c r="S1084" s="1310">
        <v>0</v>
      </c>
      <c r="T1084" s="1310">
        <v>0</v>
      </c>
      <c r="U1084" s="1310">
        <v>0</v>
      </c>
      <c r="V1084" s="1310">
        <v>0</v>
      </c>
      <c r="W1084" s="1316">
        <v>0</v>
      </c>
      <c r="X1084" s="1310">
        <v>0</v>
      </c>
      <c r="Y1084" s="1316">
        <v>0</v>
      </c>
    </row>
    <row r="1085" spans="1:25" s="1280" customFormat="1">
      <c r="A1085" s="1352">
        <v>184</v>
      </c>
      <c r="B1085" s="1267" t="s">
        <v>2138</v>
      </c>
      <c r="C1085" s="1268">
        <f t="shared" si="475"/>
        <v>2610981</v>
      </c>
      <c r="D1085" s="1268">
        <f t="shared" si="474"/>
        <v>310509</v>
      </c>
      <c r="E1085" s="1310">
        <v>310509</v>
      </c>
      <c r="F1085" s="1310">
        <v>0</v>
      </c>
      <c r="G1085" s="1310">
        <v>0</v>
      </c>
      <c r="H1085" s="1310">
        <v>0</v>
      </c>
      <c r="I1085" s="1310">
        <v>0</v>
      </c>
      <c r="J1085" s="1310">
        <v>0</v>
      </c>
      <c r="K1085" s="1308">
        <v>0</v>
      </c>
      <c r="L1085" s="1310">
        <v>0</v>
      </c>
      <c r="M1085" s="1308">
        <v>0</v>
      </c>
      <c r="N1085" s="1310">
        <v>0</v>
      </c>
      <c r="O1085" s="1310">
        <v>337.5</v>
      </c>
      <c r="P1085" s="1310">
        <v>1086532</v>
      </c>
      <c r="Q1085" s="1310">
        <v>0</v>
      </c>
      <c r="R1085" s="1310">
        <v>0</v>
      </c>
      <c r="S1085" s="1310">
        <v>456.2</v>
      </c>
      <c r="T1085" s="1310">
        <v>1213940</v>
      </c>
      <c r="U1085" s="1310">
        <v>0</v>
      </c>
      <c r="V1085" s="1310">
        <v>0</v>
      </c>
      <c r="W1085" s="1316">
        <v>0</v>
      </c>
      <c r="X1085" s="1310">
        <v>0</v>
      </c>
      <c r="Y1085" s="1316">
        <v>0</v>
      </c>
    </row>
    <row r="1086" spans="1:25" s="1280" customFormat="1">
      <c r="A1086" s="1352">
        <v>185</v>
      </c>
      <c r="B1086" s="1267" t="s">
        <v>2139</v>
      </c>
      <c r="C1086" s="1268">
        <f t="shared" si="475"/>
        <v>1010192</v>
      </c>
      <c r="D1086" s="1268">
        <f t="shared" si="474"/>
        <v>0</v>
      </c>
      <c r="E1086" s="1310">
        <v>0</v>
      </c>
      <c r="F1086" s="1310">
        <v>0</v>
      </c>
      <c r="G1086" s="1310">
        <v>0</v>
      </c>
      <c r="H1086" s="1310">
        <v>0</v>
      </c>
      <c r="I1086" s="1310">
        <v>0</v>
      </c>
      <c r="J1086" s="1310">
        <v>0</v>
      </c>
      <c r="K1086" s="1308">
        <v>0</v>
      </c>
      <c r="L1086" s="1310">
        <v>0</v>
      </c>
      <c r="M1086" s="1308">
        <v>0</v>
      </c>
      <c r="N1086" s="1310">
        <v>0</v>
      </c>
      <c r="O1086" s="1310">
        <v>313.2</v>
      </c>
      <c r="P1086" s="1310">
        <v>1010192</v>
      </c>
      <c r="Q1086" s="1310">
        <v>0</v>
      </c>
      <c r="R1086" s="1310">
        <v>0</v>
      </c>
      <c r="S1086" s="1310">
        <v>0</v>
      </c>
      <c r="T1086" s="1310">
        <v>0</v>
      </c>
      <c r="U1086" s="1310">
        <v>0</v>
      </c>
      <c r="V1086" s="1310">
        <v>0</v>
      </c>
      <c r="W1086" s="1316">
        <v>0</v>
      </c>
      <c r="X1086" s="1310">
        <v>0</v>
      </c>
      <c r="Y1086" s="1316">
        <v>0</v>
      </c>
    </row>
    <row r="1087" spans="1:25" s="1280" customFormat="1">
      <c r="A1087" s="1352">
        <v>186</v>
      </c>
      <c r="B1087" s="1267" t="s">
        <v>2140</v>
      </c>
      <c r="C1087" s="1268">
        <f t="shared" si="475"/>
        <v>211148</v>
      </c>
      <c r="D1087" s="1268">
        <f t="shared" si="474"/>
        <v>211148</v>
      </c>
      <c r="E1087" s="1310">
        <v>0</v>
      </c>
      <c r="F1087" s="1310">
        <v>0</v>
      </c>
      <c r="G1087" s="1310">
        <v>0</v>
      </c>
      <c r="H1087" s="1310">
        <v>0</v>
      </c>
      <c r="I1087" s="1310">
        <v>0</v>
      </c>
      <c r="J1087" s="1310">
        <v>211148</v>
      </c>
      <c r="K1087" s="1308">
        <v>0</v>
      </c>
      <c r="L1087" s="1310">
        <v>0</v>
      </c>
      <c r="M1087" s="1308">
        <v>0</v>
      </c>
      <c r="N1087" s="1310">
        <v>0</v>
      </c>
      <c r="O1087" s="1310">
        <v>0</v>
      </c>
      <c r="P1087" s="1310">
        <v>0</v>
      </c>
      <c r="Q1087" s="1310">
        <v>0</v>
      </c>
      <c r="R1087" s="1310">
        <v>0</v>
      </c>
      <c r="S1087" s="1310">
        <v>0</v>
      </c>
      <c r="T1087" s="1310">
        <v>0</v>
      </c>
      <c r="U1087" s="1310">
        <v>0</v>
      </c>
      <c r="V1087" s="1310">
        <v>0</v>
      </c>
      <c r="W1087" s="1316">
        <v>0</v>
      </c>
      <c r="X1087" s="1310">
        <v>0</v>
      </c>
      <c r="Y1087" s="1316">
        <v>0</v>
      </c>
    </row>
    <row r="1088" spans="1:25" s="1280" customFormat="1">
      <c r="A1088" s="1410">
        <v>187</v>
      </c>
      <c r="B1088" s="1267" t="s">
        <v>310</v>
      </c>
      <c r="C1088" s="1268">
        <f t="shared" si="475"/>
        <v>5492477</v>
      </c>
      <c r="D1088" s="1268">
        <f t="shared" si="474"/>
        <v>0</v>
      </c>
      <c r="E1088" s="1268">
        <v>0</v>
      </c>
      <c r="F1088" s="1268">
        <v>0</v>
      </c>
      <c r="G1088" s="1268">
        <v>0</v>
      </c>
      <c r="H1088" s="1268">
        <v>0</v>
      </c>
      <c r="I1088" s="1268">
        <v>0</v>
      </c>
      <c r="J1088" s="1268">
        <v>0</v>
      </c>
      <c r="K1088" s="1278">
        <v>0</v>
      </c>
      <c r="L1088" s="1268">
        <v>0</v>
      </c>
      <c r="M1088" s="1278">
        <v>0</v>
      </c>
      <c r="N1088" s="1268">
        <v>0</v>
      </c>
      <c r="O1088" s="1268">
        <v>2192.4</v>
      </c>
      <c r="P1088" s="1268">
        <v>5492477</v>
      </c>
      <c r="Q1088" s="1268">
        <v>0</v>
      </c>
      <c r="R1088" s="1268">
        <v>0</v>
      </c>
      <c r="S1088" s="1268">
        <v>0</v>
      </c>
      <c r="T1088" s="1268">
        <v>0</v>
      </c>
      <c r="U1088" s="1268">
        <v>0</v>
      </c>
      <c r="V1088" s="1268">
        <v>0</v>
      </c>
      <c r="W1088" s="1268">
        <v>0</v>
      </c>
      <c r="X1088" s="1268">
        <v>0</v>
      </c>
      <c r="Y1088" s="1268">
        <v>0</v>
      </c>
    </row>
    <row r="1089" spans="1:25" s="1280" customFormat="1" ht="75.599999999999994">
      <c r="A1089" s="1352">
        <v>188</v>
      </c>
      <c r="B1089" s="1267" t="s">
        <v>2523</v>
      </c>
      <c r="C1089" s="1268">
        <f t="shared" si="475"/>
        <v>1322508</v>
      </c>
      <c r="D1089" s="1268">
        <f t="shared" si="474"/>
        <v>0</v>
      </c>
      <c r="E1089" s="1310">
        <v>0</v>
      </c>
      <c r="F1089" s="1310">
        <v>0</v>
      </c>
      <c r="G1089" s="1310">
        <v>0</v>
      </c>
      <c r="H1089" s="1310">
        <v>0</v>
      </c>
      <c r="I1089" s="1310">
        <v>0</v>
      </c>
      <c r="J1089" s="1310">
        <v>0</v>
      </c>
      <c r="K1089" s="1308">
        <v>0</v>
      </c>
      <c r="L1089" s="1310">
        <v>0</v>
      </c>
      <c r="M1089" s="1308">
        <v>0</v>
      </c>
      <c r="N1089" s="1310">
        <v>0</v>
      </c>
      <c r="O1089" s="1310">
        <v>0</v>
      </c>
      <c r="P1089" s="1310">
        <v>0</v>
      </c>
      <c r="Q1089" s="1310">
        <v>0</v>
      </c>
      <c r="R1089" s="1310">
        <v>0</v>
      </c>
      <c r="S1089" s="1310">
        <v>497</v>
      </c>
      <c r="T1089" s="1310">
        <v>1322508</v>
      </c>
      <c r="U1089" s="1310">
        <v>0</v>
      </c>
      <c r="V1089" s="1310">
        <v>0</v>
      </c>
      <c r="W1089" s="1316">
        <v>0</v>
      </c>
      <c r="X1089" s="1310">
        <v>0</v>
      </c>
      <c r="Y1089" s="1316">
        <v>0</v>
      </c>
    </row>
    <row r="1090" spans="1:25" s="1280" customFormat="1">
      <c r="A1090" s="1352">
        <v>189</v>
      </c>
      <c r="B1090" s="1267" t="s">
        <v>2142</v>
      </c>
      <c r="C1090" s="1268">
        <f t="shared" si="475"/>
        <v>1440092</v>
      </c>
      <c r="D1090" s="1268">
        <f t="shared" si="474"/>
        <v>0</v>
      </c>
      <c r="E1090" s="1310">
        <v>0</v>
      </c>
      <c r="F1090" s="1310">
        <v>0</v>
      </c>
      <c r="G1090" s="1310">
        <v>0</v>
      </c>
      <c r="H1090" s="1310">
        <v>0</v>
      </c>
      <c r="I1090" s="1310">
        <v>0</v>
      </c>
      <c r="J1090" s="1310">
        <v>0</v>
      </c>
      <c r="K1090" s="1308">
        <v>0</v>
      </c>
      <c r="L1090" s="1310">
        <v>0</v>
      </c>
      <c r="M1090" s="1308">
        <v>0</v>
      </c>
      <c r="N1090" s="1310">
        <v>0</v>
      </c>
      <c r="O1090" s="1310">
        <v>530</v>
      </c>
      <c r="P1090" s="1310">
        <v>1440092</v>
      </c>
      <c r="Q1090" s="1310">
        <v>0</v>
      </c>
      <c r="R1090" s="1310">
        <v>0</v>
      </c>
      <c r="S1090" s="1310">
        <v>0</v>
      </c>
      <c r="T1090" s="1310">
        <v>0</v>
      </c>
      <c r="U1090" s="1310">
        <v>0</v>
      </c>
      <c r="V1090" s="1310">
        <v>0</v>
      </c>
      <c r="W1090" s="1316">
        <v>0</v>
      </c>
      <c r="X1090" s="1310">
        <v>0</v>
      </c>
      <c r="Y1090" s="1316">
        <v>0</v>
      </c>
    </row>
    <row r="1091" spans="1:25" s="1280" customFormat="1" ht="75.599999999999994">
      <c r="A1091" s="1352">
        <v>190</v>
      </c>
      <c r="B1091" s="1267" t="s">
        <v>2143</v>
      </c>
      <c r="C1091" s="1268">
        <f t="shared" si="475"/>
        <v>2489577</v>
      </c>
      <c r="D1091" s="1268">
        <f t="shared" si="474"/>
        <v>0</v>
      </c>
      <c r="E1091" s="1310">
        <v>0</v>
      </c>
      <c r="F1091" s="1310">
        <v>0</v>
      </c>
      <c r="G1091" s="1310">
        <v>0</v>
      </c>
      <c r="H1091" s="1310">
        <v>0</v>
      </c>
      <c r="I1091" s="1310">
        <v>0</v>
      </c>
      <c r="J1091" s="1310">
        <v>0</v>
      </c>
      <c r="K1091" s="1308">
        <v>0</v>
      </c>
      <c r="L1091" s="1310">
        <v>0</v>
      </c>
      <c r="M1091" s="1308">
        <v>0</v>
      </c>
      <c r="N1091" s="1310">
        <v>0</v>
      </c>
      <c r="O1091" s="1310">
        <v>988</v>
      </c>
      <c r="P1091" s="1310">
        <v>2489577</v>
      </c>
      <c r="Q1091" s="1310">
        <v>0</v>
      </c>
      <c r="R1091" s="1310">
        <v>0</v>
      </c>
      <c r="S1091" s="1310">
        <v>0</v>
      </c>
      <c r="T1091" s="1310">
        <v>0</v>
      </c>
      <c r="U1091" s="1310">
        <v>0</v>
      </c>
      <c r="V1091" s="1310">
        <v>0</v>
      </c>
      <c r="W1091" s="1316">
        <v>0</v>
      </c>
      <c r="X1091" s="1310">
        <v>0</v>
      </c>
      <c r="Y1091" s="1316">
        <v>0</v>
      </c>
    </row>
    <row r="1092" spans="1:25" s="1280" customFormat="1">
      <c r="A1092" s="1352">
        <v>191</v>
      </c>
      <c r="B1092" s="1267" t="s">
        <v>1906</v>
      </c>
      <c r="C1092" s="1268">
        <f t="shared" si="475"/>
        <v>4490136</v>
      </c>
      <c r="D1092" s="1268">
        <f t="shared" si="474"/>
        <v>0</v>
      </c>
      <c r="E1092" s="1310">
        <v>0</v>
      </c>
      <c r="F1092" s="1310">
        <v>0</v>
      </c>
      <c r="G1092" s="1310">
        <v>0</v>
      </c>
      <c r="H1092" s="1310">
        <v>0</v>
      </c>
      <c r="I1092" s="1310">
        <v>0</v>
      </c>
      <c r="J1092" s="1310">
        <v>0</v>
      </c>
      <c r="K1092" s="1308">
        <v>0</v>
      </c>
      <c r="L1092" s="1310">
        <v>0</v>
      </c>
      <c r="M1092" s="1308">
        <v>0</v>
      </c>
      <c r="N1092" s="1310">
        <v>0</v>
      </c>
      <c r="O1092" s="1310">
        <v>1789</v>
      </c>
      <c r="P1092" s="1310">
        <v>4490136</v>
      </c>
      <c r="Q1092" s="1310">
        <v>0</v>
      </c>
      <c r="R1092" s="1310">
        <v>0</v>
      </c>
      <c r="S1092" s="1310">
        <v>0</v>
      </c>
      <c r="T1092" s="1310">
        <v>0</v>
      </c>
      <c r="U1092" s="1310">
        <v>0</v>
      </c>
      <c r="V1092" s="1310">
        <v>0</v>
      </c>
      <c r="W1092" s="1316">
        <v>0</v>
      </c>
      <c r="X1092" s="1310">
        <v>0</v>
      </c>
      <c r="Y1092" s="1316">
        <v>0</v>
      </c>
    </row>
    <row r="1093" spans="1:25" s="1280" customFormat="1">
      <c r="A1093" s="1352">
        <v>192</v>
      </c>
      <c r="B1093" s="1267" t="s">
        <v>2144</v>
      </c>
      <c r="C1093" s="1268">
        <f t="shared" si="475"/>
        <v>7327447</v>
      </c>
      <c r="D1093" s="1268">
        <f t="shared" si="474"/>
        <v>4982967</v>
      </c>
      <c r="E1093" s="1310">
        <v>0</v>
      </c>
      <c r="F1093" s="1310">
        <v>0</v>
      </c>
      <c r="G1093" s="1310">
        <v>0</v>
      </c>
      <c r="H1093" s="1310">
        <v>0</v>
      </c>
      <c r="I1093" s="1310">
        <v>4982967</v>
      </c>
      <c r="J1093" s="1310">
        <v>0</v>
      </c>
      <c r="K1093" s="1308">
        <v>0</v>
      </c>
      <c r="L1093" s="1310">
        <v>0</v>
      </c>
      <c r="M1093" s="1308">
        <v>0</v>
      </c>
      <c r="N1093" s="1310">
        <v>0</v>
      </c>
      <c r="O1093" s="1310">
        <v>927</v>
      </c>
      <c r="P1093" s="1310">
        <v>2344480</v>
      </c>
      <c r="Q1093" s="1310">
        <v>0</v>
      </c>
      <c r="R1093" s="1310">
        <v>0</v>
      </c>
      <c r="S1093" s="1310">
        <v>0</v>
      </c>
      <c r="T1093" s="1310">
        <v>0</v>
      </c>
      <c r="U1093" s="1310">
        <v>0</v>
      </c>
      <c r="V1093" s="1310">
        <v>0</v>
      </c>
      <c r="W1093" s="1316">
        <v>0</v>
      </c>
      <c r="X1093" s="1310">
        <v>0</v>
      </c>
      <c r="Y1093" s="1316">
        <v>0</v>
      </c>
    </row>
    <row r="1094" spans="1:25" s="1280" customFormat="1">
      <c r="A1094" s="1352">
        <v>193</v>
      </c>
      <c r="B1094" s="1267" t="s">
        <v>1706</v>
      </c>
      <c r="C1094" s="1268">
        <f t="shared" si="475"/>
        <v>1466735</v>
      </c>
      <c r="D1094" s="1268">
        <f t="shared" ref="D1094:D1157" si="476">SUM(E1094:J1094)</f>
        <v>686063</v>
      </c>
      <c r="E1094" s="1310">
        <v>0</v>
      </c>
      <c r="F1094" s="1310">
        <v>0</v>
      </c>
      <c r="G1094" s="1310">
        <v>0</v>
      </c>
      <c r="H1094" s="1310">
        <v>417412</v>
      </c>
      <c r="I1094" s="1310">
        <v>0</v>
      </c>
      <c r="J1094" s="1310">
        <v>268651</v>
      </c>
      <c r="K1094" s="1308">
        <v>0</v>
      </c>
      <c r="L1094" s="1310">
        <v>0</v>
      </c>
      <c r="M1094" s="1308">
        <v>0</v>
      </c>
      <c r="N1094" s="1310">
        <v>0</v>
      </c>
      <c r="O1094" s="1310">
        <v>0</v>
      </c>
      <c r="P1094" s="1310">
        <v>0</v>
      </c>
      <c r="Q1094" s="1310">
        <v>0</v>
      </c>
      <c r="R1094" s="1310">
        <v>0</v>
      </c>
      <c r="S1094" s="1310">
        <v>501.6</v>
      </c>
      <c r="T1094" s="1310">
        <v>780672</v>
      </c>
      <c r="U1094" s="1310">
        <v>0</v>
      </c>
      <c r="V1094" s="1310">
        <v>0</v>
      </c>
      <c r="W1094" s="1316">
        <v>0</v>
      </c>
      <c r="X1094" s="1310">
        <v>0</v>
      </c>
      <c r="Y1094" s="1316">
        <v>0</v>
      </c>
    </row>
    <row r="1095" spans="1:25" s="1280" customFormat="1">
      <c r="A1095" s="1352">
        <v>194</v>
      </c>
      <c r="B1095" s="1267" t="s">
        <v>292</v>
      </c>
      <c r="C1095" s="1268">
        <f t="shared" ref="C1095:C1158" si="477">D1095+N1095+P1095+R1095+T1095+V1095+Y1095+L1095+X1095</f>
        <v>1794824</v>
      </c>
      <c r="D1095" s="1268">
        <f t="shared" si="476"/>
        <v>1794824</v>
      </c>
      <c r="E1095" s="1310">
        <v>0</v>
      </c>
      <c r="F1095" s="1310">
        <v>0</v>
      </c>
      <c r="G1095" s="1310">
        <v>0</v>
      </c>
      <c r="H1095" s="1310">
        <v>1092956</v>
      </c>
      <c r="I1095" s="1310">
        <v>0</v>
      </c>
      <c r="J1095" s="1310">
        <v>701868</v>
      </c>
      <c r="K1095" s="1308">
        <v>0</v>
      </c>
      <c r="L1095" s="1310">
        <v>0</v>
      </c>
      <c r="M1095" s="1308">
        <v>0</v>
      </c>
      <c r="N1095" s="1310">
        <v>0</v>
      </c>
      <c r="O1095" s="1310">
        <v>0</v>
      </c>
      <c r="P1095" s="1310">
        <v>0</v>
      </c>
      <c r="Q1095" s="1310">
        <v>0</v>
      </c>
      <c r="R1095" s="1310">
        <v>0</v>
      </c>
      <c r="S1095" s="1310">
        <v>0</v>
      </c>
      <c r="T1095" s="1310">
        <v>0</v>
      </c>
      <c r="U1095" s="1310">
        <v>0</v>
      </c>
      <c r="V1095" s="1310">
        <v>0</v>
      </c>
      <c r="W1095" s="1316">
        <v>0</v>
      </c>
      <c r="X1095" s="1310">
        <v>0</v>
      </c>
      <c r="Y1095" s="1316">
        <v>0</v>
      </c>
    </row>
    <row r="1096" spans="1:25" s="1287" customFormat="1" ht="75.599999999999994">
      <c r="A1096" s="1352">
        <v>195</v>
      </c>
      <c r="B1096" s="1267" t="s">
        <v>2524</v>
      </c>
      <c r="C1096" s="1268">
        <f t="shared" si="477"/>
        <v>2254777</v>
      </c>
      <c r="D1096" s="1268">
        <f t="shared" si="476"/>
        <v>453381</v>
      </c>
      <c r="E1096" s="1310">
        <v>209209</v>
      </c>
      <c r="F1096" s="1310">
        <v>0</v>
      </c>
      <c r="G1096" s="1310">
        <v>0</v>
      </c>
      <c r="H1096" s="1310">
        <v>244172</v>
      </c>
      <c r="I1096" s="1310">
        <v>0</v>
      </c>
      <c r="J1096" s="1310">
        <v>0</v>
      </c>
      <c r="K1096" s="1308">
        <v>0</v>
      </c>
      <c r="L1096" s="1310">
        <v>0</v>
      </c>
      <c r="M1096" s="1308">
        <v>0</v>
      </c>
      <c r="N1096" s="1310">
        <v>0</v>
      </c>
      <c r="O1096" s="1310">
        <v>253.4</v>
      </c>
      <c r="P1096" s="1310">
        <v>821463</v>
      </c>
      <c r="Q1096" s="1310">
        <v>0</v>
      </c>
      <c r="R1096" s="1310">
        <v>0</v>
      </c>
      <c r="S1096" s="1310">
        <v>368.26</v>
      </c>
      <c r="T1096" s="1310">
        <v>979933</v>
      </c>
      <c r="U1096" s="1310">
        <v>0</v>
      </c>
      <c r="V1096" s="1310">
        <v>0</v>
      </c>
      <c r="W1096" s="1316">
        <v>0</v>
      </c>
      <c r="X1096" s="1310">
        <v>0</v>
      </c>
      <c r="Y1096" s="1316">
        <v>0</v>
      </c>
    </row>
    <row r="1097" spans="1:25" s="1287" customFormat="1" ht="75.599999999999994">
      <c r="A1097" s="1352">
        <v>196</v>
      </c>
      <c r="B1097" s="1267" t="s">
        <v>236</v>
      </c>
      <c r="C1097" s="1268">
        <f t="shared" si="477"/>
        <v>1111295</v>
      </c>
      <c r="D1097" s="1268">
        <f t="shared" si="476"/>
        <v>1111295</v>
      </c>
      <c r="E1097" s="1310">
        <v>0</v>
      </c>
      <c r="F1097" s="1310">
        <v>1111295</v>
      </c>
      <c r="G1097" s="1310">
        <v>0</v>
      </c>
      <c r="H1097" s="1310">
        <v>0</v>
      </c>
      <c r="I1097" s="1310">
        <v>0</v>
      </c>
      <c r="J1097" s="1310">
        <v>0</v>
      </c>
      <c r="K1097" s="1308">
        <v>0</v>
      </c>
      <c r="L1097" s="1310">
        <v>0</v>
      </c>
      <c r="M1097" s="1308">
        <v>0</v>
      </c>
      <c r="N1097" s="1310">
        <v>0</v>
      </c>
      <c r="O1097" s="1310">
        <v>0</v>
      </c>
      <c r="P1097" s="1310">
        <v>0</v>
      </c>
      <c r="Q1097" s="1310">
        <v>0</v>
      </c>
      <c r="R1097" s="1310">
        <v>0</v>
      </c>
      <c r="S1097" s="1310">
        <v>0</v>
      </c>
      <c r="T1097" s="1310">
        <v>0</v>
      </c>
      <c r="U1097" s="1310">
        <v>0</v>
      </c>
      <c r="V1097" s="1310">
        <v>0</v>
      </c>
      <c r="W1097" s="1316">
        <v>0</v>
      </c>
      <c r="X1097" s="1310">
        <v>0</v>
      </c>
      <c r="Y1097" s="1316">
        <v>0</v>
      </c>
    </row>
    <row r="1098" spans="1:25" s="1287" customFormat="1" ht="75.599999999999994">
      <c r="A1098" s="1352">
        <v>197</v>
      </c>
      <c r="B1098" s="1267" t="s">
        <v>2191</v>
      </c>
      <c r="C1098" s="1268">
        <f t="shared" si="477"/>
        <v>5955329</v>
      </c>
      <c r="D1098" s="1268">
        <f t="shared" si="476"/>
        <v>5955329</v>
      </c>
      <c r="E1098" s="1310">
        <v>0</v>
      </c>
      <c r="F1098" s="1310">
        <v>0</v>
      </c>
      <c r="G1098" s="1310">
        <v>0</v>
      </c>
      <c r="H1098" s="1310">
        <v>2211494</v>
      </c>
      <c r="I1098" s="1310">
        <v>2325107</v>
      </c>
      <c r="J1098" s="1310">
        <v>1418728</v>
      </c>
      <c r="K1098" s="1308">
        <v>0</v>
      </c>
      <c r="L1098" s="1310">
        <v>0</v>
      </c>
      <c r="M1098" s="1308">
        <v>0</v>
      </c>
      <c r="N1098" s="1310">
        <v>0</v>
      </c>
      <c r="O1098" s="1310">
        <v>0</v>
      </c>
      <c r="P1098" s="1310">
        <v>0</v>
      </c>
      <c r="Q1098" s="1310">
        <v>0</v>
      </c>
      <c r="R1098" s="1310">
        <v>0</v>
      </c>
      <c r="S1098" s="1310">
        <v>0</v>
      </c>
      <c r="T1098" s="1310">
        <v>0</v>
      </c>
      <c r="U1098" s="1310">
        <v>0</v>
      </c>
      <c r="V1098" s="1310">
        <v>0</v>
      </c>
      <c r="W1098" s="1316">
        <v>0</v>
      </c>
      <c r="X1098" s="1310">
        <v>0</v>
      </c>
      <c r="Y1098" s="1316">
        <v>0</v>
      </c>
    </row>
    <row r="1099" spans="1:25" s="1287" customFormat="1">
      <c r="A1099" s="1352">
        <v>198</v>
      </c>
      <c r="B1099" s="1267" t="s">
        <v>2146</v>
      </c>
      <c r="C1099" s="1268">
        <f t="shared" si="477"/>
        <v>4380171</v>
      </c>
      <c r="D1099" s="1268">
        <f t="shared" si="476"/>
        <v>4380171</v>
      </c>
      <c r="E1099" s="1310">
        <v>0</v>
      </c>
      <c r="F1099" s="1310">
        <v>4380171</v>
      </c>
      <c r="G1099" s="1310">
        <v>0</v>
      </c>
      <c r="H1099" s="1310">
        <v>0</v>
      </c>
      <c r="I1099" s="1310">
        <v>0</v>
      </c>
      <c r="J1099" s="1310">
        <v>0</v>
      </c>
      <c r="K1099" s="1308">
        <v>0</v>
      </c>
      <c r="L1099" s="1310">
        <v>0</v>
      </c>
      <c r="M1099" s="1308">
        <v>0</v>
      </c>
      <c r="N1099" s="1310">
        <v>0</v>
      </c>
      <c r="O1099" s="1310">
        <v>0</v>
      </c>
      <c r="P1099" s="1310">
        <v>0</v>
      </c>
      <c r="Q1099" s="1310">
        <v>0</v>
      </c>
      <c r="R1099" s="1310">
        <v>0</v>
      </c>
      <c r="S1099" s="1310">
        <v>0</v>
      </c>
      <c r="T1099" s="1310">
        <v>0</v>
      </c>
      <c r="U1099" s="1310">
        <v>0</v>
      </c>
      <c r="V1099" s="1310">
        <v>0</v>
      </c>
      <c r="W1099" s="1316">
        <v>0</v>
      </c>
      <c r="X1099" s="1310">
        <v>0</v>
      </c>
      <c r="Y1099" s="1316">
        <v>0</v>
      </c>
    </row>
    <row r="1100" spans="1:25" s="1287" customFormat="1">
      <c r="A1100" s="1352">
        <v>199</v>
      </c>
      <c r="B1100" s="1267" t="s">
        <v>2147</v>
      </c>
      <c r="C1100" s="1268">
        <f t="shared" si="477"/>
        <v>6649805</v>
      </c>
      <c r="D1100" s="1268">
        <f t="shared" si="476"/>
        <v>6649805</v>
      </c>
      <c r="E1100" s="1310">
        <v>0</v>
      </c>
      <c r="F1100" s="1310">
        <v>2994010</v>
      </c>
      <c r="G1100" s="1310">
        <v>0</v>
      </c>
      <c r="H1100" s="1310">
        <v>1817560</v>
      </c>
      <c r="I1100" s="1310">
        <v>1838235</v>
      </c>
      <c r="J1100" s="1310">
        <v>0</v>
      </c>
      <c r="K1100" s="1308">
        <v>0</v>
      </c>
      <c r="L1100" s="1310">
        <v>0</v>
      </c>
      <c r="M1100" s="1308">
        <v>0</v>
      </c>
      <c r="N1100" s="1310">
        <v>0</v>
      </c>
      <c r="O1100" s="1310">
        <v>0</v>
      </c>
      <c r="P1100" s="1310">
        <v>0</v>
      </c>
      <c r="Q1100" s="1310">
        <v>0</v>
      </c>
      <c r="R1100" s="1310">
        <v>0</v>
      </c>
      <c r="S1100" s="1310">
        <v>0</v>
      </c>
      <c r="T1100" s="1310">
        <v>0</v>
      </c>
      <c r="U1100" s="1310">
        <v>0</v>
      </c>
      <c r="V1100" s="1310">
        <v>0</v>
      </c>
      <c r="W1100" s="1316">
        <v>0</v>
      </c>
      <c r="X1100" s="1310">
        <v>0</v>
      </c>
      <c r="Y1100" s="1316">
        <v>0</v>
      </c>
    </row>
    <row r="1101" spans="1:25" s="1287" customFormat="1">
      <c r="A1101" s="1352">
        <v>200</v>
      </c>
      <c r="B1101" s="1267" t="s">
        <v>258</v>
      </c>
      <c r="C1101" s="1268">
        <f t="shared" si="477"/>
        <v>1864763</v>
      </c>
      <c r="D1101" s="1268">
        <f t="shared" si="476"/>
        <v>1864763</v>
      </c>
      <c r="E1101" s="1310">
        <v>0</v>
      </c>
      <c r="F1101" s="1310">
        <v>994468</v>
      </c>
      <c r="G1101" s="1310">
        <v>0</v>
      </c>
      <c r="H1101" s="1310">
        <v>870295</v>
      </c>
      <c r="I1101" s="1310">
        <v>0</v>
      </c>
      <c r="J1101" s="1310">
        <v>0</v>
      </c>
      <c r="K1101" s="1308">
        <v>0</v>
      </c>
      <c r="L1101" s="1310">
        <v>0</v>
      </c>
      <c r="M1101" s="1308">
        <v>0</v>
      </c>
      <c r="N1101" s="1310">
        <v>0</v>
      </c>
      <c r="O1101" s="1310">
        <v>0</v>
      </c>
      <c r="P1101" s="1310">
        <v>0</v>
      </c>
      <c r="Q1101" s="1310">
        <v>0</v>
      </c>
      <c r="R1101" s="1310">
        <v>0</v>
      </c>
      <c r="S1101" s="1310">
        <v>0</v>
      </c>
      <c r="T1101" s="1310">
        <v>0</v>
      </c>
      <c r="U1101" s="1310">
        <v>0</v>
      </c>
      <c r="V1101" s="1310">
        <v>0</v>
      </c>
      <c r="W1101" s="1316">
        <v>0</v>
      </c>
      <c r="X1101" s="1310">
        <v>0</v>
      </c>
      <c r="Y1101" s="1316">
        <v>0</v>
      </c>
    </row>
    <row r="1102" spans="1:25" s="1287" customFormat="1" ht="75.599999999999994">
      <c r="A1102" s="1352">
        <v>201</v>
      </c>
      <c r="B1102" s="1267" t="s">
        <v>2525</v>
      </c>
      <c r="C1102" s="1268">
        <f t="shared" si="477"/>
        <v>4196302</v>
      </c>
      <c r="D1102" s="1268">
        <f t="shared" si="476"/>
        <v>4196302</v>
      </c>
      <c r="E1102" s="1310">
        <v>0</v>
      </c>
      <c r="F1102" s="1310">
        <v>1627828</v>
      </c>
      <c r="G1102" s="1310">
        <v>0</v>
      </c>
      <c r="H1102" s="1310">
        <v>954902</v>
      </c>
      <c r="I1102" s="1310">
        <v>999439</v>
      </c>
      <c r="J1102" s="1310">
        <v>614133</v>
      </c>
      <c r="K1102" s="1308">
        <v>0</v>
      </c>
      <c r="L1102" s="1310">
        <v>0</v>
      </c>
      <c r="M1102" s="1308">
        <v>0</v>
      </c>
      <c r="N1102" s="1310">
        <v>0</v>
      </c>
      <c r="O1102" s="1310">
        <v>0</v>
      </c>
      <c r="P1102" s="1310">
        <v>0</v>
      </c>
      <c r="Q1102" s="1310">
        <v>0</v>
      </c>
      <c r="R1102" s="1310">
        <v>0</v>
      </c>
      <c r="S1102" s="1310">
        <v>0</v>
      </c>
      <c r="T1102" s="1310">
        <v>0</v>
      </c>
      <c r="U1102" s="1310">
        <v>0</v>
      </c>
      <c r="V1102" s="1310">
        <v>0</v>
      </c>
      <c r="W1102" s="1316">
        <v>0</v>
      </c>
      <c r="X1102" s="1310">
        <v>0</v>
      </c>
      <c r="Y1102" s="1316">
        <v>0</v>
      </c>
    </row>
    <row r="1103" spans="1:25" s="1287" customFormat="1" ht="75.599999999999994">
      <c r="A1103" s="1352">
        <v>202</v>
      </c>
      <c r="B1103" s="1267" t="s">
        <v>2527</v>
      </c>
      <c r="C1103" s="1268">
        <f t="shared" si="477"/>
        <v>5919970</v>
      </c>
      <c r="D1103" s="1268">
        <f t="shared" si="476"/>
        <v>5919970</v>
      </c>
      <c r="E1103" s="1310">
        <v>0</v>
      </c>
      <c r="F1103" s="1310">
        <v>0</v>
      </c>
      <c r="G1103" s="1310">
        <v>0</v>
      </c>
      <c r="H1103" s="1310">
        <v>2886993</v>
      </c>
      <c r="I1103" s="1310">
        <v>3032977</v>
      </c>
      <c r="J1103" s="1310">
        <v>0</v>
      </c>
      <c r="K1103" s="1308">
        <v>0</v>
      </c>
      <c r="L1103" s="1310">
        <v>0</v>
      </c>
      <c r="M1103" s="1308">
        <v>0</v>
      </c>
      <c r="N1103" s="1310">
        <v>0</v>
      </c>
      <c r="O1103" s="1310">
        <v>0</v>
      </c>
      <c r="P1103" s="1310">
        <v>0</v>
      </c>
      <c r="Q1103" s="1310">
        <v>0</v>
      </c>
      <c r="R1103" s="1310">
        <v>0</v>
      </c>
      <c r="S1103" s="1310">
        <v>0</v>
      </c>
      <c r="T1103" s="1310">
        <v>0</v>
      </c>
      <c r="U1103" s="1310">
        <v>0</v>
      </c>
      <c r="V1103" s="1310">
        <v>0</v>
      </c>
      <c r="W1103" s="1316">
        <v>0</v>
      </c>
      <c r="X1103" s="1310">
        <v>0</v>
      </c>
      <c r="Y1103" s="1316">
        <v>0</v>
      </c>
    </row>
    <row r="1104" spans="1:25" s="1287" customFormat="1" ht="75.599999999999994">
      <c r="A1104" s="1352">
        <v>203</v>
      </c>
      <c r="B1104" s="1267" t="s">
        <v>2526</v>
      </c>
      <c r="C1104" s="1268">
        <f t="shared" si="477"/>
        <v>3939943</v>
      </c>
      <c r="D1104" s="1268">
        <f t="shared" si="476"/>
        <v>0</v>
      </c>
      <c r="E1104" s="1310">
        <v>0</v>
      </c>
      <c r="F1104" s="1310">
        <v>0</v>
      </c>
      <c r="G1104" s="1310">
        <v>0</v>
      </c>
      <c r="H1104" s="1310">
        <v>0</v>
      </c>
      <c r="I1104" s="1310">
        <v>0</v>
      </c>
      <c r="J1104" s="1310">
        <v>0</v>
      </c>
      <c r="K1104" s="1308">
        <v>0</v>
      </c>
      <c r="L1104" s="1310">
        <v>0</v>
      </c>
      <c r="M1104" s="1308">
        <v>2</v>
      </c>
      <c r="N1104" s="1310">
        <v>3939943</v>
      </c>
      <c r="O1104" s="1310">
        <v>0</v>
      </c>
      <c r="P1104" s="1310">
        <v>0</v>
      </c>
      <c r="Q1104" s="1310">
        <v>0</v>
      </c>
      <c r="R1104" s="1310">
        <v>0</v>
      </c>
      <c r="S1104" s="1310">
        <v>0</v>
      </c>
      <c r="T1104" s="1310">
        <v>0</v>
      </c>
      <c r="U1104" s="1310">
        <v>0</v>
      </c>
      <c r="V1104" s="1310">
        <v>0</v>
      </c>
      <c r="W1104" s="1316">
        <v>0</v>
      </c>
      <c r="X1104" s="1310">
        <v>0</v>
      </c>
      <c r="Y1104" s="1316">
        <v>0</v>
      </c>
    </row>
    <row r="1105" spans="1:25" s="1287" customFormat="1" ht="75.599999999999994">
      <c r="A1105" s="1352">
        <v>204</v>
      </c>
      <c r="B1105" s="1267" t="s">
        <v>2528</v>
      </c>
      <c r="C1105" s="1268">
        <f t="shared" si="477"/>
        <v>4014859</v>
      </c>
      <c r="D1105" s="1268">
        <f t="shared" si="476"/>
        <v>0</v>
      </c>
      <c r="E1105" s="1310">
        <v>0</v>
      </c>
      <c r="F1105" s="1310">
        <v>0</v>
      </c>
      <c r="G1105" s="1310">
        <v>0</v>
      </c>
      <c r="H1105" s="1310">
        <v>0</v>
      </c>
      <c r="I1105" s="1310">
        <v>0</v>
      </c>
      <c r="J1105" s="1310">
        <v>0</v>
      </c>
      <c r="K1105" s="1308">
        <v>0</v>
      </c>
      <c r="L1105" s="1310">
        <v>0</v>
      </c>
      <c r="M1105" s="1308">
        <v>0</v>
      </c>
      <c r="N1105" s="1310">
        <v>0</v>
      </c>
      <c r="O1105" s="1310">
        <v>1600</v>
      </c>
      <c r="P1105" s="1310">
        <v>4014859</v>
      </c>
      <c r="Q1105" s="1310">
        <v>0</v>
      </c>
      <c r="R1105" s="1310">
        <v>0</v>
      </c>
      <c r="S1105" s="1310">
        <v>0</v>
      </c>
      <c r="T1105" s="1310">
        <v>0</v>
      </c>
      <c r="U1105" s="1310">
        <v>0</v>
      </c>
      <c r="V1105" s="1310">
        <v>0</v>
      </c>
      <c r="W1105" s="1316">
        <v>0</v>
      </c>
      <c r="X1105" s="1310">
        <v>0</v>
      </c>
      <c r="Y1105" s="1316">
        <v>0</v>
      </c>
    </row>
    <row r="1106" spans="1:25" s="1280" customFormat="1" ht="75.599999999999994">
      <c r="A1106" s="1352">
        <v>205</v>
      </c>
      <c r="B1106" s="1267" t="s">
        <v>2529</v>
      </c>
      <c r="C1106" s="1268">
        <f t="shared" si="477"/>
        <v>1180131</v>
      </c>
      <c r="D1106" s="1268">
        <f t="shared" si="476"/>
        <v>0</v>
      </c>
      <c r="E1106" s="1310">
        <v>0</v>
      </c>
      <c r="F1106" s="1310">
        <v>0</v>
      </c>
      <c r="G1106" s="1310">
        <v>0</v>
      </c>
      <c r="H1106" s="1310">
        <v>0</v>
      </c>
      <c r="I1106" s="1310">
        <v>0</v>
      </c>
      <c r="J1106" s="1310">
        <v>0</v>
      </c>
      <c r="K1106" s="1308">
        <v>0</v>
      </c>
      <c r="L1106" s="1310">
        <v>0</v>
      </c>
      <c r="M1106" s="1308">
        <v>0</v>
      </c>
      <c r="N1106" s="1310">
        <v>0</v>
      </c>
      <c r="O1106" s="1310">
        <v>458</v>
      </c>
      <c r="P1106" s="1310">
        <v>1180131</v>
      </c>
      <c r="Q1106" s="1310">
        <v>0</v>
      </c>
      <c r="R1106" s="1310">
        <v>0</v>
      </c>
      <c r="S1106" s="1310">
        <v>0</v>
      </c>
      <c r="T1106" s="1310">
        <v>0</v>
      </c>
      <c r="U1106" s="1310">
        <v>0</v>
      </c>
      <c r="V1106" s="1310">
        <v>0</v>
      </c>
      <c r="W1106" s="1316">
        <v>0</v>
      </c>
      <c r="X1106" s="1310">
        <v>0</v>
      </c>
      <c r="Y1106" s="1316">
        <v>0</v>
      </c>
    </row>
    <row r="1107" spans="1:25" s="1280" customFormat="1" ht="75.599999999999994">
      <c r="A1107" s="1352">
        <v>206</v>
      </c>
      <c r="B1107" s="1267" t="s">
        <v>2530</v>
      </c>
      <c r="C1107" s="1268">
        <f t="shared" si="477"/>
        <v>2766878</v>
      </c>
      <c r="D1107" s="1268">
        <f t="shared" si="476"/>
        <v>0</v>
      </c>
      <c r="E1107" s="1310">
        <v>0</v>
      </c>
      <c r="F1107" s="1310">
        <v>0</v>
      </c>
      <c r="G1107" s="1310">
        <v>0</v>
      </c>
      <c r="H1107" s="1310">
        <v>0</v>
      </c>
      <c r="I1107" s="1310">
        <v>0</v>
      </c>
      <c r="J1107" s="1310">
        <v>0</v>
      </c>
      <c r="K1107" s="1308">
        <v>0</v>
      </c>
      <c r="L1107" s="1310">
        <v>0</v>
      </c>
      <c r="M1107" s="1308">
        <v>0</v>
      </c>
      <c r="N1107" s="1310">
        <v>0</v>
      </c>
      <c r="O1107" s="1310">
        <v>1018.3</v>
      </c>
      <c r="P1107" s="1310">
        <v>2766878</v>
      </c>
      <c r="Q1107" s="1310">
        <v>0</v>
      </c>
      <c r="R1107" s="1310">
        <v>0</v>
      </c>
      <c r="S1107" s="1310">
        <v>0</v>
      </c>
      <c r="T1107" s="1310">
        <v>0</v>
      </c>
      <c r="U1107" s="1310">
        <v>0</v>
      </c>
      <c r="V1107" s="1310">
        <v>0</v>
      </c>
      <c r="W1107" s="1316">
        <v>0</v>
      </c>
      <c r="X1107" s="1310">
        <v>0</v>
      </c>
      <c r="Y1107" s="1316">
        <v>0</v>
      </c>
    </row>
    <row r="1108" spans="1:25" s="1280" customFormat="1" ht="75.599999999999994">
      <c r="A1108" s="1352">
        <v>207</v>
      </c>
      <c r="B1108" s="1267" t="s">
        <v>2532</v>
      </c>
      <c r="C1108" s="1268">
        <f t="shared" si="477"/>
        <v>872207</v>
      </c>
      <c r="D1108" s="1268">
        <f t="shared" si="476"/>
        <v>0</v>
      </c>
      <c r="E1108" s="1310">
        <v>0</v>
      </c>
      <c r="F1108" s="1310">
        <v>0</v>
      </c>
      <c r="G1108" s="1310">
        <v>0</v>
      </c>
      <c r="H1108" s="1310">
        <v>0</v>
      </c>
      <c r="I1108" s="1310">
        <v>0</v>
      </c>
      <c r="J1108" s="1310">
        <v>0</v>
      </c>
      <c r="K1108" s="1308">
        <v>0</v>
      </c>
      <c r="L1108" s="1310">
        <v>0</v>
      </c>
      <c r="M1108" s="1308">
        <v>0</v>
      </c>
      <c r="N1108" s="1310">
        <v>0</v>
      </c>
      <c r="O1108" s="1310">
        <v>321</v>
      </c>
      <c r="P1108" s="1310">
        <v>872207</v>
      </c>
      <c r="Q1108" s="1310">
        <v>0</v>
      </c>
      <c r="R1108" s="1310">
        <v>0</v>
      </c>
      <c r="S1108" s="1310">
        <v>0</v>
      </c>
      <c r="T1108" s="1310">
        <v>0</v>
      </c>
      <c r="U1108" s="1310">
        <v>0</v>
      </c>
      <c r="V1108" s="1310">
        <v>0</v>
      </c>
      <c r="W1108" s="1316">
        <v>0</v>
      </c>
      <c r="X1108" s="1310">
        <v>0</v>
      </c>
      <c r="Y1108" s="1316">
        <v>0</v>
      </c>
    </row>
    <row r="1109" spans="1:25" s="1280" customFormat="1" ht="75.599999999999994">
      <c r="A1109" s="1352">
        <v>208</v>
      </c>
      <c r="B1109" s="1267" t="s">
        <v>2531</v>
      </c>
      <c r="C1109" s="1268">
        <f t="shared" si="477"/>
        <v>5660742</v>
      </c>
      <c r="D1109" s="1268">
        <f t="shared" si="476"/>
        <v>0</v>
      </c>
      <c r="E1109" s="1310">
        <v>0</v>
      </c>
      <c r="F1109" s="1310">
        <v>0</v>
      </c>
      <c r="G1109" s="1310">
        <v>0</v>
      </c>
      <c r="H1109" s="1310">
        <v>0</v>
      </c>
      <c r="I1109" s="1310">
        <v>0</v>
      </c>
      <c r="J1109" s="1310">
        <v>0</v>
      </c>
      <c r="K1109" s="1308">
        <v>0</v>
      </c>
      <c r="L1109" s="1310">
        <v>0</v>
      </c>
      <c r="M1109" s="1308">
        <v>0</v>
      </c>
      <c r="N1109" s="1310">
        <v>0</v>
      </c>
      <c r="O1109" s="1310">
        <v>2261</v>
      </c>
      <c r="P1109" s="1310">
        <v>5660742</v>
      </c>
      <c r="Q1109" s="1310">
        <v>0</v>
      </c>
      <c r="R1109" s="1310">
        <v>0</v>
      </c>
      <c r="S1109" s="1310">
        <v>0</v>
      </c>
      <c r="T1109" s="1310">
        <v>0</v>
      </c>
      <c r="U1109" s="1310">
        <v>0</v>
      </c>
      <c r="V1109" s="1310">
        <v>0</v>
      </c>
      <c r="W1109" s="1316">
        <v>0</v>
      </c>
      <c r="X1109" s="1310">
        <v>0</v>
      </c>
      <c r="Y1109" s="1316">
        <v>0</v>
      </c>
    </row>
    <row r="1110" spans="1:25" s="1280" customFormat="1" ht="75.599999999999994">
      <c r="A1110" s="1352">
        <v>209</v>
      </c>
      <c r="B1110" s="1267" t="s">
        <v>2533</v>
      </c>
      <c r="C1110" s="1268">
        <f t="shared" si="477"/>
        <v>5360944.45</v>
      </c>
      <c r="D1110" s="1268">
        <f t="shared" si="476"/>
        <v>0</v>
      </c>
      <c r="E1110" s="1310">
        <v>0</v>
      </c>
      <c r="F1110" s="1310">
        <v>0</v>
      </c>
      <c r="G1110" s="1310">
        <v>0</v>
      </c>
      <c r="H1110" s="1310">
        <v>0</v>
      </c>
      <c r="I1110" s="1310">
        <v>0</v>
      </c>
      <c r="J1110" s="1310">
        <v>0</v>
      </c>
      <c r="K1110" s="1308">
        <v>0</v>
      </c>
      <c r="L1110" s="1310">
        <v>0</v>
      </c>
      <c r="M1110" s="1308">
        <v>0</v>
      </c>
      <c r="N1110" s="1310">
        <v>0</v>
      </c>
      <c r="O1110" s="1310">
        <v>1800</v>
      </c>
      <c r="P1110" s="1310">
        <v>5360944.45</v>
      </c>
      <c r="Q1110" s="1310">
        <v>0</v>
      </c>
      <c r="R1110" s="1310">
        <v>0</v>
      </c>
      <c r="S1110" s="1310">
        <v>0</v>
      </c>
      <c r="T1110" s="1310">
        <v>0</v>
      </c>
      <c r="U1110" s="1310">
        <v>0</v>
      </c>
      <c r="V1110" s="1310">
        <v>0</v>
      </c>
      <c r="W1110" s="1316">
        <v>0</v>
      </c>
      <c r="X1110" s="1310">
        <v>0</v>
      </c>
      <c r="Y1110" s="1316">
        <v>0</v>
      </c>
    </row>
    <row r="1111" spans="1:25" s="1280" customFormat="1">
      <c r="A1111" s="1352">
        <v>210</v>
      </c>
      <c r="B1111" s="1267" t="s">
        <v>2152</v>
      </c>
      <c r="C1111" s="1268">
        <f t="shared" si="477"/>
        <v>1861754</v>
      </c>
      <c r="D1111" s="1268">
        <f t="shared" si="476"/>
        <v>0</v>
      </c>
      <c r="E1111" s="1310">
        <v>0</v>
      </c>
      <c r="F1111" s="1310">
        <v>0</v>
      </c>
      <c r="G1111" s="1310">
        <v>0</v>
      </c>
      <c r="H1111" s="1310">
        <v>0</v>
      </c>
      <c r="I1111" s="1310">
        <v>0</v>
      </c>
      <c r="J1111" s="1310">
        <v>0</v>
      </c>
      <c r="K1111" s="1308">
        <v>0</v>
      </c>
      <c r="L1111" s="1310">
        <v>0</v>
      </c>
      <c r="M1111" s="1308">
        <v>0</v>
      </c>
      <c r="N1111" s="1310">
        <v>0</v>
      </c>
      <c r="O1111" s="1310">
        <v>584.70000000000005</v>
      </c>
      <c r="P1111" s="1310">
        <v>1861754</v>
      </c>
      <c r="Q1111" s="1310">
        <v>0</v>
      </c>
      <c r="R1111" s="1310">
        <v>0</v>
      </c>
      <c r="S1111" s="1310">
        <v>0</v>
      </c>
      <c r="T1111" s="1310">
        <v>0</v>
      </c>
      <c r="U1111" s="1310">
        <v>0</v>
      </c>
      <c r="V1111" s="1310">
        <v>0</v>
      </c>
      <c r="W1111" s="1316">
        <v>0</v>
      </c>
      <c r="X1111" s="1310">
        <v>0</v>
      </c>
      <c r="Y1111" s="1316">
        <v>0</v>
      </c>
    </row>
    <row r="1112" spans="1:25" s="1280" customFormat="1">
      <c r="A1112" s="1352">
        <v>211</v>
      </c>
      <c r="B1112" s="1267" t="s">
        <v>2153</v>
      </c>
      <c r="C1112" s="1268">
        <f t="shared" si="477"/>
        <v>1336656</v>
      </c>
      <c r="D1112" s="1268">
        <f t="shared" si="476"/>
        <v>193341</v>
      </c>
      <c r="E1112" s="1310">
        <v>0</v>
      </c>
      <c r="F1112" s="1310">
        <v>0</v>
      </c>
      <c r="G1112" s="1310">
        <v>0</v>
      </c>
      <c r="H1112" s="1310">
        <v>193341</v>
      </c>
      <c r="I1112" s="1310">
        <v>0</v>
      </c>
      <c r="J1112" s="1310">
        <v>0</v>
      </c>
      <c r="K1112" s="1308">
        <v>0</v>
      </c>
      <c r="L1112" s="1310">
        <v>0</v>
      </c>
      <c r="M1112" s="1308">
        <v>0</v>
      </c>
      <c r="N1112" s="1310">
        <v>0</v>
      </c>
      <c r="O1112" s="1310">
        <v>356.02</v>
      </c>
      <c r="P1112" s="1310">
        <v>1143315</v>
      </c>
      <c r="Q1112" s="1310">
        <v>0</v>
      </c>
      <c r="R1112" s="1310">
        <v>0</v>
      </c>
      <c r="S1112" s="1310">
        <v>0</v>
      </c>
      <c r="T1112" s="1310">
        <v>0</v>
      </c>
      <c r="U1112" s="1310">
        <v>0</v>
      </c>
      <c r="V1112" s="1310">
        <v>0</v>
      </c>
      <c r="W1112" s="1316">
        <v>0</v>
      </c>
      <c r="X1112" s="1310">
        <v>0</v>
      </c>
      <c r="Y1112" s="1316">
        <v>0</v>
      </c>
    </row>
    <row r="1113" spans="1:25" s="1280" customFormat="1">
      <c r="A1113" s="1352">
        <v>212</v>
      </c>
      <c r="B1113" s="1267" t="s">
        <v>2155</v>
      </c>
      <c r="C1113" s="1268">
        <f t="shared" si="477"/>
        <v>2610618</v>
      </c>
      <c r="D1113" s="1268">
        <f t="shared" si="476"/>
        <v>2610618</v>
      </c>
      <c r="E1113" s="1310">
        <v>2610618</v>
      </c>
      <c r="F1113" s="1310">
        <v>0</v>
      </c>
      <c r="G1113" s="1310">
        <v>0</v>
      </c>
      <c r="H1113" s="1310">
        <v>0</v>
      </c>
      <c r="I1113" s="1310">
        <v>0</v>
      </c>
      <c r="J1113" s="1310">
        <v>0</v>
      </c>
      <c r="K1113" s="1308">
        <v>0</v>
      </c>
      <c r="L1113" s="1310">
        <v>0</v>
      </c>
      <c r="M1113" s="1308">
        <v>0</v>
      </c>
      <c r="N1113" s="1310">
        <v>0</v>
      </c>
      <c r="O1113" s="1310">
        <v>0</v>
      </c>
      <c r="P1113" s="1310">
        <v>0</v>
      </c>
      <c r="Q1113" s="1310">
        <v>0</v>
      </c>
      <c r="R1113" s="1310">
        <v>0</v>
      </c>
      <c r="S1113" s="1310">
        <v>0</v>
      </c>
      <c r="T1113" s="1310">
        <v>0</v>
      </c>
      <c r="U1113" s="1310">
        <v>0</v>
      </c>
      <c r="V1113" s="1310">
        <v>0</v>
      </c>
      <c r="W1113" s="1316">
        <v>0</v>
      </c>
      <c r="X1113" s="1310">
        <v>0</v>
      </c>
      <c r="Y1113" s="1316">
        <v>0</v>
      </c>
    </row>
    <row r="1114" spans="1:25" s="1280" customFormat="1" ht="75.599999999999994">
      <c r="A1114" s="1352">
        <v>213</v>
      </c>
      <c r="B1114" s="1267" t="s">
        <v>2154</v>
      </c>
      <c r="C1114" s="1268">
        <f t="shared" si="477"/>
        <v>3919318</v>
      </c>
      <c r="D1114" s="1268">
        <f t="shared" si="476"/>
        <v>0</v>
      </c>
      <c r="E1114" s="1310">
        <v>0</v>
      </c>
      <c r="F1114" s="1310">
        <v>0</v>
      </c>
      <c r="G1114" s="1310">
        <v>0</v>
      </c>
      <c r="H1114" s="1310">
        <v>0</v>
      </c>
      <c r="I1114" s="1310">
        <v>0</v>
      </c>
      <c r="J1114" s="1310">
        <v>0</v>
      </c>
      <c r="K1114" s="1308">
        <v>0</v>
      </c>
      <c r="L1114" s="1310">
        <v>0</v>
      </c>
      <c r="M1114" s="1308">
        <v>0</v>
      </c>
      <c r="N1114" s="1310">
        <v>0</v>
      </c>
      <c r="O1114" s="1310">
        <v>1569</v>
      </c>
      <c r="P1114" s="1310">
        <v>3919318</v>
      </c>
      <c r="Q1114" s="1310">
        <v>0</v>
      </c>
      <c r="R1114" s="1310">
        <v>0</v>
      </c>
      <c r="S1114" s="1310">
        <v>0</v>
      </c>
      <c r="T1114" s="1310">
        <v>0</v>
      </c>
      <c r="U1114" s="1310">
        <v>0</v>
      </c>
      <c r="V1114" s="1310">
        <v>0</v>
      </c>
      <c r="W1114" s="1316">
        <v>0</v>
      </c>
      <c r="X1114" s="1310">
        <v>0</v>
      </c>
      <c r="Y1114" s="1316">
        <v>0</v>
      </c>
    </row>
    <row r="1115" spans="1:25" s="1280" customFormat="1" ht="75.599999999999994">
      <c r="A1115" s="1352">
        <v>214</v>
      </c>
      <c r="B1115" s="1267" t="s">
        <v>2156</v>
      </c>
      <c r="C1115" s="1268">
        <f t="shared" si="477"/>
        <v>1300391</v>
      </c>
      <c r="D1115" s="1268">
        <f t="shared" si="476"/>
        <v>0</v>
      </c>
      <c r="E1115" s="1310">
        <v>0</v>
      </c>
      <c r="F1115" s="1310">
        <v>0</v>
      </c>
      <c r="G1115" s="1310">
        <v>0</v>
      </c>
      <c r="H1115" s="1310">
        <v>0</v>
      </c>
      <c r="I1115" s="1310">
        <v>0</v>
      </c>
      <c r="J1115" s="1310">
        <v>0</v>
      </c>
      <c r="K1115" s="1308">
        <v>0</v>
      </c>
      <c r="L1115" s="1310">
        <v>0</v>
      </c>
      <c r="M1115" s="1308">
        <v>0</v>
      </c>
      <c r="N1115" s="1310">
        <v>0</v>
      </c>
      <c r="O1115" s="1310">
        <v>0</v>
      </c>
      <c r="P1115" s="1310">
        <v>0</v>
      </c>
      <c r="Q1115" s="1310">
        <v>0</v>
      </c>
      <c r="R1115" s="1310">
        <v>0</v>
      </c>
      <c r="S1115" s="1310">
        <v>853.25</v>
      </c>
      <c r="T1115" s="1310">
        <v>1300391</v>
      </c>
      <c r="U1115" s="1310">
        <v>0</v>
      </c>
      <c r="V1115" s="1310">
        <v>0</v>
      </c>
      <c r="W1115" s="1316">
        <v>0</v>
      </c>
      <c r="X1115" s="1310">
        <v>0</v>
      </c>
      <c r="Y1115" s="1316">
        <v>0</v>
      </c>
    </row>
    <row r="1116" spans="1:25" s="1280" customFormat="1">
      <c r="A1116" s="1352">
        <v>215</v>
      </c>
      <c r="B1116" s="1267" t="s">
        <v>2157</v>
      </c>
      <c r="C1116" s="1268">
        <f t="shared" si="477"/>
        <v>2495535</v>
      </c>
      <c r="D1116" s="1268">
        <f t="shared" si="476"/>
        <v>0</v>
      </c>
      <c r="E1116" s="1310">
        <v>0</v>
      </c>
      <c r="F1116" s="1310">
        <v>0</v>
      </c>
      <c r="G1116" s="1310">
        <v>0</v>
      </c>
      <c r="H1116" s="1310">
        <v>0</v>
      </c>
      <c r="I1116" s="1310">
        <v>0</v>
      </c>
      <c r="J1116" s="1310">
        <v>0</v>
      </c>
      <c r="K1116" s="1308">
        <v>0</v>
      </c>
      <c r="L1116" s="1310">
        <v>0</v>
      </c>
      <c r="M1116" s="1308">
        <v>0</v>
      </c>
      <c r="N1116" s="1310">
        <v>0</v>
      </c>
      <c r="O1116" s="1310">
        <v>373.3</v>
      </c>
      <c r="P1116" s="1310">
        <v>1198838</v>
      </c>
      <c r="Q1116" s="1310">
        <v>0</v>
      </c>
      <c r="R1116" s="1310">
        <v>0</v>
      </c>
      <c r="S1116" s="1310">
        <v>487.3</v>
      </c>
      <c r="T1116" s="1310">
        <v>1296697</v>
      </c>
      <c r="U1116" s="1310">
        <v>0</v>
      </c>
      <c r="V1116" s="1310">
        <v>0</v>
      </c>
      <c r="W1116" s="1316">
        <v>0</v>
      </c>
      <c r="X1116" s="1310">
        <v>0</v>
      </c>
      <c r="Y1116" s="1316">
        <v>0</v>
      </c>
    </row>
    <row r="1117" spans="1:25" s="1280" customFormat="1" ht="75.599999999999994">
      <c r="A1117" s="1352">
        <v>216</v>
      </c>
      <c r="B1117" s="1267" t="s">
        <v>2196</v>
      </c>
      <c r="C1117" s="1268">
        <f t="shared" si="477"/>
        <v>1766431</v>
      </c>
      <c r="D1117" s="1268">
        <f t="shared" si="476"/>
        <v>0</v>
      </c>
      <c r="E1117" s="1310">
        <v>0</v>
      </c>
      <c r="F1117" s="1310">
        <v>0</v>
      </c>
      <c r="G1117" s="1310">
        <v>0</v>
      </c>
      <c r="H1117" s="1310">
        <v>0</v>
      </c>
      <c r="I1117" s="1310">
        <v>0</v>
      </c>
      <c r="J1117" s="1310">
        <v>0</v>
      </c>
      <c r="K1117" s="1308">
        <v>0</v>
      </c>
      <c r="L1117" s="1310">
        <v>0</v>
      </c>
      <c r="M1117" s="1308">
        <v>0</v>
      </c>
      <c r="N1117" s="1310">
        <v>0</v>
      </c>
      <c r="O1117" s="1310">
        <v>548.9</v>
      </c>
      <c r="P1117" s="1310">
        <v>1766431</v>
      </c>
      <c r="Q1117" s="1310">
        <v>0</v>
      </c>
      <c r="R1117" s="1310">
        <v>0</v>
      </c>
      <c r="S1117" s="1310">
        <v>0</v>
      </c>
      <c r="T1117" s="1310">
        <v>0</v>
      </c>
      <c r="U1117" s="1310">
        <v>0</v>
      </c>
      <c r="V1117" s="1310">
        <v>0</v>
      </c>
      <c r="W1117" s="1316">
        <v>0</v>
      </c>
      <c r="X1117" s="1310">
        <v>0</v>
      </c>
      <c r="Y1117" s="1316">
        <v>0</v>
      </c>
    </row>
    <row r="1118" spans="1:25" s="1280" customFormat="1">
      <c r="A1118" s="1352">
        <v>217</v>
      </c>
      <c r="B1118" s="1267" t="s">
        <v>2158</v>
      </c>
      <c r="C1118" s="1268">
        <f t="shared" si="477"/>
        <v>1335814</v>
      </c>
      <c r="D1118" s="1268">
        <f t="shared" si="476"/>
        <v>0</v>
      </c>
      <c r="E1118" s="1310">
        <v>0</v>
      </c>
      <c r="F1118" s="1310">
        <v>0</v>
      </c>
      <c r="G1118" s="1310">
        <v>0</v>
      </c>
      <c r="H1118" s="1310">
        <v>0</v>
      </c>
      <c r="I1118" s="1310">
        <v>0</v>
      </c>
      <c r="J1118" s="1310">
        <v>0</v>
      </c>
      <c r="K1118" s="1308">
        <v>0</v>
      </c>
      <c r="L1118" s="1310">
        <v>0</v>
      </c>
      <c r="M1118" s="1308">
        <v>0</v>
      </c>
      <c r="N1118" s="1310">
        <v>0</v>
      </c>
      <c r="O1118" s="1310">
        <v>0</v>
      </c>
      <c r="P1118" s="1310">
        <v>0</v>
      </c>
      <c r="Q1118" s="1310">
        <v>0</v>
      </c>
      <c r="R1118" s="1310">
        <v>0</v>
      </c>
      <c r="S1118" s="1310">
        <v>502</v>
      </c>
      <c r="T1118" s="1310">
        <v>1335814</v>
      </c>
      <c r="U1118" s="1310">
        <v>0</v>
      </c>
      <c r="V1118" s="1310">
        <v>0</v>
      </c>
      <c r="W1118" s="1316">
        <v>0</v>
      </c>
      <c r="X1118" s="1310">
        <v>0</v>
      </c>
      <c r="Y1118" s="1316">
        <v>0</v>
      </c>
    </row>
    <row r="1119" spans="1:25" s="1280" customFormat="1">
      <c r="A1119" s="1352">
        <v>218</v>
      </c>
      <c r="B1119" s="1267" t="s">
        <v>2159</v>
      </c>
      <c r="C1119" s="1268">
        <f t="shared" si="477"/>
        <v>1745649</v>
      </c>
      <c r="D1119" s="1268">
        <f t="shared" si="476"/>
        <v>0</v>
      </c>
      <c r="E1119" s="1310">
        <v>0</v>
      </c>
      <c r="F1119" s="1310">
        <v>0</v>
      </c>
      <c r="G1119" s="1310">
        <v>0</v>
      </c>
      <c r="H1119" s="1310">
        <v>0</v>
      </c>
      <c r="I1119" s="1310">
        <v>0</v>
      </c>
      <c r="J1119" s="1310">
        <v>0</v>
      </c>
      <c r="K1119" s="1308">
        <v>0</v>
      </c>
      <c r="L1119" s="1310">
        <v>0</v>
      </c>
      <c r="M1119" s="1308">
        <v>0</v>
      </c>
      <c r="N1119" s="1310">
        <v>0</v>
      </c>
      <c r="O1119" s="1310">
        <v>546.9</v>
      </c>
      <c r="P1119" s="1310">
        <v>1745649</v>
      </c>
      <c r="Q1119" s="1310">
        <v>0</v>
      </c>
      <c r="R1119" s="1310">
        <v>0</v>
      </c>
      <c r="S1119" s="1310">
        <v>0</v>
      </c>
      <c r="T1119" s="1310">
        <v>0</v>
      </c>
      <c r="U1119" s="1310">
        <v>0</v>
      </c>
      <c r="V1119" s="1310">
        <v>0</v>
      </c>
      <c r="W1119" s="1316">
        <v>0</v>
      </c>
      <c r="X1119" s="1310">
        <v>0</v>
      </c>
      <c r="Y1119" s="1316">
        <v>0</v>
      </c>
    </row>
    <row r="1120" spans="1:25" s="1280" customFormat="1">
      <c r="A1120" s="1352">
        <v>219</v>
      </c>
      <c r="B1120" s="1267" t="s">
        <v>2160</v>
      </c>
      <c r="C1120" s="1268">
        <f t="shared" si="477"/>
        <v>9290675</v>
      </c>
      <c r="D1120" s="1268">
        <f t="shared" si="476"/>
        <v>6583738</v>
      </c>
      <c r="E1120" s="1310">
        <v>0</v>
      </c>
      <c r="F1120" s="1310">
        <v>6583738</v>
      </c>
      <c r="G1120" s="1310">
        <v>0</v>
      </c>
      <c r="H1120" s="1310">
        <v>0</v>
      </c>
      <c r="I1120" s="1310">
        <v>0</v>
      </c>
      <c r="J1120" s="1310">
        <v>0</v>
      </c>
      <c r="K1120" s="1308">
        <v>0</v>
      </c>
      <c r="L1120" s="1310">
        <v>0</v>
      </c>
      <c r="M1120" s="1308">
        <v>0</v>
      </c>
      <c r="N1120" s="1310">
        <v>0</v>
      </c>
      <c r="O1120" s="1310">
        <v>1080.76</v>
      </c>
      <c r="P1120" s="1310">
        <v>2706937</v>
      </c>
      <c r="Q1120" s="1310">
        <v>0</v>
      </c>
      <c r="R1120" s="1310">
        <v>0</v>
      </c>
      <c r="S1120" s="1310">
        <v>0</v>
      </c>
      <c r="T1120" s="1310">
        <v>0</v>
      </c>
      <c r="U1120" s="1310">
        <v>0</v>
      </c>
      <c r="V1120" s="1310">
        <v>0</v>
      </c>
      <c r="W1120" s="1316">
        <v>0</v>
      </c>
      <c r="X1120" s="1310">
        <v>0</v>
      </c>
      <c r="Y1120" s="1316">
        <v>0</v>
      </c>
    </row>
    <row r="1121" spans="1:25" s="1280" customFormat="1">
      <c r="A1121" s="1352">
        <v>220</v>
      </c>
      <c r="B1121" s="1267" t="s">
        <v>2161</v>
      </c>
      <c r="C1121" s="1268">
        <f t="shared" si="477"/>
        <v>3932680</v>
      </c>
      <c r="D1121" s="1268">
        <f t="shared" si="476"/>
        <v>0</v>
      </c>
      <c r="E1121" s="1310">
        <v>0</v>
      </c>
      <c r="F1121" s="1310">
        <v>0</v>
      </c>
      <c r="G1121" s="1310">
        <v>0</v>
      </c>
      <c r="H1121" s="1310">
        <v>0</v>
      </c>
      <c r="I1121" s="1310">
        <v>0</v>
      </c>
      <c r="J1121" s="1310">
        <v>0</v>
      </c>
      <c r="K1121" s="1308">
        <v>0</v>
      </c>
      <c r="L1121" s="1310">
        <v>0</v>
      </c>
      <c r="M1121" s="1308">
        <v>2</v>
      </c>
      <c r="N1121" s="1310">
        <v>3932680</v>
      </c>
      <c r="O1121" s="1310">
        <v>0</v>
      </c>
      <c r="P1121" s="1310">
        <v>0</v>
      </c>
      <c r="Q1121" s="1310">
        <v>0</v>
      </c>
      <c r="R1121" s="1310">
        <v>0</v>
      </c>
      <c r="S1121" s="1310">
        <v>0</v>
      </c>
      <c r="T1121" s="1310">
        <v>0</v>
      </c>
      <c r="U1121" s="1310">
        <v>0</v>
      </c>
      <c r="V1121" s="1310">
        <v>0</v>
      </c>
      <c r="W1121" s="1316">
        <v>0</v>
      </c>
      <c r="X1121" s="1310">
        <v>0</v>
      </c>
      <c r="Y1121" s="1316">
        <v>0</v>
      </c>
    </row>
    <row r="1122" spans="1:25" s="1280" customFormat="1">
      <c r="A1122" s="1352">
        <v>221</v>
      </c>
      <c r="B1122" s="1267" t="s">
        <v>2162</v>
      </c>
      <c r="C1122" s="1268">
        <f t="shared" si="477"/>
        <v>3933674</v>
      </c>
      <c r="D1122" s="1268">
        <f t="shared" si="476"/>
        <v>0</v>
      </c>
      <c r="E1122" s="1310">
        <v>0</v>
      </c>
      <c r="F1122" s="1310">
        <v>0</v>
      </c>
      <c r="G1122" s="1310">
        <v>0</v>
      </c>
      <c r="H1122" s="1310">
        <v>0</v>
      </c>
      <c r="I1122" s="1310">
        <v>0</v>
      </c>
      <c r="J1122" s="1310">
        <v>0</v>
      </c>
      <c r="K1122" s="1308">
        <v>0</v>
      </c>
      <c r="L1122" s="1310">
        <v>0</v>
      </c>
      <c r="M1122" s="1308">
        <v>2</v>
      </c>
      <c r="N1122" s="1310">
        <v>3933674</v>
      </c>
      <c r="O1122" s="1310">
        <v>0</v>
      </c>
      <c r="P1122" s="1310">
        <v>0</v>
      </c>
      <c r="Q1122" s="1310">
        <v>0</v>
      </c>
      <c r="R1122" s="1310">
        <v>0</v>
      </c>
      <c r="S1122" s="1310">
        <v>0</v>
      </c>
      <c r="T1122" s="1310">
        <v>0</v>
      </c>
      <c r="U1122" s="1310">
        <v>0</v>
      </c>
      <c r="V1122" s="1310">
        <v>0</v>
      </c>
      <c r="W1122" s="1316">
        <v>0</v>
      </c>
      <c r="X1122" s="1310">
        <v>0</v>
      </c>
      <c r="Y1122" s="1316">
        <v>0</v>
      </c>
    </row>
    <row r="1123" spans="1:25" s="1280" customFormat="1" ht="75.599999999999994">
      <c r="A1123" s="1352">
        <v>222</v>
      </c>
      <c r="B1123" s="1267" t="s">
        <v>2197</v>
      </c>
      <c r="C1123" s="1268">
        <f t="shared" si="477"/>
        <v>3934192</v>
      </c>
      <c r="D1123" s="1268">
        <f t="shared" si="476"/>
        <v>0</v>
      </c>
      <c r="E1123" s="1310">
        <v>0</v>
      </c>
      <c r="F1123" s="1310">
        <v>0</v>
      </c>
      <c r="G1123" s="1310">
        <v>0</v>
      </c>
      <c r="H1123" s="1310">
        <v>0</v>
      </c>
      <c r="I1123" s="1310">
        <v>0</v>
      </c>
      <c r="J1123" s="1310">
        <v>0</v>
      </c>
      <c r="K1123" s="1308">
        <v>0</v>
      </c>
      <c r="L1123" s="1310">
        <v>0</v>
      </c>
      <c r="M1123" s="1308">
        <v>2</v>
      </c>
      <c r="N1123" s="1310">
        <v>3934192</v>
      </c>
      <c r="O1123" s="1310">
        <v>0</v>
      </c>
      <c r="P1123" s="1310">
        <v>0</v>
      </c>
      <c r="Q1123" s="1310">
        <v>0</v>
      </c>
      <c r="R1123" s="1310">
        <v>0</v>
      </c>
      <c r="S1123" s="1310">
        <v>0</v>
      </c>
      <c r="T1123" s="1310">
        <v>0</v>
      </c>
      <c r="U1123" s="1310">
        <v>0</v>
      </c>
      <c r="V1123" s="1310">
        <v>0</v>
      </c>
      <c r="W1123" s="1316">
        <v>0</v>
      </c>
      <c r="X1123" s="1310">
        <v>0</v>
      </c>
      <c r="Y1123" s="1316">
        <v>0</v>
      </c>
    </row>
    <row r="1124" spans="1:25" s="1280" customFormat="1">
      <c r="A1124" s="1352">
        <v>223</v>
      </c>
      <c r="B1124" s="1267" t="s">
        <v>2163</v>
      </c>
      <c r="C1124" s="1268">
        <f t="shared" si="477"/>
        <v>4401727</v>
      </c>
      <c r="D1124" s="1268">
        <f t="shared" si="476"/>
        <v>0</v>
      </c>
      <c r="E1124" s="1310">
        <v>0</v>
      </c>
      <c r="F1124" s="1310">
        <v>0</v>
      </c>
      <c r="G1124" s="1310">
        <v>0</v>
      </c>
      <c r="H1124" s="1310">
        <v>0</v>
      </c>
      <c r="I1124" s="1310">
        <v>0</v>
      </c>
      <c r="J1124" s="1310">
        <v>0</v>
      </c>
      <c r="K1124" s="1308">
        <v>0</v>
      </c>
      <c r="L1124" s="1310">
        <v>0</v>
      </c>
      <c r="M1124" s="1308">
        <v>0</v>
      </c>
      <c r="N1124" s="1310">
        <v>0</v>
      </c>
      <c r="O1124" s="1310">
        <v>1755</v>
      </c>
      <c r="P1124" s="1310">
        <v>4401727</v>
      </c>
      <c r="Q1124" s="1310">
        <v>0</v>
      </c>
      <c r="R1124" s="1310">
        <v>0</v>
      </c>
      <c r="S1124" s="1310">
        <v>0</v>
      </c>
      <c r="T1124" s="1310">
        <v>0</v>
      </c>
      <c r="U1124" s="1310">
        <v>0</v>
      </c>
      <c r="V1124" s="1310">
        <v>0</v>
      </c>
      <c r="W1124" s="1316">
        <v>0</v>
      </c>
      <c r="X1124" s="1310">
        <v>0</v>
      </c>
      <c r="Y1124" s="1316">
        <v>0</v>
      </c>
    </row>
    <row r="1125" spans="1:25" s="1280" customFormat="1">
      <c r="A1125" s="1352">
        <v>224</v>
      </c>
      <c r="B1125" s="1267" t="s">
        <v>1174</v>
      </c>
      <c r="C1125" s="1268">
        <f t="shared" si="477"/>
        <v>6361087.0899999999</v>
      </c>
      <c r="D1125" s="1268">
        <f t="shared" si="476"/>
        <v>579845</v>
      </c>
      <c r="E1125" s="1310">
        <v>0</v>
      </c>
      <c r="F1125" s="1310">
        <v>0</v>
      </c>
      <c r="G1125" s="1310">
        <v>0</v>
      </c>
      <c r="H1125" s="1310">
        <v>0</v>
      </c>
      <c r="I1125" s="1310">
        <v>0</v>
      </c>
      <c r="J1125" s="1310">
        <v>579845</v>
      </c>
      <c r="K1125" s="1308">
        <v>0</v>
      </c>
      <c r="L1125" s="1310">
        <v>0</v>
      </c>
      <c r="M1125" s="1308">
        <v>0</v>
      </c>
      <c r="N1125" s="1310">
        <v>0</v>
      </c>
      <c r="O1125" s="1310">
        <v>1400</v>
      </c>
      <c r="P1125" s="1310">
        <v>5781242.0899999999</v>
      </c>
      <c r="Q1125" s="1310">
        <v>0</v>
      </c>
      <c r="R1125" s="1310">
        <v>0</v>
      </c>
      <c r="S1125" s="1310">
        <v>0</v>
      </c>
      <c r="T1125" s="1310">
        <v>0</v>
      </c>
      <c r="U1125" s="1310">
        <v>0</v>
      </c>
      <c r="V1125" s="1310">
        <v>0</v>
      </c>
      <c r="W1125" s="1316">
        <v>0</v>
      </c>
      <c r="X1125" s="1310">
        <v>0</v>
      </c>
      <c r="Y1125" s="1316">
        <v>0</v>
      </c>
    </row>
    <row r="1126" spans="1:25" s="1280" customFormat="1">
      <c r="A1126" s="1352">
        <v>225</v>
      </c>
      <c r="B1126" s="1267" t="s">
        <v>1744</v>
      </c>
      <c r="C1126" s="1268">
        <f t="shared" si="477"/>
        <v>6599999</v>
      </c>
      <c r="D1126" s="1268">
        <f t="shared" si="476"/>
        <v>6599999</v>
      </c>
      <c r="E1126" s="1310">
        <v>0</v>
      </c>
      <c r="F1126" s="1310">
        <v>0</v>
      </c>
      <c r="G1126" s="1310">
        <v>0</v>
      </c>
      <c r="H1126" s="1310">
        <v>2499294</v>
      </c>
      <c r="I1126" s="1310">
        <v>2499294</v>
      </c>
      <c r="J1126" s="1310">
        <v>1601411</v>
      </c>
      <c r="K1126" s="1308">
        <v>0</v>
      </c>
      <c r="L1126" s="1310">
        <v>0</v>
      </c>
      <c r="M1126" s="1308">
        <v>0</v>
      </c>
      <c r="N1126" s="1310">
        <v>0</v>
      </c>
      <c r="O1126" s="1310">
        <v>0</v>
      </c>
      <c r="P1126" s="1310">
        <v>0</v>
      </c>
      <c r="Q1126" s="1310">
        <v>0</v>
      </c>
      <c r="R1126" s="1310">
        <v>0</v>
      </c>
      <c r="S1126" s="1310">
        <v>0</v>
      </c>
      <c r="T1126" s="1310">
        <v>0</v>
      </c>
      <c r="U1126" s="1310">
        <v>0</v>
      </c>
      <c r="V1126" s="1310">
        <v>0</v>
      </c>
      <c r="W1126" s="1316">
        <v>0</v>
      </c>
      <c r="X1126" s="1310">
        <v>0</v>
      </c>
      <c r="Y1126" s="1316">
        <v>0</v>
      </c>
    </row>
    <row r="1127" spans="1:25" s="1280" customFormat="1" ht="75.599999999999994">
      <c r="A1127" s="1352">
        <v>226</v>
      </c>
      <c r="B1127" s="1267" t="s">
        <v>2534</v>
      </c>
      <c r="C1127" s="1268">
        <f t="shared" si="477"/>
        <v>9367364</v>
      </c>
      <c r="D1127" s="1268">
        <f t="shared" si="476"/>
        <v>5641837</v>
      </c>
      <c r="E1127" s="1310">
        <v>5641837</v>
      </c>
      <c r="F1127" s="1310">
        <v>0</v>
      </c>
      <c r="G1127" s="1310">
        <v>0</v>
      </c>
      <c r="H1127" s="1310">
        <v>0</v>
      </c>
      <c r="I1127" s="1310">
        <v>0</v>
      </c>
      <c r="J1127" s="1310">
        <v>0</v>
      </c>
      <c r="K1127" s="1308">
        <v>0</v>
      </c>
      <c r="L1127" s="1310">
        <v>0</v>
      </c>
      <c r="M1127" s="1308">
        <v>0</v>
      </c>
      <c r="N1127" s="1310">
        <v>0</v>
      </c>
      <c r="O1127" s="1310">
        <v>1484</v>
      </c>
      <c r="P1127" s="1310">
        <v>3725527</v>
      </c>
      <c r="Q1127" s="1310">
        <v>0</v>
      </c>
      <c r="R1127" s="1310">
        <v>0</v>
      </c>
      <c r="S1127" s="1310">
        <v>0</v>
      </c>
      <c r="T1127" s="1310">
        <v>0</v>
      </c>
      <c r="U1127" s="1310">
        <v>0</v>
      </c>
      <c r="V1127" s="1310">
        <v>0</v>
      </c>
      <c r="W1127" s="1316">
        <v>0</v>
      </c>
      <c r="X1127" s="1310">
        <v>0</v>
      </c>
      <c r="Y1127" s="1316">
        <v>0</v>
      </c>
    </row>
    <row r="1128" spans="1:25" s="1280" customFormat="1">
      <c r="A1128" s="1352">
        <v>227</v>
      </c>
      <c r="B1128" s="1267" t="s">
        <v>275</v>
      </c>
      <c r="C1128" s="1268">
        <f t="shared" si="477"/>
        <v>467928</v>
      </c>
      <c r="D1128" s="1268">
        <f t="shared" si="476"/>
        <v>0</v>
      </c>
      <c r="E1128" s="1310">
        <v>0</v>
      </c>
      <c r="F1128" s="1310">
        <v>0</v>
      </c>
      <c r="G1128" s="1310">
        <v>0</v>
      </c>
      <c r="H1128" s="1310">
        <v>0</v>
      </c>
      <c r="I1128" s="1310">
        <v>0</v>
      </c>
      <c r="J1128" s="1310">
        <v>0</v>
      </c>
      <c r="K1128" s="1308">
        <v>0</v>
      </c>
      <c r="L1128" s="1310">
        <v>0</v>
      </c>
      <c r="M1128" s="1308">
        <v>0</v>
      </c>
      <c r="N1128" s="1310">
        <v>0</v>
      </c>
      <c r="O1128" s="1310">
        <v>0</v>
      </c>
      <c r="P1128" s="1310">
        <v>0</v>
      </c>
      <c r="Q1128" s="1310">
        <v>0</v>
      </c>
      <c r="R1128" s="1310">
        <v>0</v>
      </c>
      <c r="S1128" s="1310">
        <v>294.7</v>
      </c>
      <c r="T1128" s="1310">
        <v>467928</v>
      </c>
      <c r="U1128" s="1310">
        <v>0</v>
      </c>
      <c r="V1128" s="1310">
        <v>0</v>
      </c>
      <c r="W1128" s="1316">
        <v>0</v>
      </c>
      <c r="X1128" s="1310">
        <v>0</v>
      </c>
      <c r="Y1128" s="1316">
        <v>0</v>
      </c>
    </row>
    <row r="1129" spans="1:25" s="1280" customFormat="1">
      <c r="A1129" s="1352">
        <v>228</v>
      </c>
      <c r="B1129" s="1267" t="s">
        <v>2165</v>
      </c>
      <c r="C1129" s="1268">
        <f t="shared" si="477"/>
        <v>1686238</v>
      </c>
      <c r="D1129" s="1268">
        <f t="shared" si="476"/>
        <v>0</v>
      </c>
      <c r="E1129" s="1310">
        <v>0</v>
      </c>
      <c r="F1129" s="1310">
        <v>0</v>
      </c>
      <c r="G1129" s="1310">
        <v>0</v>
      </c>
      <c r="H1129" s="1310">
        <v>0</v>
      </c>
      <c r="I1129" s="1310">
        <v>0</v>
      </c>
      <c r="J1129" s="1310">
        <v>0</v>
      </c>
      <c r="K1129" s="1308">
        <v>0</v>
      </c>
      <c r="L1129" s="1310">
        <v>0</v>
      </c>
      <c r="M1129" s="1308">
        <v>0</v>
      </c>
      <c r="N1129" s="1310">
        <v>0</v>
      </c>
      <c r="O1129" s="1310">
        <v>299</v>
      </c>
      <c r="P1129" s="1310">
        <v>965415</v>
      </c>
      <c r="Q1129" s="1310">
        <v>0</v>
      </c>
      <c r="R1129" s="1310">
        <v>0</v>
      </c>
      <c r="S1129" s="1310">
        <v>469.8</v>
      </c>
      <c r="T1129" s="1310">
        <v>720823</v>
      </c>
      <c r="U1129" s="1310">
        <v>0</v>
      </c>
      <c r="V1129" s="1310">
        <v>0</v>
      </c>
      <c r="W1129" s="1316">
        <v>0</v>
      </c>
      <c r="X1129" s="1310">
        <v>0</v>
      </c>
      <c r="Y1129" s="1316">
        <v>0</v>
      </c>
    </row>
    <row r="1130" spans="1:25" s="1280" customFormat="1">
      <c r="A1130" s="1352">
        <v>229</v>
      </c>
      <c r="B1130" s="1267" t="s">
        <v>2166</v>
      </c>
      <c r="C1130" s="1268">
        <f t="shared" si="477"/>
        <v>691750</v>
      </c>
      <c r="D1130" s="1268">
        <f t="shared" si="476"/>
        <v>691750</v>
      </c>
      <c r="E1130" s="1310">
        <v>0</v>
      </c>
      <c r="F1130" s="1310">
        <v>0</v>
      </c>
      <c r="G1130" s="1310">
        <v>0</v>
      </c>
      <c r="H1130" s="1310">
        <v>420805</v>
      </c>
      <c r="I1130" s="1310">
        <v>0</v>
      </c>
      <c r="J1130" s="1310">
        <v>270945</v>
      </c>
      <c r="K1130" s="1308">
        <v>0</v>
      </c>
      <c r="L1130" s="1310">
        <v>0</v>
      </c>
      <c r="M1130" s="1308">
        <v>0</v>
      </c>
      <c r="N1130" s="1310">
        <v>0</v>
      </c>
      <c r="O1130" s="1310">
        <v>0</v>
      </c>
      <c r="P1130" s="1310">
        <v>0</v>
      </c>
      <c r="Q1130" s="1310">
        <v>0</v>
      </c>
      <c r="R1130" s="1310">
        <v>0</v>
      </c>
      <c r="S1130" s="1310">
        <v>0</v>
      </c>
      <c r="T1130" s="1310">
        <v>0</v>
      </c>
      <c r="U1130" s="1310">
        <v>0</v>
      </c>
      <c r="V1130" s="1310">
        <v>0</v>
      </c>
      <c r="W1130" s="1316">
        <v>0</v>
      </c>
      <c r="X1130" s="1310">
        <v>0</v>
      </c>
      <c r="Y1130" s="1316">
        <v>0</v>
      </c>
    </row>
    <row r="1131" spans="1:25" s="1280" customFormat="1">
      <c r="A1131" s="1352">
        <v>230</v>
      </c>
      <c r="B1131" s="1267" t="s">
        <v>900</v>
      </c>
      <c r="C1131" s="1268">
        <f t="shared" si="477"/>
        <v>5704245</v>
      </c>
      <c r="D1131" s="1268">
        <f t="shared" si="476"/>
        <v>5704245</v>
      </c>
      <c r="E1131" s="1310">
        <v>0</v>
      </c>
      <c r="F1131" s="1310">
        <v>0</v>
      </c>
      <c r="G1131" s="1310">
        <v>0</v>
      </c>
      <c r="H1131" s="1310">
        <v>2123194</v>
      </c>
      <c r="I1131" s="1310">
        <v>2212089</v>
      </c>
      <c r="J1131" s="1310">
        <v>1368962</v>
      </c>
      <c r="K1131" s="1308">
        <v>0</v>
      </c>
      <c r="L1131" s="1310">
        <v>0</v>
      </c>
      <c r="M1131" s="1308">
        <v>0</v>
      </c>
      <c r="N1131" s="1310">
        <v>0</v>
      </c>
      <c r="O1131" s="1310">
        <v>0</v>
      </c>
      <c r="P1131" s="1310">
        <v>0</v>
      </c>
      <c r="Q1131" s="1310">
        <v>0</v>
      </c>
      <c r="R1131" s="1310">
        <v>0</v>
      </c>
      <c r="S1131" s="1310">
        <v>0</v>
      </c>
      <c r="T1131" s="1310">
        <v>0</v>
      </c>
      <c r="U1131" s="1310">
        <v>0</v>
      </c>
      <c r="V1131" s="1310">
        <v>0</v>
      </c>
      <c r="W1131" s="1316">
        <v>0</v>
      </c>
      <c r="X1131" s="1310">
        <v>0</v>
      </c>
      <c r="Y1131" s="1316">
        <v>0</v>
      </c>
    </row>
    <row r="1132" spans="1:25" s="1280" customFormat="1" ht="75.599999999999994">
      <c r="A1132" s="1352">
        <v>231</v>
      </c>
      <c r="B1132" s="1267" t="s">
        <v>2198</v>
      </c>
      <c r="C1132" s="1268">
        <f t="shared" si="477"/>
        <v>18696087</v>
      </c>
      <c r="D1132" s="1268">
        <f t="shared" si="476"/>
        <v>18696087</v>
      </c>
      <c r="E1132" s="1310">
        <v>0</v>
      </c>
      <c r="F1132" s="1310">
        <v>0</v>
      </c>
      <c r="G1132" s="1310">
        <v>0</v>
      </c>
      <c r="H1132" s="1310">
        <v>7083967</v>
      </c>
      <c r="I1132" s="1310">
        <v>7083967</v>
      </c>
      <c r="J1132" s="1310">
        <v>4528153</v>
      </c>
      <c r="K1132" s="1308">
        <v>0</v>
      </c>
      <c r="L1132" s="1310">
        <v>0</v>
      </c>
      <c r="M1132" s="1308">
        <v>0</v>
      </c>
      <c r="N1132" s="1310">
        <v>0</v>
      </c>
      <c r="O1132" s="1310">
        <v>0</v>
      </c>
      <c r="P1132" s="1310">
        <v>0</v>
      </c>
      <c r="Q1132" s="1310">
        <v>0</v>
      </c>
      <c r="R1132" s="1310">
        <v>0</v>
      </c>
      <c r="S1132" s="1310">
        <v>0</v>
      </c>
      <c r="T1132" s="1310">
        <v>0</v>
      </c>
      <c r="U1132" s="1310">
        <v>0</v>
      </c>
      <c r="V1132" s="1310">
        <v>0</v>
      </c>
      <c r="W1132" s="1316">
        <v>0</v>
      </c>
      <c r="X1132" s="1310">
        <v>0</v>
      </c>
      <c r="Y1132" s="1316">
        <v>0</v>
      </c>
    </row>
    <row r="1133" spans="1:25" s="1280" customFormat="1">
      <c r="A1133" s="1352">
        <v>232</v>
      </c>
      <c r="B1133" s="1267" t="s">
        <v>2167</v>
      </c>
      <c r="C1133" s="1268">
        <f t="shared" si="477"/>
        <v>712501</v>
      </c>
      <c r="D1133" s="1268">
        <f t="shared" si="476"/>
        <v>0</v>
      </c>
      <c r="E1133" s="1310">
        <v>0</v>
      </c>
      <c r="F1133" s="1310">
        <v>0</v>
      </c>
      <c r="G1133" s="1310">
        <v>0</v>
      </c>
      <c r="H1133" s="1310">
        <v>0</v>
      </c>
      <c r="I1133" s="1310">
        <v>0</v>
      </c>
      <c r="J1133" s="1310">
        <v>0</v>
      </c>
      <c r="K1133" s="1308">
        <v>0</v>
      </c>
      <c r="L1133" s="1310">
        <v>0</v>
      </c>
      <c r="M1133" s="1308">
        <v>0</v>
      </c>
      <c r="N1133" s="1310">
        <v>0</v>
      </c>
      <c r="O1133" s="1310">
        <v>0</v>
      </c>
      <c r="P1133" s="1310">
        <v>0</v>
      </c>
      <c r="Q1133" s="1310">
        <v>0</v>
      </c>
      <c r="R1133" s="1310">
        <v>0</v>
      </c>
      <c r="S1133" s="1310">
        <v>464.2</v>
      </c>
      <c r="T1133" s="1310">
        <v>712501</v>
      </c>
      <c r="U1133" s="1310">
        <v>0</v>
      </c>
      <c r="V1133" s="1310">
        <v>0</v>
      </c>
      <c r="W1133" s="1316">
        <v>0</v>
      </c>
      <c r="X1133" s="1310">
        <v>0</v>
      </c>
      <c r="Y1133" s="1316">
        <v>0</v>
      </c>
    </row>
    <row r="1134" spans="1:25" s="1356" customFormat="1" ht="75.599999999999994">
      <c r="A1134" s="1352">
        <v>233</v>
      </c>
      <c r="B1134" s="1267" t="s">
        <v>2536</v>
      </c>
      <c r="C1134" s="1268">
        <f t="shared" si="477"/>
        <v>6817111</v>
      </c>
      <c r="D1134" s="1268">
        <f t="shared" si="476"/>
        <v>6817111</v>
      </c>
      <c r="E1134" s="1310">
        <v>0</v>
      </c>
      <c r="F1134" s="1310">
        <v>4296784</v>
      </c>
      <c r="G1134" s="1310">
        <v>0</v>
      </c>
      <c r="H1134" s="1310">
        <v>2520327</v>
      </c>
      <c r="I1134" s="1310">
        <v>0</v>
      </c>
      <c r="J1134" s="1310">
        <v>0</v>
      </c>
      <c r="K1134" s="1308">
        <v>0</v>
      </c>
      <c r="L1134" s="1310">
        <v>0</v>
      </c>
      <c r="M1134" s="1308">
        <v>0</v>
      </c>
      <c r="N1134" s="1310">
        <v>0</v>
      </c>
      <c r="O1134" s="1310">
        <v>0</v>
      </c>
      <c r="P1134" s="1310">
        <v>0</v>
      </c>
      <c r="Q1134" s="1310">
        <v>0</v>
      </c>
      <c r="R1134" s="1310">
        <v>0</v>
      </c>
      <c r="S1134" s="1310">
        <v>0</v>
      </c>
      <c r="T1134" s="1310">
        <v>0</v>
      </c>
      <c r="U1134" s="1310">
        <v>0</v>
      </c>
      <c r="V1134" s="1310">
        <v>0</v>
      </c>
      <c r="W1134" s="1316">
        <v>0</v>
      </c>
      <c r="X1134" s="1310">
        <v>0</v>
      </c>
      <c r="Y1134" s="1316">
        <v>0</v>
      </c>
    </row>
    <row r="1135" spans="1:25" s="1280" customFormat="1" ht="75.599999999999994">
      <c r="A1135" s="1352">
        <v>234</v>
      </c>
      <c r="B1135" s="1267" t="s">
        <v>2535</v>
      </c>
      <c r="C1135" s="1268">
        <f t="shared" si="477"/>
        <v>3967506</v>
      </c>
      <c r="D1135" s="1268">
        <f t="shared" si="476"/>
        <v>1443400</v>
      </c>
      <c r="E1135" s="1310">
        <v>0</v>
      </c>
      <c r="F1135" s="1310">
        <v>0</v>
      </c>
      <c r="G1135" s="1310">
        <v>0</v>
      </c>
      <c r="H1135" s="1310">
        <v>0</v>
      </c>
      <c r="I1135" s="1310">
        <v>0</v>
      </c>
      <c r="J1135" s="1310">
        <v>1443400</v>
      </c>
      <c r="K1135" s="1308">
        <v>0</v>
      </c>
      <c r="L1135" s="1310">
        <v>0</v>
      </c>
      <c r="M1135" s="1308">
        <v>0</v>
      </c>
      <c r="N1135" s="1310">
        <v>0</v>
      </c>
      <c r="O1135" s="1310">
        <v>1008</v>
      </c>
      <c r="P1135" s="1310">
        <v>2524106</v>
      </c>
      <c r="Q1135" s="1310">
        <v>0</v>
      </c>
      <c r="R1135" s="1310">
        <v>0</v>
      </c>
      <c r="S1135" s="1310">
        <v>0</v>
      </c>
      <c r="T1135" s="1310">
        <v>0</v>
      </c>
      <c r="U1135" s="1310">
        <v>0</v>
      </c>
      <c r="V1135" s="1310">
        <v>0</v>
      </c>
      <c r="W1135" s="1316">
        <v>0</v>
      </c>
      <c r="X1135" s="1310">
        <v>0</v>
      </c>
      <c r="Y1135" s="1316">
        <v>0</v>
      </c>
    </row>
    <row r="1136" spans="1:25" s="1280" customFormat="1">
      <c r="A1136" s="1352">
        <v>235</v>
      </c>
      <c r="B1136" s="1267" t="s">
        <v>2169</v>
      </c>
      <c r="C1136" s="1268">
        <f t="shared" si="477"/>
        <v>2468719</v>
      </c>
      <c r="D1136" s="1268">
        <f t="shared" si="476"/>
        <v>0</v>
      </c>
      <c r="E1136" s="1310">
        <v>0</v>
      </c>
      <c r="F1136" s="1310">
        <v>0</v>
      </c>
      <c r="G1136" s="1310">
        <v>0</v>
      </c>
      <c r="H1136" s="1310">
        <v>0</v>
      </c>
      <c r="I1136" s="1310">
        <v>0</v>
      </c>
      <c r="J1136" s="1310">
        <v>0</v>
      </c>
      <c r="K1136" s="1308">
        <v>0</v>
      </c>
      <c r="L1136" s="1310">
        <v>0</v>
      </c>
      <c r="M1136" s="1308">
        <v>0</v>
      </c>
      <c r="N1136" s="1310">
        <v>0</v>
      </c>
      <c r="O1136" s="1310">
        <v>367.5</v>
      </c>
      <c r="P1136" s="1310">
        <v>1180272</v>
      </c>
      <c r="Q1136" s="1310">
        <v>0</v>
      </c>
      <c r="R1136" s="1310">
        <v>0</v>
      </c>
      <c r="S1136" s="1310">
        <v>484.2</v>
      </c>
      <c r="T1136" s="1310">
        <v>1288447</v>
      </c>
      <c r="U1136" s="1310">
        <v>0</v>
      </c>
      <c r="V1136" s="1310">
        <v>0</v>
      </c>
      <c r="W1136" s="1316">
        <v>0</v>
      </c>
      <c r="X1136" s="1310">
        <v>0</v>
      </c>
      <c r="Y1136" s="1316">
        <v>0</v>
      </c>
    </row>
    <row r="1137" spans="1:25" s="1280" customFormat="1" ht="75.599999999999994">
      <c r="A1137" s="1352">
        <v>236</v>
      </c>
      <c r="B1137" s="1267" t="s">
        <v>2200</v>
      </c>
      <c r="C1137" s="1268">
        <f t="shared" si="477"/>
        <v>2423424</v>
      </c>
      <c r="D1137" s="1268">
        <f t="shared" si="476"/>
        <v>0</v>
      </c>
      <c r="E1137" s="1310">
        <v>0</v>
      </c>
      <c r="F1137" s="1310">
        <v>0</v>
      </c>
      <c r="G1137" s="1310">
        <v>0</v>
      </c>
      <c r="H1137" s="1310">
        <v>0</v>
      </c>
      <c r="I1137" s="1310">
        <v>0</v>
      </c>
      <c r="J1137" s="1310">
        <v>0</v>
      </c>
      <c r="K1137" s="1308">
        <v>0</v>
      </c>
      <c r="L1137" s="1310">
        <v>0</v>
      </c>
      <c r="M1137" s="1308">
        <v>0</v>
      </c>
      <c r="N1137" s="1310">
        <v>0</v>
      </c>
      <c r="O1137" s="1268">
        <v>960</v>
      </c>
      <c r="P1137" s="1268">
        <v>2423424</v>
      </c>
      <c r="Q1137" s="1310">
        <v>0</v>
      </c>
      <c r="R1137" s="1310">
        <v>0</v>
      </c>
      <c r="S1137" s="1310">
        <v>0</v>
      </c>
      <c r="T1137" s="1310">
        <v>0</v>
      </c>
      <c r="U1137" s="1310">
        <v>0</v>
      </c>
      <c r="V1137" s="1310">
        <v>0</v>
      </c>
      <c r="W1137" s="1316">
        <v>0</v>
      </c>
      <c r="X1137" s="1310">
        <v>0</v>
      </c>
      <c r="Y1137" s="1316">
        <v>0</v>
      </c>
    </row>
    <row r="1138" spans="1:25" s="1280" customFormat="1">
      <c r="A1138" s="1410">
        <v>237</v>
      </c>
      <c r="B1138" s="1267" t="s">
        <v>302</v>
      </c>
      <c r="C1138" s="1268">
        <f t="shared" si="477"/>
        <v>3431464</v>
      </c>
      <c r="D1138" s="1268">
        <f t="shared" si="476"/>
        <v>0</v>
      </c>
      <c r="E1138" s="1268">
        <v>0</v>
      </c>
      <c r="F1138" s="1268">
        <v>0</v>
      </c>
      <c r="G1138" s="1268">
        <v>0</v>
      </c>
      <c r="H1138" s="1268">
        <v>0</v>
      </c>
      <c r="I1138" s="1268">
        <v>0</v>
      </c>
      <c r="J1138" s="1268">
        <v>0</v>
      </c>
      <c r="K1138" s="1278">
        <v>0</v>
      </c>
      <c r="L1138" s="1268">
        <v>0</v>
      </c>
      <c r="M1138" s="1278">
        <v>0</v>
      </c>
      <c r="N1138" s="1268">
        <v>0</v>
      </c>
      <c r="O1138" s="1268">
        <v>1365</v>
      </c>
      <c r="P1138" s="1268">
        <v>3431464</v>
      </c>
      <c r="Q1138" s="1268">
        <v>0</v>
      </c>
      <c r="R1138" s="1268">
        <v>0</v>
      </c>
      <c r="S1138" s="1268">
        <v>0</v>
      </c>
      <c r="T1138" s="1268">
        <v>0</v>
      </c>
      <c r="U1138" s="1268">
        <v>0</v>
      </c>
      <c r="V1138" s="1268">
        <v>0</v>
      </c>
      <c r="W1138" s="1268">
        <v>0</v>
      </c>
      <c r="X1138" s="1268">
        <v>0</v>
      </c>
      <c r="Y1138" s="1268">
        <v>0</v>
      </c>
    </row>
    <row r="1139" spans="1:25" s="1280" customFormat="1" ht="75.599999999999994">
      <c r="A1139" s="1352">
        <v>238</v>
      </c>
      <c r="B1139" s="1267" t="s">
        <v>2446</v>
      </c>
      <c r="C1139" s="1268">
        <f t="shared" si="477"/>
        <v>2740531</v>
      </c>
      <c r="D1139" s="1268">
        <f t="shared" si="476"/>
        <v>2740531</v>
      </c>
      <c r="E1139" s="1310">
        <v>0</v>
      </c>
      <c r="F1139" s="1310">
        <v>2740531</v>
      </c>
      <c r="G1139" s="1310">
        <v>0</v>
      </c>
      <c r="H1139" s="1310">
        <v>0</v>
      </c>
      <c r="I1139" s="1310">
        <v>0</v>
      </c>
      <c r="J1139" s="1310">
        <v>0</v>
      </c>
      <c r="K1139" s="1308">
        <v>0</v>
      </c>
      <c r="L1139" s="1310">
        <v>0</v>
      </c>
      <c r="M1139" s="1308">
        <v>0</v>
      </c>
      <c r="N1139" s="1310">
        <v>0</v>
      </c>
      <c r="O1139" s="1310">
        <v>0</v>
      </c>
      <c r="P1139" s="1310">
        <v>0</v>
      </c>
      <c r="Q1139" s="1310">
        <v>0</v>
      </c>
      <c r="R1139" s="1310">
        <v>0</v>
      </c>
      <c r="S1139" s="1310">
        <v>0</v>
      </c>
      <c r="T1139" s="1310">
        <v>0</v>
      </c>
      <c r="U1139" s="1310">
        <v>0</v>
      </c>
      <c r="V1139" s="1310">
        <v>0</v>
      </c>
      <c r="W1139" s="1316">
        <v>0</v>
      </c>
      <c r="X1139" s="1310">
        <v>0</v>
      </c>
      <c r="Y1139" s="1316">
        <v>0</v>
      </c>
    </row>
    <row r="1140" spans="1:25" s="1280" customFormat="1" ht="75.599999999999994">
      <c r="A1140" s="1352">
        <v>239</v>
      </c>
      <c r="B1140" s="1267" t="s">
        <v>2537</v>
      </c>
      <c r="C1140" s="1268">
        <f t="shared" si="477"/>
        <v>1194865</v>
      </c>
      <c r="D1140" s="1268">
        <f t="shared" si="476"/>
        <v>0</v>
      </c>
      <c r="E1140" s="1310">
        <v>0</v>
      </c>
      <c r="F1140" s="1310">
        <v>0</v>
      </c>
      <c r="G1140" s="1310">
        <v>0</v>
      </c>
      <c r="H1140" s="1310">
        <v>0</v>
      </c>
      <c r="I1140" s="1310">
        <v>0</v>
      </c>
      <c r="J1140" s="1310">
        <v>0</v>
      </c>
      <c r="K1140" s="1308">
        <v>0</v>
      </c>
      <c r="L1140" s="1310">
        <v>0</v>
      </c>
      <c r="M1140" s="1308">
        <v>0</v>
      </c>
      <c r="N1140" s="1310">
        <v>0</v>
      </c>
      <c r="O1140" s="1310">
        <v>0</v>
      </c>
      <c r="P1140" s="1310">
        <v>0</v>
      </c>
      <c r="Q1140" s="1310">
        <v>820</v>
      </c>
      <c r="R1140" s="1310">
        <v>1194865</v>
      </c>
      <c r="S1140" s="1310">
        <v>0</v>
      </c>
      <c r="T1140" s="1310">
        <v>0</v>
      </c>
      <c r="U1140" s="1310">
        <v>0</v>
      </c>
      <c r="V1140" s="1310">
        <v>0</v>
      </c>
      <c r="W1140" s="1316">
        <v>0</v>
      </c>
      <c r="X1140" s="1310">
        <v>0</v>
      </c>
      <c r="Y1140" s="1316">
        <v>0</v>
      </c>
    </row>
    <row r="1141" spans="1:25" s="1280" customFormat="1">
      <c r="A1141" s="1352">
        <v>240</v>
      </c>
      <c r="B1141" s="1267" t="s">
        <v>1175</v>
      </c>
      <c r="C1141" s="1268">
        <f t="shared" si="477"/>
        <v>3985513</v>
      </c>
      <c r="D1141" s="1268">
        <f t="shared" si="476"/>
        <v>0</v>
      </c>
      <c r="E1141" s="1310">
        <v>0</v>
      </c>
      <c r="F1141" s="1310">
        <v>0</v>
      </c>
      <c r="G1141" s="1310">
        <v>0</v>
      </c>
      <c r="H1141" s="1310">
        <v>0</v>
      </c>
      <c r="I1141" s="1310">
        <v>0</v>
      </c>
      <c r="J1141" s="1310">
        <v>0</v>
      </c>
      <c r="K1141" s="1308">
        <v>0</v>
      </c>
      <c r="L1141" s="1310">
        <v>0</v>
      </c>
      <c r="M1141" s="1308">
        <v>0</v>
      </c>
      <c r="N1141" s="1310">
        <v>0</v>
      </c>
      <c r="O1141" s="1310">
        <v>1588</v>
      </c>
      <c r="P1141" s="1310">
        <v>3985513</v>
      </c>
      <c r="Q1141" s="1310">
        <v>0</v>
      </c>
      <c r="R1141" s="1310">
        <v>0</v>
      </c>
      <c r="S1141" s="1310">
        <v>0</v>
      </c>
      <c r="T1141" s="1310">
        <v>0</v>
      </c>
      <c r="U1141" s="1310">
        <v>0</v>
      </c>
      <c r="V1141" s="1310">
        <v>0</v>
      </c>
      <c r="W1141" s="1316">
        <v>0</v>
      </c>
      <c r="X1141" s="1310">
        <v>0</v>
      </c>
      <c r="Y1141" s="1316">
        <v>0</v>
      </c>
    </row>
    <row r="1142" spans="1:25" s="1280" customFormat="1">
      <c r="A1142" s="1352">
        <v>241</v>
      </c>
      <c r="B1142" s="1267" t="s">
        <v>2273</v>
      </c>
      <c r="C1142" s="1268">
        <f t="shared" si="477"/>
        <v>3218731</v>
      </c>
      <c r="D1142" s="1268">
        <f t="shared" si="476"/>
        <v>0</v>
      </c>
      <c r="E1142" s="1310">
        <v>0</v>
      </c>
      <c r="F1142" s="1310">
        <v>0</v>
      </c>
      <c r="G1142" s="1310">
        <v>0</v>
      </c>
      <c r="H1142" s="1310">
        <v>0</v>
      </c>
      <c r="I1142" s="1310">
        <v>0</v>
      </c>
      <c r="J1142" s="1310">
        <v>0</v>
      </c>
      <c r="K1142" s="1308">
        <v>0</v>
      </c>
      <c r="L1142" s="1310">
        <v>0</v>
      </c>
      <c r="M1142" s="1308">
        <v>0</v>
      </c>
      <c r="N1142" s="1310">
        <v>0</v>
      </c>
      <c r="O1142" s="1310">
        <v>1280</v>
      </c>
      <c r="P1142" s="1310">
        <v>3218731</v>
      </c>
      <c r="Q1142" s="1310">
        <v>0</v>
      </c>
      <c r="R1142" s="1310">
        <v>0</v>
      </c>
      <c r="S1142" s="1310">
        <v>0</v>
      </c>
      <c r="T1142" s="1310">
        <v>0</v>
      </c>
      <c r="U1142" s="1310">
        <v>0</v>
      </c>
      <c r="V1142" s="1310">
        <v>0</v>
      </c>
      <c r="W1142" s="1316">
        <v>0</v>
      </c>
      <c r="X1142" s="1310">
        <v>0</v>
      </c>
      <c r="Y1142" s="1316">
        <v>0</v>
      </c>
    </row>
    <row r="1143" spans="1:25" s="1280" customFormat="1" ht="75.599999999999994">
      <c r="A1143" s="1352">
        <v>242</v>
      </c>
      <c r="B1143" s="1267" t="s">
        <v>2202</v>
      </c>
      <c r="C1143" s="1268">
        <f t="shared" si="477"/>
        <v>1378607</v>
      </c>
      <c r="D1143" s="1268">
        <f t="shared" si="476"/>
        <v>0</v>
      </c>
      <c r="E1143" s="1310">
        <v>0</v>
      </c>
      <c r="F1143" s="1310">
        <v>0</v>
      </c>
      <c r="G1143" s="1310">
        <v>0</v>
      </c>
      <c r="H1143" s="1310">
        <v>0</v>
      </c>
      <c r="I1143" s="1310">
        <v>0</v>
      </c>
      <c r="J1143" s="1310">
        <v>0</v>
      </c>
      <c r="K1143" s="1308">
        <v>0</v>
      </c>
      <c r="L1143" s="1310">
        <v>0</v>
      </c>
      <c r="M1143" s="1308">
        <v>0</v>
      </c>
      <c r="N1143" s="1310">
        <v>0</v>
      </c>
      <c r="O1143" s="1310">
        <v>546.29999999999995</v>
      </c>
      <c r="P1143" s="1310">
        <v>1378607</v>
      </c>
      <c r="Q1143" s="1310">
        <v>0</v>
      </c>
      <c r="R1143" s="1310">
        <v>0</v>
      </c>
      <c r="S1143" s="1310">
        <v>0</v>
      </c>
      <c r="T1143" s="1310">
        <v>0</v>
      </c>
      <c r="U1143" s="1310">
        <v>0</v>
      </c>
      <c r="V1143" s="1310">
        <v>0</v>
      </c>
      <c r="W1143" s="1316">
        <v>0</v>
      </c>
      <c r="X1143" s="1310">
        <v>0</v>
      </c>
      <c r="Y1143" s="1316">
        <v>0</v>
      </c>
    </row>
    <row r="1144" spans="1:25" s="1280" customFormat="1">
      <c r="A1144" s="1352">
        <v>243</v>
      </c>
      <c r="B1144" s="1267" t="s">
        <v>2209</v>
      </c>
      <c r="C1144" s="1268">
        <f t="shared" si="477"/>
        <v>1220099</v>
      </c>
      <c r="D1144" s="1268">
        <f t="shared" si="476"/>
        <v>1220099</v>
      </c>
      <c r="E1144" s="1310">
        <v>251684</v>
      </c>
      <c r="F1144" s="1310">
        <v>483674</v>
      </c>
      <c r="G1144" s="1310">
        <v>0</v>
      </c>
      <c r="H1144" s="1310">
        <v>296962</v>
      </c>
      <c r="I1144" s="1310">
        <v>0</v>
      </c>
      <c r="J1144" s="1310">
        <v>187779</v>
      </c>
      <c r="K1144" s="1308">
        <v>0</v>
      </c>
      <c r="L1144" s="1310">
        <v>0</v>
      </c>
      <c r="M1144" s="1308">
        <v>0</v>
      </c>
      <c r="N1144" s="1310">
        <v>0</v>
      </c>
      <c r="O1144" s="1310">
        <v>0</v>
      </c>
      <c r="P1144" s="1310">
        <v>0</v>
      </c>
      <c r="Q1144" s="1310">
        <v>0</v>
      </c>
      <c r="R1144" s="1310">
        <v>0</v>
      </c>
      <c r="S1144" s="1310">
        <v>0</v>
      </c>
      <c r="T1144" s="1310">
        <v>0</v>
      </c>
      <c r="U1144" s="1310">
        <v>0</v>
      </c>
      <c r="V1144" s="1310">
        <v>0</v>
      </c>
      <c r="W1144" s="1316">
        <v>0</v>
      </c>
      <c r="X1144" s="1310">
        <v>0</v>
      </c>
      <c r="Y1144" s="1316">
        <v>0</v>
      </c>
    </row>
    <row r="1145" spans="1:25" s="1280" customFormat="1">
      <c r="A1145" s="1352">
        <v>244</v>
      </c>
      <c r="B1145" s="1267" t="s">
        <v>2210</v>
      </c>
      <c r="C1145" s="1268">
        <f t="shared" si="477"/>
        <v>16840471</v>
      </c>
      <c r="D1145" s="1268">
        <f t="shared" si="476"/>
        <v>0</v>
      </c>
      <c r="E1145" s="1310">
        <v>0</v>
      </c>
      <c r="F1145" s="1310">
        <v>0</v>
      </c>
      <c r="G1145" s="1310">
        <v>0</v>
      </c>
      <c r="H1145" s="1310">
        <v>0</v>
      </c>
      <c r="I1145" s="1310">
        <v>0</v>
      </c>
      <c r="J1145" s="1310">
        <v>0</v>
      </c>
      <c r="K1145" s="1308">
        <v>0</v>
      </c>
      <c r="L1145" s="1310">
        <v>0</v>
      </c>
      <c r="M1145" s="1308">
        <v>0</v>
      </c>
      <c r="N1145" s="1310">
        <v>0</v>
      </c>
      <c r="O1145" s="1310">
        <v>2580.66</v>
      </c>
      <c r="P1145" s="1310">
        <v>8178575</v>
      </c>
      <c r="Q1145" s="1310">
        <v>0</v>
      </c>
      <c r="R1145" s="1310">
        <v>0</v>
      </c>
      <c r="S1145" s="1310">
        <v>3255.15</v>
      </c>
      <c r="T1145" s="1310">
        <v>8661896</v>
      </c>
      <c r="U1145" s="1310">
        <v>0</v>
      </c>
      <c r="V1145" s="1310">
        <v>0</v>
      </c>
      <c r="W1145" s="1316">
        <v>0</v>
      </c>
      <c r="X1145" s="1310">
        <v>0</v>
      </c>
      <c r="Y1145" s="1316">
        <v>0</v>
      </c>
    </row>
    <row r="1146" spans="1:25" s="1280" customFormat="1">
      <c r="A1146" s="1352">
        <v>245</v>
      </c>
      <c r="B1146" s="1267" t="s">
        <v>2211</v>
      </c>
      <c r="C1146" s="1268">
        <f t="shared" si="477"/>
        <v>1600936</v>
      </c>
      <c r="D1146" s="1268">
        <f t="shared" si="476"/>
        <v>0</v>
      </c>
      <c r="E1146" s="1310">
        <v>0</v>
      </c>
      <c r="F1146" s="1310">
        <v>0</v>
      </c>
      <c r="G1146" s="1310">
        <v>0</v>
      </c>
      <c r="H1146" s="1310">
        <v>0</v>
      </c>
      <c r="I1146" s="1310">
        <v>0</v>
      </c>
      <c r="J1146" s="1310">
        <v>0</v>
      </c>
      <c r="K1146" s="1308">
        <v>0</v>
      </c>
      <c r="L1146" s="1310">
        <v>0</v>
      </c>
      <c r="M1146" s="1308">
        <v>0</v>
      </c>
      <c r="N1146" s="1310">
        <v>0</v>
      </c>
      <c r="O1146" s="1310">
        <v>497.4</v>
      </c>
      <c r="P1146" s="1310">
        <v>1600936</v>
      </c>
      <c r="Q1146" s="1310">
        <v>0</v>
      </c>
      <c r="R1146" s="1310">
        <v>0</v>
      </c>
      <c r="S1146" s="1310">
        <v>0</v>
      </c>
      <c r="T1146" s="1310">
        <v>0</v>
      </c>
      <c r="U1146" s="1310">
        <v>0</v>
      </c>
      <c r="V1146" s="1310">
        <v>0</v>
      </c>
      <c r="W1146" s="1316">
        <v>0</v>
      </c>
      <c r="X1146" s="1310">
        <v>0</v>
      </c>
      <c r="Y1146" s="1316">
        <v>0</v>
      </c>
    </row>
    <row r="1147" spans="1:25" s="1280" customFormat="1">
      <c r="A1147" s="1352">
        <v>246</v>
      </c>
      <c r="B1147" s="1267" t="s">
        <v>2212</v>
      </c>
      <c r="C1147" s="1268">
        <f t="shared" si="477"/>
        <v>2307047</v>
      </c>
      <c r="D1147" s="1268">
        <f t="shared" si="476"/>
        <v>2307047</v>
      </c>
      <c r="E1147" s="1310">
        <v>0</v>
      </c>
      <c r="F1147" s="1310">
        <v>0</v>
      </c>
      <c r="G1147" s="1310">
        <v>0</v>
      </c>
      <c r="H1147" s="1310">
        <v>860717</v>
      </c>
      <c r="I1147" s="1310">
        <v>888584</v>
      </c>
      <c r="J1147" s="1310">
        <v>557746</v>
      </c>
      <c r="K1147" s="1308">
        <v>0</v>
      </c>
      <c r="L1147" s="1310">
        <v>0</v>
      </c>
      <c r="M1147" s="1308">
        <v>0</v>
      </c>
      <c r="N1147" s="1310">
        <v>0</v>
      </c>
      <c r="O1147" s="1310">
        <v>0</v>
      </c>
      <c r="P1147" s="1310">
        <v>0</v>
      </c>
      <c r="Q1147" s="1310">
        <v>0</v>
      </c>
      <c r="R1147" s="1310">
        <v>0</v>
      </c>
      <c r="S1147" s="1310">
        <v>0</v>
      </c>
      <c r="T1147" s="1310">
        <v>0</v>
      </c>
      <c r="U1147" s="1310">
        <v>0</v>
      </c>
      <c r="V1147" s="1310">
        <v>0</v>
      </c>
      <c r="W1147" s="1316">
        <v>0</v>
      </c>
      <c r="X1147" s="1310">
        <v>0</v>
      </c>
      <c r="Y1147" s="1316">
        <v>0</v>
      </c>
    </row>
    <row r="1148" spans="1:25" s="1280" customFormat="1">
      <c r="A1148" s="1352">
        <v>247</v>
      </c>
      <c r="B1148" s="1267" t="s">
        <v>2213</v>
      </c>
      <c r="C1148" s="1268">
        <f t="shared" si="477"/>
        <v>214414</v>
      </c>
      <c r="D1148" s="1268">
        <f t="shared" si="476"/>
        <v>214414</v>
      </c>
      <c r="E1148" s="1310">
        <v>0</v>
      </c>
      <c r="F1148" s="1310">
        <v>0</v>
      </c>
      <c r="G1148" s="1310">
        <v>0</v>
      </c>
      <c r="H1148" s="1310">
        <v>0</v>
      </c>
      <c r="I1148" s="1310">
        <v>0</v>
      </c>
      <c r="J1148" s="1310">
        <v>214414</v>
      </c>
      <c r="K1148" s="1308">
        <v>0</v>
      </c>
      <c r="L1148" s="1310">
        <v>0</v>
      </c>
      <c r="M1148" s="1308">
        <v>0</v>
      </c>
      <c r="N1148" s="1310">
        <v>0</v>
      </c>
      <c r="O1148" s="1310">
        <v>0</v>
      </c>
      <c r="P1148" s="1310">
        <v>0</v>
      </c>
      <c r="Q1148" s="1310">
        <v>0</v>
      </c>
      <c r="R1148" s="1310">
        <v>0</v>
      </c>
      <c r="S1148" s="1310">
        <v>0</v>
      </c>
      <c r="T1148" s="1310">
        <v>0</v>
      </c>
      <c r="U1148" s="1310">
        <v>0</v>
      </c>
      <c r="V1148" s="1310">
        <v>0</v>
      </c>
      <c r="W1148" s="1316">
        <v>0</v>
      </c>
      <c r="X1148" s="1310">
        <v>0</v>
      </c>
      <c r="Y1148" s="1316">
        <v>0</v>
      </c>
    </row>
    <row r="1149" spans="1:25" s="1280" customFormat="1">
      <c r="A1149" s="1352">
        <v>248</v>
      </c>
      <c r="B1149" s="1267" t="s">
        <v>2274</v>
      </c>
      <c r="C1149" s="1268">
        <f t="shared" si="477"/>
        <v>3036528</v>
      </c>
      <c r="D1149" s="1268">
        <f t="shared" si="476"/>
        <v>0</v>
      </c>
      <c r="E1149" s="1310">
        <v>0</v>
      </c>
      <c r="F1149" s="1310">
        <v>0</v>
      </c>
      <c r="G1149" s="1310">
        <v>0</v>
      </c>
      <c r="H1149" s="1310">
        <v>0</v>
      </c>
      <c r="I1149" s="1310">
        <v>0</v>
      </c>
      <c r="J1149" s="1310">
        <v>0</v>
      </c>
      <c r="K1149" s="1308">
        <v>0</v>
      </c>
      <c r="L1149" s="1310">
        <v>0</v>
      </c>
      <c r="M1149" s="1308">
        <v>0</v>
      </c>
      <c r="N1149" s="1310">
        <v>0</v>
      </c>
      <c r="O1149" s="1310">
        <v>1117.54</v>
      </c>
      <c r="P1149" s="1310">
        <v>3036528</v>
      </c>
      <c r="Q1149" s="1310">
        <v>0</v>
      </c>
      <c r="R1149" s="1310">
        <v>0</v>
      </c>
      <c r="S1149" s="1310">
        <v>0</v>
      </c>
      <c r="T1149" s="1310">
        <v>0</v>
      </c>
      <c r="U1149" s="1310">
        <v>0</v>
      </c>
      <c r="V1149" s="1310">
        <v>0</v>
      </c>
      <c r="W1149" s="1316">
        <v>0</v>
      </c>
      <c r="X1149" s="1310">
        <v>0</v>
      </c>
      <c r="Y1149" s="1316">
        <v>0</v>
      </c>
    </row>
    <row r="1150" spans="1:25" s="1280" customFormat="1">
      <c r="A1150" s="1352">
        <v>249</v>
      </c>
      <c r="B1150" s="1267" t="s">
        <v>2214</v>
      </c>
      <c r="C1150" s="1268">
        <f t="shared" si="477"/>
        <v>7849898</v>
      </c>
      <c r="D1150" s="1268">
        <f t="shared" si="476"/>
        <v>0</v>
      </c>
      <c r="E1150" s="1310">
        <v>0</v>
      </c>
      <c r="F1150" s="1310">
        <v>0</v>
      </c>
      <c r="G1150" s="1310">
        <v>0</v>
      </c>
      <c r="H1150" s="1310">
        <v>0</v>
      </c>
      <c r="I1150" s="1310">
        <v>0</v>
      </c>
      <c r="J1150" s="1310">
        <v>0</v>
      </c>
      <c r="K1150" s="1308">
        <v>0</v>
      </c>
      <c r="L1150" s="1310">
        <v>0</v>
      </c>
      <c r="M1150" s="1308">
        <v>0</v>
      </c>
      <c r="N1150" s="1310">
        <v>0</v>
      </c>
      <c r="O1150" s="1310">
        <v>0</v>
      </c>
      <c r="P1150" s="1310">
        <v>0</v>
      </c>
      <c r="Q1150" s="1310">
        <v>0</v>
      </c>
      <c r="R1150" s="1310">
        <v>0</v>
      </c>
      <c r="S1150" s="1310">
        <v>2950</v>
      </c>
      <c r="T1150" s="1310">
        <v>7849898</v>
      </c>
      <c r="U1150" s="1310">
        <v>0</v>
      </c>
      <c r="V1150" s="1310">
        <v>0</v>
      </c>
      <c r="W1150" s="1316">
        <v>0</v>
      </c>
      <c r="X1150" s="1310">
        <v>0</v>
      </c>
      <c r="Y1150" s="1316">
        <v>0</v>
      </c>
    </row>
    <row r="1151" spans="1:25" s="1280" customFormat="1">
      <c r="A1151" s="1352">
        <v>250</v>
      </c>
      <c r="B1151" s="1357" t="s">
        <v>258</v>
      </c>
      <c r="C1151" s="1268">
        <f t="shared" si="477"/>
        <v>72530</v>
      </c>
      <c r="D1151" s="1268">
        <f t="shared" si="476"/>
        <v>0</v>
      </c>
      <c r="E1151" s="1268">
        <v>0</v>
      </c>
      <c r="F1151" s="1268">
        <v>0</v>
      </c>
      <c r="G1151" s="1268">
        <v>0</v>
      </c>
      <c r="H1151" s="1268">
        <v>0</v>
      </c>
      <c r="I1151" s="1268">
        <v>0</v>
      </c>
      <c r="J1151" s="1268">
        <v>0</v>
      </c>
      <c r="K1151" s="1278">
        <v>0</v>
      </c>
      <c r="L1151" s="1268">
        <v>0</v>
      </c>
      <c r="M1151" s="1278">
        <v>0</v>
      </c>
      <c r="N1151" s="1268">
        <v>0</v>
      </c>
      <c r="O1151" s="1268">
        <v>0</v>
      </c>
      <c r="P1151" s="1268">
        <v>0</v>
      </c>
      <c r="Q1151" s="1268">
        <v>0</v>
      </c>
      <c r="R1151" s="1268">
        <v>0</v>
      </c>
      <c r="S1151" s="1268">
        <v>0</v>
      </c>
      <c r="T1151" s="1268">
        <v>0</v>
      </c>
      <c r="U1151" s="1310">
        <v>0</v>
      </c>
      <c r="V1151" s="1310">
        <v>0</v>
      </c>
      <c r="W1151" s="1316">
        <v>0</v>
      </c>
      <c r="X1151" s="1268">
        <v>72530</v>
      </c>
      <c r="Y1151" s="1316">
        <v>0</v>
      </c>
    </row>
    <row r="1152" spans="1:25" s="1280" customFormat="1">
      <c r="A1152" s="1352">
        <v>251</v>
      </c>
      <c r="B1152" s="1267" t="s">
        <v>2275</v>
      </c>
      <c r="C1152" s="1268">
        <f t="shared" si="477"/>
        <v>454777</v>
      </c>
      <c r="D1152" s="1268">
        <f t="shared" si="476"/>
        <v>0</v>
      </c>
      <c r="E1152" s="1268">
        <v>0</v>
      </c>
      <c r="F1152" s="1268">
        <v>0</v>
      </c>
      <c r="G1152" s="1268">
        <v>0</v>
      </c>
      <c r="H1152" s="1268">
        <v>0</v>
      </c>
      <c r="I1152" s="1268">
        <v>0</v>
      </c>
      <c r="J1152" s="1268">
        <v>0</v>
      </c>
      <c r="K1152" s="1278">
        <v>0</v>
      </c>
      <c r="L1152" s="1268">
        <v>0</v>
      </c>
      <c r="M1152" s="1278">
        <v>0</v>
      </c>
      <c r="N1152" s="1268">
        <v>0</v>
      </c>
      <c r="O1152" s="1268">
        <v>114</v>
      </c>
      <c r="P1152" s="1268">
        <v>421744</v>
      </c>
      <c r="Q1152" s="1268">
        <v>0</v>
      </c>
      <c r="R1152" s="1268">
        <v>0</v>
      </c>
      <c r="S1152" s="1268">
        <v>0</v>
      </c>
      <c r="T1152" s="1268">
        <v>0</v>
      </c>
      <c r="U1152" s="1268">
        <v>0</v>
      </c>
      <c r="V1152" s="1268">
        <v>0</v>
      </c>
      <c r="W1152" s="1316">
        <v>0</v>
      </c>
      <c r="X1152" s="1268">
        <v>33033</v>
      </c>
      <c r="Y1152" s="1316">
        <v>0</v>
      </c>
    </row>
    <row r="1153" spans="1:25" s="1280" customFormat="1">
      <c r="A1153" s="1352">
        <v>252</v>
      </c>
      <c r="B1153" s="1267" t="s">
        <v>2276</v>
      </c>
      <c r="C1153" s="1268">
        <f t="shared" si="477"/>
        <v>372974</v>
      </c>
      <c r="D1153" s="1268">
        <f t="shared" si="476"/>
        <v>345883</v>
      </c>
      <c r="E1153" s="1268">
        <v>0</v>
      </c>
      <c r="F1153" s="1268">
        <v>0</v>
      </c>
      <c r="G1153" s="1268">
        <v>345883</v>
      </c>
      <c r="H1153" s="1268">
        <v>0</v>
      </c>
      <c r="I1153" s="1268">
        <v>0</v>
      </c>
      <c r="J1153" s="1268">
        <v>0</v>
      </c>
      <c r="K1153" s="1278">
        <v>0</v>
      </c>
      <c r="L1153" s="1268">
        <v>0</v>
      </c>
      <c r="M1153" s="1278">
        <v>0</v>
      </c>
      <c r="N1153" s="1268">
        <v>0</v>
      </c>
      <c r="O1153" s="1268">
        <v>0</v>
      </c>
      <c r="P1153" s="1268">
        <v>0</v>
      </c>
      <c r="Q1153" s="1268">
        <v>0</v>
      </c>
      <c r="R1153" s="1268">
        <v>0</v>
      </c>
      <c r="S1153" s="1268">
        <v>0</v>
      </c>
      <c r="T1153" s="1268">
        <v>0</v>
      </c>
      <c r="U1153" s="1268">
        <v>0</v>
      </c>
      <c r="V1153" s="1268">
        <v>0</v>
      </c>
      <c r="W1153" s="1316">
        <v>0</v>
      </c>
      <c r="X1153" s="1268">
        <v>27091</v>
      </c>
      <c r="Y1153" s="1316">
        <v>0</v>
      </c>
    </row>
    <row r="1154" spans="1:25" s="1280" customFormat="1" ht="75.599999999999994">
      <c r="A1154" s="1352">
        <v>253</v>
      </c>
      <c r="B1154" s="1267" t="s">
        <v>2306</v>
      </c>
      <c r="C1154" s="1268">
        <f t="shared" si="477"/>
        <v>2568253.77</v>
      </c>
      <c r="D1154" s="1268">
        <f t="shared" si="476"/>
        <v>0</v>
      </c>
      <c r="E1154" s="1268">
        <v>0</v>
      </c>
      <c r="F1154" s="1268">
        <v>0</v>
      </c>
      <c r="G1154" s="1268">
        <v>0</v>
      </c>
      <c r="H1154" s="1268">
        <v>0</v>
      </c>
      <c r="I1154" s="1268">
        <v>0</v>
      </c>
      <c r="J1154" s="1268">
        <v>0</v>
      </c>
      <c r="K1154" s="1278">
        <v>0</v>
      </c>
      <c r="L1154" s="1268">
        <v>0</v>
      </c>
      <c r="M1154" s="1278">
        <v>0</v>
      </c>
      <c r="N1154" s="1268">
        <v>0</v>
      </c>
      <c r="O1154" s="1268">
        <v>945.2</v>
      </c>
      <c r="P1154" s="1268">
        <v>2381709.1</v>
      </c>
      <c r="Q1154" s="1268">
        <v>0</v>
      </c>
      <c r="R1154" s="1268">
        <v>0</v>
      </c>
      <c r="S1154" s="1268">
        <v>0</v>
      </c>
      <c r="T1154" s="1268">
        <v>0</v>
      </c>
      <c r="U1154" s="1268">
        <v>0</v>
      </c>
      <c r="V1154" s="1268">
        <v>0</v>
      </c>
      <c r="W1154" s="1316">
        <v>0</v>
      </c>
      <c r="X1154" s="1268">
        <v>186544.67</v>
      </c>
      <c r="Y1154" s="1316">
        <v>0</v>
      </c>
    </row>
    <row r="1155" spans="1:25" s="1280" customFormat="1">
      <c r="A1155" s="1352">
        <v>254</v>
      </c>
      <c r="B1155" s="1267" t="s">
        <v>2277</v>
      </c>
      <c r="C1155" s="1268">
        <f t="shared" si="477"/>
        <v>243748</v>
      </c>
      <c r="D1155" s="1268">
        <f t="shared" si="476"/>
        <v>226043</v>
      </c>
      <c r="E1155" s="1268">
        <v>0</v>
      </c>
      <c r="F1155" s="1268">
        <v>0</v>
      </c>
      <c r="G1155" s="1268">
        <v>226043</v>
      </c>
      <c r="H1155" s="1268">
        <v>0</v>
      </c>
      <c r="I1155" s="1268">
        <v>0</v>
      </c>
      <c r="J1155" s="1268">
        <v>0</v>
      </c>
      <c r="K1155" s="1278">
        <v>0</v>
      </c>
      <c r="L1155" s="1268">
        <v>0</v>
      </c>
      <c r="M1155" s="1278">
        <v>0</v>
      </c>
      <c r="N1155" s="1268">
        <v>0</v>
      </c>
      <c r="O1155" s="1268">
        <v>0</v>
      </c>
      <c r="P1155" s="1268">
        <v>0</v>
      </c>
      <c r="Q1155" s="1268">
        <v>0</v>
      </c>
      <c r="R1155" s="1268">
        <v>0</v>
      </c>
      <c r="S1155" s="1268">
        <v>0</v>
      </c>
      <c r="T1155" s="1268">
        <v>0</v>
      </c>
      <c r="U1155" s="1268">
        <v>0</v>
      </c>
      <c r="V1155" s="1268">
        <v>0</v>
      </c>
      <c r="W1155" s="1316">
        <v>0</v>
      </c>
      <c r="X1155" s="1268">
        <v>17705</v>
      </c>
      <c r="Y1155" s="1316">
        <v>0</v>
      </c>
    </row>
    <row r="1156" spans="1:25" s="1280" customFormat="1" ht="75.599999999999994">
      <c r="A1156" s="1352">
        <v>255</v>
      </c>
      <c r="B1156" s="1267" t="s">
        <v>2278</v>
      </c>
      <c r="C1156" s="1268">
        <f t="shared" si="477"/>
        <v>3647790</v>
      </c>
      <c r="D1156" s="1268">
        <f t="shared" si="476"/>
        <v>0</v>
      </c>
      <c r="E1156" s="1268">
        <v>0</v>
      </c>
      <c r="F1156" s="1268">
        <v>0</v>
      </c>
      <c r="G1156" s="1268">
        <v>0</v>
      </c>
      <c r="H1156" s="1268">
        <v>0</v>
      </c>
      <c r="I1156" s="1268">
        <v>0</v>
      </c>
      <c r="J1156" s="1268">
        <v>0</v>
      </c>
      <c r="K1156" s="1278">
        <v>0</v>
      </c>
      <c r="L1156" s="1268">
        <v>0</v>
      </c>
      <c r="M1156" s="1278">
        <v>0</v>
      </c>
      <c r="N1156" s="1268">
        <v>0</v>
      </c>
      <c r="O1156" s="1268">
        <v>914.4</v>
      </c>
      <c r="P1156" s="1268">
        <v>3382833</v>
      </c>
      <c r="Q1156" s="1268">
        <v>0</v>
      </c>
      <c r="R1156" s="1268">
        <v>0</v>
      </c>
      <c r="S1156" s="1268">
        <v>0</v>
      </c>
      <c r="T1156" s="1268">
        <v>0</v>
      </c>
      <c r="U1156" s="1268">
        <v>0</v>
      </c>
      <c r="V1156" s="1268">
        <v>0</v>
      </c>
      <c r="W1156" s="1316">
        <v>0</v>
      </c>
      <c r="X1156" s="1268">
        <v>264957</v>
      </c>
      <c r="Y1156" s="1316">
        <v>0</v>
      </c>
    </row>
    <row r="1157" spans="1:25" s="1280" customFormat="1">
      <c r="A1157" s="1352">
        <v>256</v>
      </c>
      <c r="B1157" s="1267" t="s">
        <v>2279</v>
      </c>
      <c r="C1157" s="1268">
        <f t="shared" si="477"/>
        <v>10188480</v>
      </c>
      <c r="D1157" s="1268">
        <f t="shared" si="476"/>
        <v>1261590</v>
      </c>
      <c r="E1157" s="1268">
        <v>225049</v>
      </c>
      <c r="F1157" s="1268">
        <v>426277</v>
      </c>
      <c r="G1157" s="1268">
        <v>183048</v>
      </c>
      <c r="H1157" s="1268">
        <v>261721</v>
      </c>
      <c r="I1157" s="1268">
        <v>0</v>
      </c>
      <c r="J1157" s="1268">
        <v>165495</v>
      </c>
      <c r="K1157" s="1278">
        <v>0</v>
      </c>
      <c r="L1157" s="1268">
        <v>0</v>
      </c>
      <c r="M1157" s="1278">
        <v>0</v>
      </c>
      <c r="N1157" s="1268">
        <v>0</v>
      </c>
      <c r="O1157" s="1268">
        <v>734.3</v>
      </c>
      <c r="P1157" s="1268">
        <v>3326313</v>
      </c>
      <c r="Q1157" s="1268">
        <v>0</v>
      </c>
      <c r="R1157" s="1268">
        <v>0</v>
      </c>
      <c r="S1157" s="1268">
        <v>1014</v>
      </c>
      <c r="T1157" s="1268">
        <v>4860538</v>
      </c>
      <c r="U1157" s="1268">
        <v>0</v>
      </c>
      <c r="V1157" s="1268">
        <v>0</v>
      </c>
      <c r="W1157" s="1316">
        <v>0</v>
      </c>
      <c r="X1157" s="1268">
        <v>740039</v>
      </c>
      <c r="Y1157" s="1316">
        <v>0</v>
      </c>
    </row>
    <row r="1158" spans="1:25" s="1280" customFormat="1" ht="113.4">
      <c r="A1158" s="1352">
        <v>257</v>
      </c>
      <c r="B1158" s="1267" t="s">
        <v>2175</v>
      </c>
      <c r="C1158" s="1268">
        <f t="shared" si="477"/>
        <v>446556</v>
      </c>
      <c r="D1158" s="1268">
        <f t="shared" ref="D1158:D1191" si="478">SUM(E1158:J1158)</f>
        <v>414120</v>
      </c>
      <c r="E1158" s="1268">
        <v>111572</v>
      </c>
      <c r="F1158" s="1268">
        <v>0</v>
      </c>
      <c r="G1158" s="1268">
        <v>90748</v>
      </c>
      <c r="H1158" s="1268">
        <v>129753</v>
      </c>
      <c r="I1158" s="1268">
        <v>0</v>
      </c>
      <c r="J1158" s="1268">
        <v>82047</v>
      </c>
      <c r="K1158" s="1278">
        <v>0</v>
      </c>
      <c r="L1158" s="1268">
        <v>0</v>
      </c>
      <c r="M1158" s="1278">
        <v>0</v>
      </c>
      <c r="N1158" s="1268">
        <v>0</v>
      </c>
      <c r="O1158" s="1268">
        <v>0</v>
      </c>
      <c r="P1158" s="1268">
        <v>0</v>
      </c>
      <c r="Q1158" s="1268">
        <v>0</v>
      </c>
      <c r="R1158" s="1268">
        <v>0</v>
      </c>
      <c r="S1158" s="1268">
        <v>0</v>
      </c>
      <c r="T1158" s="1268">
        <v>0</v>
      </c>
      <c r="U1158" s="1268">
        <v>0</v>
      </c>
      <c r="V1158" s="1268">
        <v>0</v>
      </c>
      <c r="W1158" s="1316">
        <v>0</v>
      </c>
      <c r="X1158" s="1268">
        <v>32436</v>
      </c>
      <c r="Y1158" s="1316">
        <v>0</v>
      </c>
    </row>
    <row r="1159" spans="1:25" s="1280" customFormat="1" ht="75.599999999999994">
      <c r="A1159" s="1352">
        <v>258</v>
      </c>
      <c r="B1159" s="1267" t="s">
        <v>2280</v>
      </c>
      <c r="C1159" s="1268">
        <f t="shared" ref="C1159:C1191" si="479">D1159+N1159+P1159+R1159+T1159+V1159+Y1159+L1159+X1159</f>
        <v>1931197</v>
      </c>
      <c r="D1159" s="1268">
        <f t="shared" si="478"/>
        <v>1790925</v>
      </c>
      <c r="E1159" s="1268">
        <v>0</v>
      </c>
      <c r="F1159" s="1268">
        <v>0</v>
      </c>
      <c r="G1159" s="1268">
        <v>1790925</v>
      </c>
      <c r="H1159" s="1268">
        <v>0</v>
      </c>
      <c r="I1159" s="1268">
        <v>0</v>
      </c>
      <c r="J1159" s="1268">
        <v>0</v>
      </c>
      <c r="K1159" s="1278">
        <v>0</v>
      </c>
      <c r="L1159" s="1268">
        <v>0</v>
      </c>
      <c r="M1159" s="1278">
        <v>0</v>
      </c>
      <c r="N1159" s="1268">
        <v>0</v>
      </c>
      <c r="O1159" s="1268">
        <v>0</v>
      </c>
      <c r="P1159" s="1268">
        <v>0</v>
      </c>
      <c r="Q1159" s="1268">
        <v>0</v>
      </c>
      <c r="R1159" s="1268">
        <v>0</v>
      </c>
      <c r="S1159" s="1268">
        <v>0</v>
      </c>
      <c r="T1159" s="1268">
        <v>0</v>
      </c>
      <c r="U1159" s="1268">
        <v>0</v>
      </c>
      <c r="V1159" s="1268">
        <v>0</v>
      </c>
      <c r="W1159" s="1316">
        <v>0</v>
      </c>
      <c r="X1159" s="1268">
        <v>140272</v>
      </c>
      <c r="Y1159" s="1316">
        <v>0</v>
      </c>
    </row>
    <row r="1160" spans="1:25" s="1280" customFormat="1">
      <c r="A1160" s="1352">
        <v>259</v>
      </c>
      <c r="B1160" s="1267" t="s">
        <v>2281</v>
      </c>
      <c r="C1160" s="1268">
        <f t="shared" si="479"/>
        <v>405378</v>
      </c>
      <c r="D1160" s="1268">
        <f t="shared" si="478"/>
        <v>375934</v>
      </c>
      <c r="E1160" s="1268">
        <v>67061</v>
      </c>
      <c r="F1160" s="1268">
        <v>127023</v>
      </c>
      <c r="G1160" s="1268">
        <v>54546</v>
      </c>
      <c r="H1160" s="1268">
        <v>77989</v>
      </c>
      <c r="I1160" s="1268">
        <v>0</v>
      </c>
      <c r="J1160" s="1268">
        <v>49315</v>
      </c>
      <c r="K1160" s="1278">
        <v>0</v>
      </c>
      <c r="L1160" s="1268">
        <v>0</v>
      </c>
      <c r="M1160" s="1278">
        <v>0</v>
      </c>
      <c r="N1160" s="1268">
        <v>0</v>
      </c>
      <c r="O1160" s="1268">
        <v>0</v>
      </c>
      <c r="P1160" s="1268">
        <v>0</v>
      </c>
      <c r="Q1160" s="1268">
        <v>0</v>
      </c>
      <c r="R1160" s="1268">
        <v>0</v>
      </c>
      <c r="S1160" s="1268">
        <v>0</v>
      </c>
      <c r="T1160" s="1268">
        <v>0</v>
      </c>
      <c r="U1160" s="1268">
        <v>0</v>
      </c>
      <c r="V1160" s="1268">
        <v>0</v>
      </c>
      <c r="W1160" s="1316">
        <v>0</v>
      </c>
      <c r="X1160" s="1268">
        <v>29444</v>
      </c>
      <c r="Y1160" s="1316">
        <v>0</v>
      </c>
    </row>
    <row r="1161" spans="1:25" s="1280" customFormat="1" ht="113.4">
      <c r="A1161" s="1352">
        <v>260</v>
      </c>
      <c r="B1161" s="1267" t="s">
        <v>2307</v>
      </c>
      <c r="C1161" s="1268">
        <f t="shared" si="479"/>
        <v>3508066</v>
      </c>
      <c r="D1161" s="1268">
        <f t="shared" si="478"/>
        <v>576082</v>
      </c>
      <c r="E1161" s="1268">
        <v>317686</v>
      </c>
      <c r="F1161" s="1268">
        <v>0</v>
      </c>
      <c r="G1161" s="1268">
        <v>258396</v>
      </c>
      <c r="H1161" s="1268">
        <v>0</v>
      </c>
      <c r="I1161" s="1268">
        <v>0</v>
      </c>
      <c r="J1161" s="1268">
        <v>0</v>
      </c>
      <c r="K1161" s="1278">
        <v>0</v>
      </c>
      <c r="L1161" s="1268">
        <v>0</v>
      </c>
      <c r="M1161" s="1278">
        <v>0</v>
      </c>
      <c r="N1161" s="1268">
        <v>0</v>
      </c>
      <c r="O1161" s="1268">
        <v>591</v>
      </c>
      <c r="P1161" s="1268">
        <v>2677176</v>
      </c>
      <c r="Q1161" s="1268">
        <v>0</v>
      </c>
      <c r="R1161" s="1268">
        <v>0</v>
      </c>
      <c r="S1161" s="1268">
        <v>0</v>
      </c>
      <c r="T1161" s="1268">
        <v>0</v>
      </c>
      <c r="U1161" s="1268">
        <v>0</v>
      </c>
      <c r="V1161" s="1268">
        <v>0</v>
      </c>
      <c r="W1161" s="1316">
        <v>0</v>
      </c>
      <c r="X1161" s="1268">
        <v>254808</v>
      </c>
      <c r="Y1161" s="1316">
        <v>0</v>
      </c>
    </row>
    <row r="1162" spans="1:25" s="1280" customFormat="1" ht="113.4">
      <c r="A1162" s="1352">
        <v>261</v>
      </c>
      <c r="B1162" s="1267" t="s">
        <v>2205</v>
      </c>
      <c r="C1162" s="1268">
        <f t="shared" si="479"/>
        <v>1292824</v>
      </c>
      <c r="D1162" s="1268">
        <f t="shared" si="478"/>
        <v>1198920</v>
      </c>
      <c r="E1162" s="1268">
        <v>323011</v>
      </c>
      <c r="F1162" s="1268">
        <v>0</v>
      </c>
      <c r="G1162" s="1268">
        <v>262728</v>
      </c>
      <c r="H1162" s="1268">
        <v>375646</v>
      </c>
      <c r="I1162" s="1268">
        <v>0</v>
      </c>
      <c r="J1162" s="1268">
        <v>237535</v>
      </c>
      <c r="K1162" s="1278">
        <v>0</v>
      </c>
      <c r="L1162" s="1268">
        <v>0</v>
      </c>
      <c r="M1162" s="1278">
        <v>0</v>
      </c>
      <c r="N1162" s="1268">
        <v>0</v>
      </c>
      <c r="O1162" s="1268">
        <v>0</v>
      </c>
      <c r="P1162" s="1268">
        <v>0</v>
      </c>
      <c r="Q1162" s="1268">
        <v>0</v>
      </c>
      <c r="R1162" s="1268">
        <v>0</v>
      </c>
      <c r="S1162" s="1268">
        <v>0</v>
      </c>
      <c r="T1162" s="1268">
        <v>0</v>
      </c>
      <c r="U1162" s="1268">
        <v>0</v>
      </c>
      <c r="V1162" s="1268">
        <v>0</v>
      </c>
      <c r="W1162" s="1316">
        <v>0</v>
      </c>
      <c r="X1162" s="1268">
        <v>93904</v>
      </c>
      <c r="Y1162" s="1316">
        <v>0</v>
      </c>
    </row>
    <row r="1163" spans="1:25" s="1280" customFormat="1" ht="75.599999999999994">
      <c r="A1163" s="1352">
        <v>262</v>
      </c>
      <c r="B1163" s="1267" t="s">
        <v>2282</v>
      </c>
      <c r="C1163" s="1268">
        <f t="shared" si="479"/>
        <v>20648243</v>
      </c>
      <c r="D1163" s="1268">
        <f t="shared" si="478"/>
        <v>7164886</v>
      </c>
      <c r="E1163" s="1268">
        <v>1932528</v>
      </c>
      <c r="F1163" s="1268">
        <v>3660497</v>
      </c>
      <c r="G1163" s="1268">
        <v>1571861</v>
      </c>
      <c r="H1163" s="1268">
        <v>0</v>
      </c>
      <c r="I1163" s="1268">
        <v>0</v>
      </c>
      <c r="J1163" s="1268">
        <v>0</v>
      </c>
      <c r="K1163" s="1278">
        <v>0</v>
      </c>
      <c r="L1163" s="1268">
        <v>0</v>
      </c>
      <c r="M1163" s="1278">
        <v>0</v>
      </c>
      <c r="N1163" s="1268">
        <v>0</v>
      </c>
      <c r="O1163" s="1268">
        <v>0</v>
      </c>
      <c r="P1163" s="1268">
        <v>0</v>
      </c>
      <c r="Q1163" s="1268">
        <v>0</v>
      </c>
      <c r="R1163" s="1268">
        <v>0</v>
      </c>
      <c r="S1163" s="1268">
        <v>2500</v>
      </c>
      <c r="T1163" s="1268">
        <v>11983576</v>
      </c>
      <c r="U1163" s="1268">
        <v>0</v>
      </c>
      <c r="V1163" s="1268">
        <v>0</v>
      </c>
      <c r="W1163" s="1316">
        <v>0</v>
      </c>
      <c r="X1163" s="1268">
        <v>1499781</v>
      </c>
      <c r="Y1163" s="1316">
        <v>0</v>
      </c>
    </row>
    <row r="1164" spans="1:25" s="1280" customFormat="1">
      <c r="A1164" s="1352">
        <v>263</v>
      </c>
      <c r="B1164" s="1267" t="s">
        <v>2283</v>
      </c>
      <c r="C1164" s="1268">
        <f t="shared" si="479"/>
        <v>7212203</v>
      </c>
      <c r="D1164" s="1268">
        <f t="shared" si="478"/>
        <v>0</v>
      </c>
      <c r="E1164" s="1268">
        <v>0</v>
      </c>
      <c r="F1164" s="1268">
        <v>0</v>
      </c>
      <c r="G1164" s="1268">
        <v>0</v>
      </c>
      <c r="H1164" s="1268">
        <v>0</v>
      </c>
      <c r="I1164" s="1268">
        <v>0</v>
      </c>
      <c r="J1164" s="1268">
        <v>0</v>
      </c>
      <c r="K1164" s="1278">
        <v>0</v>
      </c>
      <c r="L1164" s="1268">
        <v>0</v>
      </c>
      <c r="M1164" s="1278">
        <v>0</v>
      </c>
      <c r="N1164" s="1268">
        <v>0</v>
      </c>
      <c r="O1164" s="1268">
        <v>1807.9</v>
      </c>
      <c r="P1164" s="1268">
        <v>6688346</v>
      </c>
      <c r="Q1164" s="1268">
        <v>0</v>
      </c>
      <c r="R1164" s="1268">
        <v>0</v>
      </c>
      <c r="S1164" s="1268">
        <v>0</v>
      </c>
      <c r="T1164" s="1268">
        <v>0</v>
      </c>
      <c r="U1164" s="1268">
        <v>0</v>
      </c>
      <c r="V1164" s="1268">
        <v>0</v>
      </c>
      <c r="W1164" s="1316">
        <v>0</v>
      </c>
      <c r="X1164" s="1268">
        <v>523857</v>
      </c>
      <c r="Y1164" s="1316">
        <v>0</v>
      </c>
    </row>
    <row r="1165" spans="1:25" s="1280" customFormat="1">
      <c r="A1165" s="1352">
        <v>264</v>
      </c>
      <c r="B1165" s="1267" t="s">
        <v>2284</v>
      </c>
      <c r="C1165" s="1268">
        <f t="shared" si="479"/>
        <v>681212</v>
      </c>
      <c r="D1165" s="1268">
        <f t="shared" si="478"/>
        <v>0</v>
      </c>
      <c r="E1165" s="1268">
        <v>0</v>
      </c>
      <c r="F1165" s="1268">
        <v>0</v>
      </c>
      <c r="G1165" s="1268">
        <v>0</v>
      </c>
      <c r="H1165" s="1268">
        <v>0</v>
      </c>
      <c r="I1165" s="1268">
        <v>0</v>
      </c>
      <c r="J1165" s="1268">
        <v>0</v>
      </c>
      <c r="K1165" s="1278">
        <v>0</v>
      </c>
      <c r="L1165" s="1268">
        <v>0</v>
      </c>
      <c r="M1165" s="1278">
        <v>0</v>
      </c>
      <c r="N1165" s="1268">
        <v>0</v>
      </c>
      <c r="O1165" s="1268">
        <v>0</v>
      </c>
      <c r="P1165" s="1268">
        <v>0</v>
      </c>
      <c r="Q1165" s="1268">
        <v>0</v>
      </c>
      <c r="R1165" s="1268">
        <v>0</v>
      </c>
      <c r="S1165" s="1268">
        <v>256</v>
      </c>
      <c r="T1165" s="1268">
        <v>631732</v>
      </c>
      <c r="U1165" s="1268">
        <v>0</v>
      </c>
      <c r="V1165" s="1268">
        <v>0</v>
      </c>
      <c r="W1165" s="1316">
        <v>0</v>
      </c>
      <c r="X1165" s="1268">
        <v>49480</v>
      </c>
      <c r="Y1165" s="1316">
        <v>0</v>
      </c>
    </row>
    <row r="1166" spans="1:25" s="1280" customFormat="1" ht="75.599999999999994">
      <c r="A1166" s="1352">
        <v>265</v>
      </c>
      <c r="B1166" s="1267" t="s">
        <v>2308</v>
      </c>
      <c r="C1166" s="1268">
        <f t="shared" si="479"/>
        <v>2431524</v>
      </c>
      <c r="D1166" s="1268">
        <f t="shared" si="478"/>
        <v>0</v>
      </c>
      <c r="E1166" s="1268">
        <v>0</v>
      </c>
      <c r="F1166" s="1268">
        <v>0</v>
      </c>
      <c r="G1166" s="1268">
        <v>0</v>
      </c>
      <c r="H1166" s="1268">
        <v>0</v>
      </c>
      <c r="I1166" s="1268">
        <v>0</v>
      </c>
      <c r="J1166" s="1268">
        <v>0</v>
      </c>
      <c r="K1166" s="1278">
        <v>0</v>
      </c>
      <c r="L1166" s="1268">
        <v>0</v>
      </c>
      <c r="M1166" s="1278">
        <v>1</v>
      </c>
      <c r="N1166" s="1268">
        <v>2254911</v>
      </c>
      <c r="O1166" s="1268">
        <v>0</v>
      </c>
      <c r="P1166" s="1268">
        <v>0</v>
      </c>
      <c r="Q1166" s="1268">
        <v>0</v>
      </c>
      <c r="R1166" s="1268">
        <v>0</v>
      </c>
      <c r="S1166" s="1268">
        <v>0</v>
      </c>
      <c r="T1166" s="1268">
        <v>0</v>
      </c>
      <c r="U1166" s="1268">
        <v>0</v>
      </c>
      <c r="V1166" s="1268">
        <v>0</v>
      </c>
      <c r="W1166" s="1316">
        <v>0</v>
      </c>
      <c r="X1166" s="1268">
        <v>176613</v>
      </c>
      <c r="Y1166" s="1316">
        <v>0</v>
      </c>
    </row>
    <row r="1167" spans="1:25" s="1280" customFormat="1">
      <c r="A1167" s="1352">
        <v>266</v>
      </c>
      <c r="B1167" s="1267" t="s">
        <v>2215</v>
      </c>
      <c r="C1167" s="1268">
        <f t="shared" si="479"/>
        <v>1897034</v>
      </c>
      <c r="D1167" s="1268">
        <f t="shared" si="478"/>
        <v>1759243</v>
      </c>
      <c r="E1167" s="1268">
        <v>0</v>
      </c>
      <c r="F1167" s="1268">
        <v>1230746</v>
      </c>
      <c r="G1167" s="1268">
        <v>528497</v>
      </c>
      <c r="H1167" s="1268">
        <v>0</v>
      </c>
      <c r="I1167" s="1268">
        <v>0</v>
      </c>
      <c r="J1167" s="1268">
        <v>0</v>
      </c>
      <c r="K1167" s="1278">
        <v>0</v>
      </c>
      <c r="L1167" s="1268">
        <v>0</v>
      </c>
      <c r="M1167" s="1278">
        <v>0</v>
      </c>
      <c r="N1167" s="1268">
        <v>0</v>
      </c>
      <c r="O1167" s="1268">
        <v>0</v>
      </c>
      <c r="P1167" s="1268">
        <v>0</v>
      </c>
      <c r="Q1167" s="1268">
        <v>0</v>
      </c>
      <c r="R1167" s="1268">
        <v>0</v>
      </c>
      <c r="S1167" s="1268">
        <v>0</v>
      </c>
      <c r="T1167" s="1268">
        <v>0</v>
      </c>
      <c r="U1167" s="1268">
        <v>0</v>
      </c>
      <c r="V1167" s="1268">
        <v>0</v>
      </c>
      <c r="W1167" s="1316">
        <v>0</v>
      </c>
      <c r="X1167" s="1268">
        <v>137791</v>
      </c>
      <c r="Y1167" s="1316">
        <v>0</v>
      </c>
    </row>
    <row r="1168" spans="1:25" s="1280" customFormat="1">
      <c r="A1168" s="1352">
        <v>267</v>
      </c>
      <c r="B1168" s="1267" t="s">
        <v>2285</v>
      </c>
      <c r="C1168" s="1268">
        <f t="shared" si="479"/>
        <v>4332481.6232000003</v>
      </c>
      <c r="D1168" s="1268">
        <f t="shared" si="478"/>
        <v>3222837</v>
      </c>
      <c r="E1168" s="1268">
        <v>0</v>
      </c>
      <c r="F1168" s="1316">
        <v>1996837</v>
      </c>
      <c r="G1168" s="1268">
        <v>0</v>
      </c>
      <c r="H1168" s="1268">
        <v>1226000</v>
      </c>
      <c r="I1168" s="1268">
        <v>0</v>
      </c>
      <c r="J1168" s="1268">
        <v>0</v>
      </c>
      <c r="K1168" s="1278">
        <v>1</v>
      </c>
      <c r="L1168" s="1268">
        <v>794955.62320000026</v>
      </c>
      <c r="M1168" s="1278">
        <v>0</v>
      </c>
      <c r="N1168" s="1268">
        <v>0</v>
      </c>
      <c r="O1168" s="1268">
        <v>0</v>
      </c>
      <c r="P1168" s="1268">
        <v>0</v>
      </c>
      <c r="Q1168" s="1268">
        <v>0</v>
      </c>
      <c r="R1168" s="1268">
        <v>0</v>
      </c>
      <c r="S1168" s="1268">
        <v>0</v>
      </c>
      <c r="T1168" s="1268">
        <v>0</v>
      </c>
      <c r="U1168" s="1268">
        <v>0</v>
      </c>
      <c r="V1168" s="1268">
        <v>0</v>
      </c>
      <c r="W1168" s="1316">
        <v>0</v>
      </c>
      <c r="X1168" s="1268">
        <v>314689</v>
      </c>
      <c r="Y1168" s="1316">
        <v>0</v>
      </c>
    </row>
    <row r="1169" spans="1:25" s="1280" customFormat="1">
      <c r="A1169" s="1352">
        <v>268</v>
      </c>
      <c r="B1169" s="1267" t="s">
        <v>2286</v>
      </c>
      <c r="C1169" s="1268">
        <f t="shared" si="479"/>
        <v>1376298</v>
      </c>
      <c r="D1169" s="1268">
        <f t="shared" si="478"/>
        <v>0</v>
      </c>
      <c r="E1169" s="1268">
        <v>0</v>
      </c>
      <c r="F1169" s="1268">
        <v>0</v>
      </c>
      <c r="G1169" s="1268">
        <v>0</v>
      </c>
      <c r="H1169" s="1268">
        <v>0</v>
      </c>
      <c r="I1169" s="1268">
        <v>0</v>
      </c>
      <c r="J1169" s="1268">
        <v>0</v>
      </c>
      <c r="K1169" s="1278">
        <v>0</v>
      </c>
      <c r="L1169" s="1268">
        <v>0</v>
      </c>
      <c r="M1169" s="1278">
        <v>0</v>
      </c>
      <c r="N1169" s="1268">
        <v>0</v>
      </c>
      <c r="O1169" s="1268">
        <v>1087</v>
      </c>
      <c r="P1169" s="1268">
        <v>1276331</v>
      </c>
      <c r="Q1169" s="1268">
        <v>0</v>
      </c>
      <c r="R1169" s="1268">
        <v>0</v>
      </c>
      <c r="S1169" s="1268">
        <v>0</v>
      </c>
      <c r="T1169" s="1268">
        <v>0</v>
      </c>
      <c r="U1169" s="1268">
        <v>0</v>
      </c>
      <c r="V1169" s="1268">
        <v>0</v>
      </c>
      <c r="W1169" s="1316">
        <v>0</v>
      </c>
      <c r="X1169" s="1268">
        <v>99967</v>
      </c>
      <c r="Y1169" s="1316">
        <v>0</v>
      </c>
    </row>
    <row r="1170" spans="1:25" s="1280" customFormat="1" ht="75.599999999999994">
      <c r="A1170" s="1352">
        <v>269</v>
      </c>
      <c r="B1170" s="1267" t="s">
        <v>2287</v>
      </c>
      <c r="C1170" s="1268">
        <f t="shared" si="479"/>
        <v>1667542</v>
      </c>
      <c r="D1170" s="1268">
        <f t="shared" si="478"/>
        <v>1546420</v>
      </c>
      <c r="E1170" s="1268">
        <v>0</v>
      </c>
      <c r="F1170" s="1268">
        <v>0</v>
      </c>
      <c r="G1170" s="1268">
        <v>1546420</v>
      </c>
      <c r="H1170" s="1268">
        <v>0</v>
      </c>
      <c r="I1170" s="1268">
        <v>0</v>
      </c>
      <c r="J1170" s="1268">
        <v>0</v>
      </c>
      <c r="K1170" s="1278">
        <v>0</v>
      </c>
      <c r="L1170" s="1268">
        <v>0</v>
      </c>
      <c r="M1170" s="1278">
        <v>0</v>
      </c>
      <c r="N1170" s="1268">
        <v>0</v>
      </c>
      <c r="O1170" s="1268">
        <v>0</v>
      </c>
      <c r="P1170" s="1268">
        <v>0</v>
      </c>
      <c r="Q1170" s="1268">
        <v>0</v>
      </c>
      <c r="R1170" s="1268">
        <v>0</v>
      </c>
      <c r="S1170" s="1268">
        <v>0</v>
      </c>
      <c r="T1170" s="1268">
        <v>0</v>
      </c>
      <c r="U1170" s="1268">
        <v>0</v>
      </c>
      <c r="V1170" s="1268">
        <v>0</v>
      </c>
      <c r="W1170" s="1316">
        <v>0</v>
      </c>
      <c r="X1170" s="1268">
        <v>121122</v>
      </c>
      <c r="Y1170" s="1316">
        <v>0</v>
      </c>
    </row>
    <row r="1171" spans="1:25" s="1280" customFormat="1" ht="75.599999999999994">
      <c r="A1171" s="1352">
        <v>270</v>
      </c>
      <c r="B1171" s="1267" t="s">
        <v>2288</v>
      </c>
      <c r="C1171" s="1268">
        <f t="shared" si="479"/>
        <v>1826687</v>
      </c>
      <c r="D1171" s="1268">
        <f t="shared" si="478"/>
        <v>0</v>
      </c>
      <c r="E1171" s="1268">
        <v>0</v>
      </c>
      <c r="F1171" s="1268">
        <v>0</v>
      </c>
      <c r="G1171" s="1268">
        <v>0</v>
      </c>
      <c r="H1171" s="1268">
        <v>0</v>
      </c>
      <c r="I1171" s="1268">
        <v>0</v>
      </c>
      <c r="J1171" s="1268">
        <v>0</v>
      </c>
      <c r="K1171" s="1278">
        <v>0</v>
      </c>
      <c r="L1171" s="1268">
        <v>0</v>
      </c>
      <c r="M1171" s="1278">
        <v>0</v>
      </c>
      <c r="N1171" s="1268">
        <v>0</v>
      </c>
      <c r="O1171" s="1268">
        <v>457.9</v>
      </c>
      <c r="P1171" s="1268">
        <v>1694006</v>
      </c>
      <c r="Q1171" s="1268">
        <v>0</v>
      </c>
      <c r="R1171" s="1268">
        <v>0</v>
      </c>
      <c r="S1171" s="1268">
        <v>0</v>
      </c>
      <c r="T1171" s="1268">
        <v>0</v>
      </c>
      <c r="U1171" s="1268">
        <v>0</v>
      </c>
      <c r="V1171" s="1268">
        <v>0</v>
      </c>
      <c r="W1171" s="1316">
        <v>0</v>
      </c>
      <c r="X1171" s="1268">
        <v>132681</v>
      </c>
      <c r="Y1171" s="1316">
        <v>0</v>
      </c>
    </row>
    <row r="1172" spans="1:25" s="1280" customFormat="1">
      <c r="A1172" s="1352">
        <v>271</v>
      </c>
      <c r="B1172" s="1267" t="s">
        <v>2289</v>
      </c>
      <c r="C1172" s="1268">
        <f t="shared" si="479"/>
        <v>9302719</v>
      </c>
      <c r="D1172" s="1268">
        <f t="shared" si="478"/>
        <v>0</v>
      </c>
      <c r="E1172" s="1268">
        <v>0</v>
      </c>
      <c r="F1172" s="1268">
        <v>0</v>
      </c>
      <c r="G1172" s="1268">
        <v>0</v>
      </c>
      <c r="H1172" s="1268">
        <v>0</v>
      </c>
      <c r="I1172" s="1268">
        <v>0</v>
      </c>
      <c r="J1172" s="1268">
        <v>0</v>
      </c>
      <c r="K1172" s="1278">
        <v>0</v>
      </c>
      <c r="L1172" s="1268">
        <v>0</v>
      </c>
      <c r="M1172" s="1278">
        <v>0</v>
      </c>
      <c r="N1172" s="1268">
        <v>0</v>
      </c>
      <c r="O1172" s="1268">
        <v>3423.7</v>
      </c>
      <c r="P1172" s="1268">
        <v>8627018</v>
      </c>
      <c r="Q1172" s="1268">
        <v>0</v>
      </c>
      <c r="R1172" s="1268">
        <v>0</v>
      </c>
      <c r="S1172" s="1268">
        <v>0</v>
      </c>
      <c r="T1172" s="1268">
        <v>0</v>
      </c>
      <c r="U1172" s="1268">
        <v>0</v>
      </c>
      <c r="V1172" s="1268">
        <v>0</v>
      </c>
      <c r="W1172" s="1316">
        <v>0</v>
      </c>
      <c r="X1172" s="1268">
        <v>675701</v>
      </c>
      <c r="Y1172" s="1316">
        <v>0</v>
      </c>
    </row>
    <row r="1173" spans="1:25" s="1280" customFormat="1">
      <c r="A1173" s="1352">
        <v>272</v>
      </c>
      <c r="B1173" s="1267" t="s">
        <v>2324</v>
      </c>
      <c r="C1173" s="1268">
        <f t="shared" si="479"/>
        <v>4863049</v>
      </c>
      <c r="D1173" s="1268">
        <f t="shared" si="478"/>
        <v>0</v>
      </c>
      <c r="E1173" s="1268">
        <v>0</v>
      </c>
      <c r="F1173" s="1268">
        <v>0</v>
      </c>
      <c r="G1173" s="1268">
        <v>0</v>
      </c>
      <c r="H1173" s="1268">
        <v>0</v>
      </c>
      <c r="I1173" s="1268">
        <v>0</v>
      </c>
      <c r="J1173" s="1268">
        <v>0</v>
      </c>
      <c r="K1173" s="1278">
        <v>0</v>
      </c>
      <c r="L1173" s="1268">
        <v>0</v>
      </c>
      <c r="M1173" s="1278">
        <v>2</v>
      </c>
      <c r="N1173" s="1268">
        <v>4509822</v>
      </c>
      <c r="O1173" s="1268">
        <v>0</v>
      </c>
      <c r="P1173" s="1268">
        <v>0</v>
      </c>
      <c r="Q1173" s="1268">
        <v>0</v>
      </c>
      <c r="R1173" s="1268">
        <v>0</v>
      </c>
      <c r="S1173" s="1268">
        <v>0</v>
      </c>
      <c r="T1173" s="1268">
        <v>0</v>
      </c>
      <c r="U1173" s="1268">
        <v>0</v>
      </c>
      <c r="V1173" s="1268">
        <v>0</v>
      </c>
      <c r="W1173" s="1316">
        <v>0</v>
      </c>
      <c r="X1173" s="1268">
        <v>353227</v>
      </c>
      <c r="Y1173" s="1316">
        <v>0</v>
      </c>
    </row>
    <row r="1174" spans="1:25" s="1280" customFormat="1">
      <c r="A1174" s="1352">
        <v>273</v>
      </c>
      <c r="B1174" s="1267" t="s">
        <v>2290</v>
      </c>
      <c r="C1174" s="1268">
        <f t="shared" si="479"/>
        <v>6225321</v>
      </c>
      <c r="D1174" s="1268">
        <f t="shared" si="478"/>
        <v>0</v>
      </c>
      <c r="E1174" s="1268">
        <v>0</v>
      </c>
      <c r="F1174" s="1268">
        <v>0</v>
      </c>
      <c r="G1174" s="1268">
        <v>0</v>
      </c>
      <c r="H1174" s="1268">
        <v>0</v>
      </c>
      <c r="I1174" s="1268">
        <v>0</v>
      </c>
      <c r="J1174" s="1268">
        <v>0</v>
      </c>
      <c r="K1174" s="1278">
        <v>0</v>
      </c>
      <c r="L1174" s="1268">
        <v>0</v>
      </c>
      <c r="M1174" s="1278">
        <v>1</v>
      </c>
      <c r="N1174" s="1268">
        <v>2254911</v>
      </c>
      <c r="O1174" s="1268">
        <v>951</v>
      </c>
      <c r="P1174" s="1268">
        <v>3518235</v>
      </c>
      <c r="Q1174" s="1268">
        <v>0</v>
      </c>
      <c r="R1174" s="1268">
        <v>0</v>
      </c>
      <c r="S1174" s="1268">
        <v>0</v>
      </c>
      <c r="T1174" s="1268">
        <v>0</v>
      </c>
      <c r="U1174" s="1268">
        <v>0</v>
      </c>
      <c r="V1174" s="1268">
        <v>0</v>
      </c>
      <c r="W1174" s="1316">
        <v>0</v>
      </c>
      <c r="X1174" s="1268">
        <v>452175</v>
      </c>
      <c r="Y1174" s="1316">
        <v>0</v>
      </c>
    </row>
    <row r="1175" spans="1:25" s="1280" customFormat="1">
      <c r="A1175" s="1352">
        <v>274</v>
      </c>
      <c r="B1175" s="1267" t="s">
        <v>1889</v>
      </c>
      <c r="C1175" s="1268">
        <f t="shared" si="479"/>
        <v>1193601</v>
      </c>
      <c r="D1175" s="1268">
        <f t="shared" si="478"/>
        <v>1106904</v>
      </c>
      <c r="E1175" s="1268">
        <v>0</v>
      </c>
      <c r="F1175" s="1268">
        <v>0</v>
      </c>
      <c r="G1175" s="1268">
        <v>0</v>
      </c>
      <c r="H1175" s="1268">
        <v>1106904</v>
      </c>
      <c r="I1175" s="1268">
        <v>0</v>
      </c>
      <c r="J1175" s="1268">
        <v>0</v>
      </c>
      <c r="K1175" s="1278">
        <v>0</v>
      </c>
      <c r="L1175" s="1268">
        <v>0</v>
      </c>
      <c r="M1175" s="1278">
        <v>0</v>
      </c>
      <c r="N1175" s="1268">
        <v>0</v>
      </c>
      <c r="O1175" s="1268">
        <v>0</v>
      </c>
      <c r="P1175" s="1268">
        <v>0</v>
      </c>
      <c r="Q1175" s="1268">
        <v>0</v>
      </c>
      <c r="R1175" s="1268">
        <v>0</v>
      </c>
      <c r="S1175" s="1268">
        <v>0</v>
      </c>
      <c r="T1175" s="1268">
        <v>0</v>
      </c>
      <c r="U1175" s="1268">
        <v>0</v>
      </c>
      <c r="V1175" s="1268">
        <v>0</v>
      </c>
      <c r="W1175" s="1316">
        <v>0</v>
      </c>
      <c r="X1175" s="1268">
        <v>86697</v>
      </c>
      <c r="Y1175" s="1316">
        <v>0</v>
      </c>
    </row>
    <row r="1176" spans="1:25" s="1280" customFormat="1">
      <c r="A1176" s="1352">
        <v>275</v>
      </c>
      <c r="B1176" s="1267" t="s">
        <v>2291</v>
      </c>
      <c r="C1176" s="1268">
        <f t="shared" si="479"/>
        <v>14340281</v>
      </c>
      <c r="D1176" s="1268">
        <f t="shared" si="478"/>
        <v>5202094</v>
      </c>
      <c r="E1176" s="1268">
        <v>0</v>
      </c>
      <c r="F1176" s="1268">
        <v>2139355</v>
      </c>
      <c r="G1176" s="1268">
        <v>918665</v>
      </c>
      <c r="H1176" s="1268">
        <v>0</v>
      </c>
      <c r="I1176" s="1268">
        <v>1313501</v>
      </c>
      <c r="J1176" s="1268">
        <v>830573</v>
      </c>
      <c r="K1176" s="1278">
        <v>0</v>
      </c>
      <c r="L1176" s="1268">
        <v>0</v>
      </c>
      <c r="M1176" s="1278">
        <v>0</v>
      </c>
      <c r="N1176" s="1268">
        <v>0</v>
      </c>
      <c r="O1176" s="1268">
        <v>0</v>
      </c>
      <c r="P1176" s="1268">
        <v>0</v>
      </c>
      <c r="Q1176" s="1268">
        <v>0</v>
      </c>
      <c r="R1176" s="1268">
        <v>0</v>
      </c>
      <c r="S1176" s="1268">
        <v>1689.1</v>
      </c>
      <c r="T1176" s="1268">
        <v>8096583</v>
      </c>
      <c r="U1176" s="1268">
        <v>0</v>
      </c>
      <c r="V1176" s="1268">
        <v>0</v>
      </c>
      <c r="W1176" s="1316">
        <v>0</v>
      </c>
      <c r="X1176" s="1268">
        <v>1041604</v>
      </c>
      <c r="Y1176" s="1316">
        <v>0</v>
      </c>
    </row>
    <row r="1177" spans="1:25" s="1280" customFormat="1" ht="75.599999999999994">
      <c r="A1177" s="1352">
        <v>276</v>
      </c>
      <c r="B1177" s="1267" t="s">
        <v>2309</v>
      </c>
      <c r="C1177" s="1268">
        <f t="shared" si="479"/>
        <v>2164977</v>
      </c>
      <c r="D1177" s="1268">
        <f t="shared" si="478"/>
        <v>0</v>
      </c>
      <c r="E1177" s="1268">
        <v>0</v>
      </c>
      <c r="F1177" s="1268">
        <v>0</v>
      </c>
      <c r="G1177" s="1268">
        <v>0</v>
      </c>
      <c r="H1177" s="1268">
        <v>0</v>
      </c>
      <c r="I1177" s="1268">
        <v>0</v>
      </c>
      <c r="J1177" s="1268">
        <v>0</v>
      </c>
      <c r="K1177" s="1278">
        <v>0</v>
      </c>
      <c r="L1177" s="1268">
        <v>0</v>
      </c>
      <c r="M1177" s="1278">
        <v>0</v>
      </c>
      <c r="N1177" s="1268">
        <v>0</v>
      </c>
      <c r="O1177" s="1268">
        <v>542.70000000000005</v>
      </c>
      <c r="P1177" s="1268">
        <v>2007724</v>
      </c>
      <c r="Q1177" s="1268">
        <v>0</v>
      </c>
      <c r="R1177" s="1268">
        <v>0</v>
      </c>
      <c r="S1177" s="1268">
        <v>0</v>
      </c>
      <c r="T1177" s="1268">
        <v>0</v>
      </c>
      <c r="U1177" s="1268">
        <v>0</v>
      </c>
      <c r="V1177" s="1268">
        <v>0</v>
      </c>
      <c r="W1177" s="1316">
        <v>0</v>
      </c>
      <c r="X1177" s="1268">
        <v>157253</v>
      </c>
      <c r="Y1177" s="1316">
        <v>0</v>
      </c>
    </row>
    <row r="1178" spans="1:25" s="1280" customFormat="1">
      <c r="A1178" s="1352">
        <v>277</v>
      </c>
      <c r="B1178" s="1267" t="s">
        <v>2292</v>
      </c>
      <c r="C1178" s="1268">
        <f t="shared" si="479"/>
        <v>3159503</v>
      </c>
      <c r="D1178" s="1268">
        <f t="shared" si="478"/>
        <v>0</v>
      </c>
      <c r="E1178" s="1268">
        <v>0</v>
      </c>
      <c r="F1178" s="1268">
        <v>0</v>
      </c>
      <c r="G1178" s="1268">
        <v>0</v>
      </c>
      <c r="H1178" s="1268">
        <v>0</v>
      </c>
      <c r="I1178" s="1268">
        <v>0</v>
      </c>
      <c r="J1178" s="1268">
        <v>0</v>
      </c>
      <c r="K1178" s="1278">
        <v>0</v>
      </c>
      <c r="L1178" s="1268">
        <v>0</v>
      </c>
      <c r="M1178" s="1278">
        <v>0</v>
      </c>
      <c r="N1178" s="1268">
        <v>0</v>
      </c>
      <c r="O1178" s="1268">
        <v>792</v>
      </c>
      <c r="P1178" s="1268">
        <v>2930013</v>
      </c>
      <c r="Q1178" s="1268">
        <v>0</v>
      </c>
      <c r="R1178" s="1268">
        <v>0</v>
      </c>
      <c r="S1178" s="1268">
        <v>0</v>
      </c>
      <c r="T1178" s="1268">
        <v>0</v>
      </c>
      <c r="U1178" s="1268">
        <v>0</v>
      </c>
      <c r="V1178" s="1268">
        <v>0</v>
      </c>
      <c r="W1178" s="1316">
        <v>0</v>
      </c>
      <c r="X1178" s="1268">
        <v>229490</v>
      </c>
      <c r="Y1178" s="1316">
        <v>0</v>
      </c>
    </row>
    <row r="1179" spans="1:25" s="1280" customFormat="1">
      <c r="A1179" s="1352">
        <v>278</v>
      </c>
      <c r="B1179" s="1267" t="s">
        <v>2293</v>
      </c>
      <c r="C1179" s="1268">
        <f t="shared" si="479"/>
        <v>12525464</v>
      </c>
      <c r="D1179" s="1268">
        <f t="shared" si="478"/>
        <v>0</v>
      </c>
      <c r="E1179" s="1268">
        <v>0</v>
      </c>
      <c r="F1179" s="1268">
        <v>0</v>
      </c>
      <c r="G1179" s="1268">
        <v>0</v>
      </c>
      <c r="H1179" s="1268">
        <v>0</v>
      </c>
      <c r="I1179" s="1268">
        <v>0</v>
      </c>
      <c r="J1179" s="1268">
        <v>0</v>
      </c>
      <c r="K1179" s="1278">
        <v>0</v>
      </c>
      <c r="L1179" s="1268">
        <v>0</v>
      </c>
      <c r="M1179" s="1278">
        <v>0</v>
      </c>
      <c r="N1179" s="1268">
        <v>0</v>
      </c>
      <c r="O1179" s="1268">
        <v>0</v>
      </c>
      <c r="P1179" s="1268">
        <v>0</v>
      </c>
      <c r="Q1179" s="1268">
        <v>0</v>
      </c>
      <c r="R1179" s="1268">
        <v>0</v>
      </c>
      <c r="S1179" s="1268">
        <v>2423.25</v>
      </c>
      <c r="T1179" s="1268">
        <v>11615679</v>
      </c>
      <c r="U1179" s="1268">
        <v>0</v>
      </c>
      <c r="V1179" s="1268">
        <v>0</v>
      </c>
      <c r="W1179" s="1316">
        <v>0</v>
      </c>
      <c r="X1179" s="1268">
        <v>909785</v>
      </c>
      <c r="Y1179" s="1316">
        <v>0</v>
      </c>
    </row>
    <row r="1180" spans="1:25" s="1280" customFormat="1" ht="85.2" customHeight="1">
      <c r="A1180" s="1352">
        <v>279</v>
      </c>
      <c r="B1180" s="1267" t="s">
        <v>2180</v>
      </c>
      <c r="C1180" s="1268">
        <f t="shared" si="479"/>
        <v>1527891</v>
      </c>
      <c r="D1180" s="1268">
        <f t="shared" si="478"/>
        <v>0</v>
      </c>
      <c r="E1180" s="1268">
        <v>0</v>
      </c>
      <c r="F1180" s="1268">
        <v>0</v>
      </c>
      <c r="G1180" s="1268">
        <v>0</v>
      </c>
      <c r="H1180" s="1268">
        <v>0</v>
      </c>
      <c r="I1180" s="1268">
        <v>0</v>
      </c>
      <c r="J1180" s="1268">
        <v>0</v>
      </c>
      <c r="K1180" s="1278">
        <v>0</v>
      </c>
      <c r="L1180" s="1268">
        <v>0</v>
      </c>
      <c r="M1180" s="1278">
        <v>0</v>
      </c>
      <c r="N1180" s="1268">
        <v>0</v>
      </c>
      <c r="O1180" s="1268">
        <v>413</v>
      </c>
      <c r="P1180" s="1268">
        <v>1416913</v>
      </c>
      <c r="Q1180" s="1268">
        <v>0</v>
      </c>
      <c r="R1180" s="1268">
        <v>0</v>
      </c>
      <c r="S1180" s="1268">
        <v>0</v>
      </c>
      <c r="T1180" s="1268">
        <v>0</v>
      </c>
      <c r="U1180" s="1268">
        <v>0</v>
      </c>
      <c r="V1180" s="1268">
        <v>0</v>
      </c>
      <c r="W1180" s="1316">
        <v>0</v>
      </c>
      <c r="X1180" s="1268">
        <v>110978</v>
      </c>
      <c r="Y1180" s="1316">
        <v>0</v>
      </c>
    </row>
    <row r="1181" spans="1:25" s="1280" customFormat="1">
      <c r="A1181" s="1352">
        <v>280</v>
      </c>
      <c r="B1181" s="1267" t="s">
        <v>2294</v>
      </c>
      <c r="C1181" s="1268">
        <f t="shared" si="479"/>
        <v>5568593</v>
      </c>
      <c r="D1181" s="1268">
        <f t="shared" si="478"/>
        <v>5164119</v>
      </c>
      <c r="E1181" s="1268">
        <v>0</v>
      </c>
      <c r="F1181" s="1268">
        <v>0</v>
      </c>
      <c r="G1181" s="1268">
        <v>5164119</v>
      </c>
      <c r="H1181" s="1268">
        <v>0</v>
      </c>
      <c r="I1181" s="1268">
        <v>0</v>
      </c>
      <c r="J1181" s="1268">
        <v>0</v>
      </c>
      <c r="K1181" s="1278">
        <v>0</v>
      </c>
      <c r="L1181" s="1268">
        <v>0</v>
      </c>
      <c r="M1181" s="1278">
        <v>0</v>
      </c>
      <c r="N1181" s="1268">
        <v>0</v>
      </c>
      <c r="O1181" s="1268">
        <v>0</v>
      </c>
      <c r="P1181" s="1268">
        <v>0</v>
      </c>
      <c r="Q1181" s="1268">
        <v>0</v>
      </c>
      <c r="R1181" s="1268">
        <v>0</v>
      </c>
      <c r="S1181" s="1268">
        <v>0</v>
      </c>
      <c r="T1181" s="1268">
        <v>0</v>
      </c>
      <c r="U1181" s="1268">
        <v>0</v>
      </c>
      <c r="V1181" s="1268">
        <v>0</v>
      </c>
      <c r="W1181" s="1316">
        <v>0</v>
      </c>
      <c r="X1181" s="1268">
        <v>404474</v>
      </c>
      <c r="Y1181" s="1316">
        <v>0</v>
      </c>
    </row>
    <row r="1182" spans="1:25" s="1280" customFormat="1">
      <c r="A1182" s="1352">
        <v>281</v>
      </c>
      <c r="B1182" s="1267" t="s">
        <v>2295</v>
      </c>
      <c r="C1182" s="1268">
        <f t="shared" si="479"/>
        <v>3073193.41</v>
      </c>
      <c r="D1182" s="1268">
        <f t="shared" si="478"/>
        <v>0</v>
      </c>
      <c r="E1182" s="1268">
        <v>0</v>
      </c>
      <c r="F1182" s="1268">
        <v>0</v>
      </c>
      <c r="G1182" s="1268">
        <v>0</v>
      </c>
      <c r="H1182" s="1268">
        <v>0</v>
      </c>
      <c r="I1182" s="1268">
        <v>0</v>
      </c>
      <c r="J1182" s="1268">
        <v>0</v>
      </c>
      <c r="K1182" s="1278">
        <v>0</v>
      </c>
      <c r="L1182" s="1268">
        <v>0</v>
      </c>
      <c r="M1182" s="1278">
        <v>0</v>
      </c>
      <c r="N1182" s="1268">
        <v>0</v>
      </c>
      <c r="O1182" s="1268">
        <v>552</v>
      </c>
      <c r="P1182" s="1268">
        <v>1732596.73</v>
      </c>
      <c r="Q1182" s="1268">
        <v>0</v>
      </c>
      <c r="R1182" s="1268">
        <v>0</v>
      </c>
      <c r="S1182" s="1268">
        <v>452.8</v>
      </c>
      <c r="T1182" s="1268">
        <v>1117376</v>
      </c>
      <c r="U1182" s="1268">
        <v>0</v>
      </c>
      <c r="V1182" s="1268">
        <v>0</v>
      </c>
      <c r="W1182" s="1316">
        <v>0</v>
      </c>
      <c r="X1182" s="1268">
        <v>223220.68</v>
      </c>
      <c r="Y1182" s="1316">
        <v>0</v>
      </c>
    </row>
    <row r="1183" spans="1:25" s="1280" customFormat="1" ht="75.599999999999994">
      <c r="A1183" s="1352">
        <v>282</v>
      </c>
      <c r="B1183" s="1267" t="s">
        <v>2183</v>
      </c>
      <c r="C1183" s="1268">
        <f t="shared" si="479"/>
        <v>1527891</v>
      </c>
      <c r="D1183" s="1268">
        <f t="shared" si="478"/>
        <v>0</v>
      </c>
      <c r="E1183" s="1268">
        <v>0</v>
      </c>
      <c r="F1183" s="1268">
        <v>0</v>
      </c>
      <c r="G1183" s="1268">
        <v>0</v>
      </c>
      <c r="H1183" s="1268">
        <v>0</v>
      </c>
      <c r="I1183" s="1268">
        <v>0</v>
      </c>
      <c r="J1183" s="1268">
        <v>0</v>
      </c>
      <c r="K1183" s="1278">
        <v>0</v>
      </c>
      <c r="L1183" s="1268">
        <v>0</v>
      </c>
      <c r="M1183" s="1278">
        <v>0</v>
      </c>
      <c r="N1183" s="1268">
        <v>0</v>
      </c>
      <c r="O1183" s="1268">
        <v>413</v>
      </c>
      <c r="P1183" s="1268">
        <v>1416913</v>
      </c>
      <c r="Q1183" s="1268">
        <v>0</v>
      </c>
      <c r="R1183" s="1268">
        <v>0</v>
      </c>
      <c r="S1183" s="1268">
        <v>0</v>
      </c>
      <c r="T1183" s="1268">
        <v>0</v>
      </c>
      <c r="U1183" s="1268">
        <v>0</v>
      </c>
      <c r="V1183" s="1268">
        <v>0</v>
      </c>
      <c r="W1183" s="1316">
        <v>0</v>
      </c>
      <c r="X1183" s="1268">
        <v>110978</v>
      </c>
      <c r="Y1183" s="1316">
        <v>0</v>
      </c>
    </row>
    <row r="1184" spans="1:25" s="1280" customFormat="1" ht="75.599999999999994">
      <c r="A1184" s="1394">
        <v>283</v>
      </c>
      <c r="B1184" s="1267" t="s">
        <v>2310</v>
      </c>
      <c r="C1184" s="1268">
        <f t="shared" si="479"/>
        <v>7294573</v>
      </c>
      <c r="D1184" s="1268">
        <f t="shared" si="478"/>
        <v>0</v>
      </c>
      <c r="E1184" s="1268">
        <v>0</v>
      </c>
      <c r="F1184" s="1268">
        <v>0</v>
      </c>
      <c r="G1184" s="1268">
        <v>0</v>
      </c>
      <c r="H1184" s="1268">
        <v>0</v>
      </c>
      <c r="I1184" s="1268">
        <v>0</v>
      </c>
      <c r="J1184" s="1268">
        <v>0</v>
      </c>
      <c r="K1184" s="1278">
        <v>0</v>
      </c>
      <c r="L1184" s="1268">
        <v>0</v>
      </c>
      <c r="M1184" s="1278">
        <v>3</v>
      </c>
      <c r="N1184" s="1268">
        <v>6764733</v>
      </c>
      <c r="O1184" s="1268">
        <v>0</v>
      </c>
      <c r="P1184" s="1268">
        <v>0</v>
      </c>
      <c r="Q1184" s="1268">
        <v>0</v>
      </c>
      <c r="R1184" s="1268">
        <v>0</v>
      </c>
      <c r="S1184" s="1268">
        <v>0</v>
      </c>
      <c r="T1184" s="1268">
        <v>0</v>
      </c>
      <c r="U1184" s="1268">
        <v>0</v>
      </c>
      <c r="V1184" s="1268">
        <v>0</v>
      </c>
      <c r="W1184" s="1268">
        <v>0</v>
      </c>
      <c r="X1184" s="1268">
        <v>529840</v>
      </c>
      <c r="Y1184" s="1268">
        <v>0</v>
      </c>
    </row>
    <row r="1185" spans="1:25" s="1280" customFormat="1">
      <c r="A1185" s="1352">
        <v>284</v>
      </c>
      <c r="B1185" s="1267" t="s">
        <v>2296</v>
      </c>
      <c r="C1185" s="1268">
        <f t="shared" si="479"/>
        <v>207695</v>
      </c>
      <c r="D1185" s="1268">
        <f t="shared" si="478"/>
        <v>192609</v>
      </c>
      <c r="E1185" s="1268">
        <v>0</v>
      </c>
      <c r="F1185" s="1268">
        <v>0</v>
      </c>
      <c r="G1185" s="1268">
        <v>192609</v>
      </c>
      <c r="H1185" s="1268">
        <v>0</v>
      </c>
      <c r="I1185" s="1268">
        <v>0</v>
      </c>
      <c r="J1185" s="1268">
        <v>0</v>
      </c>
      <c r="K1185" s="1278">
        <v>0</v>
      </c>
      <c r="L1185" s="1268">
        <v>0</v>
      </c>
      <c r="M1185" s="1278">
        <v>0</v>
      </c>
      <c r="N1185" s="1268">
        <v>0</v>
      </c>
      <c r="O1185" s="1268">
        <v>0</v>
      </c>
      <c r="P1185" s="1268">
        <v>0</v>
      </c>
      <c r="Q1185" s="1268">
        <v>0</v>
      </c>
      <c r="R1185" s="1268">
        <v>0</v>
      </c>
      <c r="S1185" s="1268">
        <v>0</v>
      </c>
      <c r="T1185" s="1268">
        <v>0</v>
      </c>
      <c r="U1185" s="1268">
        <v>0</v>
      </c>
      <c r="V1185" s="1268">
        <v>0</v>
      </c>
      <c r="W1185" s="1316">
        <v>0</v>
      </c>
      <c r="X1185" s="1268">
        <v>15086</v>
      </c>
      <c r="Y1185" s="1316">
        <v>0</v>
      </c>
    </row>
    <row r="1186" spans="1:25" s="1280" customFormat="1" ht="75.599999999999994">
      <c r="A1186" s="1352">
        <v>285</v>
      </c>
      <c r="B1186" s="1267" t="s">
        <v>2311</v>
      </c>
      <c r="C1186" s="1268">
        <f t="shared" si="479"/>
        <v>11094163</v>
      </c>
      <c r="D1186" s="1268">
        <f t="shared" si="478"/>
        <v>0</v>
      </c>
      <c r="E1186" s="1268">
        <v>0</v>
      </c>
      <c r="F1186" s="1268">
        <v>0</v>
      </c>
      <c r="G1186" s="1268">
        <v>0</v>
      </c>
      <c r="H1186" s="1268">
        <v>0</v>
      </c>
      <c r="I1186" s="1268">
        <v>0</v>
      </c>
      <c r="J1186" s="1268">
        <v>0</v>
      </c>
      <c r="K1186" s="1278">
        <v>0</v>
      </c>
      <c r="L1186" s="1268">
        <v>0</v>
      </c>
      <c r="M1186" s="1278">
        <v>0</v>
      </c>
      <c r="N1186" s="1268">
        <v>0</v>
      </c>
      <c r="O1186" s="1268">
        <v>2781</v>
      </c>
      <c r="P1186" s="1268">
        <v>10288340</v>
      </c>
      <c r="Q1186" s="1268">
        <v>0</v>
      </c>
      <c r="R1186" s="1268">
        <v>0</v>
      </c>
      <c r="S1186" s="1268">
        <v>0</v>
      </c>
      <c r="T1186" s="1268">
        <v>0</v>
      </c>
      <c r="U1186" s="1268">
        <v>0</v>
      </c>
      <c r="V1186" s="1268">
        <v>0</v>
      </c>
      <c r="W1186" s="1316">
        <v>0</v>
      </c>
      <c r="X1186" s="1268">
        <v>805823</v>
      </c>
      <c r="Y1186" s="1316">
        <v>0</v>
      </c>
    </row>
    <row r="1187" spans="1:25" s="1280" customFormat="1">
      <c r="A1187" s="1352">
        <v>286</v>
      </c>
      <c r="B1187" s="1267" t="s">
        <v>2312</v>
      </c>
      <c r="C1187" s="1268">
        <f t="shared" si="479"/>
        <v>9726097</v>
      </c>
      <c r="D1187" s="1268">
        <f t="shared" si="478"/>
        <v>0</v>
      </c>
      <c r="E1187" s="1268">
        <v>0</v>
      </c>
      <c r="F1187" s="1268">
        <v>0</v>
      </c>
      <c r="G1187" s="1268">
        <v>0</v>
      </c>
      <c r="H1187" s="1268">
        <v>0</v>
      </c>
      <c r="I1187" s="1268">
        <v>0</v>
      </c>
      <c r="J1187" s="1268">
        <v>0</v>
      </c>
      <c r="K1187" s="1278">
        <v>0</v>
      </c>
      <c r="L1187" s="1268">
        <v>0</v>
      </c>
      <c r="M1187" s="1278">
        <v>4</v>
      </c>
      <c r="N1187" s="1268">
        <v>9019644</v>
      </c>
      <c r="O1187" s="1268">
        <v>0</v>
      </c>
      <c r="P1187" s="1268">
        <v>0</v>
      </c>
      <c r="Q1187" s="1268">
        <v>0</v>
      </c>
      <c r="R1187" s="1268">
        <v>0</v>
      </c>
      <c r="S1187" s="1268">
        <v>0</v>
      </c>
      <c r="T1187" s="1268">
        <v>0</v>
      </c>
      <c r="U1187" s="1268">
        <v>0</v>
      </c>
      <c r="V1187" s="1268">
        <v>0</v>
      </c>
      <c r="W1187" s="1316">
        <v>0</v>
      </c>
      <c r="X1187" s="1268">
        <v>706453</v>
      </c>
      <c r="Y1187" s="1316">
        <v>0</v>
      </c>
    </row>
    <row r="1188" spans="1:25" s="1280" customFormat="1">
      <c r="A1188" s="1352">
        <v>287</v>
      </c>
      <c r="B1188" s="1267" t="s">
        <v>2184</v>
      </c>
      <c r="C1188" s="1268">
        <f t="shared" si="479"/>
        <v>269720</v>
      </c>
      <c r="D1188" s="1268">
        <f t="shared" si="478"/>
        <v>250129</v>
      </c>
      <c r="E1188" s="1268">
        <v>137936</v>
      </c>
      <c r="F1188" s="1268">
        <v>0</v>
      </c>
      <c r="G1188" s="1268">
        <v>112193</v>
      </c>
      <c r="H1188" s="1268">
        <v>0</v>
      </c>
      <c r="I1188" s="1268">
        <v>0</v>
      </c>
      <c r="J1188" s="1268">
        <v>0</v>
      </c>
      <c r="K1188" s="1278">
        <v>0</v>
      </c>
      <c r="L1188" s="1268">
        <v>0</v>
      </c>
      <c r="M1188" s="1278">
        <v>0</v>
      </c>
      <c r="N1188" s="1268">
        <v>0</v>
      </c>
      <c r="O1188" s="1268">
        <v>0</v>
      </c>
      <c r="P1188" s="1268">
        <v>0</v>
      </c>
      <c r="Q1188" s="1268">
        <v>0</v>
      </c>
      <c r="R1188" s="1268">
        <v>0</v>
      </c>
      <c r="S1188" s="1268">
        <v>0</v>
      </c>
      <c r="T1188" s="1268">
        <v>0</v>
      </c>
      <c r="U1188" s="1268">
        <v>0</v>
      </c>
      <c r="V1188" s="1268">
        <v>0</v>
      </c>
      <c r="W1188" s="1316">
        <v>0</v>
      </c>
      <c r="X1188" s="1268">
        <v>19591</v>
      </c>
      <c r="Y1188" s="1316">
        <v>0</v>
      </c>
    </row>
    <row r="1189" spans="1:25" s="1280" customFormat="1">
      <c r="A1189" s="1352">
        <v>288</v>
      </c>
      <c r="B1189" s="1267" t="s">
        <v>2297</v>
      </c>
      <c r="C1189" s="1268">
        <f t="shared" si="479"/>
        <v>14589146</v>
      </c>
      <c r="D1189" s="1268">
        <f t="shared" si="478"/>
        <v>0</v>
      </c>
      <c r="E1189" s="1268">
        <v>0</v>
      </c>
      <c r="F1189" s="1268">
        <v>0</v>
      </c>
      <c r="G1189" s="1268">
        <v>0</v>
      </c>
      <c r="H1189" s="1268">
        <v>0</v>
      </c>
      <c r="I1189" s="1268">
        <v>0</v>
      </c>
      <c r="J1189" s="1268">
        <v>0</v>
      </c>
      <c r="K1189" s="1278">
        <v>0</v>
      </c>
      <c r="L1189" s="1268">
        <v>0</v>
      </c>
      <c r="M1189" s="1278">
        <v>6</v>
      </c>
      <c r="N1189" s="1268">
        <v>13529466</v>
      </c>
      <c r="O1189" s="1268">
        <v>0</v>
      </c>
      <c r="P1189" s="1268">
        <v>0</v>
      </c>
      <c r="Q1189" s="1268">
        <v>0</v>
      </c>
      <c r="R1189" s="1268">
        <v>0</v>
      </c>
      <c r="S1189" s="1268">
        <v>0</v>
      </c>
      <c r="T1189" s="1268">
        <v>0</v>
      </c>
      <c r="U1189" s="1268">
        <v>0</v>
      </c>
      <c r="V1189" s="1268">
        <v>0</v>
      </c>
      <c r="W1189" s="1316">
        <v>0</v>
      </c>
      <c r="X1189" s="1268">
        <v>1059680</v>
      </c>
      <c r="Y1189" s="1316">
        <v>0</v>
      </c>
    </row>
    <row r="1190" spans="1:25" s="1280" customFormat="1">
      <c r="A1190" s="1410">
        <v>289</v>
      </c>
      <c r="B1190" s="1267" t="s">
        <v>2298</v>
      </c>
      <c r="C1190" s="1268">
        <f t="shared" si="479"/>
        <v>14589146</v>
      </c>
      <c r="D1190" s="1268">
        <f t="shared" si="478"/>
        <v>0</v>
      </c>
      <c r="E1190" s="1268">
        <v>0</v>
      </c>
      <c r="F1190" s="1268">
        <v>0</v>
      </c>
      <c r="G1190" s="1268">
        <v>0</v>
      </c>
      <c r="H1190" s="1268">
        <v>0</v>
      </c>
      <c r="I1190" s="1268">
        <v>0</v>
      </c>
      <c r="J1190" s="1268">
        <v>0</v>
      </c>
      <c r="K1190" s="1278">
        <v>0</v>
      </c>
      <c r="L1190" s="1268">
        <v>0</v>
      </c>
      <c r="M1190" s="1278">
        <v>6</v>
      </c>
      <c r="N1190" s="1268">
        <v>13529466</v>
      </c>
      <c r="O1190" s="1268">
        <v>0</v>
      </c>
      <c r="P1190" s="1268">
        <v>0</v>
      </c>
      <c r="Q1190" s="1268">
        <v>0</v>
      </c>
      <c r="R1190" s="1268">
        <v>0</v>
      </c>
      <c r="S1190" s="1268">
        <v>0</v>
      </c>
      <c r="T1190" s="1268">
        <v>0</v>
      </c>
      <c r="U1190" s="1268">
        <v>0</v>
      </c>
      <c r="V1190" s="1268">
        <v>0</v>
      </c>
      <c r="W1190" s="1268">
        <v>0</v>
      </c>
      <c r="X1190" s="1268">
        <v>1059680</v>
      </c>
      <c r="Y1190" s="1268">
        <v>0</v>
      </c>
    </row>
    <row r="1191" spans="1:25" s="1280" customFormat="1" ht="75.599999999999994">
      <c r="A1191" s="1352">
        <v>290</v>
      </c>
      <c r="B1191" s="1267" t="s">
        <v>2313</v>
      </c>
      <c r="C1191" s="1268">
        <f t="shared" si="479"/>
        <v>9726097</v>
      </c>
      <c r="D1191" s="1268">
        <f t="shared" si="478"/>
        <v>0</v>
      </c>
      <c r="E1191" s="1268">
        <v>0</v>
      </c>
      <c r="F1191" s="1268">
        <v>0</v>
      </c>
      <c r="G1191" s="1268">
        <v>0</v>
      </c>
      <c r="H1191" s="1268">
        <v>0</v>
      </c>
      <c r="I1191" s="1268">
        <v>0</v>
      </c>
      <c r="J1191" s="1268">
        <v>0</v>
      </c>
      <c r="K1191" s="1278">
        <v>0</v>
      </c>
      <c r="L1191" s="1268">
        <v>0</v>
      </c>
      <c r="M1191" s="1278">
        <v>4</v>
      </c>
      <c r="N1191" s="1268">
        <v>9019644</v>
      </c>
      <c r="O1191" s="1268">
        <v>0</v>
      </c>
      <c r="P1191" s="1268">
        <v>0</v>
      </c>
      <c r="Q1191" s="1316">
        <v>0</v>
      </c>
      <c r="R1191" s="1268">
        <v>0</v>
      </c>
      <c r="S1191" s="1316">
        <v>0</v>
      </c>
      <c r="T1191" s="1268">
        <v>0</v>
      </c>
      <c r="U1191" s="1268">
        <v>0</v>
      </c>
      <c r="V1191" s="1268">
        <v>0</v>
      </c>
      <c r="W1191" s="1316">
        <v>0</v>
      </c>
      <c r="X1191" s="1268">
        <v>706453</v>
      </c>
      <c r="Y1191" s="1316">
        <v>0</v>
      </c>
    </row>
    <row r="1192" spans="1:25" s="1280" customFormat="1" ht="113.4">
      <c r="A1192" s="1281"/>
      <c r="B1192" s="1267" t="s">
        <v>1619</v>
      </c>
      <c r="C1192" s="1268">
        <f>SUM(C1193:C1225)</f>
        <v>71106383.589999989</v>
      </c>
      <c r="D1192" s="1268">
        <f t="shared" ref="D1192:Y1192" si="480">SUM(D1193:D1225)</f>
        <v>905917</v>
      </c>
      <c r="E1192" s="1268">
        <f t="shared" si="480"/>
        <v>0</v>
      </c>
      <c r="F1192" s="1268">
        <f t="shared" si="480"/>
        <v>0</v>
      </c>
      <c r="G1192" s="1268">
        <f t="shared" si="480"/>
        <v>0</v>
      </c>
      <c r="H1192" s="1268">
        <f t="shared" si="480"/>
        <v>905917</v>
      </c>
      <c r="I1192" s="1268">
        <f t="shared" si="480"/>
        <v>0</v>
      </c>
      <c r="J1192" s="1268">
        <f t="shared" si="480"/>
        <v>0</v>
      </c>
      <c r="K1192" s="1278">
        <f t="shared" si="480"/>
        <v>0</v>
      </c>
      <c r="L1192" s="1268">
        <f t="shared" si="480"/>
        <v>0</v>
      </c>
      <c r="M1192" s="1278">
        <f t="shared" si="480"/>
        <v>0</v>
      </c>
      <c r="N1192" s="1268">
        <f t="shared" si="480"/>
        <v>0</v>
      </c>
      <c r="O1192" s="1268">
        <f t="shared" si="480"/>
        <v>16726.98</v>
      </c>
      <c r="P1192" s="1268">
        <f t="shared" si="480"/>
        <v>59102451.719999999</v>
      </c>
      <c r="Q1192" s="1268">
        <f t="shared" si="480"/>
        <v>129.4</v>
      </c>
      <c r="R1192" s="1268">
        <f t="shared" si="480"/>
        <v>174860</v>
      </c>
      <c r="S1192" s="1268">
        <f t="shared" si="480"/>
        <v>2300.4</v>
      </c>
      <c r="T1192" s="1268">
        <f t="shared" si="480"/>
        <v>5806848.7000000002</v>
      </c>
      <c r="U1192" s="1268">
        <f t="shared" si="480"/>
        <v>0</v>
      </c>
      <c r="V1192" s="1268">
        <f t="shared" si="480"/>
        <v>0</v>
      </c>
      <c r="W1192" s="1316">
        <v>0</v>
      </c>
      <c r="X1192" s="1268">
        <f t="shared" si="480"/>
        <v>5116306.17</v>
      </c>
      <c r="Y1192" s="1268">
        <f t="shared" si="480"/>
        <v>0</v>
      </c>
    </row>
    <row r="1193" spans="1:25" s="1280" customFormat="1">
      <c r="A1193" s="1281">
        <v>291</v>
      </c>
      <c r="B1193" s="1267" t="s">
        <v>1189</v>
      </c>
      <c r="C1193" s="1268">
        <f t="shared" ref="C1193" si="481">D1193+N1193+P1193+R1193+T1193+V1193+X1193</f>
        <v>188556</v>
      </c>
      <c r="D1193" s="1268">
        <f t="shared" ref="D1193" si="482">SUM(E1193:J1193)</f>
        <v>0</v>
      </c>
      <c r="E1193" s="1268">
        <v>0</v>
      </c>
      <c r="F1193" s="1268">
        <v>0</v>
      </c>
      <c r="G1193" s="1268">
        <v>0</v>
      </c>
      <c r="H1193" s="1268">
        <v>0</v>
      </c>
      <c r="I1193" s="1268">
        <v>0</v>
      </c>
      <c r="J1193" s="1268">
        <v>0</v>
      </c>
      <c r="K1193" s="1278">
        <v>0</v>
      </c>
      <c r="L1193" s="1268">
        <v>0</v>
      </c>
      <c r="M1193" s="1278">
        <v>0</v>
      </c>
      <c r="N1193" s="1268">
        <v>0</v>
      </c>
      <c r="O1193" s="1268">
        <v>0</v>
      </c>
      <c r="P1193" s="1268">
        <v>0</v>
      </c>
      <c r="Q1193" s="1268">
        <v>129.4</v>
      </c>
      <c r="R1193" s="1268">
        <v>174860</v>
      </c>
      <c r="S1193" s="1268">
        <v>0</v>
      </c>
      <c r="T1193" s="1268">
        <v>0</v>
      </c>
      <c r="U1193" s="1268">
        <v>0</v>
      </c>
      <c r="V1193" s="1268">
        <v>0</v>
      </c>
      <c r="W1193" s="1316">
        <v>0</v>
      </c>
      <c r="X1193" s="1268">
        <v>13696</v>
      </c>
      <c r="Y1193" s="1268">
        <v>0</v>
      </c>
    </row>
    <row r="1194" spans="1:25" s="1280" customFormat="1" ht="75.599999999999994">
      <c r="A1194" s="1281">
        <v>292</v>
      </c>
      <c r="B1194" s="1267" t="s">
        <v>2538</v>
      </c>
      <c r="C1194" s="1268">
        <f t="shared" ref="C1194:C1214" si="483">D1194+N1194+P1194+R1194+T1194+V1194+X1194</f>
        <v>1388702</v>
      </c>
      <c r="D1194" s="1268">
        <f t="shared" ref="D1194:D1214" si="484">SUM(E1194:J1194)</f>
        <v>0</v>
      </c>
      <c r="E1194" s="1268">
        <v>0</v>
      </c>
      <c r="F1194" s="1268">
        <v>0</v>
      </c>
      <c r="G1194" s="1268">
        <v>0</v>
      </c>
      <c r="H1194" s="1268">
        <v>0</v>
      </c>
      <c r="I1194" s="1268">
        <v>0</v>
      </c>
      <c r="J1194" s="1268">
        <v>0</v>
      </c>
      <c r="K1194" s="1278">
        <v>0</v>
      </c>
      <c r="L1194" s="1268">
        <v>0</v>
      </c>
      <c r="M1194" s="1278">
        <v>0</v>
      </c>
      <c r="N1194" s="1268">
        <v>0</v>
      </c>
      <c r="O1194" s="1268">
        <v>410.3</v>
      </c>
      <c r="P1194" s="1268">
        <v>1287834</v>
      </c>
      <c r="Q1194" s="1268">
        <v>0</v>
      </c>
      <c r="R1194" s="1268">
        <v>0</v>
      </c>
      <c r="S1194" s="1268">
        <v>0</v>
      </c>
      <c r="T1194" s="1268">
        <v>0</v>
      </c>
      <c r="U1194" s="1268">
        <v>0</v>
      </c>
      <c r="V1194" s="1268">
        <v>0</v>
      </c>
      <c r="W1194" s="1316">
        <v>0</v>
      </c>
      <c r="X1194" s="1268">
        <v>100868</v>
      </c>
      <c r="Y1194" s="1268">
        <v>0</v>
      </c>
    </row>
    <row r="1195" spans="1:25" s="1280" customFormat="1">
      <c r="A1195" s="1281">
        <v>293</v>
      </c>
      <c r="B1195" s="1267" t="s">
        <v>1751</v>
      </c>
      <c r="C1195" s="1268">
        <f t="shared" si="483"/>
        <v>4551344</v>
      </c>
      <c r="D1195" s="1268">
        <f t="shared" si="484"/>
        <v>0</v>
      </c>
      <c r="E1195" s="1268">
        <v>0</v>
      </c>
      <c r="F1195" s="1268">
        <v>0</v>
      </c>
      <c r="G1195" s="1268">
        <v>0</v>
      </c>
      <c r="H1195" s="1268">
        <v>0</v>
      </c>
      <c r="I1195" s="1268">
        <v>0</v>
      </c>
      <c r="J1195" s="1268">
        <v>0</v>
      </c>
      <c r="K1195" s="1278">
        <v>0</v>
      </c>
      <c r="L1195" s="1268">
        <v>0</v>
      </c>
      <c r="M1195" s="1278">
        <v>0</v>
      </c>
      <c r="N1195" s="1268">
        <v>0</v>
      </c>
      <c r="O1195" s="1268">
        <v>0</v>
      </c>
      <c r="P1195" s="1268">
        <v>0</v>
      </c>
      <c r="Q1195" s="1268">
        <v>0</v>
      </c>
      <c r="R1195" s="1268">
        <v>0</v>
      </c>
      <c r="S1195" s="1268">
        <v>1710.4</v>
      </c>
      <c r="T1195" s="1268">
        <v>4350064</v>
      </c>
      <c r="U1195" s="1268">
        <v>0</v>
      </c>
      <c r="V1195" s="1268">
        <v>0</v>
      </c>
      <c r="W1195" s="1316">
        <v>0</v>
      </c>
      <c r="X1195" s="1268">
        <v>201280</v>
      </c>
      <c r="Y1195" s="1268">
        <v>0</v>
      </c>
    </row>
    <row r="1196" spans="1:25" s="1280" customFormat="1">
      <c r="A1196" s="1281">
        <v>294</v>
      </c>
      <c r="B1196" s="1267" t="s">
        <v>2325</v>
      </c>
      <c r="C1196" s="1268">
        <f t="shared" si="483"/>
        <v>734458</v>
      </c>
      <c r="D1196" s="1268">
        <f t="shared" si="484"/>
        <v>0</v>
      </c>
      <c r="E1196" s="1268">
        <v>0</v>
      </c>
      <c r="F1196" s="1268">
        <v>0</v>
      </c>
      <c r="G1196" s="1268">
        <v>0</v>
      </c>
      <c r="H1196" s="1268">
        <v>0</v>
      </c>
      <c r="I1196" s="1268">
        <v>0</v>
      </c>
      <c r="J1196" s="1268">
        <v>0</v>
      </c>
      <c r="K1196" s="1278">
        <v>0</v>
      </c>
      <c r="L1196" s="1268">
        <v>0</v>
      </c>
      <c r="M1196" s="1278">
        <v>0</v>
      </c>
      <c r="N1196" s="1268">
        <v>0</v>
      </c>
      <c r="O1196" s="1268">
        <v>217</v>
      </c>
      <c r="P1196" s="1268">
        <v>681111</v>
      </c>
      <c r="Q1196" s="1268">
        <v>0</v>
      </c>
      <c r="R1196" s="1268">
        <v>0</v>
      </c>
      <c r="S1196" s="1268">
        <v>0</v>
      </c>
      <c r="T1196" s="1268">
        <v>0</v>
      </c>
      <c r="U1196" s="1268">
        <v>0</v>
      </c>
      <c r="V1196" s="1268">
        <v>0</v>
      </c>
      <c r="W1196" s="1316">
        <v>0</v>
      </c>
      <c r="X1196" s="1268">
        <v>53347</v>
      </c>
      <c r="Y1196" s="1268">
        <v>0</v>
      </c>
    </row>
    <row r="1197" spans="1:25" s="1280" customFormat="1" ht="75.599999999999994">
      <c r="A1197" s="1281">
        <v>295</v>
      </c>
      <c r="B1197" s="1267" t="s">
        <v>2539</v>
      </c>
      <c r="C1197" s="1268">
        <f t="shared" si="483"/>
        <v>976872</v>
      </c>
      <c r="D1197" s="1268">
        <f t="shared" si="484"/>
        <v>905917</v>
      </c>
      <c r="E1197" s="1268">
        <v>0</v>
      </c>
      <c r="F1197" s="1268">
        <v>0</v>
      </c>
      <c r="G1197" s="1268">
        <v>0</v>
      </c>
      <c r="H1197" s="1268">
        <v>905917</v>
      </c>
      <c r="I1197" s="1268">
        <v>0</v>
      </c>
      <c r="J1197" s="1268">
        <v>0</v>
      </c>
      <c r="K1197" s="1278">
        <v>0</v>
      </c>
      <c r="L1197" s="1268">
        <v>0</v>
      </c>
      <c r="M1197" s="1278">
        <v>0</v>
      </c>
      <c r="N1197" s="1268">
        <v>0</v>
      </c>
      <c r="O1197" s="1268">
        <v>0</v>
      </c>
      <c r="P1197" s="1268">
        <v>0</v>
      </c>
      <c r="Q1197" s="1268">
        <v>0</v>
      </c>
      <c r="R1197" s="1268">
        <v>0</v>
      </c>
      <c r="S1197" s="1268">
        <v>0</v>
      </c>
      <c r="T1197" s="1268">
        <v>0</v>
      </c>
      <c r="U1197" s="1268">
        <v>0</v>
      </c>
      <c r="V1197" s="1268">
        <v>0</v>
      </c>
      <c r="W1197" s="1316">
        <v>0</v>
      </c>
      <c r="X1197" s="1268">
        <v>70955</v>
      </c>
      <c r="Y1197" s="1268">
        <v>0</v>
      </c>
    </row>
    <row r="1198" spans="1:25" s="1280" customFormat="1">
      <c r="A1198" s="1281">
        <v>296</v>
      </c>
      <c r="B1198" s="1267" t="s">
        <v>1943</v>
      </c>
      <c r="C1198" s="1268">
        <f t="shared" ref="C1198:C1200" si="485">D1198+N1198+P1198+R1198+T1198+V1198+X1198</f>
        <v>389230</v>
      </c>
      <c r="D1198" s="1268">
        <f t="shared" ref="D1198:D1200" si="486">SUM(E1198:J1198)</f>
        <v>0</v>
      </c>
      <c r="E1198" s="1268">
        <v>0</v>
      </c>
      <c r="F1198" s="1268">
        <v>0</v>
      </c>
      <c r="G1198" s="1268">
        <v>0</v>
      </c>
      <c r="H1198" s="1268">
        <v>0</v>
      </c>
      <c r="I1198" s="1268">
        <v>0</v>
      </c>
      <c r="J1198" s="1268">
        <v>0</v>
      </c>
      <c r="K1198" s="1278">
        <v>0</v>
      </c>
      <c r="L1198" s="1268">
        <v>0</v>
      </c>
      <c r="M1198" s="1278">
        <v>0</v>
      </c>
      <c r="N1198" s="1268">
        <v>0</v>
      </c>
      <c r="O1198" s="1268">
        <v>115</v>
      </c>
      <c r="P1198" s="1268">
        <v>360958</v>
      </c>
      <c r="Q1198" s="1268">
        <v>0</v>
      </c>
      <c r="R1198" s="1268">
        <v>0</v>
      </c>
      <c r="S1198" s="1268">
        <v>0</v>
      </c>
      <c r="T1198" s="1268">
        <v>0</v>
      </c>
      <c r="U1198" s="1268">
        <v>0</v>
      </c>
      <c r="V1198" s="1268">
        <v>0</v>
      </c>
      <c r="W1198" s="1316">
        <v>0</v>
      </c>
      <c r="X1198" s="1268">
        <v>28272</v>
      </c>
      <c r="Y1198" s="1268">
        <v>0</v>
      </c>
    </row>
    <row r="1199" spans="1:25" s="1280" customFormat="1" ht="75.599999999999994">
      <c r="A1199" s="1281">
        <v>297</v>
      </c>
      <c r="B1199" s="1267" t="s">
        <v>2540</v>
      </c>
      <c r="C1199" s="1268">
        <f t="shared" si="485"/>
        <v>1571786.7</v>
      </c>
      <c r="D1199" s="1268">
        <f t="shared" si="486"/>
        <v>0</v>
      </c>
      <c r="E1199" s="1268">
        <v>0</v>
      </c>
      <c r="F1199" s="1268">
        <v>0</v>
      </c>
      <c r="G1199" s="1268">
        <v>0</v>
      </c>
      <c r="H1199" s="1268">
        <v>0</v>
      </c>
      <c r="I1199" s="1268">
        <v>0</v>
      </c>
      <c r="J1199" s="1268">
        <v>0</v>
      </c>
      <c r="K1199" s="1278">
        <v>0</v>
      </c>
      <c r="L1199" s="1268">
        <v>0</v>
      </c>
      <c r="M1199" s="1278">
        <v>0</v>
      </c>
      <c r="N1199" s="1268">
        <v>0</v>
      </c>
      <c r="O1199" s="1268">
        <v>0</v>
      </c>
      <c r="P1199" s="1268">
        <v>0</v>
      </c>
      <c r="Q1199" s="1268">
        <v>0</v>
      </c>
      <c r="R1199" s="1268">
        <v>0</v>
      </c>
      <c r="S1199" s="1268">
        <v>590</v>
      </c>
      <c r="T1199" s="1268">
        <v>1456784.7</v>
      </c>
      <c r="U1199" s="1268">
        <v>0</v>
      </c>
      <c r="V1199" s="1268">
        <v>0</v>
      </c>
      <c r="W1199" s="1316">
        <v>0</v>
      </c>
      <c r="X1199" s="1268">
        <v>115002</v>
      </c>
      <c r="Y1199" s="1268">
        <v>0</v>
      </c>
    </row>
    <row r="1200" spans="1:25" s="1280" customFormat="1" ht="75.599999999999994">
      <c r="A1200" s="1281">
        <v>298</v>
      </c>
      <c r="B1200" s="1267" t="s">
        <v>2541</v>
      </c>
      <c r="C1200" s="1268">
        <f t="shared" si="485"/>
        <v>1343680</v>
      </c>
      <c r="D1200" s="1268">
        <f t="shared" si="486"/>
        <v>0</v>
      </c>
      <c r="E1200" s="1268">
        <v>0</v>
      </c>
      <c r="F1200" s="1268">
        <v>0</v>
      </c>
      <c r="G1200" s="1268">
        <v>0</v>
      </c>
      <c r="H1200" s="1268">
        <v>0</v>
      </c>
      <c r="I1200" s="1268">
        <v>0</v>
      </c>
      <c r="J1200" s="1268">
        <v>0</v>
      </c>
      <c r="K1200" s="1278">
        <v>0</v>
      </c>
      <c r="L1200" s="1268">
        <v>0</v>
      </c>
      <c r="M1200" s="1278">
        <v>0</v>
      </c>
      <c r="N1200" s="1268">
        <v>0</v>
      </c>
      <c r="O1200" s="1268">
        <v>407.72</v>
      </c>
      <c r="P1200" s="1268">
        <v>1279737</v>
      </c>
      <c r="Q1200" s="1268">
        <v>0</v>
      </c>
      <c r="R1200" s="1268">
        <v>0</v>
      </c>
      <c r="S1200" s="1268">
        <v>0</v>
      </c>
      <c r="T1200" s="1268">
        <v>0</v>
      </c>
      <c r="U1200" s="1268">
        <v>0</v>
      </c>
      <c r="V1200" s="1268">
        <v>0</v>
      </c>
      <c r="W1200" s="1316">
        <v>0</v>
      </c>
      <c r="X1200" s="1268">
        <v>63943</v>
      </c>
      <c r="Y1200" s="1268">
        <v>0</v>
      </c>
    </row>
    <row r="1201" spans="1:25" s="1280" customFormat="1">
      <c r="A1201" s="1281">
        <v>299</v>
      </c>
      <c r="B1201" s="1267" t="s">
        <v>1217</v>
      </c>
      <c r="C1201" s="1268">
        <f t="shared" si="483"/>
        <v>58288</v>
      </c>
      <c r="D1201" s="1268">
        <f t="shared" si="484"/>
        <v>0</v>
      </c>
      <c r="E1201" s="1268">
        <v>0</v>
      </c>
      <c r="F1201" s="1268">
        <v>0</v>
      </c>
      <c r="G1201" s="1268">
        <v>0</v>
      </c>
      <c r="H1201" s="1268">
        <v>0</v>
      </c>
      <c r="I1201" s="1268">
        <v>0</v>
      </c>
      <c r="J1201" s="1268">
        <v>0</v>
      </c>
      <c r="K1201" s="1278">
        <v>0</v>
      </c>
      <c r="L1201" s="1268">
        <v>0</v>
      </c>
      <c r="M1201" s="1278">
        <v>0</v>
      </c>
      <c r="N1201" s="1268">
        <v>0</v>
      </c>
      <c r="O1201" s="1268">
        <v>0</v>
      </c>
      <c r="P1201" s="1268">
        <v>0</v>
      </c>
      <c r="Q1201" s="1268">
        <v>0</v>
      </c>
      <c r="R1201" s="1268">
        <v>0</v>
      </c>
      <c r="S1201" s="1268">
        <v>0</v>
      </c>
      <c r="T1201" s="1268">
        <v>0</v>
      </c>
      <c r="U1201" s="1268">
        <v>0</v>
      </c>
      <c r="V1201" s="1268">
        <v>0</v>
      </c>
      <c r="W1201" s="1316">
        <v>0</v>
      </c>
      <c r="X1201" s="1268">
        <v>58288</v>
      </c>
      <c r="Y1201" s="1268">
        <v>0</v>
      </c>
    </row>
    <row r="1202" spans="1:25" s="1280" customFormat="1" ht="75.599999999999994">
      <c r="A1202" s="1281">
        <v>300</v>
      </c>
      <c r="B1202" s="1267" t="s">
        <v>2542</v>
      </c>
      <c r="C1202" s="1268">
        <f t="shared" si="483"/>
        <v>64243</v>
      </c>
      <c r="D1202" s="1268">
        <f t="shared" si="484"/>
        <v>0</v>
      </c>
      <c r="E1202" s="1268">
        <v>0</v>
      </c>
      <c r="F1202" s="1268">
        <v>0</v>
      </c>
      <c r="G1202" s="1268">
        <v>0</v>
      </c>
      <c r="H1202" s="1268">
        <v>0</v>
      </c>
      <c r="I1202" s="1268">
        <v>0</v>
      </c>
      <c r="J1202" s="1268">
        <v>0</v>
      </c>
      <c r="K1202" s="1278">
        <v>0</v>
      </c>
      <c r="L1202" s="1268">
        <v>0</v>
      </c>
      <c r="M1202" s="1278">
        <v>0</v>
      </c>
      <c r="N1202" s="1268">
        <v>0</v>
      </c>
      <c r="O1202" s="1268">
        <v>0</v>
      </c>
      <c r="P1202" s="1268">
        <v>0</v>
      </c>
      <c r="Q1202" s="1268">
        <v>0</v>
      </c>
      <c r="R1202" s="1268">
        <v>0</v>
      </c>
      <c r="S1202" s="1268">
        <v>0</v>
      </c>
      <c r="T1202" s="1268">
        <v>0</v>
      </c>
      <c r="U1202" s="1268">
        <v>0</v>
      </c>
      <c r="V1202" s="1268">
        <v>0</v>
      </c>
      <c r="W1202" s="1316">
        <v>0</v>
      </c>
      <c r="X1202" s="1268">
        <v>64243</v>
      </c>
      <c r="Y1202" s="1268">
        <v>0</v>
      </c>
    </row>
    <row r="1203" spans="1:25" s="1280" customFormat="1">
      <c r="A1203" s="1281">
        <v>301</v>
      </c>
      <c r="B1203" s="1267" t="s">
        <v>1944</v>
      </c>
      <c r="C1203" s="1268">
        <f t="shared" si="483"/>
        <v>1685224.61</v>
      </c>
      <c r="D1203" s="1268">
        <f t="shared" si="484"/>
        <v>0</v>
      </c>
      <c r="E1203" s="1268">
        <v>0</v>
      </c>
      <c r="F1203" s="1268">
        <v>0</v>
      </c>
      <c r="G1203" s="1268">
        <v>0</v>
      </c>
      <c r="H1203" s="1268">
        <v>0</v>
      </c>
      <c r="I1203" s="1268">
        <v>0</v>
      </c>
      <c r="J1203" s="1268">
        <v>0</v>
      </c>
      <c r="K1203" s="1278">
        <v>0</v>
      </c>
      <c r="L1203" s="1268">
        <v>0</v>
      </c>
      <c r="M1203" s="1278">
        <v>0</v>
      </c>
      <c r="N1203" s="1268">
        <v>0</v>
      </c>
      <c r="O1203" s="1268">
        <v>345</v>
      </c>
      <c r="P1203" s="1268">
        <v>1562818.61</v>
      </c>
      <c r="Q1203" s="1268">
        <v>0</v>
      </c>
      <c r="R1203" s="1268">
        <v>0</v>
      </c>
      <c r="S1203" s="1268">
        <v>0</v>
      </c>
      <c r="T1203" s="1268">
        <v>0</v>
      </c>
      <c r="U1203" s="1268">
        <v>0</v>
      </c>
      <c r="V1203" s="1268">
        <v>0</v>
      </c>
      <c r="W1203" s="1316">
        <v>0</v>
      </c>
      <c r="X1203" s="1268">
        <v>122406</v>
      </c>
      <c r="Y1203" s="1268">
        <v>0</v>
      </c>
    </row>
    <row r="1204" spans="1:25" s="1280" customFormat="1">
      <c r="A1204" s="1281">
        <v>302</v>
      </c>
      <c r="B1204" s="1267" t="s">
        <v>967</v>
      </c>
      <c r="C1204" s="1268">
        <f t="shared" si="483"/>
        <v>4406007.5199999996</v>
      </c>
      <c r="D1204" s="1268">
        <f t="shared" si="484"/>
        <v>0</v>
      </c>
      <c r="E1204" s="1268">
        <v>0</v>
      </c>
      <c r="F1204" s="1268">
        <v>0</v>
      </c>
      <c r="G1204" s="1268">
        <v>0</v>
      </c>
      <c r="H1204" s="1268">
        <v>0</v>
      </c>
      <c r="I1204" s="1268">
        <v>0</v>
      </c>
      <c r="J1204" s="1268">
        <v>0</v>
      </c>
      <c r="K1204" s="1278">
        <v>0</v>
      </c>
      <c r="L1204" s="1268">
        <v>0</v>
      </c>
      <c r="M1204" s="1278">
        <v>0</v>
      </c>
      <c r="N1204" s="1268">
        <v>0</v>
      </c>
      <c r="O1204" s="1268">
        <v>902</v>
      </c>
      <c r="P1204" s="1268">
        <v>4085977.92</v>
      </c>
      <c r="Q1204" s="1268">
        <v>0</v>
      </c>
      <c r="R1204" s="1268">
        <v>0</v>
      </c>
      <c r="S1204" s="1268">
        <v>0</v>
      </c>
      <c r="T1204" s="1268">
        <v>0</v>
      </c>
      <c r="U1204" s="1268">
        <v>0</v>
      </c>
      <c r="V1204" s="1268">
        <v>0</v>
      </c>
      <c r="W1204" s="1316">
        <v>0</v>
      </c>
      <c r="X1204" s="1268">
        <v>320029.59999999998</v>
      </c>
      <c r="Y1204" s="1268">
        <v>0</v>
      </c>
    </row>
    <row r="1205" spans="1:25" s="1280" customFormat="1">
      <c r="A1205" s="1281">
        <v>303</v>
      </c>
      <c r="B1205" s="1267" t="s">
        <v>1041</v>
      </c>
      <c r="C1205" s="1268">
        <f t="shared" si="483"/>
        <v>2506832.6599999997</v>
      </c>
      <c r="D1205" s="1268">
        <f t="shared" si="484"/>
        <v>0</v>
      </c>
      <c r="E1205" s="1268">
        <v>0</v>
      </c>
      <c r="F1205" s="1268">
        <v>0</v>
      </c>
      <c r="G1205" s="1268">
        <v>0</v>
      </c>
      <c r="H1205" s="1268">
        <v>0</v>
      </c>
      <c r="I1205" s="1268">
        <v>0</v>
      </c>
      <c r="J1205" s="1268">
        <v>0</v>
      </c>
      <c r="K1205" s="1278">
        <v>0</v>
      </c>
      <c r="L1205" s="1268">
        <v>0</v>
      </c>
      <c r="M1205" s="1278">
        <v>0</v>
      </c>
      <c r="N1205" s="1268">
        <v>0</v>
      </c>
      <c r="O1205" s="1268">
        <v>513.20000000000005</v>
      </c>
      <c r="P1205" s="1268">
        <v>2324749.2999999998</v>
      </c>
      <c r="Q1205" s="1268">
        <v>0</v>
      </c>
      <c r="R1205" s="1268">
        <v>0</v>
      </c>
      <c r="S1205" s="1268">
        <v>0</v>
      </c>
      <c r="T1205" s="1268">
        <v>0</v>
      </c>
      <c r="U1205" s="1268">
        <v>0</v>
      </c>
      <c r="V1205" s="1268">
        <v>0</v>
      </c>
      <c r="W1205" s="1316">
        <v>0</v>
      </c>
      <c r="X1205" s="1268">
        <v>182083.36</v>
      </c>
      <c r="Y1205" s="1268">
        <v>0</v>
      </c>
    </row>
    <row r="1206" spans="1:25" s="1280" customFormat="1">
      <c r="A1206" s="1281">
        <v>304</v>
      </c>
      <c r="B1206" s="1267" t="s">
        <v>964</v>
      </c>
      <c r="C1206" s="1268">
        <f t="shared" si="483"/>
        <v>1097838.3500000001</v>
      </c>
      <c r="D1206" s="1268">
        <f t="shared" si="484"/>
        <v>0</v>
      </c>
      <c r="E1206" s="1268">
        <v>0</v>
      </c>
      <c r="F1206" s="1268">
        <v>0</v>
      </c>
      <c r="G1206" s="1268">
        <v>0</v>
      </c>
      <c r="H1206" s="1268">
        <v>0</v>
      </c>
      <c r="I1206" s="1268">
        <v>0</v>
      </c>
      <c r="J1206" s="1268">
        <v>0</v>
      </c>
      <c r="K1206" s="1278">
        <v>0</v>
      </c>
      <c r="L1206" s="1268">
        <v>0</v>
      </c>
      <c r="M1206" s="1278">
        <v>0</v>
      </c>
      <c r="N1206" s="1268">
        <v>0</v>
      </c>
      <c r="O1206" s="1268">
        <v>224.75</v>
      </c>
      <c r="P1206" s="1268">
        <v>1018097.05</v>
      </c>
      <c r="Q1206" s="1268">
        <v>0</v>
      </c>
      <c r="R1206" s="1268">
        <v>0</v>
      </c>
      <c r="S1206" s="1268">
        <v>0</v>
      </c>
      <c r="T1206" s="1268">
        <v>0</v>
      </c>
      <c r="U1206" s="1268">
        <v>0</v>
      </c>
      <c r="V1206" s="1268">
        <v>0</v>
      </c>
      <c r="W1206" s="1316">
        <v>0</v>
      </c>
      <c r="X1206" s="1268">
        <v>79741.3</v>
      </c>
      <c r="Y1206" s="1268">
        <v>0</v>
      </c>
    </row>
    <row r="1207" spans="1:25" s="1280" customFormat="1">
      <c r="A1207" s="1281">
        <v>305</v>
      </c>
      <c r="B1207" s="1267" t="s">
        <v>1040</v>
      </c>
      <c r="C1207" s="1268">
        <f t="shared" si="483"/>
        <v>1963653.02</v>
      </c>
      <c r="D1207" s="1268">
        <f t="shared" si="484"/>
        <v>0</v>
      </c>
      <c r="E1207" s="1268">
        <v>0</v>
      </c>
      <c r="F1207" s="1268">
        <v>0</v>
      </c>
      <c r="G1207" s="1268">
        <v>0</v>
      </c>
      <c r="H1207" s="1268">
        <v>0</v>
      </c>
      <c r="I1207" s="1268">
        <v>0</v>
      </c>
      <c r="J1207" s="1268">
        <v>0</v>
      </c>
      <c r="K1207" s="1278">
        <v>0</v>
      </c>
      <c r="L1207" s="1268">
        <v>0</v>
      </c>
      <c r="M1207" s="1278">
        <v>0</v>
      </c>
      <c r="N1207" s="1268">
        <v>0</v>
      </c>
      <c r="O1207" s="1268">
        <v>402</v>
      </c>
      <c r="P1207" s="1268">
        <v>1821023.42</v>
      </c>
      <c r="Q1207" s="1268">
        <v>0</v>
      </c>
      <c r="R1207" s="1268">
        <v>0</v>
      </c>
      <c r="S1207" s="1268">
        <v>0</v>
      </c>
      <c r="T1207" s="1268">
        <v>0</v>
      </c>
      <c r="U1207" s="1268">
        <v>0</v>
      </c>
      <c r="V1207" s="1268">
        <v>0</v>
      </c>
      <c r="W1207" s="1316">
        <v>0</v>
      </c>
      <c r="X1207" s="1268">
        <v>142629.6</v>
      </c>
      <c r="Y1207" s="1268">
        <v>0</v>
      </c>
    </row>
    <row r="1208" spans="1:25" s="1280" customFormat="1">
      <c r="A1208" s="1281">
        <v>306</v>
      </c>
      <c r="B1208" s="1267" t="s">
        <v>965</v>
      </c>
      <c r="C1208" s="1268">
        <f t="shared" si="483"/>
        <v>2012146.0099999998</v>
      </c>
      <c r="D1208" s="1268">
        <f t="shared" si="484"/>
        <v>0</v>
      </c>
      <c r="E1208" s="1268">
        <v>0</v>
      </c>
      <c r="F1208" s="1268">
        <v>0</v>
      </c>
      <c r="G1208" s="1268">
        <v>0</v>
      </c>
      <c r="H1208" s="1268">
        <v>0</v>
      </c>
      <c r="I1208" s="1268">
        <v>0</v>
      </c>
      <c r="J1208" s="1268">
        <v>0</v>
      </c>
      <c r="K1208" s="1278">
        <v>0</v>
      </c>
      <c r="L1208" s="1268">
        <v>0</v>
      </c>
      <c r="M1208" s="1278">
        <v>0</v>
      </c>
      <c r="N1208" s="1268">
        <v>0</v>
      </c>
      <c r="O1208" s="1268">
        <v>594</v>
      </c>
      <c r="P1208" s="1268">
        <v>1865994.13</v>
      </c>
      <c r="Q1208" s="1268">
        <v>0</v>
      </c>
      <c r="R1208" s="1268">
        <v>0</v>
      </c>
      <c r="S1208" s="1268">
        <v>0</v>
      </c>
      <c r="T1208" s="1268">
        <v>0</v>
      </c>
      <c r="U1208" s="1268">
        <v>0</v>
      </c>
      <c r="V1208" s="1268">
        <v>0</v>
      </c>
      <c r="W1208" s="1316">
        <v>0</v>
      </c>
      <c r="X1208" s="1268">
        <v>146151.88</v>
      </c>
      <c r="Y1208" s="1268">
        <v>0</v>
      </c>
    </row>
    <row r="1209" spans="1:25" s="1280" customFormat="1">
      <c r="A1209" s="1281">
        <v>307</v>
      </c>
      <c r="B1209" s="1267" t="s">
        <v>969</v>
      </c>
      <c r="C1209" s="1268">
        <f t="shared" si="483"/>
        <v>1673843.24</v>
      </c>
      <c r="D1209" s="1268">
        <f t="shared" si="484"/>
        <v>0</v>
      </c>
      <c r="E1209" s="1268">
        <v>0</v>
      </c>
      <c r="F1209" s="1268">
        <v>0</v>
      </c>
      <c r="G1209" s="1268">
        <v>0</v>
      </c>
      <c r="H1209" s="1268">
        <v>0</v>
      </c>
      <c r="I1209" s="1268">
        <v>0</v>
      </c>
      <c r="J1209" s="1268">
        <v>0</v>
      </c>
      <c r="K1209" s="1278">
        <v>0</v>
      </c>
      <c r="L1209" s="1268">
        <v>0</v>
      </c>
      <c r="M1209" s="1278">
        <v>0</v>
      </c>
      <c r="N1209" s="1268">
        <v>0</v>
      </c>
      <c r="O1209" s="1268">
        <v>342.67</v>
      </c>
      <c r="P1209" s="1268">
        <v>1552263.92</v>
      </c>
      <c r="Q1209" s="1268">
        <v>0</v>
      </c>
      <c r="R1209" s="1268">
        <v>0</v>
      </c>
      <c r="S1209" s="1268">
        <v>0</v>
      </c>
      <c r="T1209" s="1268">
        <v>0</v>
      </c>
      <c r="U1209" s="1268">
        <v>0</v>
      </c>
      <c r="V1209" s="1268">
        <v>0</v>
      </c>
      <c r="W1209" s="1316">
        <v>0</v>
      </c>
      <c r="X1209" s="1268">
        <v>121579.32</v>
      </c>
      <c r="Y1209" s="1268">
        <v>0</v>
      </c>
    </row>
    <row r="1210" spans="1:25" s="1280" customFormat="1" ht="75.599999999999994">
      <c r="A1210" s="1281">
        <v>308</v>
      </c>
      <c r="B1210" s="1267" t="s">
        <v>2543</v>
      </c>
      <c r="C1210" s="1268">
        <f t="shared" si="483"/>
        <v>2813592.38</v>
      </c>
      <c r="D1210" s="1268">
        <f t="shared" si="484"/>
        <v>0</v>
      </c>
      <c r="E1210" s="1268">
        <v>0</v>
      </c>
      <c r="F1210" s="1268">
        <v>0</v>
      </c>
      <c r="G1210" s="1268">
        <v>0</v>
      </c>
      <c r="H1210" s="1268">
        <v>0</v>
      </c>
      <c r="I1210" s="1268">
        <v>0</v>
      </c>
      <c r="J1210" s="1268">
        <v>0</v>
      </c>
      <c r="K1210" s="1278">
        <v>0</v>
      </c>
      <c r="L1210" s="1268">
        <v>0</v>
      </c>
      <c r="M1210" s="1278">
        <v>0</v>
      </c>
      <c r="N1210" s="1268">
        <v>0</v>
      </c>
      <c r="O1210" s="1268">
        <v>576</v>
      </c>
      <c r="P1210" s="1268">
        <v>2609227.58</v>
      </c>
      <c r="Q1210" s="1268">
        <v>0</v>
      </c>
      <c r="R1210" s="1268">
        <v>0</v>
      </c>
      <c r="S1210" s="1268">
        <v>0</v>
      </c>
      <c r="T1210" s="1268">
        <v>0</v>
      </c>
      <c r="U1210" s="1268">
        <v>0</v>
      </c>
      <c r="V1210" s="1268">
        <v>0</v>
      </c>
      <c r="W1210" s="1316">
        <v>0</v>
      </c>
      <c r="X1210" s="1268">
        <v>204364.79999999999</v>
      </c>
      <c r="Y1210" s="1268">
        <v>0</v>
      </c>
    </row>
    <row r="1211" spans="1:25" s="1280" customFormat="1" ht="75.599999999999994">
      <c r="A1211" s="1281">
        <v>309</v>
      </c>
      <c r="B1211" s="1267" t="s">
        <v>1505</v>
      </c>
      <c r="C1211" s="1268">
        <f t="shared" si="483"/>
        <v>1154149</v>
      </c>
      <c r="D1211" s="1268">
        <f t="shared" si="484"/>
        <v>0</v>
      </c>
      <c r="E1211" s="1268">
        <v>0</v>
      </c>
      <c r="F1211" s="1268">
        <v>0</v>
      </c>
      <c r="G1211" s="1268">
        <v>0</v>
      </c>
      <c r="H1211" s="1268">
        <v>0</v>
      </c>
      <c r="I1211" s="1268">
        <v>0</v>
      </c>
      <c r="J1211" s="1268">
        <v>0</v>
      </c>
      <c r="K1211" s="1278">
        <v>0</v>
      </c>
      <c r="L1211" s="1268">
        <v>0</v>
      </c>
      <c r="M1211" s="1278">
        <v>0</v>
      </c>
      <c r="N1211" s="1268">
        <v>0</v>
      </c>
      <c r="O1211" s="1268">
        <v>341</v>
      </c>
      <c r="P1211" s="1268">
        <v>1070318</v>
      </c>
      <c r="Q1211" s="1268">
        <v>0</v>
      </c>
      <c r="R1211" s="1268">
        <v>0</v>
      </c>
      <c r="S1211" s="1268">
        <v>0</v>
      </c>
      <c r="T1211" s="1268">
        <v>0</v>
      </c>
      <c r="U1211" s="1268">
        <v>0</v>
      </c>
      <c r="V1211" s="1268">
        <v>0</v>
      </c>
      <c r="W1211" s="1316">
        <v>0</v>
      </c>
      <c r="X1211" s="1268">
        <v>83831</v>
      </c>
      <c r="Y1211" s="1268">
        <v>0</v>
      </c>
    </row>
    <row r="1212" spans="1:25" s="1280" customFormat="1">
      <c r="A1212" s="1281">
        <v>310</v>
      </c>
      <c r="B1212" s="1267" t="s">
        <v>2261</v>
      </c>
      <c r="C1212" s="1268">
        <f t="shared" si="483"/>
        <v>4234137.3499999996</v>
      </c>
      <c r="D1212" s="1268">
        <f t="shared" si="484"/>
        <v>0</v>
      </c>
      <c r="E1212" s="1268">
        <v>0</v>
      </c>
      <c r="F1212" s="1268">
        <v>0</v>
      </c>
      <c r="G1212" s="1268">
        <v>0</v>
      </c>
      <c r="H1212" s="1268">
        <v>0</v>
      </c>
      <c r="I1212" s="1268">
        <v>0</v>
      </c>
      <c r="J1212" s="1268">
        <v>0</v>
      </c>
      <c r="K1212" s="1278">
        <v>0</v>
      </c>
      <c r="L1212" s="1268">
        <v>0</v>
      </c>
      <c r="M1212" s="1278">
        <v>0</v>
      </c>
      <c r="N1212" s="1268">
        <v>0</v>
      </c>
      <c r="O1212" s="1268">
        <v>1251</v>
      </c>
      <c r="P1212" s="1268">
        <v>3926591.51</v>
      </c>
      <c r="Q1212" s="1268">
        <v>0</v>
      </c>
      <c r="R1212" s="1268">
        <v>0</v>
      </c>
      <c r="S1212" s="1268">
        <v>0</v>
      </c>
      <c r="T1212" s="1268">
        <v>0</v>
      </c>
      <c r="U1212" s="1268">
        <v>0</v>
      </c>
      <c r="V1212" s="1268">
        <v>0</v>
      </c>
      <c r="W1212" s="1316">
        <v>0</v>
      </c>
      <c r="X1212" s="1268">
        <v>307545.84000000003</v>
      </c>
      <c r="Y1212" s="1268">
        <v>0</v>
      </c>
    </row>
    <row r="1213" spans="1:25" s="1280" customFormat="1" ht="75.599999999999994">
      <c r="A1213" s="1281">
        <v>311</v>
      </c>
      <c r="B1213" s="1267" t="s">
        <v>2544</v>
      </c>
      <c r="C1213" s="1268">
        <f t="shared" si="483"/>
        <v>2301529.5</v>
      </c>
      <c r="D1213" s="1268">
        <f t="shared" si="484"/>
        <v>0</v>
      </c>
      <c r="E1213" s="1268">
        <v>0</v>
      </c>
      <c r="F1213" s="1268">
        <v>0</v>
      </c>
      <c r="G1213" s="1268">
        <v>0</v>
      </c>
      <c r="H1213" s="1268">
        <v>0</v>
      </c>
      <c r="I1213" s="1268">
        <v>0</v>
      </c>
      <c r="J1213" s="1268">
        <v>0</v>
      </c>
      <c r="K1213" s="1278">
        <v>0</v>
      </c>
      <c r="L1213" s="1268">
        <v>0</v>
      </c>
      <c r="M1213" s="1278">
        <v>0</v>
      </c>
      <c r="N1213" s="1268">
        <v>0</v>
      </c>
      <c r="O1213" s="1268">
        <v>680</v>
      </c>
      <c r="P1213" s="1268">
        <v>2134358.2999999998</v>
      </c>
      <c r="Q1213" s="1268">
        <v>0</v>
      </c>
      <c r="R1213" s="1268">
        <v>0</v>
      </c>
      <c r="S1213" s="1268">
        <v>0</v>
      </c>
      <c r="T1213" s="1268">
        <v>0</v>
      </c>
      <c r="U1213" s="1268">
        <v>0</v>
      </c>
      <c r="V1213" s="1268">
        <v>0</v>
      </c>
      <c r="W1213" s="1316">
        <v>0</v>
      </c>
      <c r="X1213" s="1268">
        <v>167171.20000000001</v>
      </c>
      <c r="Y1213" s="1268">
        <v>0</v>
      </c>
    </row>
    <row r="1214" spans="1:25" s="1280" customFormat="1">
      <c r="A1214" s="1281">
        <v>312</v>
      </c>
      <c r="B1214" s="1267" t="s">
        <v>968</v>
      </c>
      <c r="C1214" s="1268">
        <f t="shared" si="483"/>
        <v>2929066.9</v>
      </c>
      <c r="D1214" s="1268">
        <f t="shared" si="484"/>
        <v>0</v>
      </c>
      <c r="E1214" s="1268">
        <v>0</v>
      </c>
      <c r="F1214" s="1268">
        <v>0</v>
      </c>
      <c r="G1214" s="1268">
        <v>0</v>
      </c>
      <c r="H1214" s="1268">
        <v>0</v>
      </c>
      <c r="I1214" s="1268">
        <v>0</v>
      </c>
      <c r="J1214" s="1268">
        <v>0</v>
      </c>
      <c r="K1214" s="1278">
        <v>0</v>
      </c>
      <c r="L1214" s="1268">
        <v>0</v>
      </c>
      <c r="M1214" s="1278">
        <v>0</v>
      </c>
      <c r="N1214" s="1268">
        <v>0</v>
      </c>
      <c r="O1214" s="1268">
        <v>599.64</v>
      </c>
      <c r="P1214" s="1268">
        <v>2716314.63</v>
      </c>
      <c r="Q1214" s="1268">
        <v>0</v>
      </c>
      <c r="R1214" s="1268">
        <v>0</v>
      </c>
      <c r="S1214" s="1268">
        <v>0</v>
      </c>
      <c r="T1214" s="1268">
        <v>0</v>
      </c>
      <c r="U1214" s="1268">
        <v>0</v>
      </c>
      <c r="V1214" s="1268">
        <v>0</v>
      </c>
      <c r="W1214" s="1316">
        <v>0</v>
      </c>
      <c r="X1214" s="1268">
        <v>212752.27</v>
      </c>
      <c r="Y1214" s="1268">
        <v>0</v>
      </c>
    </row>
    <row r="1215" spans="1:25" s="1280" customFormat="1">
      <c r="A1215" s="1281">
        <v>313</v>
      </c>
      <c r="B1215" s="1267" t="s">
        <v>1038</v>
      </c>
      <c r="C1215" s="1268">
        <f t="shared" ref="C1215:C1225" si="487">D1215+N1215+P1215+R1215+T1215+V1215+X1215</f>
        <v>5137383</v>
      </c>
      <c r="D1215" s="1268">
        <f t="shared" ref="D1215:D1225" si="488">SUM(E1215:J1215)</f>
        <v>0</v>
      </c>
      <c r="E1215" s="1268">
        <v>0</v>
      </c>
      <c r="F1215" s="1268">
        <v>0</v>
      </c>
      <c r="G1215" s="1268">
        <v>0</v>
      </c>
      <c r="H1215" s="1268">
        <v>0</v>
      </c>
      <c r="I1215" s="1268">
        <v>0</v>
      </c>
      <c r="J1215" s="1268">
        <v>0</v>
      </c>
      <c r="K1215" s="1278">
        <v>0</v>
      </c>
      <c r="L1215" s="1268">
        <v>0</v>
      </c>
      <c r="M1215" s="1278">
        <v>0</v>
      </c>
      <c r="N1215" s="1268">
        <v>0</v>
      </c>
      <c r="O1215" s="1268">
        <v>1287.8</v>
      </c>
      <c r="P1215" s="1268">
        <v>4764230</v>
      </c>
      <c r="Q1215" s="1268">
        <v>0</v>
      </c>
      <c r="R1215" s="1268">
        <v>0</v>
      </c>
      <c r="S1215" s="1268">
        <v>0</v>
      </c>
      <c r="T1215" s="1268">
        <v>0</v>
      </c>
      <c r="U1215" s="1268">
        <v>0</v>
      </c>
      <c r="V1215" s="1268">
        <v>0</v>
      </c>
      <c r="W1215" s="1316">
        <v>0</v>
      </c>
      <c r="X1215" s="1268">
        <v>373153</v>
      </c>
      <c r="Y1215" s="1268">
        <v>0</v>
      </c>
    </row>
    <row r="1216" spans="1:25" s="1280" customFormat="1">
      <c r="A1216" s="1281">
        <v>314</v>
      </c>
      <c r="B1216" s="1267" t="s">
        <v>1948</v>
      </c>
      <c r="C1216" s="1268">
        <f t="shared" si="487"/>
        <v>2401149</v>
      </c>
      <c r="D1216" s="1268">
        <f t="shared" si="488"/>
        <v>0</v>
      </c>
      <c r="E1216" s="1268">
        <v>0</v>
      </c>
      <c r="F1216" s="1268">
        <v>0</v>
      </c>
      <c r="G1216" s="1268">
        <v>0</v>
      </c>
      <c r="H1216" s="1268">
        <v>0</v>
      </c>
      <c r="I1216" s="1268">
        <v>0</v>
      </c>
      <c r="J1216" s="1268">
        <v>0</v>
      </c>
      <c r="K1216" s="1278">
        <v>0</v>
      </c>
      <c r="L1216" s="1268">
        <v>0</v>
      </c>
      <c r="M1216" s="1278">
        <v>0</v>
      </c>
      <c r="N1216" s="1268">
        <v>0</v>
      </c>
      <c r="O1216" s="1268">
        <v>883.7</v>
      </c>
      <c r="P1216" s="1268">
        <v>2226742</v>
      </c>
      <c r="Q1216" s="1268">
        <v>0</v>
      </c>
      <c r="R1216" s="1268">
        <v>0</v>
      </c>
      <c r="S1216" s="1268">
        <v>0</v>
      </c>
      <c r="T1216" s="1268">
        <v>0</v>
      </c>
      <c r="U1216" s="1268">
        <v>0</v>
      </c>
      <c r="V1216" s="1268">
        <v>0</v>
      </c>
      <c r="W1216" s="1316">
        <v>0</v>
      </c>
      <c r="X1216" s="1268">
        <v>174407</v>
      </c>
      <c r="Y1216" s="1268">
        <v>0</v>
      </c>
    </row>
    <row r="1217" spans="1:25" s="1280" customFormat="1">
      <c r="A1217" s="1281">
        <v>315</v>
      </c>
      <c r="B1217" s="1267" t="s">
        <v>1949</v>
      </c>
      <c r="C1217" s="1268">
        <f t="shared" si="487"/>
        <v>1776821</v>
      </c>
      <c r="D1217" s="1268">
        <f t="shared" si="488"/>
        <v>0</v>
      </c>
      <c r="E1217" s="1268">
        <v>0</v>
      </c>
      <c r="F1217" s="1268">
        <v>0</v>
      </c>
      <c r="G1217" s="1268">
        <v>0</v>
      </c>
      <c r="H1217" s="1268">
        <v>0</v>
      </c>
      <c r="I1217" s="1268">
        <v>0</v>
      </c>
      <c r="J1217" s="1268">
        <v>0</v>
      </c>
      <c r="K1217" s="1278">
        <v>0</v>
      </c>
      <c r="L1217" s="1268">
        <v>0</v>
      </c>
      <c r="M1217" s="1278">
        <v>0</v>
      </c>
      <c r="N1217" s="1268">
        <v>0</v>
      </c>
      <c r="O1217" s="1268">
        <v>445.4</v>
      </c>
      <c r="P1217" s="1268">
        <v>1647762</v>
      </c>
      <c r="Q1217" s="1268">
        <v>0</v>
      </c>
      <c r="R1217" s="1268">
        <v>0</v>
      </c>
      <c r="S1217" s="1268">
        <v>0</v>
      </c>
      <c r="T1217" s="1268">
        <v>0</v>
      </c>
      <c r="U1217" s="1268">
        <v>0</v>
      </c>
      <c r="V1217" s="1268">
        <v>0</v>
      </c>
      <c r="W1217" s="1316">
        <v>0</v>
      </c>
      <c r="X1217" s="1268">
        <v>129059</v>
      </c>
      <c r="Y1217" s="1268">
        <v>0</v>
      </c>
    </row>
    <row r="1218" spans="1:25" s="1280" customFormat="1">
      <c r="A1218" s="1281">
        <v>316</v>
      </c>
      <c r="B1218" s="1267" t="s">
        <v>1993</v>
      </c>
      <c r="C1218" s="1268">
        <f t="shared" si="487"/>
        <v>3015490</v>
      </c>
      <c r="D1218" s="1268">
        <f t="shared" si="488"/>
        <v>0</v>
      </c>
      <c r="E1218" s="1268">
        <v>0</v>
      </c>
      <c r="F1218" s="1268">
        <v>0</v>
      </c>
      <c r="G1218" s="1268">
        <v>0</v>
      </c>
      <c r="H1218" s="1268">
        <v>0</v>
      </c>
      <c r="I1218" s="1268">
        <v>0</v>
      </c>
      <c r="J1218" s="1268">
        <v>0</v>
      </c>
      <c r="K1218" s="1278">
        <v>0</v>
      </c>
      <c r="L1218" s="1268">
        <v>0</v>
      </c>
      <c r="M1218" s="1278">
        <v>0</v>
      </c>
      <c r="N1218" s="1268">
        <v>0</v>
      </c>
      <c r="O1218" s="1268">
        <v>755.9</v>
      </c>
      <c r="P1218" s="1268">
        <v>2796460</v>
      </c>
      <c r="Q1218" s="1268">
        <v>0</v>
      </c>
      <c r="R1218" s="1268">
        <v>0</v>
      </c>
      <c r="S1218" s="1268">
        <v>0</v>
      </c>
      <c r="T1218" s="1268">
        <v>0</v>
      </c>
      <c r="U1218" s="1268">
        <v>0</v>
      </c>
      <c r="V1218" s="1268">
        <v>0</v>
      </c>
      <c r="W1218" s="1316">
        <v>0</v>
      </c>
      <c r="X1218" s="1268">
        <v>219030</v>
      </c>
      <c r="Y1218" s="1268">
        <v>0</v>
      </c>
    </row>
    <row r="1219" spans="1:25" s="1280" customFormat="1">
      <c r="A1219" s="1281">
        <v>317</v>
      </c>
      <c r="B1219" s="1267" t="s">
        <v>1039</v>
      </c>
      <c r="C1219" s="1268">
        <f t="shared" si="487"/>
        <v>2452124</v>
      </c>
      <c r="D1219" s="1268">
        <f t="shared" si="488"/>
        <v>0</v>
      </c>
      <c r="E1219" s="1268">
        <v>0</v>
      </c>
      <c r="F1219" s="1268">
        <v>0</v>
      </c>
      <c r="G1219" s="1268">
        <v>0</v>
      </c>
      <c r="H1219" s="1268">
        <v>0</v>
      </c>
      <c r="I1219" s="1268">
        <v>0</v>
      </c>
      <c r="J1219" s="1268">
        <v>0</v>
      </c>
      <c r="K1219" s="1278">
        <v>0</v>
      </c>
      <c r="L1219" s="1268">
        <v>0</v>
      </c>
      <c r="M1219" s="1278">
        <v>0</v>
      </c>
      <c r="N1219" s="1268">
        <v>0</v>
      </c>
      <c r="O1219" s="1268">
        <v>502</v>
      </c>
      <c r="P1219" s="1268">
        <v>2274014</v>
      </c>
      <c r="Q1219" s="1268">
        <v>0</v>
      </c>
      <c r="R1219" s="1268">
        <v>0</v>
      </c>
      <c r="S1219" s="1268">
        <v>0</v>
      </c>
      <c r="T1219" s="1268">
        <v>0</v>
      </c>
      <c r="U1219" s="1268">
        <v>0</v>
      </c>
      <c r="V1219" s="1268">
        <v>0</v>
      </c>
      <c r="W1219" s="1316">
        <v>0</v>
      </c>
      <c r="X1219" s="1268">
        <v>178110</v>
      </c>
      <c r="Y1219" s="1268">
        <v>0</v>
      </c>
    </row>
    <row r="1220" spans="1:25" s="1280" customFormat="1">
      <c r="A1220" s="1281">
        <v>318</v>
      </c>
      <c r="B1220" s="1267" t="s">
        <v>973</v>
      </c>
      <c r="C1220" s="1268">
        <f t="shared" si="487"/>
        <v>4248573</v>
      </c>
      <c r="D1220" s="1268">
        <f t="shared" si="488"/>
        <v>0</v>
      </c>
      <c r="E1220" s="1268">
        <v>0</v>
      </c>
      <c r="F1220" s="1268">
        <v>0</v>
      </c>
      <c r="G1220" s="1268">
        <v>0</v>
      </c>
      <c r="H1220" s="1268">
        <v>0</v>
      </c>
      <c r="I1220" s="1268">
        <v>0</v>
      </c>
      <c r="J1220" s="1268">
        <v>0</v>
      </c>
      <c r="K1220" s="1278">
        <v>0</v>
      </c>
      <c r="L1220" s="1268">
        <v>0</v>
      </c>
      <c r="M1220" s="1278">
        <v>0</v>
      </c>
      <c r="N1220" s="1268">
        <v>0</v>
      </c>
      <c r="O1220" s="1268">
        <v>1065</v>
      </c>
      <c r="P1220" s="1268">
        <v>3939979</v>
      </c>
      <c r="Q1220" s="1268">
        <v>0</v>
      </c>
      <c r="R1220" s="1268">
        <v>0</v>
      </c>
      <c r="S1220" s="1268">
        <v>0</v>
      </c>
      <c r="T1220" s="1268">
        <v>0</v>
      </c>
      <c r="U1220" s="1268">
        <v>0</v>
      </c>
      <c r="V1220" s="1268">
        <v>0</v>
      </c>
      <c r="W1220" s="1316">
        <v>0</v>
      </c>
      <c r="X1220" s="1268">
        <v>308594</v>
      </c>
      <c r="Y1220" s="1268">
        <v>0</v>
      </c>
    </row>
    <row r="1221" spans="1:25" s="1280" customFormat="1">
      <c r="A1221" s="1281">
        <v>319</v>
      </c>
      <c r="B1221" s="1267" t="s">
        <v>1620</v>
      </c>
      <c r="C1221" s="1268">
        <f t="shared" si="487"/>
        <v>3545886</v>
      </c>
      <c r="D1221" s="1268">
        <f t="shared" si="488"/>
        <v>0</v>
      </c>
      <c r="E1221" s="1268">
        <v>0</v>
      </c>
      <c r="F1221" s="1268">
        <v>0</v>
      </c>
      <c r="G1221" s="1268">
        <v>0</v>
      </c>
      <c r="H1221" s="1268">
        <v>0</v>
      </c>
      <c r="I1221" s="1268">
        <v>0</v>
      </c>
      <c r="J1221" s="1268">
        <v>0</v>
      </c>
      <c r="K1221" s="1278">
        <v>0</v>
      </c>
      <c r="L1221" s="1268">
        <v>0</v>
      </c>
      <c r="M1221" s="1278">
        <v>0</v>
      </c>
      <c r="N1221" s="1268">
        <v>0</v>
      </c>
      <c r="O1221" s="1268">
        <v>1305</v>
      </c>
      <c r="P1221" s="1268">
        <v>3288331</v>
      </c>
      <c r="Q1221" s="1268">
        <v>0</v>
      </c>
      <c r="R1221" s="1268">
        <v>0</v>
      </c>
      <c r="S1221" s="1268">
        <v>0</v>
      </c>
      <c r="T1221" s="1268">
        <v>0</v>
      </c>
      <c r="U1221" s="1268">
        <v>0</v>
      </c>
      <c r="V1221" s="1268">
        <v>0</v>
      </c>
      <c r="W1221" s="1316">
        <v>0</v>
      </c>
      <c r="X1221" s="1268">
        <v>257555</v>
      </c>
      <c r="Y1221" s="1268">
        <v>0</v>
      </c>
    </row>
    <row r="1222" spans="1:25" s="1280" customFormat="1" ht="75.599999999999994">
      <c r="A1222" s="1281">
        <v>320</v>
      </c>
      <c r="B1222" s="1267" t="s">
        <v>2545</v>
      </c>
      <c r="C1222" s="1268">
        <f t="shared" si="487"/>
        <v>2579122</v>
      </c>
      <c r="D1222" s="1268">
        <f t="shared" si="488"/>
        <v>0</v>
      </c>
      <c r="E1222" s="1268">
        <v>0</v>
      </c>
      <c r="F1222" s="1268">
        <v>0</v>
      </c>
      <c r="G1222" s="1268">
        <v>0</v>
      </c>
      <c r="H1222" s="1268">
        <v>0</v>
      </c>
      <c r="I1222" s="1268">
        <v>0</v>
      </c>
      <c r="J1222" s="1268">
        <v>0</v>
      </c>
      <c r="K1222" s="1278">
        <v>0</v>
      </c>
      <c r="L1222" s="1268">
        <v>0</v>
      </c>
      <c r="M1222" s="1278">
        <v>0</v>
      </c>
      <c r="N1222" s="1268">
        <v>0</v>
      </c>
      <c r="O1222" s="1268">
        <v>949.2</v>
      </c>
      <c r="P1222" s="1268">
        <v>2391788</v>
      </c>
      <c r="Q1222" s="1268">
        <v>0</v>
      </c>
      <c r="R1222" s="1268">
        <v>0</v>
      </c>
      <c r="S1222" s="1268">
        <v>0</v>
      </c>
      <c r="T1222" s="1268">
        <v>0</v>
      </c>
      <c r="U1222" s="1268">
        <v>0</v>
      </c>
      <c r="V1222" s="1268">
        <v>0</v>
      </c>
      <c r="W1222" s="1316">
        <v>0</v>
      </c>
      <c r="X1222" s="1268">
        <v>187334</v>
      </c>
      <c r="Y1222" s="1268">
        <v>0</v>
      </c>
    </row>
    <row r="1223" spans="1:25" s="1280" customFormat="1" ht="75.599999999999994">
      <c r="A1223" s="1281">
        <v>321</v>
      </c>
      <c r="B1223" s="1267" t="s">
        <v>2546</v>
      </c>
      <c r="C1223" s="1268">
        <f t="shared" si="487"/>
        <v>1468917.79</v>
      </c>
      <c r="D1223" s="1268">
        <f t="shared" si="488"/>
        <v>0</v>
      </c>
      <c r="E1223" s="1268">
        <v>0</v>
      </c>
      <c r="F1223" s="1268">
        <v>0</v>
      </c>
      <c r="G1223" s="1268">
        <v>0</v>
      </c>
      <c r="H1223" s="1268">
        <v>0</v>
      </c>
      <c r="I1223" s="1268">
        <v>0</v>
      </c>
      <c r="J1223" s="1268">
        <v>0</v>
      </c>
      <c r="K1223" s="1278">
        <v>0</v>
      </c>
      <c r="L1223" s="1268">
        <v>0</v>
      </c>
      <c r="M1223" s="1278">
        <v>0</v>
      </c>
      <c r="N1223" s="1268">
        <v>0</v>
      </c>
      <c r="O1223" s="1268">
        <v>434</v>
      </c>
      <c r="P1223" s="1268">
        <v>1362222.79</v>
      </c>
      <c r="Q1223" s="1268">
        <v>0</v>
      </c>
      <c r="R1223" s="1268">
        <v>0</v>
      </c>
      <c r="S1223" s="1268">
        <v>0</v>
      </c>
      <c r="T1223" s="1268">
        <v>0</v>
      </c>
      <c r="U1223" s="1268">
        <v>0</v>
      </c>
      <c r="V1223" s="1268">
        <v>0</v>
      </c>
      <c r="W1223" s="1316">
        <v>0</v>
      </c>
      <c r="X1223" s="1268">
        <v>106695</v>
      </c>
      <c r="Y1223" s="1268">
        <v>0</v>
      </c>
    </row>
    <row r="1224" spans="1:25" s="1280" customFormat="1" ht="75.599999999999994">
      <c r="A1224" s="1281">
        <v>322</v>
      </c>
      <c r="B1224" s="1267" t="s">
        <v>2547</v>
      </c>
      <c r="C1224" s="1268">
        <f t="shared" si="487"/>
        <v>1468917.79</v>
      </c>
      <c r="D1224" s="1268">
        <f t="shared" si="488"/>
        <v>0</v>
      </c>
      <c r="E1224" s="1268">
        <v>0</v>
      </c>
      <c r="F1224" s="1268">
        <v>0</v>
      </c>
      <c r="G1224" s="1268">
        <v>0</v>
      </c>
      <c r="H1224" s="1268">
        <v>0</v>
      </c>
      <c r="I1224" s="1268">
        <v>0</v>
      </c>
      <c r="J1224" s="1268">
        <v>0</v>
      </c>
      <c r="K1224" s="1278">
        <v>0</v>
      </c>
      <c r="L1224" s="1268">
        <v>0</v>
      </c>
      <c r="M1224" s="1278">
        <v>0</v>
      </c>
      <c r="N1224" s="1268">
        <v>0</v>
      </c>
      <c r="O1224" s="1268">
        <v>434</v>
      </c>
      <c r="P1224" s="1268">
        <v>1362222.79</v>
      </c>
      <c r="Q1224" s="1268">
        <v>0</v>
      </c>
      <c r="R1224" s="1268">
        <v>0</v>
      </c>
      <c r="S1224" s="1268">
        <v>0</v>
      </c>
      <c r="T1224" s="1268">
        <v>0</v>
      </c>
      <c r="U1224" s="1268">
        <v>0</v>
      </c>
      <c r="V1224" s="1268">
        <v>0</v>
      </c>
      <c r="W1224" s="1316">
        <v>0</v>
      </c>
      <c r="X1224" s="1268">
        <v>106695</v>
      </c>
      <c r="Y1224" s="1268">
        <v>0</v>
      </c>
    </row>
    <row r="1225" spans="1:25" s="1280" customFormat="1" ht="75.599999999999994">
      <c r="A1225" s="1394">
        <v>323</v>
      </c>
      <c r="B1225" s="1267" t="s">
        <v>2548</v>
      </c>
      <c r="C1225" s="1268">
        <f t="shared" si="487"/>
        <v>2966819.77</v>
      </c>
      <c r="D1225" s="1268">
        <f t="shared" si="488"/>
        <v>0</v>
      </c>
      <c r="E1225" s="1268">
        <v>0</v>
      </c>
      <c r="F1225" s="1268">
        <v>0</v>
      </c>
      <c r="G1225" s="1268">
        <v>0</v>
      </c>
      <c r="H1225" s="1268">
        <v>0</v>
      </c>
      <c r="I1225" s="1268">
        <v>0</v>
      </c>
      <c r="J1225" s="1268">
        <v>0</v>
      </c>
      <c r="K1225" s="1278">
        <v>0</v>
      </c>
      <c r="L1225" s="1268">
        <v>0</v>
      </c>
      <c r="M1225" s="1278">
        <v>0</v>
      </c>
      <c r="N1225" s="1268">
        <v>0</v>
      </c>
      <c r="O1225" s="1268">
        <v>743.7</v>
      </c>
      <c r="P1225" s="1268">
        <v>2751325.77</v>
      </c>
      <c r="Q1225" s="1268">
        <v>0</v>
      </c>
      <c r="R1225" s="1268">
        <v>0</v>
      </c>
      <c r="S1225" s="1268">
        <v>0</v>
      </c>
      <c r="T1225" s="1268">
        <v>0</v>
      </c>
      <c r="U1225" s="1268">
        <v>0</v>
      </c>
      <c r="V1225" s="1268">
        <v>0</v>
      </c>
      <c r="W1225" s="1268">
        <v>0</v>
      </c>
      <c r="X1225" s="1268">
        <v>215494</v>
      </c>
      <c r="Y1225" s="1268">
        <v>0</v>
      </c>
    </row>
    <row r="1226" spans="1:25" s="1280" customFormat="1" ht="75.599999999999994">
      <c r="A1226" s="1281"/>
      <c r="B1226" s="1267" t="s">
        <v>1072</v>
      </c>
      <c r="C1226" s="1268">
        <f>C1227+C1228+C1229</f>
        <v>1785657</v>
      </c>
      <c r="D1226" s="1268">
        <f t="shared" ref="D1226:Y1226" si="489">D1227+D1228+D1229</f>
        <v>1665238.4100000001</v>
      </c>
      <c r="E1226" s="1268">
        <f t="shared" si="489"/>
        <v>0</v>
      </c>
      <c r="F1226" s="1268">
        <f t="shared" si="489"/>
        <v>1016511.23</v>
      </c>
      <c r="G1226" s="1268">
        <f t="shared" si="489"/>
        <v>0</v>
      </c>
      <c r="H1226" s="1268">
        <f t="shared" si="489"/>
        <v>648727.18000000005</v>
      </c>
      <c r="I1226" s="1268">
        <f t="shared" si="489"/>
        <v>0</v>
      </c>
      <c r="J1226" s="1268">
        <f t="shared" si="489"/>
        <v>0</v>
      </c>
      <c r="K1226" s="1278">
        <f t="shared" si="489"/>
        <v>0</v>
      </c>
      <c r="L1226" s="1268">
        <f t="shared" si="489"/>
        <v>0</v>
      </c>
      <c r="M1226" s="1278">
        <f t="shared" si="489"/>
        <v>0</v>
      </c>
      <c r="N1226" s="1268">
        <f t="shared" si="489"/>
        <v>0</v>
      </c>
      <c r="O1226" s="1268">
        <f t="shared" si="489"/>
        <v>0</v>
      </c>
      <c r="P1226" s="1268">
        <f t="shared" si="489"/>
        <v>0</v>
      </c>
      <c r="Q1226" s="1268">
        <f t="shared" si="489"/>
        <v>0</v>
      </c>
      <c r="R1226" s="1268">
        <f t="shared" si="489"/>
        <v>0</v>
      </c>
      <c r="S1226" s="1268">
        <f t="shared" si="489"/>
        <v>0</v>
      </c>
      <c r="T1226" s="1268">
        <f t="shared" si="489"/>
        <v>0</v>
      </c>
      <c r="U1226" s="1268">
        <f t="shared" si="489"/>
        <v>0</v>
      </c>
      <c r="V1226" s="1268">
        <f t="shared" si="489"/>
        <v>0</v>
      </c>
      <c r="W1226" s="1316">
        <v>0</v>
      </c>
      <c r="X1226" s="1268">
        <f t="shared" si="489"/>
        <v>120418.59</v>
      </c>
      <c r="Y1226" s="1268">
        <f t="shared" si="489"/>
        <v>0</v>
      </c>
    </row>
    <row r="1227" spans="1:25" s="1280" customFormat="1">
      <c r="A1227" s="1281">
        <v>324</v>
      </c>
      <c r="B1227" s="1267" t="s">
        <v>645</v>
      </c>
      <c r="C1227" s="1268">
        <f t="shared" ref="C1227" si="490">D1227+N1227+P1227+R1227+T1227+V1227+X1227</f>
        <v>494147</v>
      </c>
      <c r="D1227" s="1268">
        <f t="shared" ref="D1227" si="491">SUM(E1227:J1227)</f>
        <v>467537.23</v>
      </c>
      <c r="E1227" s="1268">
        <v>0</v>
      </c>
      <c r="F1227" s="1268">
        <v>467537.23</v>
      </c>
      <c r="G1227" s="1268">
        <v>0</v>
      </c>
      <c r="H1227" s="1268">
        <v>0</v>
      </c>
      <c r="I1227" s="1268">
        <v>0</v>
      </c>
      <c r="J1227" s="1268">
        <v>0</v>
      </c>
      <c r="K1227" s="1278">
        <v>0</v>
      </c>
      <c r="L1227" s="1268">
        <v>0</v>
      </c>
      <c r="M1227" s="1278">
        <v>0</v>
      </c>
      <c r="N1227" s="1268">
        <v>0</v>
      </c>
      <c r="O1227" s="1268">
        <v>0</v>
      </c>
      <c r="P1227" s="1268">
        <v>0</v>
      </c>
      <c r="Q1227" s="1268">
        <v>0</v>
      </c>
      <c r="R1227" s="1268">
        <v>0</v>
      </c>
      <c r="S1227" s="1268">
        <v>0</v>
      </c>
      <c r="T1227" s="1268">
        <v>0</v>
      </c>
      <c r="U1227" s="1268">
        <v>0</v>
      </c>
      <c r="V1227" s="1268">
        <v>0</v>
      </c>
      <c r="W1227" s="1316">
        <v>0</v>
      </c>
      <c r="X1227" s="1268">
        <v>26609.77</v>
      </c>
      <c r="Y1227" s="1268">
        <v>0</v>
      </c>
    </row>
    <row r="1228" spans="1:25" s="1280" customFormat="1">
      <c r="A1228" s="1281">
        <v>325</v>
      </c>
      <c r="B1228" s="1267" t="s">
        <v>647</v>
      </c>
      <c r="C1228" s="1268">
        <f t="shared" ref="C1228:C1229" si="492">D1228+N1228+P1228+R1228+T1228+V1228+X1228</f>
        <v>591972</v>
      </c>
      <c r="D1228" s="1268">
        <f t="shared" ref="D1228:D1229" si="493">SUM(E1228:J1228)</f>
        <v>548974</v>
      </c>
      <c r="E1228" s="1268">
        <v>0</v>
      </c>
      <c r="F1228" s="1268">
        <v>548974</v>
      </c>
      <c r="G1228" s="1268">
        <v>0</v>
      </c>
      <c r="H1228" s="1268">
        <v>0</v>
      </c>
      <c r="I1228" s="1268">
        <v>0</v>
      </c>
      <c r="J1228" s="1268">
        <v>0</v>
      </c>
      <c r="K1228" s="1278">
        <v>0</v>
      </c>
      <c r="L1228" s="1268">
        <v>0</v>
      </c>
      <c r="M1228" s="1278">
        <v>0</v>
      </c>
      <c r="N1228" s="1268">
        <v>0</v>
      </c>
      <c r="O1228" s="1268">
        <v>0</v>
      </c>
      <c r="P1228" s="1268">
        <v>0</v>
      </c>
      <c r="Q1228" s="1268">
        <v>0</v>
      </c>
      <c r="R1228" s="1268">
        <v>0</v>
      </c>
      <c r="S1228" s="1268">
        <v>0</v>
      </c>
      <c r="T1228" s="1268">
        <v>0</v>
      </c>
      <c r="U1228" s="1268">
        <v>0</v>
      </c>
      <c r="V1228" s="1268">
        <v>0</v>
      </c>
      <c r="W1228" s="1316">
        <v>0</v>
      </c>
      <c r="X1228" s="1268">
        <v>42998</v>
      </c>
      <c r="Y1228" s="1268">
        <v>0</v>
      </c>
    </row>
    <row r="1229" spans="1:25" s="1280" customFormat="1">
      <c r="A1229" s="1281">
        <v>326</v>
      </c>
      <c r="B1229" s="1267" t="s">
        <v>1994</v>
      </c>
      <c r="C1229" s="1268">
        <f t="shared" si="492"/>
        <v>699538</v>
      </c>
      <c r="D1229" s="1268">
        <f t="shared" si="493"/>
        <v>648727.18000000005</v>
      </c>
      <c r="E1229" s="1268">
        <v>0</v>
      </c>
      <c r="F1229" s="1268">
        <v>0</v>
      </c>
      <c r="G1229" s="1268">
        <v>0</v>
      </c>
      <c r="H1229" s="1268">
        <v>648727.18000000005</v>
      </c>
      <c r="I1229" s="1268">
        <v>0</v>
      </c>
      <c r="J1229" s="1268">
        <v>0</v>
      </c>
      <c r="K1229" s="1278">
        <v>0</v>
      </c>
      <c r="L1229" s="1268">
        <v>0</v>
      </c>
      <c r="M1229" s="1278">
        <v>0</v>
      </c>
      <c r="N1229" s="1268">
        <v>0</v>
      </c>
      <c r="O1229" s="1268">
        <v>0</v>
      </c>
      <c r="P1229" s="1268">
        <v>0</v>
      </c>
      <c r="Q1229" s="1268">
        <v>0</v>
      </c>
      <c r="R1229" s="1268">
        <v>0</v>
      </c>
      <c r="S1229" s="1268">
        <v>0</v>
      </c>
      <c r="T1229" s="1268">
        <v>0</v>
      </c>
      <c r="U1229" s="1268">
        <v>0</v>
      </c>
      <c r="V1229" s="1268">
        <v>0</v>
      </c>
      <c r="W1229" s="1316">
        <v>0</v>
      </c>
      <c r="X1229" s="1268">
        <v>50810.82</v>
      </c>
      <c r="Y1229" s="1268">
        <v>0</v>
      </c>
    </row>
    <row r="1230" spans="1:25" s="1280" customFormat="1" ht="75.599999999999994">
      <c r="A1230" s="1281"/>
      <c r="B1230" s="1267" t="s">
        <v>1073</v>
      </c>
      <c r="C1230" s="1268">
        <f>SUM(C1231:C1303)</f>
        <v>247910143.35000002</v>
      </c>
      <c r="D1230" s="1268">
        <f t="shared" ref="D1230:Y1230" si="494">SUM(D1231:D1303)</f>
        <v>0</v>
      </c>
      <c r="E1230" s="1268">
        <f t="shared" si="494"/>
        <v>0</v>
      </c>
      <c r="F1230" s="1268">
        <f t="shared" si="494"/>
        <v>0</v>
      </c>
      <c r="G1230" s="1268">
        <f t="shared" si="494"/>
        <v>0</v>
      </c>
      <c r="H1230" s="1268">
        <f t="shared" si="494"/>
        <v>0</v>
      </c>
      <c r="I1230" s="1268">
        <f t="shared" si="494"/>
        <v>0</v>
      </c>
      <c r="J1230" s="1268">
        <f t="shared" si="494"/>
        <v>0</v>
      </c>
      <c r="K1230" s="1278">
        <f t="shared" si="494"/>
        <v>0</v>
      </c>
      <c r="L1230" s="1268">
        <f t="shared" si="494"/>
        <v>0</v>
      </c>
      <c r="M1230" s="1278">
        <f t="shared" si="494"/>
        <v>2</v>
      </c>
      <c r="N1230" s="1268">
        <f t="shared" si="494"/>
        <v>3643730.23</v>
      </c>
      <c r="O1230" s="1268">
        <f t="shared" si="494"/>
        <v>34719.24</v>
      </c>
      <c r="P1230" s="1268">
        <f t="shared" si="494"/>
        <v>102180797.14</v>
      </c>
      <c r="Q1230" s="1268">
        <f t="shared" si="494"/>
        <v>0</v>
      </c>
      <c r="R1230" s="1268">
        <f t="shared" si="494"/>
        <v>0</v>
      </c>
      <c r="S1230" s="1268">
        <f t="shared" si="494"/>
        <v>50613.7</v>
      </c>
      <c r="T1230" s="1268">
        <f t="shared" si="494"/>
        <v>124774585.23999998</v>
      </c>
      <c r="U1230" s="1268">
        <f t="shared" si="494"/>
        <v>0</v>
      </c>
      <c r="V1230" s="1268">
        <f t="shared" si="494"/>
        <v>0</v>
      </c>
      <c r="W1230" s="1316">
        <v>0</v>
      </c>
      <c r="X1230" s="1268">
        <f t="shared" si="494"/>
        <v>17311030.739999998</v>
      </c>
      <c r="Y1230" s="1268">
        <f t="shared" si="494"/>
        <v>0</v>
      </c>
    </row>
    <row r="1231" spans="1:25" s="1280" customFormat="1" ht="75.599999999999994">
      <c r="A1231" s="1281">
        <v>327</v>
      </c>
      <c r="B1231" s="1358" t="s">
        <v>2549</v>
      </c>
      <c r="C1231" s="1268">
        <f t="shared" ref="C1231" si="495">D1231+N1231+P1231+R1231+T1231+V1231+X1231</f>
        <v>2149116.9500000002</v>
      </c>
      <c r="D1231" s="1268">
        <f t="shared" ref="D1231" si="496">SUM(E1231:J1231)</f>
        <v>0</v>
      </c>
      <c r="E1231" s="1268">
        <v>0</v>
      </c>
      <c r="F1231" s="1268">
        <v>0</v>
      </c>
      <c r="G1231" s="1268">
        <v>0</v>
      </c>
      <c r="H1231" s="1268">
        <v>0</v>
      </c>
      <c r="I1231" s="1268">
        <v>0</v>
      </c>
      <c r="J1231" s="1268">
        <v>0</v>
      </c>
      <c r="K1231" s="1278">
        <v>0</v>
      </c>
      <c r="L1231" s="1268">
        <v>0</v>
      </c>
      <c r="M1231" s="1278">
        <v>0</v>
      </c>
      <c r="N1231" s="1268">
        <v>0</v>
      </c>
      <c r="O1231" s="1268">
        <v>654</v>
      </c>
      <c r="P1231" s="1268">
        <v>2052750</v>
      </c>
      <c r="Q1231" s="1268">
        <v>0</v>
      </c>
      <c r="R1231" s="1268">
        <v>0</v>
      </c>
      <c r="S1231" s="1268">
        <v>0</v>
      </c>
      <c r="T1231" s="1268">
        <v>0</v>
      </c>
      <c r="U1231" s="1268">
        <v>0</v>
      </c>
      <c r="V1231" s="1268">
        <v>0</v>
      </c>
      <c r="W1231" s="1316">
        <v>0</v>
      </c>
      <c r="X1231" s="1268">
        <v>96366.95</v>
      </c>
      <c r="Y1231" s="1268">
        <v>0</v>
      </c>
    </row>
    <row r="1232" spans="1:25" s="1280" customFormat="1">
      <c r="A1232" s="1281">
        <v>328</v>
      </c>
      <c r="B1232" s="1277" t="s">
        <v>1124</v>
      </c>
      <c r="C1232" s="1268">
        <f t="shared" ref="C1232:C1295" si="497">D1232+N1232+P1232+R1232+T1232+V1232+X1232</f>
        <v>2009956.76</v>
      </c>
      <c r="D1232" s="1268">
        <f t="shared" ref="D1232:D1295" si="498">SUM(E1232:J1232)</f>
        <v>0</v>
      </c>
      <c r="E1232" s="1268">
        <v>0</v>
      </c>
      <c r="F1232" s="1268">
        <v>0</v>
      </c>
      <c r="G1232" s="1268">
        <v>0</v>
      </c>
      <c r="H1232" s="1268">
        <v>0</v>
      </c>
      <c r="I1232" s="1268">
        <v>0</v>
      </c>
      <c r="J1232" s="1268">
        <v>0</v>
      </c>
      <c r="K1232" s="1278">
        <v>0</v>
      </c>
      <c r="L1232" s="1268">
        <v>0</v>
      </c>
      <c r="M1232" s="1278">
        <v>0</v>
      </c>
      <c r="N1232" s="1268">
        <v>0</v>
      </c>
      <c r="O1232" s="1268">
        <v>612</v>
      </c>
      <c r="P1232" s="1268">
        <v>1920922</v>
      </c>
      <c r="Q1232" s="1268">
        <v>0</v>
      </c>
      <c r="R1232" s="1268">
        <v>0</v>
      </c>
      <c r="S1232" s="1268">
        <v>0</v>
      </c>
      <c r="T1232" s="1268">
        <v>0</v>
      </c>
      <c r="U1232" s="1268">
        <v>0</v>
      </c>
      <c r="V1232" s="1268">
        <v>0</v>
      </c>
      <c r="W1232" s="1316">
        <v>0</v>
      </c>
      <c r="X1232" s="1268">
        <v>89034.76</v>
      </c>
      <c r="Y1232" s="1268">
        <v>0</v>
      </c>
    </row>
    <row r="1233" spans="1:25" s="1280" customFormat="1">
      <c r="A1233" s="1281">
        <v>329</v>
      </c>
      <c r="B1233" s="1277" t="s">
        <v>771</v>
      </c>
      <c r="C1233" s="1268">
        <f t="shared" si="497"/>
        <v>2759971.39</v>
      </c>
      <c r="D1233" s="1268">
        <f t="shared" si="498"/>
        <v>0</v>
      </c>
      <c r="E1233" s="1268">
        <v>0</v>
      </c>
      <c r="F1233" s="1268">
        <v>0</v>
      </c>
      <c r="G1233" s="1268">
        <v>0</v>
      </c>
      <c r="H1233" s="1268">
        <v>0</v>
      </c>
      <c r="I1233" s="1268">
        <v>0</v>
      </c>
      <c r="J1233" s="1268">
        <v>0</v>
      </c>
      <c r="K1233" s="1278">
        <v>0</v>
      </c>
      <c r="L1233" s="1268">
        <v>0</v>
      </c>
      <c r="M1233" s="1278">
        <v>0</v>
      </c>
      <c r="N1233" s="1268">
        <v>0</v>
      </c>
      <c r="O1233" s="1268">
        <v>839.9</v>
      </c>
      <c r="P1233" s="1268">
        <v>2636309</v>
      </c>
      <c r="Q1233" s="1268">
        <v>0</v>
      </c>
      <c r="R1233" s="1268">
        <v>0</v>
      </c>
      <c r="S1233" s="1268">
        <v>0</v>
      </c>
      <c r="T1233" s="1268">
        <v>0</v>
      </c>
      <c r="U1233" s="1268">
        <v>0</v>
      </c>
      <c r="V1233" s="1268">
        <v>0</v>
      </c>
      <c r="W1233" s="1316">
        <v>0</v>
      </c>
      <c r="X1233" s="1268">
        <v>123662.39</v>
      </c>
      <c r="Y1233" s="1268">
        <v>0</v>
      </c>
    </row>
    <row r="1234" spans="1:25" s="1280" customFormat="1">
      <c r="A1234" s="1281">
        <v>330</v>
      </c>
      <c r="B1234" s="1277" t="s">
        <v>1125</v>
      </c>
      <c r="C1234" s="1268">
        <f t="shared" si="497"/>
        <v>4023969.09</v>
      </c>
      <c r="D1234" s="1268">
        <f t="shared" si="498"/>
        <v>0</v>
      </c>
      <c r="E1234" s="1268">
        <v>0</v>
      </c>
      <c r="F1234" s="1268">
        <v>0</v>
      </c>
      <c r="G1234" s="1268">
        <v>0</v>
      </c>
      <c r="H1234" s="1268">
        <v>0</v>
      </c>
      <c r="I1234" s="1268">
        <v>0</v>
      </c>
      <c r="J1234" s="1268">
        <v>0</v>
      </c>
      <c r="K1234" s="1278">
        <v>0</v>
      </c>
      <c r="L1234" s="1268">
        <v>0</v>
      </c>
      <c r="M1234" s="1278">
        <v>0</v>
      </c>
      <c r="N1234" s="1268">
        <v>0</v>
      </c>
      <c r="O1234" s="1268">
        <v>1225.2</v>
      </c>
      <c r="P1234" s="1268">
        <v>3845486</v>
      </c>
      <c r="Q1234" s="1268">
        <v>0</v>
      </c>
      <c r="R1234" s="1268">
        <v>0</v>
      </c>
      <c r="S1234" s="1268">
        <v>0</v>
      </c>
      <c r="T1234" s="1268">
        <v>0</v>
      </c>
      <c r="U1234" s="1268">
        <v>0</v>
      </c>
      <c r="V1234" s="1268">
        <v>0</v>
      </c>
      <c r="W1234" s="1316">
        <v>0</v>
      </c>
      <c r="X1234" s="1268">
        <v>178483.09</v>
      </c>
      <c r="Y1234" s="1268">
        <v>0</v>
      </c>
    </row>
    <row r="1235" spans="1:25" s="1280" customFormat="1">
      <c r="A1235" s="1281">
        <v>331</v>
      </c>
      <c r="B1235" s="1277" t="s">
        <v>357</v>
      </c>
      <c r="C1235" s="1268">
        <f t="shared" si="497"/>
        <v>2514434.98</v>
      </c>
      <c r="D1235" s="1268">
        <f t="shared" si="498"/>
        <v>0</v>
      </c>
      <c r="E1235" s="1268">
        <v>0</v>
      </c>
      <c r="F1235" s="1268">
        <v>0</v>
      </c>
      <c r="G1235" s="1268">
        <v>0</v>
      </c>
      <c r="H1235" s="1268">
        <v>0</v>
      </c>
      <c r="I1235" s="1268">
        <v>0</v>
      </c>
      <c r="J1235" s="1268">
        <v>0</v>
      </c>
      <c r="K1235" s="1278">
        <v>0</v>
      </c>
      <c r="L1235" s="1268">
        <v>0</v>
      </c>
      <c r="M1235" s="1278">
        <v>0</v>
      </c>
      <c r="N1235" s="1268">
        <v>0</v>
      </c>
      <c r="O1235" s="1268">
        <v>764.6</v>
      </c>
      <c r="P1235" s="1268">
        <v>2399804</v>
      </c>
      <c r="Q1235" s="1268">
        <v>0</v>
      </c>
      <c r="R1235" s="1268">
        <v>0</v>
      </c>
      <c r="S1235" s="1268">
        <v>0</v>
      </c>
      <c r="T1235" s="1268">
        <v>0</v>
      </c>
      <c r="U1235" s="1268">
        <v>0</v>
      </c>
      <c r="V1235" s="1268">
        <v>0</v>
      </c>
      <c r="W1235" s="1316">
        <v>0</v>
      </c>
      <c r="X1235" s="1268">
        <v>114630.98</v>
      </c>
      <c r="Y1235" s="1268">
        <v>0</v>
      </c>
    </row>
    <row r="1236" spans="1:25" s="1280" customFormat="1">
      <c r="A1236" s="1281">
        <v>332</v>
      </c>
      <c r="B1236" s="1294" t="s">
        <v>1054</v>
      </c>
      <c r="C1236" s="1268">
        <f t="shared" si="497"/>
        <v>3552093</v>
      </c>
      <c r="D1236" s="1268">
        <f t="shared" si="498"/>
        <v>0</v>
      </c>
      <c r="E1236" s="1268">
        <v>0</v>
      </c>
      <c r="F1236" s="1268">
        <v>0</v>
      </c>
      <c r="G1236" s="1268">
        <v>0</v>
      </c>
      <c r="H1236" s="1268">
        <v>0</v>
      </c>
      <c r="I1236" s="1268">
        <v>0</v>
      </c>
      <c r="J1236" s="1268">
        <v>0</v>
      </c>
      <c r="K1236" s="1278">
        <v>0</v>
      </c>
      <c r="L1236" s="1268">
        <v>0</v>
      </c>
      <c r="M1236" s="1278">
        <v>0</v>
      </c>
      <c r="N1236" s="1268">
        <v>0</v>
      </c>
      <c r="O1236" s="1268">
        <v>1135</v>
      </c>
      <c r="P1236" s="1268">
        <v>3294087.33</v>
      </c>
      <c r="Q1236" s="1268">
        <v>0</v>
      </c>
      <c r="R1236" s="1268">
        <v>0</v>
      </c>
      <c r="S1236" s="1268">
        <v>0</v>
      </c>
      <c r="T1236" s="1268">
        <v>0</v>
      </c>
      <c r="U1236" s="1268">
        <v>0</v>
      </c>
      <c r="V1236" s="1268">
        <v>0</v>
      </c>
      <c r="W1236" s="1316">
        <v>0</v>
      </c>
      <c r="X1236" s="1268">
        <v>258005.67</v>
      </c>
      <c r="Y1236" s="1268">
        <v>0</v>
      </c>
    </row>
    <row r="1237" spans="1:25" s="1280" customFormat="1" ht="75.599999999999994">
      <c r="A1237" s="1281">
        <v>333</v>
      </c>
      <c r="B1237" s="1294" t="s">
        <v>2550</v>
      </c>
      <c r="C1237" s="1268">
        <f t="shared" si="497"/>
        <v>3600852.29</v>
      </c>
      <c r="D1237" s="1268">
        <f t="shared" si="498"/>
        <v>0</v>
      </c>
      <c r="E1237" s="1268">
        <v>0</v>
      </c>
      <c r="F1237" s="1268">
        <v>0</v>
      </c>
      <c r="G1237" s="1268">
        <v>0</v>
      </c>
      <c r="H1237" s="1268">
        <v>0</v>
      </c>
      <c r="I1237" s="1268">
        <v>0</v>
      </c>
      <c r="J1237" s="1268">
        <v>0</v>
      </c>
      <c r="K1237" s="1278">
        <v>0</v>
      </c>
      <c r="L1237" s="1268">
        <v>0</v>
      </c>
      <c r="M1237" s="1278">
        <v>0</v>
      </c>
      <c r="N1237" s="1268">
        <v>0</v>
      </c>
      <c r="O1237" s="1268">
        <v>1068.5</v>
      </c>
      <c r="P1237" s="1268">
        <v>3353768</v>
      </c>
      <c r="Q1237" s="1268">
        <v>0</v>
      </c>
      <c r="R1237" s="1268">
        <v>0</v>
      </c>
      <c r="S1237" s="1268">
        <v>0</v>
      </c>
      <c r="T1237" s="1268">
        <v>0</v>
      </c>
      <c r="U1237" s="1268">
        <v>0</v>
      </c>
      <c r="V1237" s="1268">
        <v>0</v>
      </c>
      <c r="W1237" s="1316">
        <v>0</v>
      </c>
      <c r="X1237" s="1268">
        <v>247084.29</v>
      </c>
      <c r="Y1237" s="1268">
        <v>0</v>
      </c>
    </row>
    <row r="1238" spans="1:25" s="1280" customFormat="1">
      <c r="A1238" s="1281">
        <v>334</v>
      </c>
      <c r="B1238" s="1294" t="s">
        <v>1067</v>
      </c>
      <c r="C1238" s="1268">
        <f t="shared" si="497"/>
        <v>1763431</v>
      </c>
      <c r="D1238" s="1268">
        <f t="shared" si="498"/>
        <v>0</v>
      </c>
      <c r="E1238" s="1268">
        <v>0</v>
      </c>
      <c r="F1238" s="1268">
        <v>0</v>
      </c>
      <c r="G1238" s="1268">
        <v>0</v>
      </c>
      <c r="H1238" s="1268">
        <v>0</v>
      </c>
      <c r="I1238" s="1268">
        <v>0</v>
      </c>
      <c r="J1238" s="1268">
        <v>0</v>
      </c>
      <c r="K1238" s="1278">
        <v>0</v>
      </c>
      <c r="L1238" s="1268">
        <v>0</v>
      </c>
      <c r="M1238" s="1278">
        <v>0</v>
      </c>
      <c r="N1238" s="1268">
        <v>0</v>
      </c>
      <c r="O1238" s="1268">
        <v>560</v>
      </c>
      <c r="P1238" s="1268">
        <v>1635344.49</v>
      </c>
      <c r="Q1238" s="1268">
        <v>0</v>
      </c>
      <c r="R1238" s="1268">
        <v>0</v>
      </c>
      <c r="S1238" s="1268">
        <v>0</v>
      </c>
      <c r="T1238" s="1268">
        <v>0</v>
      </c>
      <c r="U1238" s="1268">
        <v>0</v>
      </c>
      <c r="V1238" s="1268">
        <v>0</v>
      </c>
      <c r="W1238" s="1316">
        <v>0</v>
      </c>
      <c r="X1238" s="1268">
        <v>128086.51</v>
      </c>
      <c r="Y1238" s="1268">
        <v>0</v>
      </c>
    </row>
    <row r="1239" spans="1:25" s="1280" customFormat="1">
      <c r="A1239" s="1281">
        <v>335</v>
      </c>
      <c r="B1239" s="1294" t="s">
        <v>1055</v>
      </c>
      <c r="C1239" s="1268">
        <f t="shared" si="497"/>
        <v>2904552.11</v>
      </c>
      <c r="D1239" s="1268">
        <f t="shared" si="498"/>
        <v>0</v>
      </c>
      <c r="E1239" s="1268">
        <v>0</v>
      </c>
      <c r="F1239" s="1268">
        <v>0</v>
      </c>
      <c r="G1239" s="1268">
        <v>0</v>
      </c>
      <c r="H1239" s="1268">
        <v>0</v>
      </c>
      <c r="I1239" s="1268">
        <v>0</v>
      </c>
      <c r="J1239" s="1268">
        <v>0</v>
      </c>
      <c r="K1239" s="1278">
        <v>0</v>
      </c>
      <c r="L1239" s="1268">
        <v>0</v>
      </c>
      <c r="M1239" s="1278">
        <v>0</v>
      </c>
      <c r="N1239" s="1268">
        <v>0</v>
      </c>
      <c r="O1239" s="1268">
        <v>1076</v>
      </c>
      <c r="P1239" s="1268">
        <v>2711298</v>
      </c>
      <c r="Q1239" s="1268">
        <v>0</v>
      </c>
      <c r="R1239" s="1268">
        <v>0</v>
      </c>
      <c r="S1239" s="1268">
        <v>0</v>
      </c>
      <c r="T1239" s="1268">
        <v>0</v>
      </c>
      <c r="U1239" s="1268">
        <v>0</v>
      </c>
      <c r="V1239" s="1268">
        <v>0</v>
      </c>
      <c r="W1239" s="1316">
        <v>0</v>
      </c>
      <c r="X1239" s="1268">
        <v>193254.11</v>
      </c>
      <c r="Y1239" s="1268">
        <v>0</v>
      </c>
    </row>
    <row r="1240" spans="1:25" s="1280" customFormat="1">
      <c r="A1240" s="1281">
        <v>336</v>
      </c>
      <c r="B1240" s="1294" t="s">
        <v>1056</v>
      </c>
      <c r="C1240" s="1268">
        <f t="shared" si="497"/>
        <v>3902737</v>
      </c>
      <c r="D1240" s="1268">
        <f t="shared" si="498"/>
        <v>0</v>
      </c>
      <c r="E1240" s="1268">
        <v>0</v>
      </c>
      <c r="F1240" s="1268">
        <v>0</v>
      </c>
      <c r="G1240" s="1268">
        <v>0</v>
      </c>
      <c r="H1240" s="1268">
        <v>0</v>
      </c>
      <c r="I1240" s="1268">
        <v>0</v>
      </c>
      <c r="J1240" s="1268">
        <v>0</v>
      </c>
      <c r="K1240" s="1278">
        <v>0</v>
      </c>
      <c r="L1240" s="1268">
        <v>0</v>
      </c>
      <c r="M1240" s="1278">
        <v>0</v>
      </c>
      <c r="N1240" s="1268">
        <v>0</v>
      </c>
      <c r="O1240" s="1268">
        <v>1243</v>
      </c>
      <c r="P1240" s="1268">
        <v>3619262.37</v>
      </c>
      <c r="Q1240" s="1268">
        <v>0</v>
      </c>
      <c r="R1240" s="1268">
        <v>0</v>
      </c>
      <c r="S1240" s="1268">
        <v>0</v>
      </c>
      <c r="T1240" s="1268">
        <v>0</v>
      </c>
      <c r="U1240" s="1268">
        <v>0</v>
      </c>
      <c r="V1240" s="1268">
        <v>0</v>
      </c>
      <c r="W1240" s="1316">
        <v>0</v>
      </c>
      <c r="X1240" s="1268">
        <v>283474.63</v>
      </c>
      <c r="Y1240" s="1268">
        <v>0</v>
      </c>
    </row>
    <row r="1241" spans="1:25" s="1280" customFormat="1" ht="75.599999999999994">
      <c r="A1241" s="1281">
        <v>337</v>
      </c>
      <c r="B1241" s="1277" t="s">
        <v>2551</v>
      </c>
      <c r="C1241" s="1268">
        <f t="shared" si="497"/>
        <v>3036095.52</v>
      </c>
      <c r="D1241" s="1268">
        <f t="shared" si="498"/>
        <v>0</v>
      </c>
      <c r="E1241" s="1268">
        <v>0</v>
      </c>
      <c r="F1241" s="1268">
        <v>0</v>
      </c>
      <c r="G1241" s="1268">
        <v>0</v>
      </c>
      <c r="H1241" s="1268">
        <v>0</v>
      </c>
      <c r="I1241" s="1268">
        <v>0</v>
      </c>
      <c r="J1241" s="1268">
        <v>0</v>
      </c>
      <c r="K1241" s="1278">
        <v>0</v>
      </c>
      <c r="L1241" s="1268">
        <v>0</v>
      </c>
      <c r="M1241" s="1278">
        <v>0</v>
      </c>
      <c r="N1241" s="1268">
        <v>0</v>
      </c>
      <c r="O1241" s="1268">
        <v>900</v>
      </c>
      <c r="P1241" s="1268">
        <v>2824886</v>
      </c>
      <c r="Q1241" s="1268">
        <v>0</v>
      </c>
      <c r="R1241" s="1268">
        <v>0</v>
      </c>
      <c r="S1241" s="1268">
        <v>0</v>
      </c>
      <c r="T1241" s="1268">
        <v>0</v>
      </c>
      <c r="U1241" s="1268">
        <v>0</v>
      </c>
      <c r="V1241" s="1268">
        <v>0</v>
      </c>
      <c r="W1241" s="1316">
        <v>0</v>
      </c>
      <c r="X1241" s="1268">
        <v>211209.52</v>
      </c>
      <c r="Y1241" s="1268">
        <v>0</v>
      </c>
    </row>
    <row r="1242" spans="1:25" s="1280" customFormat="1" ht="75.599999999999994">
      <c r="A1242" s="1410">
        <v>338</v>
      </c>
      <c r="B1242" s="1277" t="s">
        <v>2552</v>
      </c>
      <c r="C1242" s="1268">
        <f t="shared" si="497"/>
        <v>1862600</v>
      </c>
      <c r="D1242" s="1268">
        <f t="shared" si="498"/>
        <v>0</v>
      </c>
      <c r="E1242" s="1268">
        <v>0</v>
      </c>
      <c r="F1242" s="1268">
        <v>0</v>
      </c>
      <c r="G1242" s="1268">
        <v>0</v>
      </c>
      <c r="H1242" s="1268">
        <v>0</v>
      </c>
      <c r="I1242" s="1268">
        <v>0</v>
      </c>
      <c r="J1242" s="1268">
        <v>0</v>
      </c>
      <c r="K1242" s="1278">
        <v>0</v>
      </c>
      <c r="L1242" s="1268">
        <v>0</v>
      </c>
      <c r="M1242" s="1278">
        <v>0</v>
      </c>
      <c r="N1242" s="1268">
        <v>0</v>
      </c>
      <c r="O1242" s="1268">
        <v>580</v>
      </c>
      <c r="P1242" s="1268">
        <v>1727310.37</v>
      </c>
      <c r="Q1242" s="1268">
        <v>0</v>
      </c>
      <c r="R1242" s="1268">
        <v>0</v>
      </c>
      <c r="S1242" s="1268">
        <v>0</v>
      </c>
      <c r="T1242" s="1268">
        <v>0</v>
      </c>
      <c r="U1242" s="1268">
        <v>0</v>
      </c>
      <c r="V1242" s="1268">
        <v>0</v>
      </c>
      <c r="W1242" s="1268">
        <v>0</v>
      </c>
      <c r="X1242" s="1268">
        <v>135289.63</v>
      </c>
      <c r="Y1242" s="1268">
        <v>0</v>
      </c>
    </row>
    <row r="1243" spans="1:25" s="1280" customFormat="1" ht="75.599999999999994">
      <c r="A1243" s="1281">
        <v>339</v>
      </c>
      <c r="B1243" s="1277" t="s">
        <v>2553</v>
      </c>
      <c r="C1243" s="1268">
        <f t="shared" si="497"/>
        <v>4863448.7699999996</v>
      </c>
      <c r="D1243" s="1268">
        <f t="shared" si="498"/>
        <v>0</v>
      </c>
      <c r="E1243" s="1268">
        <v>0</v>
      </c>
      <c r="F1243" s="1268">
        <v>0</v>
      </c>
      <c r="G1243" s="1268">
        <v>0</v>
      </c>
      <c r="H1243" s="1268">
        <v>0</v>
      </c>
      <c r="I1243" s="1268">
        <v>0</v>
      </c>
      <c r="J1243" s="1268">
        <v>0</v>
      </c>
      <c r="K1243" s="1278">
        <v>0</v>
      </c>
      <c r="L1243" s="1268">
        <v>0</v>
      </c>
      <c r="M1243" s="1278">
        <v>0</v>
      </c>
      <c r="N1243" s="1268">
        <v>0</v>
      </c>
      <c r="O1243" s="1268">
        <v>1442.5</v>
      </c>
      <c r="P1243" s="1268">
        <v>4527665</v>
      </c>
      <c r="Q1243" s="1268">
        <v>0</v>
      </c>
      <c r="R1243" s="1268">
        <v>0</v>
      </c>
      <c r="S1243" s="1268">
        <v>0</v>
      </c>
      <c r="T1243" s="1268">
        <v>0</v>
      </c>
      <c r="U1243" s="1268">
        <v>0</v>
      </c>
      <c r="V1243" s="1268">
        <v>0</v>
      </c>
      <c r="W1243" s="1316">
        <v>0</v>
      </c>
      <c r="X1243" s="1268">
        <v>335783.77</v>
      </c>
      <c r="Y1243" s="1268">
        <v>0</v>
      </c>
    </row>
    <row r="1244" spans="1:25" s="1280" customFormat="1">
      <c r="A1244" s="1281">
        <v>340</v>
      </c>
      <c r="B1244" s="1277" t="s">
        <v>1065</v>
      </c>
      <c r="C1244" s="1268">
        <f t="shared" si="497"/>
        <v>1408601</v>
      </c>
      <c r="D1244" s="1268">
        <f t="shared" si="498"/>
        <v>0</v>
      </c>
      <c r="E1244" s="1268">
        <v>0</v>
      </c>
      <c r="F1244" s="1268">
        <v>0</v>
      </c>
      <c r="G1244" s="1268">
        <v>0</v>
      </c>
      <c r="H1244" s="1268">
        <v>0</v>
      </c>
      <c r="I1244" s="1268">
        <v>0</v>
      </c>
      <c r="J1244" s="1268">
        <v>0</v>
      </c>
      <c r="K1244" s="1278">
        <v>0</v>
      </c>
      <c r="L1244" s="1268">
        <v>0</v>
      </c>
      <c r="M1244" s="1278">
        <v>0</v>
      </c>
      <c r="N1244" s="1268">
        <v>0</v>
      </c>
      <c r="O1244" s="1268">
        <v>440</v>
      </c>
      <c r="P1244" s="1268">
        <v>1306287.51</v>
      </c>
      <c r="Q1244" s="1268">
        <v>0</v>
      </c>
      <c r="R1244" s="1268">
        <v>0</v>
      </c>
      <c r="S1244" s="1268">
        <v>0</v>
      </c>
      <c r="T1244" s="1268">
        <v>0</v>
      </c>
      <c r="U1244" s="1268">
        <v>0</v>
      </c>
      <c r="V1244" s="1268">
        <v>0</v>
      </c>
      <c r="W1244" s="1316">
        <v>0</v>
      </c>
      <c r="X1244" s="1268">
        <v>102313.49</v>
      </c>
      <c r="Y1244" s="1268">
        <v>0</v>
      </c>
    </row>
    <row r="1245" spans="1:25" s="1280" customFormat="1">
      <c r="A1245" s="1281">
        <v>341</v>
      </c>
      <c r="B1245" s="1277" t="s">
        <v>1064</v>
      </c>
      <c r="C1245" s="1268">
        <f t="shared" ref="C1245" si="499">D1245+N1245+P1245+R1245+T1245+V1245+X1245</f>
        <v>1964604.77</v>
      </c>
      <c r="D1245" s="1268">
        <f t="shared" ref="D1245" si="500">SUM(E1245:J1245)</f>
        <v>0</v>
      </c>
      <c r="E1245" s="1268">
        <v>0</v>
      </c>
      <c r="F1245" s="1268">
        <v>0</v>
      </c>
      <c r="G1245" s="1268">
        <v>0</v>
      </c>
      <c r="H1245" s="1268">
        <v>0</v>
      </c>
      <c r="I1245" s="1268">
        <v>0</v>
      </c>
      <c r="J1245" s="1268">
        <v>0</v>
      </c>
      <c r="K1245" s="1278">
        <v>0</v>
      </c>
      <c r="L1245" s="1268">
        <v>0</v>
      </c>
      <c r="M1245" s="1278">
        <v>1</v>
      </c>
      <c r="N1245" s="1268">
        <v>1821913</v>
      </c>
      <c r="O1245" s="1268">
        <v>0</v>
      </c>
      <c r="P1245" s="1268">
        <v>0</v>
      </c>
      <c r="Q1245" s="1268">
        <v>0</v>
      </c>
      <c r="R1245" s="1268">
        <v>0</v>
      </c>
      <c r="S1245" s="1268">
        <v>0</v>
      </c>
      <c r="T1245" s="1268">
        <v>0</v>
      </c>
      <c r="U1245" s="1268">
        <v>0</v>
      </c>
      <c r="V1245" s="1268">
        <v>0</v>
      </c>
      <c r="W1245" s="1316">
        <v>0</v>
      </c>
      <c r="X1245" s="1268">
        <v>142691.76999999999</v>
      </c>
      <c r="Y1245" s="1268">
        <v>0</v>
      </c>
    </row>
    <row r="1246" spans="1:25" s="1280" customFormat="1" ht="75.599999999999994">
      <c r="A1246" s="1281">
        <v>342</v>
      </c>
      <c r="B1246" s="1277" t="s">
        <v>2554</v>
      </c>
      <c r="C1246" s="1268">
        <f t="shared" si="497"/>
        <v>3158928.8600000003</v>
      </c>
      <c r="D1246" s="1268">
        <f t="shared" si="498"/>
        <v>0</v>
      </c>
      <c r="E1246" s="1268">
        <v>0</v>
      </c>
      <c r="F1246" s="1268">
        <v>0</v>
      </c>
      <c r="G1246" s="1268">
        <v>0</v>
      </c>
      <c r="H1246" s="1268">
        <v>0</v>
      </c>
      <c r="I1246" s="1268">
        <v>0</v>
      </c>
      <c r="J1246" s="1268">
        <v>0</v>
      </c>
      <c r="K1246" s="1278">
        <v>0</v>
      </c>
      <c r="L1246" s="1268">
        <v>0</v>
      </c>
      <c r="M1246" s="1278">
        <v>0</v>
      </c>
      <c r="N1246" s="1268">
        <v>0</v>
      </c>
      <c r="O1246" s="1268">
        <v>680</v>
      </c>
      <c r="P1246" s="1268">
        <v>3080338.12</v>
      </c>
      <c r="Q1246" s="1268">
        <v>0</v>
      </c>
      <c r="R1246" s="1268">
        <v>0</v>
      </c>
      <c r="S1246" s="1268">
        <v>0</v>
      </c>
      <c r="T1246" s="1268">
        <v>0</v>
      </c>
      <c r="U1246" s="1268">
        <v>0</v>
      </c>
      <c r="V1246" s="1268">
        <v>0</v>
      </c>
      <c r="W1246" s="1316">
        <v>0</v>
      </c>
      <c r="X1246" s="1268">
        <v>78590.740000000005</v>
      </c>
      <c r="Y1246" s="1268">
        <v>0</v>
      </c>
    </row>
    <row r="1247" spans="1:25" s="1280" customFormat="1" ht="75.599999999999994">
      <c r="A1247" s="1281">
        <v>343</v>
      </c>
      <c r="B1247" s="1277" t="s">
        <v>2555</v>
      </c>
      <c r="C1247" s="1268">
        <f t="shared" si="497"/>
        <v>1784217.5699999998</v>
      </c>
      <c r="D1247" s="1268">
        <f t="shared" si="498"/>
        <v>0</v>
      </c>
      <c r="E1247" s="1268">
        <v>0</v>
      </c>
      <c r="F1247" s="1268">
        <v>0</v>
      </c>
      <c r="G1247" s="1268">
        <v>0</v>
      </c>
      <c r="H1247" s="1268">
        <v>0</v>
      </c>
      <c r="I1247" s="1268">
        <v>0</v>
      </c>
      <c r="J1247" s="1268">
        <v>0</v>
      </c>
      <c r="K1247" s="1278">
        <v>0</v>
      </c>
      <c r="L1247" s="1268">
        <v>0</v>
      </c>
      <c r="M1247" s="1278">
        <v>0</v>
      </c>
      <c r="N1247" s="1268">
        <v>0</v>
      </c>
      <c r="O1247" s="1268">
        <v>380</v>
      </c>
      <c r="P1247" s="1268">
        <v>1721365.42</v>
      </c>
      <c r="Q1247" s="1268">
        <v>0</v>
      </c>
      <c r="R1247" s="1268">
        <v>0</v>
      </c>
      <c r="S1247" s="1268">
        <v>0</v>
      </c>
      <c r="T1247" s="1268">
        <v>0</v>
      </c>
      <c r="U1247" s="1268">
        <v>0</v>
      </c>
      <c r="V1247" s="1268">
        <v>0</v>
      </c>
      <c r="W1247" s="1316">
        <v>0</v>
      </c>
      <c r="X1247" s="1268">
        <v>62852.15</v>
      </c>
      <c r="Y1247" s="1268">
        <v>0</v>
      </c>
    </row>
    <row r="1248" spans="1:25" s="1280" customFormat="1">
      <c r="A1248" s="1281">
        <v>344</v>
      </c>
      <c r="B1248" s="1277" t="s">
        <v>1766</v>
      </c>
      <c r="C1248" s="1268">
        <f t="shared" ref="C1248:C1249" si="501">D1248+N1248+P1248+R1248+T1248+V1248+X1248</f>
        <v>2267684</v>
      </c>
      <c r="D1248" s="1268">
        <f t="shared" ref="D1248:D1249" si="502">SUM(E1248:J1248)</f>
        <v>0</v>
      </c>
      <c r="E1248" s="1268">
        <v>0</v>
      </c>
      <c r="F1248" s="1268">
        <v>0</v>
      </c>
      <c r="G1248" s="1268">
        <v>0</v>
      </c>
      <c r="H1248" s="1268">
        <v>0</v>
      </c>
      <c r="I1248" s="1268">
        <v>0</v>
      </c>
      <c r="J1248" s="1268">
        <v>0</v>
      </c>
      <c r="K1248" s="1278">
        <v>0</v>
      </c>
      <c r="L1248" s="1268">
        <v>0</v>
      </c>
      <c r="M1248" s="1278">
        <v>0</v>
      </c>
      <c r="N1248" s="1268">
        <v>0</v>
      </c>
      <c r="O1248" s="1268">
        <v>670</v>
      </c>
      <c r="P1248" s="1268">
        <v>2102971</v>
      </c>
      <c r="Q1248" s="1268">
        <v>0</v>
      </c>
      <c r="R1248" s="1268">
        <v>0</v>
      </c>
      <c r="S1248" s="1268">
        <v>0</v>
      </c>
      <c r="T1248" s="1268">
        <v>0</v>
      </c>
      <c r="U1248" s="1268">
        <v>0</v>
      </c>
      <c r="V1248" s="1268">
        <v>0</v>
      </c>
      <c r="W1248" s="1316">
        <v>0</v>
      </c>
      <c r="X1248" s="1268">
        <v>164713</v>
      </c>
      <c r="Y1248" s="1268">
        <v>0</v>
      </c>
    </row>
    <row r="1249" spans="1:25" s="1280" customFormat="1">
      <c r="A1249" s="1281">
        <v>345</v>
      </c>
      <c r="B1249" s="1277" t="s">
        <v>1637</v>
      </c>
      <c r="C1249" s="1268">
        <f t="shared" si="501"/>
        <v>1489225</v>
      </c>
      <c r="D1249" s="1268">
        <f t="shared" si="502"/>
        <v>0</v>
      </c>
      <c r="E1249" s="1268">
        <v>0</v>
      </c>
      <c r="F1249" s="1268">
        <v>0</v>
      </c>
      <c r="G1249" s="1268">
        <v>0</v>
      </c>
      <c r="H1249" s="1268">
        <v>0</v>
      </c>
      <c r="I1249" s="1268">
        <v>0</v>
      </c>
      <c r="J1249" s="1268">
        <v>0</v>
      </c>
      <c r="K1249" s="1278">
        <v>0</v>
      </c>
      <c r="L1249" s="1268">
        <v>0</v>
      </c>
      <c r="M1249" s="1278">
        <v>0</v>
      </c>
      <c r="N1249" s="1268">
        <v>0</v>
      </c>
      <c r="O1249" s="1268">
        <v>440</v>
      </c>
      <c r="P1249" s="1268">
        <v>1381055</v>
      </c>
      <c r="Q1249" s="1268">
        <v>0</v>
      </c>
      <c r="R1249" s="1268">
        <v>0</v>
      </c>
      <c r="S1249" s="1268">
        <v>0</v>
      </c>
      <c r="T1249" s="1268">
        <v>0</v>
      </c>
      <c r="U1249" s="1268">
        <v>0</v>
      </c>
      <c r="V1249" s="1268">
        <v>0</v>
      </c>
      <c r="W1249" s="1316">
        <v>0</v>
      </c>
      <c r="X1249" s="1268">
        <v>108170</v>
      </c>
      <c r="Y1249" s="1268">
        <v>0</v>
      </c>
    </row>
    <row r="1250" spans="1:25" s="1280" customFormat="1">
      <c r="A1250" s="1281">
        <v>346</v>
      </c>
      <c r="B1250" s="1277" t="s">
        <v>1167</v>
      </c>
      <c r="C1250" s="1268">
        <f t="shared" ref="C1250" si="503">D1250+N1250+P1250+R1250+T1250+V1250+X1250</f>
        <v>978003.2</v>
      </c>
      <c r="D1250" s="1268">
        <f t="shared" ref="D1250" si="504">SUM(E1250:J1250)</f>
        <v>0</v>
      </c>
      <c r="E1250" s="1268">
        <v>0</v>
      </c>
      <c r="F1250" s="1268">
        <v>0</v>
      </c>
      <c r="G1250" s="1268">
        <v>0</v>
      </c>
      <c r="H1250" s="1268">
        <v>0</v>
      </c>
      <c r="I1250" s="1268">
        <v>0</v>
      </c>
      <c r="J1250" s="1268">
        <v>0</v>
      </c>
      <c r="K1250" s="1278">
        <v>0</v>
      </c>
      <c r="L1250" s="1268">
        <v>0</v>
      </c>
      <c r="M1250" s="1278">
        <v>0</v>
      </c>
      <c r="N1250" s="1268">
        <v>0</v>
      </c>
      <c r="O1250" s="1268">
        <v>295</v>
      </c>
      <c r="P1250" s="1268">
        <v>925934.85</v>
      </c>
      <c r="Q1250" s="1268">
        <v>0</v>
      </c>
      <c r="R1250" s="1268">
        <v>0</v>
      </c>
      <c r="S1250" s="1268">
        <v>0</v>
      </c>
      <c r="T1250" s="1268">
        <v>0</v>
      </c>
      <c r="U1250" s="1268">
        <v>0</v>
      </c>
      <c r="V1250" s="1268">
        <v>0</v>
      </c>
      <c r="W1250" s="1316">
        <v>0</v>
      </c>
      <c r="X1250" s="1268">
        <v>52068.35</v>
      </c>
      <c r="Y1250" s="1268">
        <v>0</v>
      </c>
    </row>
    <row r="1251" spans="1:25" s="1280" customFormat="1">
      <c r="A1251" s="1281">
        <v>347</v>
      </c>
      <c r="B1251" s="1359" t="s">
        <v>1638</v>
      </c>
      <c r="C1251" s="1268">
        <f t="shared" si="497"/>
        <v>3019437</v>
      </c>
      <c r="D1251" s="1268">
        <f t="shared" si="498"/>
        <v>0</v>
      </c>
      <c r="E1251" s="1268">
        <v>0</v>
      </c>
      <c r="F1251" s="1268">
        <v>0</v>
      </c>
      <c r="G1251" s="1268">
        <v>0</v>
      </c>
      <c r="H1251" s="1268">
        <v>0</v>
      </c>
      <c r="I1251" s="1268">
        <v>0</v>
      </c>
      <c r="J1251" s="1268">
        <v>0</v>
      </c>
      <c r="K1251" s="1278">
        <v>0</v>
      </c>
      <c r="L1251" s="1268">
        <v>0</v>
      </c>
      <c r="M1251" s="1278">
        <v>0</v>
      </c>
      <c r="N1251" s="1268">
        <v>0</v>
      </c>
      <c r="O1251" s="1268">
        <v>1111.25</v>
      </c>
      <c r="P1251" s="1268">
        <v>2800121</v>
      </c>
      <c r="Q1251" s="1268">
        <v>0</v>
      </c>
      <c r="R1251" s="1268">
        <v>0</v>
      </c>
      <c r="S1251" s="1268">
        <v>0</v>
      </c>
      <c r="T1251" s="1268">
        <v>0</v>
      </c>
      <c r="U1251" s="1268">
        <v>0</v>
      </c>
      <c r="V1251" s="1268">
        <v>0</v>
      </c>
      <c r="W1251" s="1316">
        <v>0</v>
      </c>
      <c r="X1251" s="1268">
        <v>219316</v>
      </c>
      <c r="Y1251" s="1268">
        <v>0</v>
      </c>
    </row>
    <row r="1252" spans="1:25" s="1280" customFormat="1">
      <c r="A1252" s="1281">
        <v>348</v>
      </c>
      <c r="B1252" s="1359" t="s">
        <v>1177</v>
      </c>
      <c r="C1252" s="1268">
        <f t="shared" si="497"/>
        <v>760568</v>
      </c>
      <c r="D1252" s="1268">
        <f t="shared" si="498"/>
        <v>0</v>
      </c>
      <c r="E1252" s="1268">
        <v>0</v>
      </c>
      <c r="F1252" s="1268">
        <v>0</v>
      </c>
      <c r="G1252" s="1268">
        <v>0</v>
      </c>
      <c r="H1252" s="1268">
        <v>0</v>
      </c>
      <c r="I1252" s="1268">
        <v>0</v>
      </c>
      <c r="J1252" s="1268">
        <v>0</v>
      </c>
      <c r="K1252" s="1278">
        <v>0</v>
      </c>
      <c r="L1252" s="1268">
        <v>0</v>
      </c>
      <c r="M1252" s="1278">
        <v>0</v>
      </c>
      <c r="N1252" s="1268">
        <v>0</v>
      </c>
      <c r="O1252" s="1268">
        <v>234</v>
      </c>
      <c r="P1252" s="1268">
        <v>705324.27</v>
      </c>
      <c r="Q1252" s="1268">
        <v>0</v>
      </c>
      <c r="R1252" s="1268">
        <v>0</v>
      </c>
      <c r="S1252" s="1268">
        <v>0</v>
      </c>
      <c r="T1252" s="1268">
        <v>0</v>
      </c>
      <c r="U1252" s="1268">
        <v>0</v>
      </c>
      <c r="V1252" s="1268">
        <v>0</v>
      </c>
      <c r="W1252" s="1316">
        <v>0</v>
      </c>
      <c r="X1252" s="1268">
        <v>55243.73</v>
      </c>
      <c r="Y1252" s="1268">
        <v>0</v>
      </c>
    </row>
    <row r="1253" spans="1:25" s="1280" customFormat="1">
      <c r="A1253" s="1281">
        <v>349</v>
      </c>
      <c r="B1253" s="1359" t="s">
        <v>1178</v>
      </c>
      <c r="C1253" s="1268">
        <f t="shared" si="497"/>
        <v>3540294</v>
      </c>
      <c r="D1253" s="1268">
        <f t="shared" si="498"/>
        <v>0</v>
      </c>
      <c r="E1253" s="1268">
        <v>0</v>
      </c>
      <c r="F1253" s="1268">
        <v>0</v>
      </c>
      <c r="G1253" s="1268">
        <v>0</v>
      </c>
      <c r="H1253" s="1268">
        <v>0</v>
      </c>
      <c r="I1253" s="1268">
        <v>0</v>
      </c>
      <c r="J1253" s="1268">
        <v>0</v>
      </c>
      <c r="K1253" s="1278">
        <v>0</v>
      </c>
      <c r="L1253" s="1268">
        <v>0</v>
      </c>
      <c r="M1253" s="1278">
        <v>0</v>
      </c>
      <c r="N1253" s="1268">
        <v>0</v>
      </c>
      <c r="O1253" s="1268">
        <v>1046</v>
      </c>
      <c r="P1253" s="1268">
        <v>3283145</v>
      </c>
      <c r="Q1253" s="1268">
        <v>0</v>
      </c>
      <c r="R1253" s="1268">
        <v>0</v>
      </c>
      <c r="S1253" s="1268">
        <v>0</v>
      </c>
      <c r="T1253" s="1268">
        <v>0</v>
      </c>
      <c r="U1253" s="1268">
        <v>0</v>
      </c>
      <c r="V1253" s="1268">
        <v>0</v>
      </c>
      <c r="W1253" s="1316">
        <v>0</v>
      </c>
      <c r="X1253" s="1268">
        <v>257149</v>
      </c>
      <c r="Y1253" s="1268">
        <v>0</v>
      </c>
    </row>
    <row r="1254" spans="1:25" s="1280" customFormat="1">
      <c r="A1254" s="1281">
        <v>350</v>
      </c>
      <c r="B1254" s="1359" t="s">
        <v>1639</v>
      </c>
      <c r="C1254" s="1268">
        <f t="shared" si="497"/>
        <v>1658455</v>
      </c>
      <c r="D1254" s="1268">
        <f t="shared" si="498"/>
        <v>0</v>
      </c>
      <c r="E1254" s="1268">
        <v>0</v>
      </c>
      <c r="F1254" s="1268">
        <v>0</v>
      </c>
      <c r="G1254" s="1268">
        <v>0</v>
      </c>
      <c r="H1254" s="1268">
        <v>0</v>
      </c>
      <c r="I1254" s="1268">
        <v>0</v>
      </c>
      <c r="J1254" s="1268">
        <v>0</v>
      </c>
      <c r="K1254" s="1278">
        <v>0</v>
      </c>
      <c r="L1254" s="1268">
        <v>0</v>
      </c>
      <c r="M1254" s="1278">
        <v>0</v>
      </c>
      <c r="N1254" s="1268">
        <v>0</v>
      </c>
      <c r="O1254" s="1268">
        <v>490</v>
      </c>
      <c r="P1254" s="1268">
        <v>1537993</v>
      </c>
      <c r="Q1254" s="1268">
        <v>0</v>
      </c>
      <c r="R1254" s="1268">
        <v>0</v>
      </c>
      <c r="S1254" s="1268">
        <v>0</v>
      </c>
      <c r="T1254" s="1268">
        <v>0</v>
      </c>
      <c r="U1254" s="1268">
        <v>0</v>
      </c>
      <c r="V1254" s="1268">
        <v>0</v>
      </c>
      <c r="W1254" s="1316">
        <v>0</v>
      </c>
      <c r="X1254" s="1268">
        <v>120462</v>
      </c>
      <c r="Y1254" s="1268">
        <v>0</v>
      </c>
    </row>
    <row r="1255" spans="1:25" s="1280" customFormat="1">
      <c r="A1255" s="1281">
        <v>351</v>
      </c>
      <c r="B1255" s="1359" t="s">
        <v>1956</v>
      </c>
      <c r="C1255" s="1268">
        <f t="shared" ref="C1255:C1257" si="505">D1255+N1255+P1255+R1255+T1255+V1255+X1255</f>
        <v>1093226</v>
      </c>
      <c r="D1255" s="1268">
        <f t="shared" ref="D1255:D1257" si="506">SUM(E1255:J1255)</f>
        <v>0</v>
      </c>
      <c r="E1255" s="1268">
        <v>0</v>
      </c>
      <c r="F1255" s="1268">
        <v>0</v>
      </c>
      <c r="G1255" s="1268">
        <v>0</v>
      </c>
      <c r="H1255" s="1268">
        <v>0</v>
      </c>
      <c r="I1255" s="1268">
        <v>0</v>
      </c>
      <c r="J1255" s="1268">
        <v>0</v>
      </c>
      <c r="K1255" s="1278">
        <v>0</v>
      </c>
      <c r="L1255" s="1268">
        <v>0</v>
      </c>
      <c r="M1255" s="1278">
        <v>0</v>
      </c>
      <c r="N1255" s="1268">
        <v>0</v>
      </c>
      <c r="O1255" s="1268">
        <v>323</v>
      </c>
      <c r="P1255" s="1268">
        <v>1013820</v>
      </c>
      <c r="Q1255" s="1268">
        <v>0</v>
      </c>
      <c r="R1255" s="1268">
        <v>0</v>
      </c>
      <c r="S1255" s="1268">
        <v>0</v>
      </c>
      <c r="T1255" s="1268">
        <v>0</v>
      </c>
      <c r="U1255" s="1268">
        <v>0</v>
      </c>
      <c r="V1255" s="1268">
        <v>0</v>
      </c>
      <c r="W1255" s="1316">
        <v>0</v>
      </c>
      <c r="X1255" s="1268">
        <v>79406</v>
      </c>
      <c r="Y1255" s="1268">
        <v>0</v>
      </c>
    </row>
    <row r="1256" spans="1:25" s="1280" customFormat="1">
      <c r="A1256" s="1281">
        <v>352</v>
      </c>
      <c r="B1256" s="1358" t="s">
        <v>791</v>
      </c>
      <c r="C1256" s="1268">
        <f t="shared" si="505"/>
        <v>2518802</v>
      </c>
      <c r="D1256" s="1268">
        <f t="shared" si="506"/>
        <v>0</v>
      </c>
      <c r="E1256" s="1268">
        <v>0</v>
      </c>
      <c r="F1256" s="1268">
        <v>0</v>
      </c>
      <c r="G1256" s="1268">
        <v>0</v>
      </c>
      <c r="H1256" s="1268">
        <v>0</v>
      </c>
      <c r="I1256" s="1268">
        <v>0</v>
      </c>
      <c r="J1256" s="1268">
        <v>0</v>
      </c>
      <c r="K1256" s="1278">
        <v>0</v>
      </c>
      <c r="L1256" s="1268">
        <v>0</v>
      </c>
      <c r="M1256" s="1278">
        <v>0</v>
      </c>
      <c r="N1256" s="1268">
        <v>0</v>
      </c>
      <c r="O1256" s="1268">
        <v>927</v>
      </c>
      <c r="P1256" s="1268">
        <v>2335849</v>
      </c>
      <c r="Q1256" s="1268">
        <v>0</v>
      </c>
      <c r="R1256" s="1268">
        <v>0</v>
      </c>
      <c r="S1256" s="1268">
        <v>0</v>
      </c>
      <c r="T1256" s="1268">
        <v>0</v>
      </c>
      <c r="U1256" s="1268">
        <v>0</v>
      </c>
      <c r="V1256" s="1268">
        <v>0</v>
      </c>
      <c r="W1256" s="1316">
        <v>0</v>
      </c>
      <c r="X1256" s="1268">
        <v>182953</v>
      </c>
      <c r="Y1256" s="1268">
        <v>0</v>
      </c>
    </row>
    <row r="1257" spans="1:25" s="1280" customFormat="1">
      <c r="A1257" s="1281">
        <v>353</v>
      </c>
      <c r="B1257" s="1277" t="s">
        <v>2321</v>
      </c>
      <c r="C1257" s="1268">
        <f t="shared" si="505"/>
        <v>1964509</v>
      </c>
      <c r="D1257" s="1268">
        <f t="shared" si="506"/>
        <v>0</v>
      </c>
      <c r="E1257" s="1268">
        <v>0</v>
      </c>
      <c r="F1257" s="1268">
        <v>0</v>
      </c>
      <c r="G1257" s="1268">
        <v>0</v>
      </c>
      <c r="H1257" s="1268">
        <v>0</v>
      </c>
      <c r="I1257" s="1268">
        <v>0</v>
      </c>
      <c r="J1257" s="1268">
        <v>0</v>
      </c>
      <c r="K1257" s="1278">
        <v>0</v>
      </c>
      <c r="L1257" s="1268">
        <v>0</v>
      </c>
      <c r="M1257" s="1278">
        <v>1</v>
      </c>
      <c r="N1257" s="1268">
        <v>1821817.23</v>
      </c>
      <c r="O1257" s="1268">
        <v>0</v>
      </c>
      <c r="P1257" s="1268">
        <v>0</v>
      </c>
      <c r="Q1257" s="1268">
        <v>0</v>
      </c>
      <c r="R1257" s="1268">
        <v>0</v>
      </c>
      <c r="S1257" s="1268">
        <v>0</v>
      </c>
      <c r="T1257" s="1268">
        <v>0</v>
      </c>
      <c r="U1257" s="1268">
        <v>0</v>
      </c>
      <c r="V1257" s="1268">
        <v>0</v>
      </c>
      <c r="W1257" s="1316">
        <v>0</v>
      </c>
      <c r="X1257" s="1268">
        <v>142691.76999999999</v>
      </c>
      <c r="Y1257" s="1268">
        <v>0</v>
      </c>
    </row>
    <row r="1258" spans="1:25" s="1280" customFormat="1" ht="75.599999999999994">
      <c r="A1258" s="1281">
        <v>354</v>
      </c>
      <c r="B1258" s="1359" t="s">
        <v>2556</v>
      </c>
      <c r="C1258" s="1268">
        <f t="shared" si="497"/>
        <v>3697504</v>
      </c>
      <c r="D1258" s="1268">
        <f t="shared" si="498"/>
        <v>0</v>
      </c>
      <c r="E1258" s="1268">
        <v>0</v>
      </c>
      <c r="F1258" s="1268">
        <v>0</v>
      </c>
      <c r="G1258" s="1268">
        <v>0</v>
      </c>
      <c r="H1258" s="1268">
        <v>0</v>
      </c>
      <c r="I1258" s="1268">
        <v>0</v>
      </c>
      <c r="J1258" s="1268">
        <v>0</v>
      </c>
      <c r="K1258" s="1278">
        <v>0</v>
      </c>
      <c r="L1258" s="1268">
        <v>0</v>
      </c>
      <c r="M1258" s="1278">
        <v>0</v>
      </c>
      <c r="N1258" s="1268">
        <v>0</v>
      </c>
      <c r="O1258" s="1268">
        <v>1360.8</v>
      </c>
      <c r="P1258" s="1268">
        <v>3428936</v>
      </c>
      <c r="Q1258" s="1268">
        <v>0</v>
      </c>
      <c r="R1258" s="1268">
        <v>0</v>
      </c>
      <c r="S1258" s="1268">
        <v>0</v>
      </c>
      <c r="T1258" s="1268">
        <v>0</v>
      </c>
      <c r="U1258" s="1268">
        <v>0</v>
      </c>
      <c r="V1258" s="1268">
        <v>0</v>
      </c>
      <c r="W1258" s="1316">
        <v>0</v>
      </c>
      <c r="X1258" s="1268">
        <v>268568</v>
      </c>
      <c r="Y1258" s="1268">
        <v>0</v>
      </c>
    </row>
    <row r="1259" spans="1:25" s="1280" customFormat="1">
      <c r="A1259" s="1281">
        <v>355</v>
      </c>
      <c r="B1259" s="1358" t="s">
        <v>792</v>
      </c>
      <c r="C1259" s="1268">
        <f t="shared" si="497"/>
        <v>4662878.04</v>
      </c>
      <c r="D1259" s="1268">
        <f t="shared" si="498"/>
        <v>0</v>
      </c>
      <c r="E1259" s="1268">
        <v>0</v>
      </c>
      <c r="F1259" s="1268">
        <v>0</v>
      </c>
      <c r="G1259" s="1268">
        <v>0</v>
      </c>
      <c r="H1259" s="1268">
        <v>0</v>
      </c>
      <c r="I1259" s="1268">
        <v>0</v>
      </c>
      <c r="J1259" s="1268">
        <v>0</v>
      </c>
      <c r="K1259" s="1278">
        <v>0</v>
      </c>
      <c r="L1259" s="1268">
        <v>0</v>
      </c>
      <c r="M1259" s="1278">
        <v>0</v>
      </c>
      <c r="N1259" s="1268">
        <v>0</v>
      </c>
      <c r="O1259" s="1268">
        <v>1388</v>
      </c>
      <c r="P1259" s="1268">
        <v>4349226.04</v>
      </c>
      <c r="Q1259" s="1268">
        <v>0</v>
      </c>
      <c r="R1259" s="1268">
        <v>0</v>
      </c>
      <c r="S1259" s="1268">
        <v>0</v>
      </c>
      <c r="T1259" s="1268">
        <v>0</v>
      </c>
      <c r="U1259" s="1268">
        <v>0</v>
      </c>
      <c r="V1259" s="1268">
        <v>0</v>
      </c>
      <c r="W1259" s="1316">
        <v>0</v>
      </c>
      <c r="X1259" s="1268">
        <v>313652</v>
      </c>
      <c r="Y1259" s="1268">
        <v>0</v>
      </c>
    </row>
    <row r="1260" spans="1:25" s="1280" customFormat="1">
      <c r="A1260" s="1281">
        <v>356</v>
      </c>
      <c r="B1260" s="1277" t="s">
        <v>1201</v>
      </c>
      <c r="C1260" s="1268">
        <f t="shared" si="497"/>
        <v>5828295</v>
      </c>
      <c r="D1260" s="1268">
        <f t="shared" si="498"/>
        <v>0</v>
      </c>
      <c r="E1260" s="1268">
        <v>0</v>
      </c>
      <c r="F1260" s="1268">
        <v>0</v>
      </c>
      <c r="G1260" s="1268">
        <v>0</v>
      </c>
      <c r="H1260" s="1268">
        <v>0</v>
      </c>
      <c r="I1260" s="1268">
        <v>0</v>
      </c>
      <c r="J1260" s="1268">
        <v>0</v>
      </c>
      <c r="K1260" s="1278">
        <v>0</v>
      </c>
      <c r="L1260" s="1268">
        <v>0</v>
      </c>
      <c r="M1260" s="1278">
        <v>0</v>
      </c>
      <c r="N1260" s="1268">
        <v>0</v>
      </c>
      <c r="O1260" s="1268">
        <v>2145</v>
      </c>
      <c r="P1260" s="1268">
        <v>5404958</v>
      </c>
      <c r="Q1260" s="1268">
        <v>0</v>
      </c>
      <c r="R1260" s="1268">
        <v>0</v>
      </c>
      <c r="S1260" s="1268">
        <v>0</v>
      </c>
      <c r="T1260" s="1268">
        <v>0</v>
      </c>
      <c r="U1260" s="1268">
        <v>0</v>
      </c>
      <c r="V1260" s="1268">
        <v>0</v>
      </c>
      <c r="W1260" s="1316">
        <v>0</v>
      </c>
      <c r="X1260" s="1268">
        <v>423337</v>
      </c>
      <c r="Y1260" s="1268">
        <v>0</v>
      </c>
    </row>
    <row r="1261" spans="1:25" s="1280" customFormat="1" ht="75.599999999999994">
      <c r="A1261" s="1281">
        <v>357</v>
      </c>
      <c r="B1261" s="1277" t="s">
        <v>2557</v>
      </c>
      <c r="C1261" s="1268">
        <f t="shared" si="497"/>
        <v>2937787</v>
      </c>
      <c r="D1261" s="1268">
        <f t="shared" si="498"/>
        <v>0</v>
      </c>
      <c r="E1261" s="1268">
        <v>0</v>
      </c>
      <c r="F1261" s="1268">
        <v>0</v>
      </c>
      <c r="G1261" s="1268">
        <v>0</v>
      </c>
      <c r="H1261" s="1268">
        <v>0</v>
      </c>
      <c r="I1261" s="1268">
        <v>0</v>
      </c>
      <c r="J1261" s="1268">
        <v>0</v>
      </c>
      <c r="K1261" s="1278">
        <v>0</v>
      </c>
      <c r="L1261" s="1268">
        <v>0</v>
      </c>
      <c r="M1261" s="1278">
        <v>0</v>
      </c>
      <c r="N1261" s="1268">
        <v>0</v>
      </c>
      <c r="O1261" s="1268">
        <v>1081.2</v>
      </c>
      <c r="P1261" s="1268">
        <v>2724401</v>
      </c>
      <c r="Q1261" s="1268">
        <v>0</v>
      </c>
      <c r="R1261" s="1268">
        <v>0</v>
      </c>
      <c r="S1261" s="1268">
        <v>0</v>
      </c>
      <c r="T1261" s="1268">
        <v>0</v>
      </c>
      <c r="U1261" s="1268">
        <v>0</v>
      </c>
      <c r="V1261" s="1268">
        <v>0</v>
      </c>
      <c r="W1261" s="1316">
        <v>0</v>
      </c>
      <c r="X1261" s="1268">
        <v>213386</v>
      </c>
      <c r="Y1261" s="1268">
        <v>0</v>
      </c>
    </row>
    <row r="1262" spans="1:25" s="1280" customFormat="1">
      <c r="A1262" s="1281">
        <v>358</v>
      </c>
      <c r="B1262" s="1277" t="s">
        <v>1202</v>
      </c>
      <c r="C1262" s="1268">
        <f t="shared" si="497"/>
        <v>3227979</v>
      </c>
      <c r="D1262" s="1268">
        <f t="shared" si="498"/>
        <v>0</v>
      </c>
      <c r="E1262" s="1268">
        <v>0</v>
      </c>
      <c r="F1262" s="1268">
        <v>0</v>
      </c>
      <c r="G1262" s="1268">
        <v>0</v>
      </c>
      <c r="H1262" s="1268">
        <v>0</v>
      </c>
      <c r="I1262" s="1268">
        <v>0</v>
      </c>
      <c r="J1262" s="1268">
        <v>0</v>
      </c>
      <c r="K1262" s="1278">
        <v>0</v>
      </c>
      <c r="L1262" s="1268">
        <v>0</v>
      </c>
      <c r="M1262" s="1278">
        <v>0</v>
      </c>
      <c r="N1262" s="1268">
        <v>0</v>
      </c>
      <c r="O1262" s="1268">
        <v>1188</v>
      </c>
      <c r="P1262" s="1268">
        <v>2993515</v>
      </c>
      <c r="Q1262" s="1268">
        <v>0</v>
      </c>
      <c r="R1262" s="1268">
        <v>0</v>
      </c>
      <c r="S1262" s="1268">
        <v>0</v>
      </c>
      <c r="T1262" s="1268">
        <v>0</v>
      </c>
      <c r="U1262" s="1268">
        <v>0</v>
      </c>
      <c r="V1262" s="1268">
        <v>0</v>
      </c>
      <c r="W1262" s="1316">
        <v>0</v>
      </c>
      <c r="X1262" s="1268">
        <v>234464</v>
      </c>
      <c r="Y1262" s="1268">
        <v>0</v>
      </c>
    </row>
    <row r="1263" spans="1:25" s="1280" customFormat="1" ht="75.599999999999994">
      <c r="A1263" s="1281">
        <v>359</v>
      </c>
      <c r="B1263" s="1277" t="s">
        <v>2558</v>
      </c>
      <c r="C1263" s="1268">
        <f t="shared" si="497"/>
        <v>2436914</v>
      </c>
      <c r="D1263" s="1268">
        <f t="shared" si="498"/>
        <v>0</v>
      </c>
      <c r="E1263" s="1268">
        <v>0</v>
      </c>
      <c r="F1263" s="1268">
        <v>0</v>
      </c>
      <c r="G1263" s="1268">
        <v>0</v>
      </c>
      <c r="H1263" s="1268">
        <v>0</v>
      </c>
      <c r="I1263" s="1268">
        <v>0</v>
      </c>
      <c r="J1263" s="1268">
        <v>0</v>
      </c>
      <c r="K1263" s="1278">
        <v>0</v>
      </c>
      <c r="L1263" s="1268">
        <v>0</v>
      </c>
      <c r="M1263" s="1278">
        <v>0</v>
      </c>
      <c r="N1263" s="1268">
        <v>0</v>
      </c>
      <c r="O1263" s="1268">
        <v>720</v>
      </c>
      <c r="P1263" s="1268">
        <v>2259909</v>
      </c>
      <c r="Q1263" s="1268">
        <v>0</v>
      </c>
      <c r="R1263" s="1268">
        <v>0</v>
      </c>
      <c r="S1263" s="1268">
        <v>0</v>
      </c>
      <c r="T1263" s="1268">
        <v>0</v>
      </c>
      <c r="U1263" s="1268">
        <v>0</v>
      </c>
      <c r="V1263" s="1268">
        <v>0</v>
      </c>
      <c r="W1263" s="1316">
        <v>0</v>
      </c>
      <c r="X1263" s="1268">
        <v>177005</v>
      </c>
      <c r="Y1263" s="1268">
        <v>0</v>
      </c>
    </row>
    <row r="1264" spans="1:25" s="1280" customFormat="1">
      <c r="A1264" s="1281">
        <v>360</v>
      </c>
      <c r="B1264" s="1277" t="s">
        <v>1204</v>
      </c>
      <c r="C1264" s="1268">
        <f t="shared" si="497"/>
        <v>2920940</v>
      </c>
      <c r="D1264" s="1268">
        <f t="shared" si="498"/>
        <v>0</v>
      </c>
      <c r="E1264" s="1268">
        <v>0</v>
      </c>
      <c r="F1264" s="1268">
        <v>0</v>
      </c>
      <c r="G1264" s="1268">
        <v>0</v>
      </c>
      <c r="H1264" s="1268">
        <v>0</v>
      </c>
      <c r="I1264" s="1268">
        <v>0</v>
      </c>
      <c r="J1264" s="1268">
        <v>0</v>
      </c>
      <c r="K1264" s="1278">
        <v>0</v>
      </c>
      <c r="L1264" s="1268">
        <v>0</v>
      </c>
      <c r="M1264" s="1278">
        <v>0</v>
      </c>
      <c r="N1264" s="1268">
        <v>0</v>
      </c>
      <c r="O1264" s="1268">
        <v>1075</v>
      </c>
      <c r="P1264" s="1268">
        <v>2708778</v>
      </c>
      <c r="Q1264" s="1268">
        <v>0</v>
      </c>
      <c r="R1264" s="1268">
        <v>0</v>
      </c>
      <c r="S1264" s="1268">
        <v>0</v>
      </c>
      <c r="T1264" s="1268">
        <v>0</v>
      </c>
      <c r="U1264" s="1268">
        <v>0</v>
      </c>
      <c r="V1264" s="1268">
        <v>0</v>
      </c>
      <c r="W1264" s="1316">
        <v>0</v>
      </c>
      <c r="X1264" s="1268">
        <v>212162</v>
      </c>
      <c r="Y1264" s="1268">
        <v>0</v>
      </c>
    </row>
    <row r="1265" spans="1:25" s="1280" customFormat="1">
      <c r="A1265" s="1281">
        <v>361</v>
      </c>
      <c r="B1265" s="1277" t="s">
        <v>848</v>
      </c>
      <c r="C1265" s="1268">
        <f t="shared" si="497"/>
        <v>1353840.88</v>
      </c>
      <c r="D1265" s="1268">
        <f t="shared" si="498"/>
        <v>0</v>
      </c>
      <c r="E1265" s="1268">
        <v>0</v>
      </c>
      <c r="F1265" s="1268">
        <v>0</v>
      </c>
      <c r="G1265" s="1268">
        <v>0</v>
      </c>
      <c r="H1265" s="1268">
        <v>0</v>
      </c>
      <c r="I1265" s="1268">
        <v>0</v>
      </c>
      <c r="J1265" s="1268">
        <v>0</v>
      </c>
      <c r="K1265" s="1278">
        <v>0</v>
      </c>
      <c r="L1265" s="1268">
        <v>0</v>
      </c>
      <c r="M1265" s="1278">
        <v>0</v>
      </c>
      <c r="N1265" s="1268">
        <v>0</v>
      </c>
      <c r="O1265" s="1268">
        <v>400</v>
      </c>
      <c r="P1265" s="1268">
        <v>1255504.8799999999</v>
      </c>
      <c r="Q1265" s="1268">
        <v>0</v>
      </c>
      <c r="R1265" s="1268">
        <v>0</v>
      </c>
      <c r="S1265" s="1268">
        <v>0</v>
      </c>
      <c r="T1265" s="1268">
        <v>0</v>
      </c>
      <c r="U1265" s="1268">
        <v>0</v>
      </c>
      <c r="V1265" s="1268">
        <v>0</v>
      </c>
      <c r="W1265" s="1316">
        <v>0</v>
      </c>
      <c r="X1265" s="1268">
        <v>98336</v>
      </c>
      <c r="Y1265" s="1268">
        <v>0</v>
      </c>
    </row>
    <row r="1266" spans="1:25" s="1280" customFormat="1">
      <c r="A1266" s="1281">
        <v>362</v>
      </c>
      <c r="B1266" s="1277" t="s">
        <v>1176</v>
      </c>
      <c r="C1266" s="1268">
        <f t="shared" si="497"/>
        <v>1468863</v>
      </c>
      <c r="D1266" s="1268">
        <f t="shared" si="498"/>
        <v>0</v>
      </c>
      <c r="E1266" s="1268">
        <v>0</v>
      </c>
      <c r="F1266" s="1268">
        <v>0</v>
      </c>
      <c r="G1266" s="1268">
        <v>0</v>
      </c>
      <c r="H1266" s="1268">
        <v>0</v>
      </c>
      <c r="I1266" s="1268">
        <v>0</v>
      </c>
      <c r="J1266" s="1268">
        <v>0</v>
      </c>
      <c r="K1266" s="1278">
        <v>0</v>
      </c>
      <c r="L1266" s="1268">
        <v>0</v>
      </c>
      <c r="M1266" s="1278">
        <v>0</v>
      </c>
      <c r="N1266" s="1268">
        <v>0</v>
      </c>
      <c r="O1266" s="1268">
        <v>0</v>
      </c>
      <c r="P1266" s="1268">
        <v>0</v>
      </c>
      <c r="Q1266" s="1268">
        <v>0</v>
      </c>
      <c r="R1266" s="1268">
        <v>0</v>
      </c>
      <c r="S1266" s="1268">
        <v>552</v>
      </c>
      <c r="T1266" s="1268">
        <v>1362172</v>
      </c>
      <c r="U1266" s="1268">
        <v>0</v>
      </c>
      <c r="V1266" s="1268">
        <v>0</v>
      </c>
      <c r="W1266" s="1316">
        <v>0</v>
      </c>
      <c r="X1266" s="1268">
        <v>106691</v>
      </c>
      <c r="Y1266" s="1268">
        <v>0</v>
      </c>
    </row>
    <row r="1267" spans="1:25" s="1280" customFormat="1">
      <c r="A1267" s="1281">
        <v>363</v>
      </c>
      <c r="B1267" s="1277" t="s">
        <v>1205</v>
      </c>
      <c r="C1267" s="1268">
        <f t="shared" si="497"/>
        <v>10109420</v>
      </c>
      <c r="D1267" s="1268">
        <f t="shared" si="498"/>
        <v>0</v>
      </c>
      <c r="E1267" s="1268">
        <v>0</v>
      </c>
      <c r="F1267" s="1268">
        <v>0</v>
      </c>
      <c r="G1267" s="1268">
        <v>0</v>
      </c>
      <c r="H1267" s="1268">
        <v>0</v>
      </c>
      <c r="I1267" s="1268">
        <v>0</v>
      </c>
      <c r="J1267" s="1268">
        <v>0</v>
      </c>
      <c r="K1267" s="1278">
        <v>0</v>
      </c>
      <c r="L1267" s="1268">
        <v>0</v>
      </c>
      <c r="M1267" s="1278">
        <v>0</v>
      </c>
      <c r="N1267" s="1268">
        <v>0</v>
      </c>
      <c r="O1267" s="1268">
        <v>1100</v>
      </c>
      <c r="P1267" s="1268">
        <v>3452638</v>
      </c>
      <c r="Q1267" s="1268">
        <v>0</v>
      </c>
      <c r="R1267" s="1268">
        <v>0</v>
      </c>
      <c r="S1267" s="1268">
        <v>2400</v>
      </c>
      <c r="T1267" s="1268">
        <v>5922486</v>
      </c>
      <c r="U1267" s="1268">
        <v>0</v>
      </c>
      <c r="V1267" s="1268">
        <v>0</v>
      </c>
      <c r="W1267" s="1316">
        <v>0</v>
      </c>
      <c r="X1267" s="1268">
        <v>734296</v>
      </c>
      <c r="Y1267" s="1268">
        <v>0</v>
      </c>
    </row>
    <row r="1268" spans="1:25" s="1280" customFormat="1">
      <c r="A1268" s="1281">
        <v>364</v>
      </c>
      <c r="B1268" s="1277" t="s">
        <v>1642</v>
      </c>
      <c r="C1268" s="1268">
        <f t="shared" si="497"/>
        <v>5788595</v>
      </c>
      <c r="D1268" s="1268">
        <f t="shared" si="498"/>
        <v>0</v>
      </c>
      <c r="E1268" s="1268">
        <v>0</v>
      </c>
      <c r="F1268" s="1268">
        <v>0</v>
      </c>
      <c r="G1268" s="1268">
        <v>0</v>
      </c>
      <c r="H1268" s="1268">
        <v>0</v>
      </c>
      <c r="I1268" s="1268">
        <v>0</v>
      </c>
      <c r="J1268" s="1268">
        <v>0</v>
      </c>
      <c r="K1268" s="1278">
        <v>0</v>
      </c>
      <c r="L1268" s="1268">
        <v>0</v>
      </c>
      <c r="M1268" s="1278">
        <v>0</v>
      </c>
      <c r="N1268" s="1268">
        <v>0</v>
      </c>
      <c r="O1268" s="1268">
        <v>0</v>
      </c>
      <c r="P1268" s="1268">
        <v>0</v>
      </c>
      <c r="Q1268" s="1268">
        <v>0</v>
      </c>
      <c r="R1268" s="1268">
        <v>0</v>
      </c>
      <c r="S1268" s="1268">
        <v>2226</v>
      </c>
      <c r="T1268" s="1268">
        <v>5368141</v>
      </c>
      <c r="U1268" s="1268">
        <v>0</v>
      </c>
      <c r="V1268" s="1268">
        <v>0</v>
      </c>
      <c r="W1268" s="1316">
        <v>0</v>
      </c>
      <c r="X1268" s="1268">
        <v>420454</v>
      </c>
      <c r="Y1268" s="1268">
        <v>0</v>
      </c>
    </row>
    <row r="1269" spans="1:25" s="1280" customFormat="1">
      <c r="A1269" s="1281">
        <v>365</v>
      </c>
      <c r="B1269" s="1277" t="s">
        <v>1995</v>
      </c>
      <c r="C1269" s="1268">
        <f t="shared" si="497"/>
        <v>5662571</v>
      </c>
      <c r="D1269" s="1268">
        <f t="shared" si="498"/>
        <v>0</v>
      </c>
      <c r="E1269" s="1268">
        <v>0</v>
      </c>
      <c r="F1269" s="1268">
        <v>0</v>
      </c>
      <c r="G1269" s="1268">
        <v>0</v>
      </c>
      <c r="H1269" s="1268">
        <v>0</v>
      </c>
      <c r="I1269" s="1268">
        <v>0</v>
      </c>
      <c r="J1269" s="1268">
        <v>0</v>
      </c>
      <c r="K1269" s="1278">
        <v>0</v>
      </c>
      <c r="L1269" s="1268">
        <v>0</v>
      </c>
      <c r="M1269" s="1278">
        <v>0</v>
      </c>
      <c r="N1269" s="1268">
        <v>0</v>
      </c>
      <c r="O1269" s="1268">
        <v>0</v>
      </c>
      <c r="P1269" s="1268">
        <v>0</v>
      </c>
      <c r="Q1269" s="1268">
        <v>0</v>
      </c>
      <c r="R1269" s="1268">
        <v>0</v>
      </c>
      <c r="S1269" s="1268">
        <v>2128</v>
      </c>
      <c r="T1269" s="1268">
        <v>5251271</v>
      </c>
      <c r="U1269" s="1268">
        <v>0</v>
      </c>
      <c r="V1269" s="1268">
        <v>0</v>
      </c>
      <c r="W1269" s="1316">
        <v>0</v>
      </c>
      <c r="X1269" s="1268">
        <v>411300</v>
      </c>
      <c r="Y1269" s="1268">
        <v>0</v>
      </c>
    </row>
    <row r="1270" spans="1:25" s="1280" customFormat="1">
      <c r="A1270" s="1281">
        <v>366</v>
      </c>
      <c r="B1270" s="1277" t="s">
        <v>1207</v>
      </c>
      <c r="C1270" s="1268">
        <f t="shared" si="497"/>
        <v>1843220</v>
      </c>
      <c r="D1270" s="1268">
        <f t="shared" si="498"/>
        <v>0</v>
      </c>
      <c r="E1270" s="1268">
        <v>0</v>
      </c>
      <c r="F1270" s="1268">
        <v>0</v>
      </c>
      <c r="G1270" s="1268">
        <v>0</v>
      </c>
      <c r="H1270" s="1268">
        <v>0</v>
      </c>
      <c r="I1270" s="1268">
        <v>0</v>
      </c>
      <c r="J1270" s="1268">
        <v>0</v>
      </c>
      <c r="K1270" s="1278">
        <v>0</v>
      </c>
      <c r="L1270" s="1268">
        <v>0</v>
      </c>
      <c r="M1270" s="1278">
        <v>0</v>
      </c>
      <c r="N1270" s="1268">
        <v>0</v>
      </c>
      <c r="O1270" s="1268">
        <v>544.59</v>
      </c>
      <c r="P1270" s="1268">
        <v>1709338</v>
      </c>
      <c r="Q1270" s="1268">
        <v>0</v>
      </c>
      <c r="R1270" s="1268">
        <v>0</v>
      </c>
      <c r="S1270" s="1268">
        <v>0</v>
      </c>
      <c r="T1270" s="1268">
        <v>0</v>
      </c>
      <c r="U1270" s="1268">
        <v>0</v>
      </c>
      <c r="V1270" s="1268">
        <v>0</v>
      </c>
      <c r="W1270" s="1316">
        <v>0</v>
      </c>
      <c r="X1270" s="1268">
        <v>133882</v>
      </c>
      <c r="Y1270" s="1268">
        <v>0</v>
      </c>
    </row>
    <row r="1271" spans="1:25" s="1280" customFormat="1" ht="75.599999999999994">
      <c r="A1271" s="1281">
        <v>367</v>
      </c>
      <c r="B1271" s="1358" t="s">
        <v>2559</v>
      </c>
      <c r="C1271" s="1268">
        <f t="shared" si="497"/>
        <v>10579320.569999998</v>
      </c>
      <c r="D1271" s="1268">
        <f t="shared" si="498"/>
        <v>0</v>
      </c>
      <c r="E1271" s="1268">
        <v>0</v>
      </c>
      <c r="F1271" s="1268">
        <v>0</v>
      </c>
      <c r="G1271" s="1268">
        <v>0</v>
      </c>
      <c r="H1271" s="1268">
        <v>0</v>
      </c>
      <c r="I1271" s="1268">
        <v>0</v>
      </c>
      <c r="J1271" s="1268">
        <v>0</v>
      </c>
      <c r="K1271" s="1278">
        <v>0</v>
      </c>
      <c r="L1271" s="1268">
        <v>0</v>
      </c>
      <c r="M1271" s="1278">
        <v>0</v>
      </c>
      <c r="N1271" s="1268">
        <v>0</v>
      </c>
      <c r="O1271" s="1268">
        <v>1275</v>
      </c>
      <c r="P1271" s="1268">
        <v>4001922</v>
      </c>
      <c r="Q1271" s="1268">
        <v>0</v>
      </c>
      <c r="R1271" s="1268">
        <v>0</v>
      </c>
      <c r="S1271" s="1268">
        <v>2354</v>
      </c>
      <c r="T1271" s="1268">
        <v>5808971.4500000002</v>
      </c>
      <c r="U1271" s="1268">
        <v>0</v>
      </c>
      <c r="V1271" s="1268">
        <v>0</v>
      </c>
      <c r="W1271" s="1316">
        <v>0</v>
      </c>
      <c r="X1271" s="1268">
        <v>768427.12</v>
      </c>
      <c r="Y1271" s="1268">
        <v>0</v>
      </c>
    </row>
    <row r="1272" spans="1:25" s="1280" customFormat="1">
      <c r="A1272" s="1281">
        <v>368</v>
      </c>
      <c r="B1272" s="1277" t="s">
        <v>1213</v>
      </c>
      <c r="C1272" s="1268">
        <f t="shared" si="497"/>
        <v>1380917.7</v>
      </c>
      <c r="D1272" s="1268">
        <f t="shared" si="498"/>
        <v>0</v>
      </c>
      <c r="E1272" s="1268">
        <v>0</v>
      </c>
      <c r="F1272" s="1268">
        <v>0</v>
      </c>
      <c r="G1272" s="1268">
        <v>0</v>
      </c>
      <c r="H1272" s="1268">
        <v>0</v>
      </c>
      <c r="I1272" s="1268">
        <v>0</v>
      </c>
      <c r="J1272" s="1268">
        <v>0</v>
      </c>
      <c r="K1272" s="1278">
        <v>0</v>
      </c>
      <c r="L1272" s="1268">
        <v>0</v>
      </c>
      <c r="M1272" s="1278">
        <v>0</v>
      </c>
      <c r="N1272" s="1268">
        <v>0</v>
      </c>
      <c r="O1272" s="1268">
        <v>408</v>
      </c>
      <c r="P1272" s="1268">
        <v>1280614.98</v>
      </c>
      <c r="Q1272" s="1268">
        <v>0</v>
      </c>
      <c r="R1272" s="1268">
        <v>0</v>
      </c>
      <c r="S1272" s="1268">
        <v>0</v>
      </c>
      <c r="T1272" s="1268">
        <v>0</v>
      </c>
      <c r="U1272" s="1268">
        <v>0</v>
      </c>
      <c r="V1272" s="1268">
        <v>0</v>
      </c>
      <c r="W1272" s="1316">
        <v>0</v>
      </c>
      <c r="X1272" s="1268">
        <v>100302.72</v>
      </c>
      <c r="Y1272" s="1268">
        <v>0</v>
      </c>
    </row>
    <row r="1273" spans="1:25" s="1280" customFormat="1">
      <c r="A1273" s="1394">
        <v>369</v>
      </c>
      <c r="B1273" s="1277" t="s">
        <v>1179</v>
      </c>
      <c r="C1273" s="1268">
        <f t="shared" si="497"/>
        <v>978176</v>
      </c>
      <c r="D1273" s="1268">
        <f t="shared" si="498"/>
        <v>0</v>
      </c>
      <c r="E1273" s="1268">
        <v>0</v>
      </c>
      <c r="F1273" s="1268">
        <v>0</v>
      </c>
      <c r="G1273" s="1268">
        <v>0</v>
      </c>
      <c r="H1273" s="1268">
        <v>0</v>
      </c>
      <c r="I1273" s="1268">
        <v>0</v>
      </c>
      <c r="J1273" s="1268">
        <v>0</v>
      </c>
      <c r="K1273" s="1278">
        <v>0</v>
      </c>
      <c r="L1273" s="1268">
        <v>0</v>
      </c>
      <c r="M1273" s="1278">
        <v>0</v>
      </c>
      <c r="N1273" s="1268">
        <v>0</v>
      </c>
      <c r="O1273" s="1268">
        <v>360</v>
      </c>
      <c r="P1273" s="1268">
        <v>907126</v>
      </c>
      <c r="Q1273" s="1268">
        <v>0</v>
      </c>
      <c r="R1273" s="1268">
        <v>0</v>
      </c>
      <c r="S1273" s="1268">
        <v>0</v>
      </c>
      <c r="T1273" s="1268">
        <v>0</v>
      </c>
      <c r="U1273" s="1268">
        <v>0</v>
      </c>
      <c r="V1273" s="1268">
        <v>0</v>
      </c>
      <c r="W1273" s="1268">
        <v>0</v>
      </c>
      <c r="X1273" s="1268">
        <v>71050</v>
      </c>
      <c r="Y1273" s="1268">
        <v>0</v>
      </c>
    </row>
    <row r="1274" spans="1:25" s="1280" customFormat="1">
      <c r="A1274" s="1281">
        <v>370</v>
      </c>
      <c r="B1274" s="1277" t="s">
        <v>1214</v>
      </c>
      <c r="C1274" s="1268">
        <f t="shared" si="497"/>
        <v>439998</v>
      </c>
      <c r="D1274" s="1268">
        <f t="shared" si="498"/>
        <v>0</v>
      </c>
      <c r="E1274" s="1268">
        <v>0</v>
      </c>
      <c r="F1274" s="1268">
        <v>0</v>
      </c>
      <c r="G1274" s="1268">
        <v>0</v>
      </c>
      <c r="H1274" s="1268">
        <v>0</v>
      </c>
      <c r="I1274" s="1268">
        <v>0</v>
      </c>
      <c r="J1274" s="1268">
        <v>0</v>
      </c>
      <c r="K1274" s="1278">
        <v>0</v>
      </c>
      <c r="L1274" s="1268">
        <v>0</v>
      </c>
      <c r="M1274" s="1278">
        <v>0</v>
      </c>
      <c r="N1274" s="1268">
        <v>0</v>
      </c>
      <c r="O1274" s="1268">
        <v>130</v>
      </c>
      <c r="P1274" s="1268">
        <v>408039</v>
      </c>
      <c r="Q1274" s="1268">
        <v>0</v>
      </c>
      <c r="R1274" s="1268">
        <v>0</v>
      </c>
      <c r="S1274" s="1268">
        <v>0</v>
      </c>
      <c r="T1274" s="1268">
        <v>0</v>
      </c>
      <c r="U1274" s="1268">
        <v>0</v>
      </c>
      <c r="V1274" s="1268">
        <v>0</v>
      </c>
      <c r="W1274" s="1316">
        <v>0</v>
      </c>
      <c r="X1274" s="1268">
        <v>31959</v>
      </c>
      <c r="Y1274" s="1268">
        <v>0</v>
      </c>
    </row>
    <row r="1275" spans="1:25" s="1280" customFormat="1">
      <c r="A1275" s="1281">
        <v>371</v>
      </c>
      <c r="B1275" s="1277" t="s">
        <v>1643</v>
      </c>
      <c r="C1275" s="1268">
        <f t="shared" si="497"/>
        <v>1441841</v>
      </c>
      <c r="D1275" s="1268">
        <f t="shared" si="498"/>
        <v>0</v>
      </c>
      <c r="E1275" s="1268">
        <v>0</v>
      </c>
      <c r="F1275" s="1268">
        <v>0</v>
      </c>
      <c r="G1275" s="1268">
        <v>0</v>
      </c>
      <c r="H1275" s="1268">
        <v>0</v>
      </c>
      <c r="I1275" s="1268">
        <v>0</v>
      </c>
      <c r="J1275" s="1268">
        <v>0</v>
      </c>
      <c r="K1275" s="1278">
        <v>0</v>
      </c>
      <c r="L1275" s="1268">
        <v>0</v>
      </c>
      <c r="M1275" s="1278">
        <v>0</v>
      </c>
      <c r="N1275" s="1268">
        <v>0</v>
      </c>
      <c r="O1275" s="1268">
        <v>426</v>
      </c>
      <c r="P1275" s="1268">
        <v>1337113</v>
      </c>
      <c r="Q1275" s="1268">
        <v>0</v>
      </c>
      <c r="R1275" s="1268">
        <v>0</v>
      </c>
      <c r="S1275" s="1268">
        <v>0</v>
      </c>
      <c r="T1275" s="1268">
        <v>0</v>
      </c>
      <c r="U1275" s="1268">
        <v>0</v>
      </c>
      <c r="V1275" s="1268">
        <v>0</v>
      </c>
      <c r="W1275" s="1316">
        <v>0</v>
      </c>
      <c r="X1275" s="1268">
        <v>104728</v>
      </c>
      <c r="Y1275" s="1268">
        <v>0</v>
      </c>
    </row>
    <row r="1276" spans="1:25" s="1280" customFormat="1">
      <c r="A1276" s="1281">
        <v>372</v>
      </c>
      <c r="B1276" s="1277" t="s">
        <v>1206</v>
      </c>
      <c r="C1276" s="1268">
        <f t="shared" si="497"/>
        <v>1357226</v>
      </c>
      <c r="D1276" s="1268">
        <f t="shared" si="498"/>
        <v>0</v>
      </c>
      <c r="E1276" s="1268">
        <v>0</v>
      </c>
      <c r="F1276" s="1268">
        <v>0</v>
      </c>
      <c r="G1276" s="1268">
        <v>0</v>
      </c>
      <c r="H1276" s="1268">
        <v>0</v>
      </c>
      <c r="I1276" s="1268">
        <v>0</v>
      </c>
      <c r="J1276" s="1268">
        <v>0</v>
      </c>
      <c r="K1276" s="1278">
        <v>0</v>
      </c>
      <c r="L1276" s="1268">
        <v>0</v>
      </c>
      <c r="M1276" s="1278">
        <v>0</v>
      </c>
      <c r="N1276" s="1268">
        <v>0</v>
      </c>
      <c r="O1276" s="1268">
        <v>720</v>
      </c>
      <c r="P1276" s="1268">
        <v>1258644</v>
      </c>
      <c r="Q1276" s="1268">
        <v>0</v>
      </c>
      <c r="R1276" s="1268">
        <v>0</v>
      </c>
      <c r="S1276" s="1268">
        <v>0</v>
      </c>
      <c r="T1276" s="1268">
        <v>0</v>
      </c>
      <c r="U1276" s="1268">
        <v>0</v>
      </c>
      <c r="V1276" s="1268">
        <v>0</v>
      </c>
      <c r="W1276" s="1316">
        <v>0</v>
      </c>
      <c r="X1276" s="1268">
        <v>98582</v>
      </c>
      <c r="Y1276" s="1268">
        <v>0</v>
      </c>
    </row>
    <row r="1277" spans="1:25" s="1280" customFormat="1">
      <c r="A1277" s="1281">
        <v>373</v>
      </c>
      <c r="B1277" s="1277" t="s">
        <v>1215</v>
      </c>
      <c r="C1277" s="1268">
        <f t="shared" si="497"/>
        <v>1353840.88</v>
      </c>
      <c r="D1277" s="1268">
        <f t="shared" si="498"/>
        <v>0</v>
      </c>
      <c r="E1277" s="1268">
        <v>0</v>
      </c>
      <c r="F1277" s="1268">
        <v>0</v>
      </c>
      <c r="G1277" s="1268">
        <v>0</v>
      </c>
      <c r="H1277" s="1268">
        <v>0</v>
      </c>
      <c r="I1277" s="1268">
        <v>0</v>
      </c>
      <c r="J1277" s="1268">
        <v>0</v>
      </c>
      <c r="K1277" s="1278">
        <v>0</v>
      </c>
      <c r="L1277" s="1268">
        <v>0</v>
      </c>
      <c r="M1277" s="1278">
        <v>0</v>
      </c>
      <c r="N1277" s="1268">
        <v>0</v>
      </c>
      <c r="O1277" s="1268">
        <v>400</v>
      </c>
      <c r="P1277" s="1268">
        <v>1255504.8799999999</v>
      </c>
      <c r="Q1277" s="1268">
        <v>0</v>
      </c>
      <c r="R1277" s="1268">
        <v>0</v>
      </c>
      <c r="S1277" s="1268">
        <v>0</v>
      </c>
      <c r="T1277" s="1268">
        <v>0</v>
      </c>
      <c r="U1277" s="1268">
        <v>0</v>
      </c>
      <c r="V1277" s="1268">
        <v>0</v>
      </c>
      <c r="W1277" s="1316">
        <v>0</v>
      </c>
      <c r="X1277" s="1268">
        <v>98336</v>
      </c>
      <c r="Y1277" s="1268">
        <v>0</v>
      </c>
    </row>
    <row r="1278" spans="1:25" s="1280" customFormat="1" ht="75.599999999999994">
      <c r="A1278" s="1281">
        <v>374</v>
      </c>
      <c r="B1278" s="1267" t="s">
        <v>2560</v>
      </c>
      <c r="C1278" s="1268">
        <f t="shared" si="497"/>
        <v>2676948.29</v>
      </c>
      <c r="D1278" s="1268">
        <f t="shared" si="498"/>
        <v>0</v>
      </c>
      <c r="E1278" s="1268">
        <v>0</v>
      </c>
      <c r="F1278" s="1268">
        <v>0</v>
      </c>
      <c r="G1278" s="1268">
        <v>0</v>
      </c>
      <c r="H1278" s="1268">
        <v>0</v>
      </c>
      <c r="I1278" s="1268">
        <v>0</v>
      </c>
      <c r="J1278" s="1268">
        <v>0</v>
      </c>
      <c r="K1278" s="1278">
        <v>0</v>
      </c>
      <c r="L1278" s="1268">
        <v>0</v>
      </c>
      <c r="M1278" s="1278">
        <v>0</v>
      </c>
      <c r="N1278" s="1268">
        <v>0</v>
      </c>
      <c r="O1278" s="1268">
        <v>0</v>
      </c>
      <c r="P1278" s="1268">
        <v>0</v>
      </c>
      <c r="Q1278" s="1268">
        <v>0</v>
      </c>
      <c r="R1278" s="1268">
        <v>0</v>
      </c>
      <c r="S1278" s="1268">
        <v>1006</v>
      </c>
      <c r="T1278" s="1268">
        <v>2482508.61</v>
      </c>
      <c r="U1278" s="1268">
        <v>0</v>
      </c>
      <c r="V1278" s="1268">
        <v>0</v>
      </c>
      <c r="W1278" s="1316">
        <v>0</v>
      </c>
      <c r="X1278" s="1268">
        <v>194439.67999999999</v>
      </c>
      <c r="Y1278" s="1268">
        <v>0</v>
      </c>
    </row>
    <row r="1279" spans="1:25" s="1280" customFormat="1" ht="75.599999999999994">
      <c r="A1279" s="1281">
        <v>375</v>
      </c>
      <c r="B1279" s="1267" t="s">
        <v>2562</v>
      </c>
      <c r="C1279" s="1268">
        <f t="shared" si="497"/>
        <v>1907924.3800000001</v>
      </c>
      <c r="D1279" s="1268">
        <f t="shared" si="498"/>
        <v>0</v>
      </c>
      <c r="E1279" s="1268">
        <v>0</v>
      </c>
      <c r="F1279" s="1268">
        <v>0</v>
      </c>
      <c r="G1279" s="1268">
        <v>0</v>
      </c>
      <c r="H1279" s="1268">
        <v>0</v>
      </c>
      <c r="I1279" s="1268">
        <v>0</v>
      </c>
      <c r="J1279" s="1268">
        <v>0</v>
      </c>
      <c r="K1279" s="1278">
        <v>0</v>
      </c>
      <c r="L1279" s="1268">
        <v>0</v>
      </c>
      <c r="M1279" s="1278">
        <v>0</v>
      </c>
      <c r="N1279" s="1268">
        <v>0</v>
      </c>
      <c r="O1279" s="1268">
        <v>0</v>
      </c>
      <c r="P1279" s="1268">
        <v>0</v>
      </c>
      <c r="Q1279" s="1268">
        <v>0</v>
      </c>
      <c r="R1279" s="1268">
        <v>0</v>
      </c>
      <c r="S1279" s="1268">
        <v>717</v>
      </c>
      <c r="T1279" s="1268">
        <v>1769342.62</v>
      </c>
      <c r="U1279" s="1268">
        <v>0</v>
      </c>
      <c r="V1279" s="1268">
        <v>0</v>
      </c>
      <c r="W1279" s="1316">
        <v>0</v>
      </c>
      <c r="X1279" s="1268">
        <v>138581.76000000001</v>
      </c>
      <c r="Y1279" s="1268">
        <v>0</v>
      </c>
    </row>
    <row r="1280" spans="1:25" s="1280" customFormat="1" ht="75.599999999999994">
      <c r="A1280" s="1281">
        <v>376</v>
      </c>
      <c r="B1280" s="1267" t="s">
        <v>2561</v>
      </c>
      <c r="C1280" s="1268">
        <f t="shared" si="497"/>
        <v>1428947.55</v>
      </c>
      <c r="D1280" s="1268">
        <f t="shared" si="498"/>
        <v>0</v>
      </c>
      <c r="E1280" s="1268">
        <v>0</v>
      </c>
      <c r="F1280" s="1268">
        <v>0</v>
      </c>
      <c r="G1280" s="1268">
        <v>0</v>
      </c>
      <c r="H1280" s="1268">
        <v>0</v>
      </c>
      <c r="I1280" s="1268">
        <v>0</v>
      </c>
      <c r="J1280" s="1268">
        <v>0</v>
      </c>
      <c r="K1280" s="1278">
        <v>0</v>
      </c>
      <c r="L1280" s="1268">
        <v>0</v>
      </c>
      <c r="M1280" s="1278">
        <v>0</v>
      </c>
      <c r="N1280" s="1268">
        <v>0</v>
      </c>
      <c r="O1280" s="1268">
        <v>0</v>
      </c>
      <c r="P1280" s="1268">
        <v>0</v>
      </c>
      <c r="Q1280" s="1268">
        <v>0</v>
      </c>
      <c r="R1280" s="1268">
        <v>0</v>
      </c>
      <c r="S1280" s="1268">
        <v>537</v>
      </c>
      <c r="T1280" s="1268">
        <v>1325156.19</v>
      </c>
      <c r="U1280" s="1268">
        <v>0</v>
      </c>
      <c r="V1280" s="1268">
        <v>0</v>
      </c>
      <c r="W1280" s="1316">
        <v>0</v>
      </c>
      <c r="X1280" s="1268">
        <v>103791.36</v>
      </c>
      <c r="Y1280" s="1268">
        <v>0</v>
      </c>
    </row>
    <row r="1281" spans="1:25" s="1280" customFormat="1">
      <c r="A1281" s="1281">
        <v>377</v>
      </c>
      <c r="B1281" s="1267" t="s">
        <v>1644</v>
      </c>
      <c r="C1281" s="1268">
        <f t="shared" si="497"/>
        <v>3799882.84</v>
      </c>
      <c r="D1281" s="1268">
        <f t="shared" si="498"/>
        <v>0</v>
      </c>
      <c r="E1281" s="1268">
        <v>0</v>
      </c>
      <c r="F1281" s="1268">
        <v>0</v>
      </c>
      <c r="G1281" s="1268">
        <v>0</v>
      </c>
      <c r="H1281" s="1268">
        <v>0</v>
      </c>
      <c r="I1281" s="1268">
        <v>0</v>
      </c>
      <c r="J1281" s="1268">
        <v>0</v>
      </c>
      <c r="K1281" s="1278">
        <v>0</v>
      </c>
      <c r="L1281" s="1268">
        <v>0</v>
      </c>
      <c r="M1281" s="1278">
        <v>0</v>
      </c>
      <c r="N1281" s="1268">
        <v>0</v>
      </c>
      <c r="O1281" s="1268">
        <v>0</v>
      </c>
      <c r="P1281" s="1268">
        <v>0</v>
      </c>
      <c r="Q1281" s="1268">
        <v>0</v>
      </c>
      <c r="R1281" s="1268">
        <v>0</v>
      </c>
      <c r="S1281" s="1268">
        <v>1428</v>
      </c>
      <c r="T1281" s="1268">
        <v>3523879.03</v>
      </c>
      <c r="U1281" s="1268">
        <v>0</v>
      </c>
      <c r="V1281" s="1268">
        <v>0</v>
      </c>
      <c r="W1281" s="1316">
        <v>0</v>
      </c>
      <c r="X1281" s="1268">
        <v>276003.81</v>
      </c>
      <c r="Y1281" s="1268">
        <v>0</v>
      </c>
    </row>
    <row r="1282" spans="1:25" s="1280" customFormat="1">
      <c r="A1282" s="1281">
        <v>378</v>
      </c>
      <c r="B1282" s="1300" t="s">
        <v>1645</v>
      </c>
      <c r="C1282" s="1268">
        <f t="shared" si="497"/>
        <v>3060129.76</v>
      </c>
      <c r="D1282" s="1268">
        <f t="shared" si="498"/>
        <v>0</v>
      </c>
      <c r="E1282" s="1268">
        <v>0</v>
      </c>
      <c r="F1282" s="1268">
        <v>0</v>
      </c>
      <c r="G1282" s="1268">
        <v>0</v>
      </c>
      <c r="H1282" s="1268">
        <v>0</v>
      </c>
      <c r="I1282" s="1268">
        <v>0</v>
      </c>
      <c r="J1282" s="1268">
        <v>0</v>
      </c>
      <c r="K1282" s="1278">
        <v>0</v>
      </c>
      <c r="L1282" s="1268">
        <v>0</v>
      </c>
      <c r="M1282" s="1278">
        <v>0</v>
      </c>
      <c r="N1282" s="1268">
        <v>0</v>
      </c>
      <c r="O1282" s="1268">
        <v>0</v>
      </c>
      <c r="P1282" s="1268">
        <v>0</v>
      </c>
      <c r="Q1282" s="1268">
        <v>0</v>
      </c>
      <c r="R1282" s="1268">
        <v>0</v>
      </c>
      <c r="S1282" s="1268">
        <v>1150</v>
      </c>
      <c r="T1282" s="1268">
        <v>2837857.76</v>
      </c>
      <c r="U1282" s="1268">
        <v>0</v>
      </c>
      <c r="V1282" s="1268">
        <v>0</v>
      </c>
      <c r="W1282" s="1316">
        <v>0</v>
      </c>
      <c r="X1282" s="1268">
        <v>222272</v>
      </c>
      <c r="Y1282" s="1268">
        <v>0</v>
      </c>
    </row>
    <row r="1283" spans="1:25" s="1280" customFormat="1">
      <c r="A1283" s="1281">
        <v>379</v>
      </c>
      <c r="B1283" s="1300" t="s">
        <v>1646</v>
      </c>
      <c r="C1283" s="1268">
        <f t="shared" si="497"/>
        <v>3060129.76</v>
      </c>
      <c r="D1283" s="1268">
        <f t="shared" si="498"/>
        <v>0</v>
      </c>
      <c r="E1283" s="1268">
        <v>0</v>
      </c>
      <c r="F1283" s="1268">
        <v>0</v>
      </c>
      <c r="G1283" s="1268">
        <v>0</v>
      </c>
      <c r="H1283" s="1268">
        <v>0</v>
      </c>
      <c r="I1283" s="1268">
        <v>0</v>
      </c>
      <c r="J1283" s="1268">
        <v>0</v>
      </c>
      <c r="K1283" s="1278">
        <v>0</v>
      </c>
      <c r="L1283" s="1268">
        <v>0</v>
      </c>
      <c r="M1283" s="1278">
        <v>0</v>
      </c>
      <c r="N1283" s="1268">
        <v>0</v>
      </c>
      <c r="O1283" s="1268">
        <v>0</v>
      </c>
      <c r="P1283" s="1268">
        <v>0</v>
      </c>
      <c r="Q1283" s="1268">
        <v>0</v>
      </c>
      <c r="R1283" s="1268">
        <v>0</v>
      </c>
      <c r="S1283" s="1268">
        <v>1150</v>
      </c>
      <c r="T1283" s="1268">
        <v>2837857.76</v>
      </c>
      <c r="U1283" s="1268">
        <v>0</v>
      </c>
      <c r="V1283" s="1268">
        <v>0</v>
      </c>
      <c r="W1283" s="1316">
        <v>0</v>
      </c>
      <c r="X1283" s="1268">
        <v>222272</v>
      </c>
      <c r="Y1283" s="1268">
        <v>0</v>
      </c>
    </row>
    <row r="1284" spans="1:25" s="1280" customFormat="1">
      <c r="A1284" s="1281">
        <v>380</v>
      </c>
      <c r="B1284" s="1300" t="s">
        <v>1647</v>
      </c>
      <c r="C1284" s="1268">
        <f t="shared" si="497"/>
        <v>2847251.17</v>
      </c>
      <c r="D1284" s="1268">
        <f t="shared" si="498"/>
        <v>0</v>
      </c>
      <c r="E1284" s="1268">
        <v>0</v>
      </c>
      <c r="F1284" s="1268">
        <v>0</v>
      </c>
      <c r="G1284" s="1268">
        <v>0</v>
      </c>
      <c r="H1284" s="1268">
        <v>0</v>
      </c>
      <c r="I1284" s="1268">
        <v>0</v>
      </c>
      <c r="J1284" s="1268">
        <v>0</v>
      </c>
      <c r="K1284" s="1278">
        <v>0</v>
      </c>
      <c r="L1284" s="1268">
        <v>0</v>
      </c>
      <c r="M1284" s="1278">
        <v>0</v>
      </c>
      <c r="N1284" s="1268">
        <v>0</v>
      </c>
      <c r="O1284" s="1268">
        <v>0</v>
      </c>
      <c r="P1284" s="1268">
        <v>0</v>
      </c>
      <c r="Q1284" s="1268">
        <v>0</v>
      </c>
      <c r="R1284" s="1268">
        <v>0</v>
      </c>
      <c r="S1284" s="1268">
        <v>1070</v>
      </c>
      <c r="T1284" s="1268">
        <v>2640441.5699999998</v>
      </c>
      <c r="U1284" s="1268">
        <v>0</v>
      </c>
      <c r="V1284" s="1268">
        <v>0</v>
      </c>
      <c r="W1284" s="1316">
        <v>0</v>
      </c>
      <c r="X1284" s="1268">
        <v>206809.60000000001</v>
      </c>
      <c r="Y1284" s="1268">
        <v>0</v>
      </c>
    </row>
    <row r="1285" spans="1:25" s="1280" customFormat="1" ht="75.599999999999994">
      <c r="A1285" s="1281">
        <v>381</v>
      </c>
      <c r="B1285" s="1300" t="s">
        <v>2563</v>
      </c>
      <c r="C1285" s="1268">
        <f t="shared" si="497"/>
        <v>7367461.9699999997</v>
      </c>
      <c r="D1285" s="1268">
        <f t="shared" si="498"/>
        <v>0</v>
      </c>
      <c r="E1285" s="1268">
        <v>0</v>
      </c>
      <c r="F1285" s="1268">
        <v>0</v>
      </c>
      <c r="G1285" s="1268">
        <v>0</v>
      </c>
      <c r="H1285" s="1268">
        <v>0</v>
      </c>
      <c r="I1285" s="1268">
        <v>0</v>
      </c>
      <c r="J1285" s="1268">
        <v>0</v>
      </c>
      <c r="K1285" s="1278">
        <v>0</v>
      </c>
      <c r="L1285" s="1268">
        <v>0</v>
      </c>
      <c r="M1285" s="1278">
        <v>0</v>
      </c>
      <c r="N1285" s="1268">
        <v>0</v>
      </c>
      <c r="O1285" s="1268">
        <v>0</v>
      </c>
      <c r="P1285" s="1268">
        <v>0</v>
      </c>
      <c r="Q1285" s="1268">
        <v>0</v>
      </c>
      <c r="R1285" s="1268">
        <v>0</v>
      </c>
      <c r="S1285" s="1268">
        <v>2768.7</v>
      </c>
      <c r="T1285" s="1268">
        <v>6832327.6299999999</v>
      </c>
      <c r="U1285" s="1268">
        <v>0</v>
      </c>
      <c r="V1285" s="1268">
        <v>0</v>
      </c>
      <c r="W1285" s="1316">
        <v>0</v>
      </c>
      <c r="X1285" s="1268">
        <v>535134.34</v>
      </c>
      <c r="Y1285" s="1268">
        <v>0</v>
      </c>
    </row>
    <row r="1286" spans="1:25" s="1280" customFormat="1">
      <c r="A1286" s="1281">
        <v>382</v>
      </c>
      <c r="B1286" s="1315" t="s">
        <v>1649</v>
      </c>
      <c r="C1286" s="1268">
        <f t="shared" si="497"/>
        <v>3219788.6999999997</v>
      </c>
      <c r="D1286" s="1268">
        <f t="shared" si="498"/>
        <v>0</v>
      </c>
      <c r="E1286" s="1268">
        <v>0</v>
      </c>
      <c r="F1286" s="1268">
        <v>0</v>
      </c>
      <c r="G1286" s="1268">
        <v>0</v>
      </c>
      <c r="H1286" s="1268">
        <v>0</v>
      </c>
      <c r="I1286" s="1268">
        <v>0</v>
      </c>
      <c r="J1286" s="1268">
        <v>0</v>
      </c>
      <c r="K1286" s="1278">
        <v>0</v>
      </c>
      <c r="L1286" s="1268">
        <v>0</v>
      </c>
      <c r="M1286" s="1278">
        <v>0</v>
      </c>
      <c r="N1286" s="1268">
        <v>0</v>
      </c>
      <c r="O1286" s="1268">
        <v>0</v>
      </c>
      <c r="P1286" s="1268">
        <v>0</v>
      </c>
      <c r="Q1286" s="1268">
        <v>0</v>
      </c>
      <c r="R1286" s="1268">
        <v>0</v>
      </c>
      <c r="S1286" s="1268">
        <v>1210</v>
      </c>
      <c r="T1286" s="1268">
        <v>2985919.9</v>
      </c>
      <c r="U1286" s="1268">
        <v>0</v>
      </c>
      <c r="V1286" s="1268">
        <v>0</v>
      </c>
      <c r="W1286" s="1316">
        <v>0</v>
      </c>
      <c r="X1286" s="1268">
        <v>233868.79999999999</v>
      </c>
      <c r="Y1286" s="1268">
        <v>0</v>
      </c>
    </row>
    <row r="1287" spans="1:25" s="1280" customFormat="1">
      <c r="A1287" s="1281">
        <v>383</v>
      </c>
      <c r="B1287" s="1277" t="s">
        <v>1650</v>
      </c>
      <c r="C1287" s="1268">
        <f t="shared" si="497"/>
        <v>3432667.3000000003</v>
      </c>
      <c r="D1287" s="1268">
        <f t="shared" si="498"/>
        <v>0</v>
      </c>
      <c r="E1287" s="1268">
        <v>0</v>
      </c>
      <c r="F1287" s="1268">
        <v>0</v>
      </c>
      <c r="G1287" s="1268">
        <v>0</v>
      </c>
      <c r="H1287" s="1268">
        <v>0</v>
      </c>
      <c r="I1287" s="1268">
        <v>0</v>
      </c>
      <c r="J1287" s="1268">
        <v>0</v>
      </c>
      <c r="K1287" s="1278">
        <v>0</v>
      </c>
      <c r="L1287" s="1268">
        <v>0</v>
      </c>
      <c r="M1287" s="1278">
        <v>0</v>
      </c>
      <c r="N1287" s="1268">
        <v>0</v>
      </c>
      <c r="O1287" s="1268">
        <v>0</v>
      </c>
      <c r="P1287" s="1268">
        <v>0</v>
      </c>
      <c r="Q1287" s="1268">
        <v>0</v>
      </c>
      <c r="R1287" s="1268">
        <v>0</v>
      </c>
      <c r="S1287" s="1268">
        <v>1290</v>
      </c>
      <c r="T1287" s="1268">
        <v>3183336.1</v>
      </c>
      <c r="U1287" s="1268">
        <v>0</v>
      </c>
      <c r="V1287" s="1268">
        <v>0</v>
      </c>
      <c r="W1287" s="1316">
        <v>0</v>
      </c>
      <c r="X1287" s="1268">
        <v>249331.20000000001</v>
      </c>
      <c r="Y1287" s="1268">
        <v>0</v>
      </c>
    </row>
    <row r="1288" spans="1:25" s="1280" customFormat="1">
      <c r="A1288" s="1281">
        <v>384</v>
      </c>
      <c r="B1288" s="1277" t="s">
        <v>1651</v>
      </c>
      <c r="C1288" s="1268">
        <f t="shared" si="497"/>
        <v>4470450.43</v>
      </c>
      <c r="D1288" s="1268">
        <f t="shared" si="498"/>
        <v>0</v>
      </c>
      <c r="E1288" s="1268">
        <v>0</v>
      </c>
      <c r="F1288" s="1268">
        <v>0</v>
      </c>
      <c r="G1288" s="1268">
        <v>0</v>
      </c>
      <c r="H1288" s="1268">
        <v>0</v>
      </c>
      <c r="I1288" s="1268">
        <v>0</v>
      </c>
      <c r="J1288" s="1268">
        <v>0</v>
      </c>
      <c r="K1288" s="1278">
        <v>0</v>
      </c>
      <c r="L1288" s="1268">
        <v>0</v>
      </c>
      <c r="M1288" s="1278">
        <v>0</v>
      </c>
      <c r="N1288" s="1268">
        <v>0</v>
      </c>
      <c r="O1288" s="1268">
        <v>0</v>
      </c>
      <c r="P1288" s="1268">
        <v>0</v>
      </c>
      <c r="Q1288" s="1268">
        <v>0</v>
      </c>
      <c r="R1288" s="1268">
        <v>0</v>
      </c>
      <c r="S1288" s="1268">
        <v>1680</v>
      </c>
      <c r="T1288" s="1268">
        <v>4145740.03</v>
      </c>
      <c r="U1288" s="1268">
        <v>0</v>
      </c>
      <c r="V1288" s="1268">
        <v>0</v>
      </c>
      <c r="W1288" s="1316">
        <v>0</v>
      </c>
      <c r="X1288" s="1268">
        <v>324710.40000000002</v>
      </c>
      <c r="Y1288" s="1268">
        <v>0</v>
      </c>
    </row>
    <row r="1289" spans="1:25" s="1280" customFormat="1">
      <c r="A1289" s="1281">
        <v>385</v>
      </c>
      <c r="B1289" s="1300" t="s">
        <v>1652</v>
      </c>
      <c r="C1289" s="1268">
        <f t="shared" si="497"/>
        <v>5029256.74</v>
      </c>
      <c r="D1289" s="1268">
        <f t="shared" si="498"/>
        <v>0</v>
      </c>
      <c r="E1289" s="1268">
        <v>0</v>
      </c>
      <c r="F1289" s="1268">
        <v>0</v>
      </c>
      <c r="G1289" s="1268">
        <v>0</v>
      </c>
      <c r="H1289" s="1268">
        <v>0</v>
      </c>
      <c r="I1289" s="1268">
        <v>0</v>
      </c>
      <c r="J1289" s="1268">
        <v>0</v>
      </c>
      <c r="K1289" s="1278">
        <v>0</v>
      </c>
      <c r="L1289" s="1268">
        <v>0</v>
      </c>
      <c r="M1289" s="1278">
        <v>0</v>
      </c>
      <c r="N1289" s="1268">
        <v>0</v>
      </c>
      <c r="O1289" s="1268">
        <v>0</v>
      </c>
      <c r="P1289" s="1268">
        <v>0</v>
      </c>
      <c r="Q1289" s="1268">
        <v>0</v>
      </c>
      <c r="R1289" s="1268">
        <v>0</v>
      </c>
      <c r="S1289" s="1268">
        <v>1890</v>
      </c>
      <c r="T1289" s="1268">
        <v>4663957.54</v>
      </c>
      <c r="U1289" s="1268">
        <v>0</v>
      </c>
      <c r="V1289" s="1268">
        <v>0</v>
      </c>
      <c r="W1289" s="1316">
        <v>0</v>
      </c>
      <c r="X1289" s="1268">
        <v>365299.20000000001</v>
      </c>
      <c r="Y1289" s="1268">
        <v>0</v>
      </c>
    </row>
    <row r="1290" spans="1:25" s="1280" customFormat="1">
      <c r="A1290" s="1281">
        <v>386</v>
      </c>
      <c r="B1290" s="1277" t="s">
        <v>1653</v>
      </c>
      <c r="C1290" s="1268">
        <f t="shared" si="497"/>
        <v>7078213.1799999997</v>
      </c>
      <c r="D1290" s="1268">
        <f t="shared" si="498"/>
        <v>0</v>
      </c>
      <c r="E1290" s="1268">
        <v>0</v>
      </c>
      <c r="F1290" s="1268">
        <v>0</v>
      </c>
      <c r="G1290" s="1268">
        <v>0</v>
      </c>
      <c r="H1290" s="1268">
        <v>0</v>
      </c>
      <c r="I1290" s="1268">
        <v>0</v>
      </c>
      <c r="J1290" s="1268">
        <v>0</v>
      </c>
      <c r="K1290" s="1278">
        <v>0</v>
      </c>
      <c r="L1290" s="1268">
        <v>0</v>
      </c>
      <c r="M1290" s="1278">
        <v>0</v>
      </c>
      <c r="N1290" s="1268">
        <v>0</v>
      </c>
      <c r="O1290" s="1268">
        <v>0</v>
      </c>
      <c r="P1290" s="1268">
        <v>0</v>
      </c>
      <c r="Q1290" s="1268">
        <v>0</v>
      </c>
      <c r="R1290" s="1268">
        <v>0</v>
      </c>
      <c r="S1290" s="1268">
        <v>2660</v>
      </c>
      <c r="T1290" s="1268">
        <v>6564088.3799999999</v>
      </c>
      <c r="U1290" s="1268">
        <v>0</v>
      </c>
      <c r="V1290" s="1268">
        <v>0</v>
      </c>
      <c r="W1290" s="1316">
        <v>0</v>
      </c>
      <c r="X1290" s="1268">
        <v>514124.79999999999</v>
      </c>
      <c r="Y1290" s="1268">
        <v>0</v>
      </c>
    </row>
    <row r="1291" spans="1:25" s="1280" customFormat="1">
      <c r="A1291" s="1281">
        <v>387</v>
      </c>
      <c r="B1291" s="1300" t="s">
        <v>1654</v>
      </c>
      <c r="C1291" s="1268">
        <f t="shared" si="497"/>
        <v>6785505.1200000001</v>
      </c>
      <c r="D1291" s="1268">
        <f t="shared" si="498"/>
        <v>0</v>
      </c>
      <c r="E1291" s="1268">
        <v>0</v>
      </c>
      <c r="F1291" s="1268">
        <v>0</v>
      </c>
      <c r="G1291" s="1268">
        <v>0</v>
      </c>
      <c r="H1291" s="1268">
        <v>0</v>
      </c>
      <c r="I1291" s="1268">
        <v>0</v>
      </c>
      <c r="J1291" s="1268">
        <v>0</v>
      </c>
      <c r="K1291" s="1278">
        <v>0</v>
      </c>
      <c r="L1291" s="1268">
        <v>0</v>
      </c>
      <c r="M1291" s="1278">
        <v>0</v>
      </c>
      <c r="N1291" s="1268">
        <v>0</v>
      </c>
      <c r="O1291" s="1268">
        <v>0</v>
      </c>
      <c r="P1291" s="1268">
        <v>0</v>
      </c>
      <c r="Q1291" s="1268">
        <v>0</v>
      </c>
      <c r="R1291" s="1268">
        <v>0</v>
      </c>
      <c r="S1291" s="1268">
        <v>2550</v>
      </c>
      <c r="T1291" s="1268">
        <v>6292641.1200000001</v>
      </c>
      <c r="U1291" s="1268">
        <v>0</v>
      </c>
      <c r="V1291" s="1268">
        <v>0</v>
      </c>
      <c r="W1291" s="1316">
        <v>0</v>
      </c>
      <c r="X1291" s="1268">
        <v>492864</v>
      </c>
      <c r="Y1291" s="1268">
        <v>0</v>
      </c>
    </row>
    <row r="1292" spans="1:25" s="1280" customFormat="1">
      <c r="A1292" s="1281">
        <v>388</v>
      </c>
      <c r="B1292" s="1300" t="s">
        <v>1655</v>
      </c>
      <c r="C1292" s="1268">
        <f t="shared" si="497"/>
        <v>5662570.5499999998</v>
      </c>
      <c r="D1292" s="1268">
        <f t="shared" si="498"/>
        <v>0</v>
      </c>
      <c r="E1292" s="1268">
        <v>0</v>
      </c>
      <c r="F1292" s="1268">
        <v>0</v>
      </c>
      <c r="G1292" s="1268">
        <v>0</v>
      </c>
      <c r="H1292" s="1268">
        <v>0</v>
      </c>
      <c r="I1292" s="1268">
        <v>0</v>
      </c>
      <c r="J1292" s="1268">
        <v>0</v>
      </c>
      <c r="K1292" s="1278">
        <v>0</v>
      </c>
      <c r="L1292" s="1268">
        <v>0</v>
      </c>
      <c r="M1292" s="1278">
        <v>0</v>
      </c>
      <c r="N1292" s="1268">
        <v>0</v>
      </c>
      <c r="O1292" s="1268">
        <v>0</v>
      </c>
      <c r="P1292" s="1268">
        <v>0</v>
      </c>
      <c r="Q1292" s="1268">
        <v>0</v>
      </c>
      <c r="R1292" s="1268">
        <v>0</v>
      </c>
      <c r="S1292" s="1268">
        <v>2128</v>
      </c>
      <c r="T1292" s="1268">
        <v>5251270.71</v>
      </c>
      <c r="U1292" s="1268">
        <v>0</v>
      </c>
      <c r="V1292" s="1268">
        <v>0</v>
      </c>
      <c r="W1292" s="1316">
        <v>0</v>
      </c>
      <c r="X1292" s="1268">
        <v>411299.84000000003</v>
      </c>
      <c r="Y1292" s="1268">
        <v>0</v>
      </c>
    </row>
    <row r="1293" spans="1:25" s="1280" customFormat="1">
      <c r="A1293" s="1281">
        <v>389</v>
      </c>
      <c r="B1293" s="1300" t="s">
        <v>1656</v>
      </c>
      <c r="C1293" s="1268">
        <f t="shared" si="497"/>
        <v>8262350.3500000006</v>
      </c>
      <c r="D1293" s="1268">
        <f t="shared" si="498"/>
        <v>0</v>
      </c>
      <c r="E1293" s="1268">
        <v>0</v>
      </c>
      <c r="F1293" s="1268">
        <v>0</v>
      </c>
      <c r="G1293" s="1268">
        <v>0</v>
      </c>
      <c r="H1293" s="1268">
        <v>0</v>
      </c>
      <c r="I1293" s="1268">
        <v>0</v>
      </c>
      <c r="J1293" s="1268">
        <v>0</v>
      </c>
      <c r="K1293" s="1278">
        <v>0</v>
      </c>
      <c r="L1293" s="1268">
        <v>0</v>
      </c>
      <c r="M1293" s="1278">
        <v>0</v>
      </c>
      <c r="N1293" s="1268">
        <v>0</v>
      </c>
      <c r="O1293" s="1268">
        <v>0</v>
      </c>
      <c r="P1293" s="1268">
        <v>0</v>
      </c>
      <c r="Q1293" s="1268">
        <v>0</v>
      </c>
      <c r="R1293" s="1268">
        <v>0</v>
      </c>
      <c r="S1293" s="1268">
        <v>3105</v>
      </c>
      <c r="T1293" s="1268">
        <v>7662215.9500000002</v>
      </c>
      <c r="U1293" s="1268">
        <v>0</v>
      </c>
      <c r="V1293" s="1268">
        <v>0</v>
      </c>
      <c r="W1293" s="1316">
        <v>0</v>
      </c>
      <c r="X1293" s="1268">
        <v>600134.40000000002</v>
      </c>
      <c r="Y1293" s="1268">
        <v>0</v>
      </c>
    </row>
    <row r="1294" spans="1:25" s="1280" customFormat="1">
      <c r="A1294" s="1281">
        <v>390</v>
      </c>
      <c r="B1294" s="1277" t="s">
        <v>1657</v>
      </c>
      <c r="C1294" s="1268">
        <f t="shared" si="497"/>
        <v>2792414.78</v>
      </c>
      <c r="D1294" s="1268">
        <f t="shared" si="498"/>
        <v>0</v>
      </c>
      <c r="E1294" s="1268">
        <v>0</v>
      </c>
      <c r="F1294" s="1268">
        <v>0</v>
      </c>
      <c r="G1294" s="1268">
        <v>0</v>
      </c>
      <c r="H1294" s="1268">
        <v>0</v>
      </c>
      <c r="I1294" s="1268">
        <v>0</v>
      </c>
      <c r="J1294" s="1268">
        <v>0</v>
      </c>
      <c r="K1294" s="1278">
        <v>0</v>
      </c>
      <c r="L1294" s="1268">
        <v>0</v>
      </c>
      <c r="M1294" s="1278">
        <v>0</v>
      </c>
      <c r="N1294" s="1268">
        <v>0</v>
      </c>
      <c r="O1294" s="1268">
        <v>285.7</v>
      </c>
      <c r="P1294" s="1268">
        <v>896744.36</v>
      </c>
      <c r="Q1294" s="1268">
        <v>0</v>
      </c>
      <c r="R1294" s="1268">
        <v>0</v>
      </c>
      <c r="S1294" s="1268">
        <v>686</v>
      </c>
      <c r="T1294" s="1268">
        <v>1692843.85</v>
      </c>
      <c r="U1294" s="1268">
        <v>0</v>
      </c>
      <c r="V1294" s="1268">
        <v>0</v>
      </c>
      <c r="W1294" s="1316">
        <v>0</v>
      </c>
      <c r="X1294" s="1268">
        <v>202826.57</v>
      </c>
      <c r="Y1294" s="1268">
        <v>0</v>
      </c>
    </row>
    <row r="1295" spans="1:25" s="1280" customFormat="1">
      <c r="A1295" s="1281">
        <v>391</v>
      </c>
      <c r="B1295" s="1277" t="s">
        <v>1658</v>
      </c>
      <c r="C1295" s="1268">
        <f t="shared" si="497"/>
        <v>4128151.8400000003</v>
      </c>
      <c r="D1295" s="1268">
        <f t="shared" si="498"/>
        <v>0</v>
      </c>
      <c r="E1295" s="1268">
        <v>0</v>
      </c>
      <c r="F1295" s="1268">
        <v>0</v>
      </c>
      <c r="G1295" s="1268">
        <v>0</v>
      </c>
      <c r="H1295" s="1268">
        <v>0</v>
      </c>
      <c r="I1295" s="1268">
        <v>0</v>
      </c>
      <c r="J1295" s="1268">
        <v>0</v>
      </c>
      <c r="K1295" s="1278">
        <v>0</v>
      </c>
      <c r="L1295" s="1268">
        <v>0</v>
      </c>
      <c r="M1295" s="1278">
        <v>0</v>
      </c>
      <c r="N1295" s="1268">
        <v>0</v>
      </c>
      <c r="O1295" s="1268">
        <v>575</v>
      </c>
      <c r="P1295" s="1268">
        <v>1804788.27</v>
      </c>
      <c r="Q1295" s="1268">
        <v>0</v>
      </c>
      <c r="R1295" s="1268">
        <v>0</v>
      </c>
      <c r="S1295" s="1268">
        <v>820</v>
      </c>
      <c r="T1295" s="1268">
        <v>2023515.97</v>
      </c>
      <c r="U1295" s="1268">
        <v>0</v>
      </c>
      <c r="V1295" s="1268">
        <v>0</v>
      </c>
      <c r="W1295" s="1316">
        <v>0</v>
      </c>
      <c r="X1295" s="1268">
        <v>299847.59999999998</v>
      </c>
      <c r="Y1295" s="1268">
        <v>0</v>
      </c>
    </row>
    <row r="1296" spans="1:25" s="1280" customFormat="1">
      <c r="A1296" s="1281">
        <v>392</v>
      </c>
      <c r="B1296" s="1267" t="s">
        <v>1659</v>
      </c>
      <c r="C1296" s="1268">
        <f t="shared" ref="C1296:C1328" si="507">D1296+N1296+P1296+R1296+T1296+V1296+X1296</f>
        <v>4576889.7299999995</v>
      </c>
      <c r="D1296" s="1268">
        <f t="shared" ref="D1296:D1328" si="508">SUM(E1296:J1296)</f>
        <v>0</v>
      </c>
      <c r="E1296" s="1268">
        <v>0</v>
      </c>
      <c r="F1296" s="1268">
        <v>0</v>
      </c>
      <c r="G1296" s="1268">
        <v>0</v>
      </c>
      <c r="H1296" s="1268">
        <v>0</v>
      </c>
      <c r="I1296" s="1268">
        <v>0</v>
      </c>
      <c r="J1296" s="1268">
        <v>0</v>
      </c>
      <c r="K1296" s="1278">
        <v>0</v>
      </c>
      <c r="L1296" s="1268">
        <v>0</v>
      </c>
      <c r="M1296" s="1278">
        <v>0</v>
      </c>
      <c r="N1296" s="1268">
        <v>0</v>
      </c>
      <c r="O1296" s="1268">
        <v>0</v>
      </c>
      <c r="P1296" s="1268">
        <v>0</v>
      </c>
      <c r="Q1296" s="1268">
        <v>0</v>
      </c>
      <c r="R1296" s="1268">
        <v>0</v>
      </c>
      <c r="S1296" s="1268">
        <v>1720</v>
      </c>
      <c r="T1296" s="1268">
        <v>4244448.13</v>
      </c>
      <c r="U1296" s="1268">
        <v>0</v>
      </c>
      <c r="V1296" s="1268">
        <v>0</v>
      </c>
      <c r="W1296" s="1316">
        <v>0</v>
      </c>
      <c r="X1296" s="1268">
        <v>332441.59999999998</v>
      </c>
      <c r="Y1296" s="1268">
        <v>0</v>
      </c>
    </row>
    <row r="1297" spans="1:25" s="1280" customFormat="1" ht="75.599999999999994">
      <c r="A1297" s="1281">
        <v>393</v>
      </c>
      <c r="B1297" s="1267" t="s">
        <v>2564</v>
      </c>
      <c r="C1297" s="1268">
        <f t="shared" si="507"/>
        <v>2256513.08</v>
      </c>
      <c r="D1297" s="1268">
        <f t="shared" si="508"/>
        <v>0</v>
      </c>
      <c r="E1297" s="1268">
        <v>0</v>
      </c>
      <c r="F1297" s="1268">
        <v>0</v>
      </c>
      <c r="G1297" s="1268">
        <v>0</v>
      </c>
      <c r="H1297" s="1268">
        <v>0</v>
      </c>
      <c r="I1297" s="1268">
        <v>0</v>
      </c>
      <c r="J1297" s="1268">
        <v>0</v>
      </c>
      <c r="K1297" s="1278">
        <v>0</v>
      </c>
      <c r="L1297" s="1268">
        <v>0</v>
      </c>
      <c r="M1297" s="1278">
        <v>0</v>
      </c>
      <c r="N1297" s="1268">
        <v>0</v>
      </c>
      <c r="O1297" s="1268">
        <v>0</v>
      </c>
      <c r="P1297" s="1268">
        <v>0</v>
      </c>
      <c r="Q1297" s="1268">
        <v>0</v>
      </c>
      <c r="R1297" s="1268">
        <v>0</v>
      </c>
      <c r="S1297" s="1268">
        <v>848</v>
      </c>
      <c r="T1297" s="1268">
        <v>2092611.64</v>
      </c>
      <c r="U1297" s="1268">
        <v>0</v>
      </c>
      <c r="V1297" s="1268">
        <v>0</v>
      </c>
      <c r="W1297" s="1316">
        <v>0</v>
      </c>
      <c r="X1297" s="1268">
        <v>163901.44</v>
      </c>
      <c r="Y1297" s="1268">
        <v>0</v>
      </c>
    </row>
    <row r="1298" spans="1:25" s="1280" customFormat="1">
      <c r="A1298" s="1281">
        <v>394</v>
      </c>
      <c r="B1298" s="1300" t="s">
        <v>1661</v>
      </c>
      <c r="C1298" s="1268">
        <f t="shared" si="507"/>
        <v>6838724.7699999996</v>
      </c>
      <c r="D1298" s="1268">
        <f t="shared" si="508"/>
        <v>0</v>
      </c>
      <c r="E1298" s="1268">
        <v>0</v>
      </c>
      <c r="F1298" s="1268">
        <v>0</v>
      </c>
      <c r="G1298" s="1268">
        <v>0</v>
      </c>
      <c r="H1298" s="1268">
        <v>0</v>
      </c>
      <c r="I1298" s="1268">
        <v>0</v>
      </c>
      <c r="J1298" s="1268">
        <v>0</v>
      </c>
      <c r="K1298" s="1278">
        <v>0</v>
      </c>
      <c r="L1298" s="1268">
        <v>0</v>
      </c>
      <c r="M1298" s="1278">
        <v>0</v>
      </c>
      <c r="N1298" s="1268">
        <v>0</v>
      </c>
      <c r="O1298" s="1268">
        <v>0</v>
      </c>
      <c r="P1298" s="1268">
        <v>0</v>
      </c>
      <c r="Q1298" s="1268">
        <v>0</v>
      </c>
      <c r="R1298" s="1268">
        <v>0</v>
      </c>
      <c r="S1298" s="1268">
        <v>2570</v>
      </c>
      <c r="T1298" s="1268">
        <v>6341995.1699999999</v>
      </c>
      <c r="U1298" s="1268">
        <v>0</v>
      </c>
      <c r="V1298" s="1268">
        <v>0</v>
      </c>
      <c r="W1298" s="1316">
        <v>0</v>
      </c>
      <c r="X1298" s="1268">
        <v>496729.59999999998</v>
      </c>
      <c r="Y1298" s="1268">
        <v>0</v>
      </c>
    </row>
    <row r="1299" spans="1:25" s="1280" customFormat="1">
      <c r="A1299" s="1281">
        <v>395</v>
      </c>
      <c r="B1299" s="1339" t="s">
        <v>1662</v>
      </c>
      <c r="C1299" s="1268">
        <f t="shared" si="507"/>
        <v>4550279.8999999994</v>
      </c>
      <c r="D1299" s="1268">
        <f t="shared" si="508"/>
        <v>0</v>
      </c>
      <c r="E1299" s="1268">
        <v>0</v>
      </c>
      <c r="F1299" s="1268">
        <v>0</v>
      </c>
      <c r="G1299" s="1268">
        <v>0</v>
      </c>
      <c r="H1299" s="1268">
        <v>0</v>
      </c>
      <c r="I1299" s="1268">
        <v>0</v>
      </c>
      <c r="J1299" s="1268">
        <v>0</v>
      </c>
      <c r="K1299" s="1278">
        <v>0</v>
      </c>
      <c r="L1299" s="1268">
        <v>0</v>
      </c>
      <c r="M1299" s="1278">
        <v>0</v>
      </c>
      <c r="N1299" s="1268">
        <v>0</v>
      </c>
      <c r="O1299" s="1268">
        <v>0</v>
      </c>
      <c r="P1299" s="1268">
        <v>0</v>
      </c>
      <c r="Q1299" s="1268">
        <v>0</v>
      </c>
      <c r="R1299" s="1268">
        <v>0</v>
      </c>
      <c r="S1299" s="1268">
        <v>1710</v>
      </c>
      <c r="T1299" s="1268">
        <v>4219771.0999999996</v>
      </c>
      <c r="U1299" s="1268">
        <v>0</v>
      </c>
      <c r="V1299" s="1268">
        <v>0</v>
      </c>
      <c r="W1299" s="1316">
        <v>0</v>
      </c>
      <c r="X1299" s="1268">
        <v>330508.79999999999</v>
      </c>
      <c r="Y1299" s="1268">
        <v>0</v>
      </c>
    </row>
    <row r="1300" spans="1:25" s="1280" customFormat="1">
      <c r="A1300" s="1281">
        <v>396</v>
      </c>
      <c r="B1300" s="1315" t="s">
        <v>1663</v>
      </c>
      <c r="C1300" s="1268">
        <f t="shared" si="507"/>
        <v>4896207.62</v>
      </c>
      <c r="D1300" s="1268">
        <f t="shared" si="508"/>
        <v>0</v>
      </c>
      <c r="E1300" s="1268">
        <v>0</v>
      </c>
      <c r="F1300" s="1268">
        <v>0</v>
      </c>
      <c r="G1300" s="1268">
        <v>0</v>
      </c>
      <c r="H1300" s="1268">
        <v>0</v>
      </c>
      <c r="I1300" s="1268">
        <v>0</v>
      </c>
      <c r="J1300" s="1268">
        <v>0</v>
      </c>
      <c r="K1300" s="1278">
        <v>0</v>
      </c>
      <c r="L1300" s="1268">
        <v>0</v>
      </c>
      <c r="M1300" s="1278">
        <v>0</v>
      </c>
      <c r="N1300" s="1268">
        <v>0</v>
      </c>
      <c r="O1300" s="1268">
        <v>0</v>
      </c>
      <c r="P1300" s="1268">
        <v>0</v>
      </c>
      <c r="Q1300" s="1268">
        <v>0</v>
      </c>
      <c r="R1300" s="1268">
        <v>0</v>
      </c>
      <c r="S1300" s="1268">
        <v>1840</v>
      </c>
      <c r="T1300" s="1268">
        <v>4540572.42</v>
      </c>
      <c r="U1300" s="1268">
        <v>0</v>
      </c>
      <c r="V1300" s="1268">
        <v>0</v>
      </c>
      <c r="W1300" s="1316">
        <v>0</v>
      </c>
      <c r="X1300" s="1268">
        <v>355635.20000000001</v>
      </c>
      <c r="Y1300" s="1268">
        <v>0</v>
      </c>
    </row>
    <row r="1301" spans="1:25" s="1280" customFormat="1">
      <c r="A1301" s="1281">
        <v>397</v>
      </c>
      <c r="B1301" s="1315" t="s">
        <v>1996</v>
      </c>
      <c r="C1301" s="1268">
        <f t="shared" si="507"/>
        <v>2794031.52</v>
      </c>
      <c r="D1301" s="1268">
        <f t="shared" si="508"/>
        <v>0</v>
      </c>
      <c r="E1301" s="1268">
        <v>0</v>
      </c>
      <c r="F1301" s="1268">
        <v>0</v>
      </c>
      <c r="G1301" s="1268">
        <v>0</v>
      </c>
      <c r="H1301" s="1268">
        <v>0</v>
      </c>
      <c r="I1301" s="1268">
        <v>0</v>
      </c>
      <c r="J1301" s="1268">
        <v>0</v>
      </c>
      <c r="K1301" s="1278">
        <v>0</v>
      </c>
      <c r="L1301" s="1268">
        <v>0</v>
      </c>
      <c r="M1301" s="1278">
        <v>0</v>
      </c>
      <c r="N1301" s="1268">
        <v>0</v>
      </c>
      <c r="O1301" s="1268">
        <v>0</v>
      </c>
      <c r="P1301" s="1268">
        <v>0</v>
      </c>
      <c r="Q1301" s="1268">
        <v>0</v>
      </c>
      <c r="R1301" s="1268">
        <v>0</v>
      </c>
      <c r="S1301" s="1268">
        <v>1050</v>
      </c>
      <c r="T1301" s="1268">
        <v>2591087.52</v>
      </c>
      <c r="U1301" s="1268">
        <v>0</v>
      </c>
      <c r="V1301" s="1268">
        <v>0</v>
      </c>
      <c r="W1301" s="1316">
        <v>0</v>
      </c>
      <c r="X1301" s="1268">
        <v>202944</v>
      </c>
      <c r="Y1301" s="1268">
        <v>0</v>
      </c>
    </row>
    <row r="1302" spans="1:25" s="1280" customFormat="1" ht="75.599999999999994">
      <c r="A1302" s="1410">
        <v>398</v>
      </c>
      <c r="B1302" s="1267" t="s">
        <v>2565</v>
      </c>
      <c r="C1302" s="1268">
        <f t="shared" si="507"/>
        <v>3304940.1399999997</v>
      </c>
      <c r="D1302" s="1268">
        <f t="shared" si="508"/>
        <v>0</v>
      </c>
      <c r="E1302" s="1268">
        <v>0</v>
      </c>
      <c r="F1302" s="1268">
        <v>0</v>
      </c>
      <c r="G1302" s="1268">
        <v>0</v>
      </c>
      <c r="H1302" s="1268">
        <v>0</v>
      </c>
      <c r="I1302" s="1268">
        <v>0</v>
      </c>
      <c r="J1302" s="1268">
        <v>0</v>
      </c>
      <c r="K1302" s="1278">
        <v>0</v>
      </c>
      <c r="L1302" s="1268">
        <v>0</v>
      </c>
      <c r="M1302" s="1278">
        <v>0</v>
      </c>
      <c r="N1302" s="1268">
        <v>0</v>
      </c>
      <c r="O1302" s="1268">
        <v>0</v>
      </c>
      <c r="P1302" s="1268">
        <v>0</v>
      </c>
      <c r="Q1302" s="1268">
        <v>0</v>
      </c>
      <c r="R1302" s="1268">
        <v>0</v>
      </c>
      <c r="S1302" s="1268">
        <v>1242</v>
      </c>
      <c r="T1302" s="1268">
        <v>3064886.38</v>
      </c>
      <c r="U1302" s="1268">
        <v>0</v>
      </c>
      <c r="V1302" s="1268">
        <v>0</v>
      </c>
      <c r="W1302" s="1268">
        <v>0</v>
      </c>
      <c r="X1302" s="1268">
        <v>240053.76000000001</v>
      </c>
      <c r="Y1302" s="1268">
        <v>0</v>
      </c>
    </row>
    <row r="1303" spans="1:25" s="1280" customFormat="1" ht="75.599999999999994">
      <c r="A1303" s="1281">
        <v>399</v>
      </c>
      <c r="B1303" s="1267" t="s">
        <v>2566</v>
      </c>
      <c r="C1303" s="1268">
        <f t="shared" si="507"/>
        <v>5662570.5499999998</v>
      </c>
      <c r="D1303" s="1268">
        <f t="shared" si="508"/>
        <v>0</v>
      </c>
      <c r="E1303" s="1268">
        <v>0</v>
      </c>
      <c r="F1303" s="1268">
        <v>0</v>
      </c>
      <c r="G1303" s="1268">
        <v>0</v>
      </c>
      <c r="H1303" s="1268">
        <v>0</v>
      </c>
      <c r="I1303" s="1268">
        <v>0</v>
      </c>
      <c r="J1303" s="1268">
        <v>0</v>
      </c>
      <c r="K1303" s="1278">
        <v>0</v>
      </c>
      <c r="L1303" s="1268">
        <v>0</v>
      </c>
      <c r="M1303" s="1278">
        <v>0</v>
      </c>
      <c r="N1303" s="1268">
        <v>0</v>
      </c>
      <c r="O1303" s="1268">
        <v>0</v>
      </c>
      <c r="P1303" s="1268">
        <v>0</v>
      </c>
      <c r="Q1303" s="1268">
        <v>0</v>
      </c>
      <c r="R1303" s="1268">
        <v>0</v>
      </c>
      <c r="S1303" s="1268">
        <v>2128</v>
      </c>
      <c r="T1303" s="1268">
        <v>5251270.71</v>
      </c>
      <c r="U1303" s="1268">
        <v>0</v>
      </c>
      <c r="V1303" s="1268">
        <v>0</v>
      </c>
      <c r="W1303" s="1316">
        <v>0</v>
      </c>
      <c r="X1303" s="1268">
        <v>411299.84000000003</v>
      </c>
      <c r="Y1303" s="1268">
        <v>0</v>
      </c>
    </row>
    <row r="1304" spans="1:25" s="1280" customFormat="1" ht="75.599999999999994">
      <c r="A1304" s="1281"/>
      <c r="B1304" s="1277" t="s">
        <v>1074</v>
      </c>
      <c r="C1304" s="1268">
        <f>SUM(C1305:C1328)</f>
        <v>61627333.768475994</v>
      </c>
      <c r="D1304" s="1268">
        <f t="shared" ref="D1304:Y1304" si="509">SUM(D1305:D1328)</f>
        <v>11715872.655276</v>
      </c>
      <c r="E1304" s="1268">
        <f t="shared" si="509"/>
        <v>0</v>
      </c>
      <c r="F1304" s="1268">
        <f t="shared" si="509"/>
        <v>11715872.655276</v>
      </c>
      <c r="G1304" s="1268">
        <f t="shared" si="509"/>
        <v>0</v>
      </c>
      <c r="H1304" s="1268">
        <f t="shared" si="509"/>
        <v>0</v>
      </c>
      <c r="I1304" s="1268">
        <f t="shared" si="509"/>
        <v>0</v>
      </c>
      <c r="J1304" s="1268">
        <f t="shared" si="509"/>
        <v>0</v>
      </c>
      <c r="K1304" s="1278">
        <f t="shared" si="509"/>
        <v>1</v>
      </c>
      <c r="L1304" s="1268">
        <f t="shared" si="509"/>
        <v>794955.62320000026</v>
      </c>
      <c r="M1304" s="1278">
        <f t="shared" si="509"/>
        <v>0</v>
      </c>
      <c r="N1304" s="1268">
        <f t="shared" si="509"/>
        <v>0</v>
      </c>
      <c r="O1304" s="1268">
        <f t="shared" si="509"/>
        <v>14435.55</v>
      </c>
      <c r="P1304" s="1268">
        <f t="shared" si="509"/>
        <v>43591172.640000001</v>
      </c>
      <c r="Q1304" s="1268">
        <f t="shared" si="509"/>
        <v>0</v>
      </c>
      <c r="R1304" s="1268">
        <f t="shared" si="509"/>
        <v>0</v>
      </c>
      <c r="S1304" s="1268">
        <f t="shared" si="509"/>
        <v>596</v>
      </c>
      <c r="T1304" s="1268">
        <f t="shared" si="509"/>
        <v>1470750.63</v>
      </c>
      <c r="U1304" s="1268">
        <f t="shared" si="509"/>
        <v>0</v>
      </c>
      <c r="V1304" s="1268">
        <f t="shared" si="509"/>
        <v>0</v>
      </c>
      <c r="W1304" s="1316">
        <v>0</v>
      </c>
      <c r="X1304" s="1268">
        <f t="shared" si="509"/>
        <v>4054582.2199999997</v>
      </c>
      <c r="Y1304" s="1268">
        <f t="shared" si="509"/>
        <v>0</v>
      </c>
    </row>
    <row r="1305" spans="1:25" s="1280" customFormat="1">
      <c r="A1305" s="1281">
        <v>400</v>
      </c>
      <c r="B1305" s="1277" t="s">
        <v>1997</v>
      </c>
      <c r="C1305" s="1268">
        <f t="shared" si="507"/>
        <v>4202669</v>
      </c>
      <c r="D1305" s="1268">
        <f t="shared" si="508"/>
        <v>3897409</v>
      </c>
      <c r="E1305" s="1268">
        <v>0</v>
      </c>
      <c r="F1305" s="1268">
        <v>3897409</v>
      </c>
      <c r="G1305" s="1268">
        <v>0</v>
      </c>
      <c r="H1305" s="1268">
        <v>0</v>
      </c>
      <c r="I1305" s="1268">
        <v>0</v>
      </c>
      <c r="J1305" s="1268">
        <v>0</v>
      </c>
      <c r="K1305" s="1278">
        <v>0</v>
      </c>
      <c r="L1305" s="1268">
        <v>0</v>
      </c>
      <c r="M1305" s="1278">
        <v>0</v>
      </c>
      <c r="N1305" s="1268">
        <v>0</v>
      </c>
      <c r="O1305" s="1268">
        <v>0</v>
      </c>
      <c r="P1305" s="1268">
        <v>0</v>
      </c>
      <c r="Q1305" s="1268">
        <v>0</v>
      </c>
      <c r="R1305" s="1268">
        <v>0</v>
      </c>
      <c r="S1305" s="1268">
        <v>0</v>
      </c>
      <c r="T1305" s="1268">
        <v>0</v>
      </c>
      <c r="U1305" s="1268">
        <v>0</v>
      </c>
      <c r="V1305" s="1268">
        <v>0</v>
      </c>
      <c r="W1305" s="1316">
        <v>0</v>
      </c>
      <c r="X1305" s="1268">
        <v>305260</v>
      </c>
      <c r="Y1305" s="1268">
        <v>0</v>
      </c>
    </row>
    <row r="1306" spans="1:25" s="1280" customFormat="1">
      <c r="A1306" s="1281">
        <v>401</v>
      </c>
      <c r="B1306" s="1277" t="s">
        <v>1998</v>
      </c>
      <c r="C1306" s="1268">
        <f t="shared" si="507"/>
        <v>2250909.38</v>
      </c>
      <c r="D1306" s="1268">
        <f t="shared" si="508"/>
        <v>0</v>
      </c>
      <c r="E1306" s="1268">
        <v>0</v>
      </c>
      <c r="F1306" s="1268">
        <v>0</v>
      </c>
      <c r="G1306" s="1268">
        <v>0</v>
      </c>
      <c r="H1306" s="1268">
        <v>0</v>
      </c>
      <c r="I1306" s="1268">
        <v>0</v>
      </c>
      <c r="J1306" s="1268">
        <v>0</v>
      </c>
      <c r="K1306" s="1278">
        <v>0</v>
      </c>
      <c r="L1306" s="1268">
        <v>0</v>
      </c>
      <c r="M1306" s="1278">
        <v>0</v>
      </c>
      <c r="N1306" s="1268">
        <v>0</v>
      </c>
      <c r="O1306" s="1268">
        <v>845</v>
      </c>
      <c r="P1306" s="1268">
        <v>2129226</v>
      </c>
      <c r="Q1306" s="1293">
        <v>0</v>
      </c>
      <c r="R1306" s="1268">
        <v>0</v>
      </c>
      <c r="S1306" s="1268">
        <v>0</v>
      </c>
      <c r="T1306" s="1268">
        <v>0</v>
      </c>
      <c r="U1306" s="1293">
        <v>0</v>
      </c>
      <c r="V1306" s="1268">
        <v>0</v>
      </c>
      <c r="W1306" s="1316">
        <v>0</v>
      </c>
      <c r="X1306" s="1268">
        <v>121683.38</v>
      </c>
      <c r="Y1306" s="1268">
        <v>0</v>
      </c>
    </row>
    <row r="1307" spans="1:25" s="1280" customFormat="1">
      <c r="A1307" s="1281">
        <v>402</v>
      </c>
      <c r="B1307" s="1277" t="s">
        <v>1130</v>
      </c>
      <c r="C1307" s="1268">
        <f t="shared" si="507"/>
        <v>2556927.04</v>
      </c>
      <c r="D1307" s="1268">
        <f t="shared" si="508"/>
        <v>0</v>
      </c>
      <c r="E1307" s="1268">
        <v>0</v>
      </c>
      <c r="F1307" s="1268">
        <v>0</v>
      </c>
      <c r="G1307" s="1268">
        <v>0</v>
      </c>
      <c r="H1307" s="1268">
        <v>0</v>
      </c>
      <c r="I1307" s="1268">
        <v>0</v>
      </c>
      <c r="J1307" s="1268">
        <v>0</v>
      </c>
      <c r="K1307" s="1278">
        <v>0</v>
      </c>
      <c r="L1307" s="1268">
        <v>0</v>
      </c>
      <c r="M1307" s="1278">
        <v>0</v>
      </c>
      <c r="N1307" s="1268">
        <v>0</v>
      </c>
      <c r="O1307" s="1268">
        <v>960</v>
      </c>
      <c r="P1307" s="1268">
        <v>2419002</v>
      </c>
      <c r="Q1307" s="1293">
        <v>0</v>
      </c>
      <c r="R1307" s="1268">
        <v>0</v>
      </c>
      <c r="S1307" s="1268">
        <v>0</v>
      </c>
      <c r="T1307" s="1268">
        <v>0</v>
      </c>
      <c r="U1307" s="1293">
        <v>0</v>
      </c>
      <c r="V1307" s="1268">
        <v>0</v>
      </c>
      <c r="W1307" s="1316">
        <v>0</v>
      </c>
      <c r="X1307" s="1268">
        <v>137925.04</v>
      </c>
      <c r="Y1307" s="1268">
        <v>0</v>
      </c>
    </row>
    <row r="1308" spans="1:25" s="1280" customFormat="1" ht="75.599999999999994">
      <c r="A1308" s="1281">
        <v>403</v>
      </c>
      <c r="B1308" s="1277" t="s">
        <v>2424</v>
      </c>
      <c r="C1308" s="1268">
        <f t="shared" si="507"/>
        <v>2617852.0699999998</v>
      </c>
      <c r="D1308" s="1268">
        <f t="shared" si="508"/>
        <v>0</v>
      </c>
      <c r="E1308" s="1268">
        <v>0</v>
      </c>
      <c r="F1308" s="1268">
        <v>0</v>
      </c>
      <c r="G1308" s="1268">
        <v>0</v>
      </c>
      <c r="H1308" s="1268">
        <v>0</v>
      </c>
      <c r="I1308" s="1268">
        <v>0</v>
      </c>
      <c r="J1308" s="1268">
        <v>0</v>
      </c>
      <c r="K1308" s="1278">
        <v>0</v>
      </c>
      <c r="L1308" s="1268">
        <v>0</v>
      </c>
      <c r="M1308" s="1278">
        <v>0</v>
      </c>
      <c r="N1308" s="1268">
        <v>0</v>
      </c>
      <c r="O1308" s="1268">
        <v>983.5</v>
      </c>
      <c r="P1308" s="1268">
        <v>2478218</v>
      </c>
      <c r="Q1308" s="1268">
        <v>0</v>
      </c>
      <c r="R1308" s="1268">
        <v>0</v>
      </c>
      <c r="S1308" s="1268">
        <v>0</v>
      </c>
      <c r="T1308" s="1268">
        <v>0</v>
      </c>
      <c r="U1308" s="1268">
        <v>0</v>
      </c>
      <c r="V1308" s="1268">
        <v>0</v>
      </c>
      <c r="W1308" s="1316">
        <v>0</v>
      </c>
      <c r="X1308" s="1268">
        <v>139634.07</v>
      </c>
      <c r="Y1308" s="1268">
        <v>0</v>
      </c>
    </row>
    <row r="1309" spans="1:25" s="1280" customFormat="1">
      <c r="A1309" s="1281">
        <v>404</v>
      </c>
      <c r="B1309" s="1277" t="s">
        <v>1438</v>
      </c>
      <c r="C1309" s="1268">
        <f t="shared" si="507"/>
        <v>3577155.73</v>
      </c>
      <c r="D1309" s="1268">
        <f t="shared" si="508"/>
        <v>3408028</v>
      </c>
      <c r="E1309" s="1268">
        <v>0</v>
      </c>
      <c r="F1309" s="1268">
        <v>3408028</v>
      </c>
      <c r="G1309" s="1268">
        <v>0</v>
      </c>
      <c r="H1309" s="1268">
        <v>0</v>
      </c>
      <c r="I1309" s="1268">
        <v>0</v>
      </c>
      <c r="J1309" s="1268">
        <v>0</v>
      </c>
      <c r="K1309" s="1278">
        <v>0</v>
      </c>
      <c r="L1309" s="1268">
        <v>0</v>
      </c>
      <c r="M1309" s="1278">
        <v>0</v>
      </c>
      <c r="N1309" s="1268">
        <v>0</v>
      </c>
      <c r="O1309" s="1268">
        <v>0</v>
      </c>
      <c r="P1309" s="1268">
        <v>0</v>
      </c>
      <c r="Q1309" s="1268">
        <v>0</v>
      </c>
      <c r="R1309" s="1268">
        <v>0</v>
      </c>
      <c r="S1309" s="1268">
        <v>0</v>
      </c>
      <c r="T1309" s="1268">
        <v>0</v>
      </c>
      <c r="U1309" s="1268">
        <v>0</v>
      </c>
      <c r="V1309" s="1268">
        <v>0</v>
      </c>
      <c r="W1309" s="1316">
        <v>0</v>
      </c>
      <c r="X1309" s="1268">
        <v>169127.73</v>
      </c>
      <c r="Y1309" s="1268">
        <v>0</v>
      </c>
    </row>
    <row r="1310" spans="1:25" s="1280" customFormat="1">
      <c r="A1310" s="1281">
        <v>405</v>
      </c>
      <c r="B1310" s="1277" t="s">
        <v>1128</v>
      </c>
      <c r="C1310" s="1268">
        <f t="shared" si="507"/>
        <v>1500157.35</v>
      </c>
      <c r="D1310" s="1268">
        <f t="shared" si="508"/>
        <v>0</v>
      </c>
      <c r="E1310" s="1268">
        <v>0</v>
      </c>
      <c r="F1310" s="1268">
        <v>0</v>
      </c>
      <c r="G1310" s="1268">
        <v>0</v>
      </c>
      <c r="H1310" s="1268">
        <v>0</v>
      </c>
      <c r="I1310" s="1268">
        <v>0</v>
      </c>
      <c r="J1310" s="1268">
        <v>0</v>
      </c>
      <c r="K1310" s="1278">
        <v>0</v>
      </c>
      <c r="L1310" s="1268">
        <v>0</v>
      </c>
      <c r="M1310" s="1278">
        <v>0</v>
      </c>
      <c r="N1310" s="1268">
        <v>0</v>
      </c>
      <c r="O1310" s="1268">
        <v>563</v>
      </c>
      <c r="P1310" s="1268">
        <v>1418644</v>
      </c>
      <c r="Q1310" s="1268">
        <v>0</v>
      </c>
      <c r="R1310" s="1268">
        <v>0</v>
      </c>
      <c r="S1310" s="1268">
        <v>0</v>
      </c>
      <c r="T1310" s="1268">
        <v>0</v>
      </c>
      <c r="U1310" s="1268">
        <v>0</v>
      </c>
      <c r="V1310" s="1268">
        <v>0</v>
      </c>
      <c r="W1310" s="1316">
        <v>0</v>
      </c>
      <c r="X1310" s="1268">
        <v>81513.350000000006</v>
      </c>
      <c r="Y1310" s="1268">
        <v>0</v>
      </c>
    </row>
    <row r="1311" spans="1:25" s="1280" customFormat="1" ht="75.599999999999994">
      <c r="A1311" s="1281">
        <v>406</v>
      </c>
      <c r="B1311" s="1277" t="s">
        <v>2567</v>
      </c>
      <c r="C1311" s="1268">
        <f t="shared" si="507"/>
        <v>2939370.25</v>
      </c>
      <c r="D1311" s="1268">
        <f t="shared" si="508"/>
        <v>0</v>
      </c>
      <c r="E1311" s="1268">
        <v>0</v>
      </c>
      <c r="F1311" s="1268">
        <v>0</v>
      </c>
      <c r="G1311" s="1268">
        <v>0</v>
      </c>
      <c r="H1311" s="1268">
        <v>0</v>
      </c>
      <c r="I1311" s="1268">
        <v>0</v>
      </c>
      <c r="J1311" s="1268">
        <v>0</v>
      </c>
      <c r="K1311" s="1278">
        <v>0</v>
      </c>
      <c r="L1311" s="1268">
        <v>0</v>
      </c>
      <c r="M1311" s="1278">
        <v>0</v>
      </c>
      <c r="N1311" s="1268">
        <v>0</v>
      </c>
      <c r="O1311" s="1268">
        <v>895</v>
      </c>
      <c r="P1311" s="1268">
        <v>2809192</v>
      </c>
      <c r="Q1311" s="1268">
        <v>0</v>
      </c>
      <c r="R1311" s="1268">
        <v>0</v>
      </c>
      <c r="S1311" s="1268">
        <v>0</v>
      </c>
      <c r="T1311" s="1268">
        <v>0</v>
      </c>
      <c r="U1311" s="1268">
        <v>0</v>
      </c>
      <c r="V1311" s="1268">
        <v>0</v>
      </c>
      <c r="W1311" s="1316">
        <v>0</v>
      </c>
      <c r="X1311" s="1268">
        <v>130178.25</v>
      </c>
      <c r="Y1311" s="1268">
        <v>0</v>
      </c>
    </row>
    <row r="1312" spans="1:25" s="1280" customFormat="1">
      <c r="A1312" s="1281">
        <v>407</v>
      </c>
      <c r="B1312" s="1277" t="s">
        <v>1120</v>
      </c>
      <c r="C1312" s="1268">
        <f>D1312+N1312+P1312+R1312+T1312+V1312+X1312+L1312</f>
        <v>5540777.2784759998</v>
      </c>
      <c r="D1312" s="1268">
        <f t="shared" si="508"/>
        <v>4410435.6552759996</v>
      </c>
      <c r="E1312" s="1268">
        <v>0</v>
      </c>
      <c r="F1312" s="1268">
        <v>4410435.6552759996</v>
      </c>
      <c r="G1312" s="1268">
        <v>0</v>
      </c>
      <c r="H1312" s="1268">
        <v>0</v>
      </c>
      <c r="I1312" s="1268">
        <v>0</v>
      </c>
      <c r="J1312" s="1268">
        <v>0</v>
      </c>
      <c r="K1312" s="1278">
        <v>1</v>
      </c>
      <c r="L1312" s="1268">
        <v>794955.62320000026</v>
      </c>
      <c r="M1312" s="1278">
        <v>0</v>
      </c>
      <c r="N1312" s="1268">
        <v>0</v>
      </c>
      <c r="O1312" s="1268">
        <v>0</v>
      </c>
      <c r="P1312" s="1268">
        <v>0</v>
      </c>
      <c r="Q1312" s="1268">
        <v>0</v>
      </c>
      <c r="R1312" s="1268">
        <v>0</v>
      </c>
      <c r="S1312" s="1268">
        <v>0</v>
      </c>
      <c r="T1312" s="1268">
        <v>0</v>
      </c>
      <c r="U1312" s="1268">
        <v>0</v>
      </c>
      <c r="V1312" s="1268">
        <v>0</v>
      </c>
      <c r="W1312" s="1316">
        <v>0</v>
      </c>
      <c r="X1312" s="1316">
        <v>335386</v>
      </c>
      <c r="Y1312" s="1268">
        <v>0</v>
      </c>
    </row>
    <row r="1313" spans="1:25" s="1280" customFormat="1">
      <c r="A1313" s="1281">
        <v>408</v>
      </c>
      <c r="B1313" s="1277" t="s">
        <v>977</v>
      </c>
      <c r="C1313" s="1268">
        <f t="shared" si="507"/>
        <v>1585945.5099999998</v>
      </c>
      <c r="D1313" s="1268">
        <f t="shared" si="508"/>
        <v>0</v>
      </c>
      <c r="E1313" s="1268">
        <v>0</v>
      </c>
      <c r="F1313" s="1268">
        <v>0</v>
      </c>
      <c r="G1313" s="1268">
        <v>0</v>
      </c>
      <c r="H1313" s="1268">
        <v>0</v>
      </c>
      <c r="I1313" s="1268">
        <v>0</v>
      </c>
      <c r="J1313" s="1268">
        <v>0</v>
      </c>
      <c r="K1313" s="1278">
        <v>0</v>
      </c>
      <c r="L1313" s="1268">
        <v>0</v>
      </c>
      <c r="M1313" s="1278">
        <v>0</v>
      </c>
      <c r="N1313" s="1268">
        <v>0</v>
      </c>
      <c r="O1313" s="1268">
        <v>0</v>
      </c>
      <c r="P1313" s="1268">
        <v>0</v>
      </c>
      <c r="Q1313" s="1268">
        <v>0</v>
      </c>
      <c r="R1313" s="1268">
        <v>0</v>
      </c>
      <c r="S1313" s="1268">
        <v>596</v>
      </c>
      <c r="T1313" s="1268">
        <v>1470750.63</v>
      </c>
      <c r="U1313" s="1268">
        <v>0</v>
      </c>
      <c r="V1313" s="1268">
        <v>0</v>
      </c>
      <c r="W1313" s="1316">
        <v>0</v>
      </c>
      <c r="X1313" s="1268">
        <v>115194.88</v>
      </c>
      <c r="Y1313" s="1268">
        <v>0</v>
      </c>
    </row>
    <row r="1314" spans="1:25" s="1280" customFormat="1">
      <c r="A1314" s="1281">
        <v>409</v>
      </c>
      <c r="B1314" s="1277" t="s">
        <v>1999</v>
      </c>
      <c r="C1314" s="1268">
        <f t="shared" si="507"/>
        <v>1191379.97</v>
      </c>
      <c r="D1314" s="1268">
        <f t="shared" si="508"/>
        <v>0</v>
      </c>
      <c r="E1314" s="1268">
        <v>0</v>
      </c>
      <c r="F1314" s="1268">
        <v>0</v>
      </c>
      <c r="G1314" s="1268">
        <v>0</v>
      </c>
      <c r="H1314" s="1268">
        <v>0</v>
      </c>
      <c r="I1314" s="1268">
        <v>0</v>
      </c>
      <c r="J1314" s="1268">
        <v>0</v>
      </c>
      <c r="K1314" s="1278">
        <v>0</v>
      </c>
      <c r="L1314" s="1268">
        <v>0</v>
      </c>
      <c r="M1314" s="1278">
        <v>0</v>
      </c>
      <c r="N1314" s="1268">
        <v>0</v>
      </c>
      <c r="O1314" s="1268">
        <v>352</v>
      </c>
      <c r="P1314" s="1268">
        <v>1104844.29</v>
      </c>
      <c r="Q1314" s="1268">
        <v>0</v>
      </c>
      <c r="R1314" s="1268">
        <v>0</v>
      </c>
      <c r="S1314" s="1268">
        <v>0</v>
      </c>
      <c r="T1314" s="1268">
        <v>0</v>
      </c>
      <c r="U1314" s="1268">
        <v>0</v>
      </c>
      <c r="V1314" s="1268">
        <v>0</v>
      </c>
      <c r="W1314" s="1316">
        <v>0</v>
      </c>
      <c r="X1314" s="1268">
        <v>86535.679999999993</v>
      </c>
      <c r="Y1314" s="1268">
        <v>0</v>
      </c>
    </row>
    <row r="1315" spans="1:25" s="1280" customFormat="1">
      <c r="A1315" s="1281">
        <v>410</v>
      </c>
      <c r="B1315" s="1277" t="s">
        <v>1676</v>
      </c>
      <c r="C1315" s="1268">
        <f t="shared" si="507"/>
        <v>3105641.71</v>
      </c>
      <c r="D1315" s="1268">
        <f t="shared" si="508"/>
        <v>0</v>
      </c>
      <c r="E1315" s="1268">
        <v>0</v>
      </c>
      <c r="F1315" s="1268">
        <v>0</v>
      </c>
      <c r="G1315" s="1268">
        <v>0</v>
      </c>
      <c r="H1315" s="1268">
        <v>0</v>
      </c>
      <c r="I1315" s="1268">
        <v>0</v>
      </c>
      <c r="J1315" s="1268">
        <v>0</v>
      </c>
      <c r="K1315" s="1278">
        <v>0</v>
      </c>
      <c r="L1315" s="1268">
        <v>0</v>
      </c>
      <c r="M1315" s="1278">
        <v>0</v>
      </c>
      <c r="N1315" s="1268">
        <v>0</v>
      </c>
      <c r="O1315" s="1268">
        <v>963</v>
      </c>
      <c r="P1315" s="1268">
        <v>2893112.71</v>
      </c>
      <c r="Q1315" s="1268">
        <v>0</v>
      </c>
      <c r="R1315" s="1268">
        <v>0</v>
      </c>
      <c r="S1315" s="1268">
        <v>0</v>
      </c>
      <c r="T1315" s="1268">
        <v>0</v>
      </c>
      <c r="U1315" s="1268">
        <v>0</v>
      </c>
      <c r="V1315" s="1268">
        <v>0</v>
      </c>
      <c r="W1315" s="1316">
        <v>0</v>
      </c>
      <c r="X1315" s="1268">
        <v>212529</v>
      </c>
      <c r="Y1315" s="1268">
        <v>0</v>
      </c>
    </row>
    <row r="1316" spans="1:25" s="1280" customFormat="1">
      <c r="A1316" s="1281">
        <v>411</v>
      </c>
      <c r="B1316" s="1277" t="s">
        <v>1186</v>
      </c>
      <c r="C1316" s="1268">
        <f t="shared" si="507"/>
        <v>991688</v>
      </c>
      <c r="D1316" s="1268">
        <f t="shared" si="508"/>
        <v>0</v>
      </c>
      <c r="E1316" s="1268">
        <v>0</v>
      </c>
      <c r="F1316" s="1268">
        <v>0</v>
      </c>
      <c r="G1316" s="1268">
        <v>0</v>
      </c>
      <c r="H1316" s="1268">
        <v>0</v>
      </c>
      <c r="I1316" s="1268">
        <v>0</v>
      </c>
      <c r="J1316" s="1268">
        <v>0</v>
      </c>
      <c r="K1316" s="1278">
        <v>0</v>
      </c>
      <c r="L1316" s="1268">
        <v>0</v>
      </c>
      <c r="M1316" s="1278">
        <v>0</v>
      </c>
      <c r="N1316" s="1268">
        <v>0</v>
      </c>
      <c r="O1316" s="1268">
        <v>293</v>
      </c>
      <c r="P1316" s="1268">
        <v>919657</v>
      </c>
      <c r="Q1316" s="1268">
        <v>0</v>
      </c>
      <c r="R1316" s="1268">
        <v>0</v>
      </c>
      <c r="S1316" s="1268">
        <v>0</v>
      </c>
      <c r="T1316" s="1268">
        <v>0</v>
      </c>
      <c r="U1316" s="1268">
        <v>0</v>
      </c>
      <c r="V1316" s="1268">
        <v>0</v>
      </c>
      <c r="W1316" s="1316">
        <v>0</v>
      </c>
      <c r="X1316" s="1268">
        <v>72031</v>
      </c>
      <c r="Y1316" s="1268">
        <v>0</v>
      </c>
    </row>
    <row r="1317" spans="1:25" s="1280" customFormat="1">
      <c r="A1317" s="1281">
        <v>412</v>
      </c>
      <c r="B1317" s="1277" t="s">
        <v>1187</v>
      </c>
      <c r="C1317" s="1268">
        <f t="shared" si="507"/>
        <v>2233837.4500000002</v>
      </c>
      <c r="D1317" s="1268">
        <f t="shared" si="508"/>
        <v>0</v>
      </c>
      <c r="E1317" s="1268">
        <v>0</v>
      </c>
      <c r="F1317" s="1268">
        <v>0</v>
      </c>
      <c r="G1317" s="1268">
        <v>0</v>
      </c>
      <c r="H1317" s="1268">
        <v>0</v>
      </c>
      <c r="I1317" s="1268">
        <v>0</v>
      </c>
      <c r="J1317" s="1268">
        <v>0</v>
      </c>
      <c r="K1317" s="1278">
        <v>0</v>
      </c>
      <c r="L1317" s="1268">
        <v>0</v>
      </c>
      <c r="M1317" s="1278">
        <v>0</v>
      </c>
      <c r="N1317" s="1268">
        <v>0</v>
      </c>
      <c r="O1317" s="1268">
        <v>660</v>
      </c>
      <c r="P1317" s="1268">
        <v>2071583.05</v>
      </c>
      <c r="Q1317" s="1268">
        <v>0</v>
      </c>
      <c r="R1317" s="1268">
        <v>0</v>
      </c>
      <c r="S1317" s="1268">
        <v>0</v>
      </c>
      <c r="T1317" s="1268">
        <v>0</v>
      </c>
      <c r="U1317" s="1268">
        <v>0</v>
      </c>
      <c r="V1317" s="1268">
        <v>0</v>
      </c>
      <c r="W1317" s="1316">
        <v>0</v>
      </c>
      <c r="X1317" s="1268">
        <v>162254.39999999999</v>
      </c>
      <c r="Y1317" s="1268">
        <v>0</v>
      </c>
    </row>
    <row r="1318" spans="1:25" s="1280" customFormat="1" ht="75.599999999999994">
      <c r="A1318" s="1281">
        <v>413</v>
      </c>
      <c r="B1318" s="1277" t="s">
        <v>1185</v>
      </c>
      <c r="C1318" s="1268">
        <f t="shared" si="507"/>
        <v>2426418.34</v>
      </c>
      <c r="D1318" s="1268">
        <f t="shared" si="508"/>
        <v>0</v>
      </c>
      <c r="E1318" s="1268">
        <v>0</v>
      </c>
      <c r="F1318" s="1268">
        <v>0</v>
      </c>
      <c r="G1318" s="1268">
        <v>0</v>
      </c>
      <c r="H1318" s="1268">
        <v>0</v>
      </c>
      <c r="I1318" s="1268">
        <v>0</v>
      </c>
      <c r="J1318" s="1268">
        <v>0</v>
      </c>
      <c r="K1318" s="1278">
        <v>0</v>
      </c>
      <c r="L1318" s="1268">
        <v>0</v>
      </c>
      <c r="M1318" s="1278">
        <v>0</v>
      </c>
      <c r="N1318" s="1268">
        <v>0</v>
      </c>
      <c r="O1318" s="1268">
        <v>893</v>
      </c>
      <c r="P1318" s="1268">
        <v>2250175.86</v>
      </c>
      <c r="Q1318" s="1268">
        <v>0</v>
      </c>
      <c r="R1318" s="1268">
        <v>0</v>
      </c>
      <c r="S1318" s="1268">
        <v>0</v>
      </c>
      <c r="T1318" s="1268">
        <v>0</v>
      </c>
      <c r="U1318" s="1268">
        <v>0</v>
      </c>
      <c r="V1318" s="1268">
        <v>0</v>
      </c>
      <c r="W1318" s="1316">
        <v>0</v>
      </c>
      <c r="X1318" s="1268">
        <v>176242.48</v>
      </c>
      <c r="Y1318" s="1268">
        <v>0</v>
      </c>
    </row>
    <row r="1319" spans="1:25" s="1280" customFormat="1" ht="75.599999999999994">
      <c r="A1319" s="1281">
        <v>414</v>
      </c>
      <c r="B1319" s="1277" t="s">
        <v>2000</v>
      </c>
      <c r="C1319" s="1268">
        <f t="shared" si="507"/>
        <v>4106298.6799999997</v>
      </c>
      <c r="D1319" s="1268">
        <f t="shared" si="508"/>
        <v>0</v>
      </c>
      <c r="E1319" s="1268">
        <v>0</v>
      </c>
      <c r="F1319" s="1268">
        <v>0</v>
      </c>
      <c r="G1319" s="1268">
        <v>0</v>
      </c>
      <c r="H1319" s="1268">
        <v>0</v>
      </c>
      <c r="I1319" s="1268">
        <v>0</v>
      </c>
      <c r="J1319" s="1268">
        <v>0</v>
      </c>
      <c r="K1319" s="1278">
        <v>0</v>
      </c>
      <c r="L1319" s="1268">
        <v>0</v>
      </c>
      <c r="M1319" s="1278">
        <v>0</v>
      </c>
      <c r="N1319" s="1268">
        <v>0</v>
      </c>
      <c r="O1319" s="1268">
        <v>1511.25</v>
      </c>
      <c r="P1319" s="1268">
        <v>3808038.38</v>
      </c>
      <c r="Q1319" s="1268">
        <v>0</v>
      </c>
      <c r="R1319" s="1268">
        <v>0</v>
      </c>
      <c r="S1319" s="1268">
        <v>0</v>
      </c>
      <c r="T1319" s="1268">
        <v>0</v>
      </c>
      <c r="U1319" s="1268">
        <v>0</v>
      </c>
      <c r="V1319" s="1268">
        <v>0</v>
      </c>
      <c r="W1319" s="1316">
        <v>0</v>
      </c>
      <c r="X1319" s="1268">
        <v>298260.3</v>
      </c>
      <c r="Y1319" s="1268">
        <v>0</v>
      </c>
    </row>
    <row r="1320" spans="1:25" s="1280" customFormat="1">
      <c r="A1320" s="1397">
        <v>415</v>
      </c>
      <c r="B1320" s="1339" t="s">
        <v>2001</v>
      </c>
      <c r="C1320" s="1316">
        <f t="shared" si="507"/>
        <v>998457.65</v>
      </c>
      <c r="D1320" s="1316">
        <f t="shared" si="508"/>
        <v>0</v>
      </c>
      <c r="E1320" s="1316">
        <v>0</v>
      </c>
      <c r="F1320" s="1316">
        <v>0</v>
      </c>
      <c r="G1320" s="1316">
        <v>0</v>
      </c>
      <c r="H1320" s="1316">
        <v>0</v>
      </c>
      <c r="I1320" s="1316">
        <v>0</v>
      </c>
      <c r="J1320" s="1316">
        <v>0</v>
      </c>
      <c r="K1320" s="1317">
        <v>0</v>
      </c>
      <c r="L1320" s="1316">
        <v>0</v>
      </c>
      <c r="M1320" s="1317">
        <v>0</v>
      </c>
      <c r="N1320" s="1316">
        <v>0</v>
      </c>
      <c r="O1320" s="1316">
        <v>295</v>
      </c>
      <c r="P1320" s="1316">
        <v>925934.85</v>
      </c>
      <c r="Q1320" s="1316">
        <v>0</v>
      </c>
      <c r="R1320" s="1316">
        <v>0</v>
      </c>
      <c r="S1320" s="1316">
        <v>0</v>
      </c>
      <c r="T1320" s="1316">
        <v>0</v>
      </c>
      <c r="U1320" s="1316">
        <v>0</v>
      </c>
      <c r="V1320" s="1316">
        <v>0</v>
      </c>
      <c r="W1320" s="1316">
        <v>0</v>
      </c>
      <c r="X1320" s="1316">
        <v>72522.8</v>
      </c>
      <c r="Y1320" s="1316">
        <v>0</v>
      </c>
    </row>
    <row r="1321" spans="1:25" s="1277" customFormat="1">
      <c r="A1321" s="1396">
        <v>416</v>
      </c>
      <c r="B1321" s="1277" t="s">
        <v>1593</v>
      </c>
      <c r="C1321" s="1268">
        <f t="shared" si="507"/>
        <v>2051068.93</v>
      </c>
      <c r="D1321" s="1268">
        <f t="shared" si="508"/>
        <v>0</v>
      </c>
      <c r="E1321" s="1268">
        <v>0</v>
      </c>
      <c r="F1321" s="1268">
        <v>0</v>
      </c>
      <c r="G1321" s="1268">
        <v>0</v>
      </c>
      <c r="H1321" s="1268">
        <v>0</v>
      </c>
      <c r="I1321" s="1268">
        <v>0</v>
      </c>
      <c r="J1321" s="1268">
        <v>0</v>
      </c>
      <c r="K1321" s="1278">
        <v>0</v>
      </c>
      <c r="L1321" s="1268">
        <v>0</v>
      </c>
      <c r="M1321" s="1278">
        <v>0</v>
      </c>
      <c r="N1321" s="1268">
        <v>0</v>
      </c>
      <c r="O1321" s="1268">
        <v>606</v>
      </c>
      <c r="P1321" s="1268">
        <v>1902089.89</v>
      </c>
      <c r="Q1321" s="1268">
        <v>0</v>
      </c>
      <c r="R1321" s="1268">
        <v>0</v>
      </c>
      <c r="S1321" s="1268">
        <v>0</v>
      </c>
      <c r="T1321" s="1268">
        <v>0</v>
      </c>
      <c r="U1321" s="1268">
        <v>0</v>
      </c>
      <c r="V1321" s="1268">
        <v>0</v>
      </c>
      <c r="W1321" s="1268">
        <v>0</v>
      </c>
      <c r="X1321" s="1268">
        <v>148979.04</v>
      </c>
      <c r="Y1321" s="1268">
        <v>0</v>
      </c>
    </row>
    <row r="1322" spans="1:25" s="1277" customFormat="1">
      <c r="A1322" s="1396">
        <v>417</v>
      </c>
      <c r="B1322" s="1277" t="s">
        <v>1594</v>
      </c>
      <c r="C1322" s="1268">
        <f t="shared" si="507"/>
        <v>3698293.39</v>
      </c>
      <c r="D1322" s="1268">
        <f t="shared" si="508"/>
        <v>0</v>
      </c>
      <c r="E1322" s="1268">
        <v>0</v>
      </c>
      <c r="F1322" s="1268">
        <v>0</v>
      </c>
      <c r="G1322" s="1268">
        <v>0</v>
      </c>
      <c r="H1322" s="1268">
        <v>0</v>
      </c>
      <c r="I1322" s="1268">
        <v>0</v>
      </c>
      <c r="J1322" s="1268">
        <v>0</v>
      </c>
      <c r="K1322" s="1278">
        <v>0</v>
      </c>
      <c r="L1322" s="1268">
        <v>0</v>
      </c>
      <c r="M1322" s="1278">
        <v>0</v>
      </c>
      <c r="N1322" s="1268">
        <v>0</v>
      </c>
      <c r="O1322" s="1268">
        <v>927.06</v>
      </c>
      <c r="P1322" s="1268">
        <v>3429668.48</v>
      </c>
      <c r="Q1322" s="1268">
        <v>0</v>
      </c>
      <c r="R1322" s="1268">
        <v>0</v>
      </c>
      <c r="S1322" s="1268">
        <v>0</v>
      </c>
      <c r="T1322" s="1268">
        <v>0</v>
      </c>
      <c r="U1322" s="1268">
        <v>0</v>
      </c>
      <c r="V1322" s="1268">
        <v>0</v>
      </c>
      <c r="W1322" s="1268">
        <v>0</v>
      </c>
      <c r="X1322" s="1268">
        <v>268624.90999999997</v>
      </c>
      <c r="Y1322" s="1268">
        <v>0</v>
      </c>
    </row>
    <row r="1323" spans="1:25" s="1277" customFormat="1" ht="75.599999999999994">
      <c r="A1323" s="1396">
        <v>418</v>
      </c>
      <c r="B1323" s="1277" t="s">
        <v>2568</v>
      </c>
      <c r="C1323" s="1268">
        <f t="shared" si="507"/>
        <v>1537624.78</v>
      </c>
      <c r="D1323" s="1268">
        <f t="shared" si="508"/>
        <v>0</v>
      </c>
      <c r="E1323" s="1268">
        <v>0</v>
      </c>
      <c r="F1323" s="1268">
        <v>0</v>
      </c>
      <c r="G1323" s="1268">
        <v>0</v>
      </c>
      <c r="H1323" s="1268">
        <v>0</v>
      </c>
      <c r="I1323" s="1268">
        <v>0</v>
      </c>
      <c r="J1323" s="1268">
        <v>0</v>
      </c>
      <c r="K1323" s="1278">
        <v>0</v>
      </c>
      <c r="L1323" s="1268">
        <v>0</v>
      </c>
      <c r="M1323" s="1278">
        <v>0</v>
      </c>
      <c r="N1323" s="1268">
        <v>0</v>
      </c>
      <c r="O1323" s="1268">
        <v>454.3</v>
      </c>
      <c r="P1323" s="1268">
        <v>1425939.67</v>
      </c>
      <c r="Q1323" s="1268">
        <v>0</v>
      </c>
      <c r="R1323" s="1268">
        <v>0</v>
      </c>
      <c r="S1323" s="1268">
        <v>0</v>
      </c>
      <c r="T1323" s="1268">
        <v>0</v>
      </c>
      <c r="U1323" s="1268">
        <v>0</v>
      </c>
      <c r="V1323" s="1268">
        <v>0</v>
      </c>
      <c r="W1323" s="1268">
        <v>0</v>
      </c>
      <c r="X1323" s="1268">
        <v>111685.11</v>
      </c>
      <c r="Y1323" s="1268">
        <v>0</v>
      </c>
    </row>
    <row r="1324" spans="1:25" s="1277" customFormat="1">
      <c r="A1324" s="1396">
        <v>419</v>
      </c>
      <c r="B1324" s="1277" t="s">
        <v>1596</v>
      </c>
      <c r="C1324" s="1268">
        <f t="shared" si="507"/>
        <v>2443526.83</v>
      </c>
      <c r="D1324" s="1268">
        <f t="shared" si="508"/>
        <v>0</v>
      </c>
      <c r="E1324" s="1268">
        <v>0</v>
      </c>
      <c r="F1324" s="1268">
        <v>0</v>
      </c>
      <c r="G1324" s="1268">
        <v>0</v>
      </c>
      <c r="H1324" s="1268">
        <v>0</v>
      </c>
      <c r="I1324" s="1268">
        <v>0</v>
      </c>
      <c r="J1324" s="1268">
        <v>0</v>
      </c>
      <c r="K1324" s="1278">
        <v>0</v>
      </c>
      <c r="L1324" s="1268">
        <v>0</v>
      </c>
      <c r="M1324" s="1278">
        <v>0</v>
      </c>
      <c r="N1324" s="1268">
        <v>0</v>
      </c>
      <c r="O1324" s="1268">
        <v>500.24</v>
      </c>
      <c r="P1324" s="1268">
        <v>2266041.6800000002</v>
      </c>
      <c r="Q1324" s="1268">
        <v>0</v>
      </c>
      <c r="R1324" s="1268">
        <v>0</v>
      </c>
      <c r="S1324" s="1268">
        <v>0</v>
      </c>
      <c r="T1324" s="1268">
        <v>0</v>
      </c>
      <c r="U1324" s="1268">
        <v>0</v>
      </c>
      <c r="V1324" s="1268">
        <v>0</v>
      </c>
      <c r="W1324" s="1268">
        <v>0</v>
      </c>
      <c r="X1324" s="1268">
        <v>177485.15</v>
      </c>
      <c r="Y1324" s="1268">
        <v>0</v>
      </c>
    </row>
    <row r="1325" spans="1:25" s="1277" customFormat="1">
      <c r="A1325" s="1396">
        <v>420</v>
      </c>
      <c r="B1325" s="1277" t="s">
        <v>1597</v>
      </c>
      <c r="C1325" s="1268">
        <f t="shared" si="507"/>
        <v>3854035.4000000004</v>
      </c>
      <c r="D1325" s="1268">
        <f t="shared" si="508"/>
        <v>0</v>
      </c>
      <c r="E1325" s="1268">
        <v>0</v>
      </c>
      <c r="F1325" s="1268">
        <v>0</v>
      </c>
      <c r="G1325" s="1268">
        <v>0</v>
      </c>
      <c r="H1325" s="1268">
        <v>0</v>
      </c>
      <c r="I1325" s="1268">
        <v>0</v>
      </c>
      <c r="J1325" s="1268">
        <v>0</v>
      </c>
      <c r="K1325" s="1278">
        <v>0</v>
      </c>
      <c r="L1325" s="1268">
        <v>0</v>
      </c>
      <c r="M1325" s="1278">
        <v>0</v>
      </c>
      <c r="N1325" s="1268">
        <v>0</v>
      </c>
      <c r="O1325" s="1268">
        <v>789</v>
      </c>
      <c r="P1325" s="1268">
        <v>3574098.2</v>
      </c>
      <c r="Q1325" s="1268">
        <v>0</v>
      </c>
      <c r="R1325" s="1268">
        <v>0</v>
      </c>
      <c r="S1325" s="1268">
        <v>0</v>
      </c>
      <c r="T1325" s="1268">
        <v>0</v>
      </c>
      <c r="U1325" s="1268">
        <v>0</v>
      </c>
      <c r="V1325" s="1268">
        <v>0</v>
      </c>
      <c r="W1325" s="1268">
        <v>0</v>
      </c>
      <c r="X1325" s="1268">
        <v>279937.2</v>
      </c>
      <c r="Y1325" s="1268">
        <v>0</v>
      </c>
    </row>
    <row r="1326" spans="1:25" s="1277" customFormat="1">
      <c r="A1326" s="1396">
        <v>421</v>
      </c>
      <c r="B1326" s="1277" t="s">
        <v>1598</v>
      </c>
      <c r="C1326" s="1268">
        <f t="shared" si="507"/>
        <v>2833588.96</v>
      </c>
      <c r="D1326" s="1268">
        <f t="shared" si="508"/>
        <v>0</v>
      </c>
      <c r="E1326" s="1268">
        <v>0</v>
      </c>
      <c r="F1326" s="1268">
        <v>0</v>
      </c>
      <c r="G1326" s="1268">
        <v>0</v>
      </c>
      <c r="H1326" s="1268">
        <v>0</v>
      </c>
      <c r="I1326" s="1268">
        <v>0</v>
      </c>
      <c r="J1326" s="1268">
        <v>0</v>
      </c>
      <c r="K1326" s="1278">
        <v>0</v>
      </c>
      <c r="L1326" s="1268">
        <v>0</v>
      </c>
      <c r="M1326" s="1278">
        <v>0</v>
      </c>
      <c r="N1326" s="1268">
        <v>0</v>
      </c>
      <c r="O1326" s="1268">
        <v>837.2</v>
      </c>
      <c r="P1326" s="1268">
        <v>2627771.71</v>
      </c>
      <c r="Q1326" s="1268">
        <v>0</v>
      </c>
      <c r="R1326" s="1268">
        <v>0</v>
      </c>
      <c r="S1326" s="1268">
        <v>0</v>
      </c>
      <c r="T1326" s="1268">
        <v>0</v>
      </c>
      <c r="U1326" s="1268">
        <v>0</v>
      </c>
      <c r="V1326" s="1268">
        <v>0</v>
      </c>
      <c r="W1326" s="1268">
        <v>0</v>
      </c>
      <c r="X1326" s="1268">
        <v>205817.25</v>
      </c>
      <c r="Y1326" s="1268">
        <v>0</v>
      </c>
    </row>
    <row r="1327" spans="1:25" s="1277" customFormat="1">
      <c r="A1327" s="1396">
        <v>422</v>
      </c>
      <c r="B1327" s="1277" t="s">
        <v>1599</v>
      </c>
      <c r="C1327" s="1268">
        <f t="shared" si="507"/>
        <v>1491717.44</v>
      </c>
      <c r="D1327" s="1268">
        <f t="shared" si="508"/>
        <v>0</v>
      </c>
      <c r="E1327" s="1268">
        <v>0</v>
      </c>
      <c r="F1327" s="1268">
        <v>0</v>
      </c>
      <c r="G1327" s="1268">
        <v>0</v>
      </c>
      <c r="H1327" s="1268">
        <v>0</v>
      </c>
      <c r="I1327" s="1268">
        <v>0</v>
      </c>
      <c r="J1327" s="1268">
        <v>0</v>
      </c>
      <c r="K1327" s="1278">
        <v>0</v>
      </c>
      <c r="L1327" s="1268">
        <v>0</v>
      </c>
      <c r="M1327" s="1278">
        <v>0</v>
      </c>
      <c r="N1327" s="1268">
        <v>0</v>
      </c>
      <c r="O1327" s="1268">
        <v>549</v>
      </c>
      <c r="P1327" s="1268">
        <v>1383366.8</v>
      </c>
      <c r="Q1327" s="1268">
        <v>0</v>
      </c>
      <c r="R1327" s="1268">
        <v>0</v>
      </c>
      <c r="S1327" s="1268">
        <v>0</v>
      </c>
      <c r="T1327" s="1268">
        <v>0</v>
      </c>
      <c r="U1327" s="1268">
        <v>0</v>
      </c>
      <c r="V1327" s="1268">
        <v>0</v>
      </c>
      <c r="W1327" s="1268">
        <v>0</v>
      </c>
      <c r="X1327" s="1268">
        <v>108350.64</v>
      </c>
      <c r="Y1327" s="1268">
        <v>0</v>
      </c>
    </row>
    <row r="1328" spans="1:25" s="1277" customFormat="1">
      <c r="A1328" s="1396">
        <v>423</v>
      </c>
      <c r="B1328" s="1277" t="s">
        <v>1600</v>
      </c>
      <c r="C1328" s="1268">
        <f t="shared" si="507"/>
        <v>1891992.6300000001</v>
      </c>
      <c r="D1328" s="1268">
        <f t="shared" si="508"/>
        <v>0</v>
      </c>
      <c r="E1328" s="1268">
        <v>0</v>
      </c>
      <c r="F1328" s="1268">
        <v>0</v>
      </c>
      <c r="G1328" s="1268">
        <v>0</v>
      </c>
      <c r="H1328" s="1268">
        <v>0</v>
      </c>
      <c r="I1328" s="1268">
        <v>0</v>
      </c>
      <c r="J1328" s="1268">
        <v>0</v>
      </c>
      <c r="K1328" s="1278">
        <v>0</v>
      </c>
      <c r="L1328" s="1268">
        <v>0</v>
      </c>
      <c r="M1328" s="1278">
        <v>0</v>
      </c>
      <c r="N1328" s="1268">
        <v>0</v>
      </c>
      <c r="O1328" s="1268">
        <v>559</v>
      </c>
      <c r="P1328" s="1268">
        <v>1754568.07</v>
      </c>
      <c r="Q1328" s="1268">
        <v>0</v>
      </c>
      <c r="R1328" s="1268">
        <v>0</v>
      </c>
      <c r="S1328" s="1268">
        <v>0</v>
      </c>
      <c r="T1328" s="1268">
        <v>0</v>
      </c>
      <c r="U1328" s="1268">
        <v>0</v>
      </c>
      <c r="V1328" s="1268">
        <v>0</v>
      </c>
      <c r="W1328" s="1268">
        <v>0</v>
      </c>
      <c r="X1328" s="1268">
        <v>137424.56</v>
      </c>
      <c r="Y1328" s="1268">
        <v>0</v>
      </c>
    </row>
    <row r="1329" spans="1:25" s="1277" customFormat="1" ht="75.599999999999994">
      <c r="A1329" s="1396"/>
      <c r="B1329" s="1267" t="s">
        <v>1163</v>
      </c>
      <c r="C1329" s="1268">
        <f>SUM(C1330:C1338)</f>
        <v>27721033.609999999</v>
      </c>
      <c r="D1329" s="1268">
        <f t="shared" ref="D1329:X1329" si="510">SUM(D1330:D1338)</f>
        <v>8371573</v>
      </c>
      <c r="E1329" s="1268">
        <f t="shared" si="510"/>
        <v>0</v>
      </c>
      <c r="F1329" s="1268">
        <f t="shared" si="510"/>
        <v>0</v>
      </c>
      <c r="G1329" s="1268">
        <f t="shared" si="510"/>
        <v>0</v>
      </c>
      <c r="H1329" s="1268">
        <f t="shared" si="510"/>
        <v>0</v>
      </c>
      <c r="I1329" s="1268">
        <f t="shared" si="510"/>
        <v>3618838</v>
      </c>
      <c r="J1329" s="1268">
        <f t="shared" si="510"/>
        <v>4752735</v>
      </c>
      <c r="K1329" s="1278">
        <f t="shared" si="510"/>
        <v>0</v>
      </c>
      <c r="L1329" s="1268">
        <f t="shared" si="510"/>
        <v>0</v>
      </c>
      <c r="M1329" s="1278">
        <f t="shared" si="510"/>
        <v>0</v>
      </c>
      <c r="N1329" s="1268">
        <f t="shared" si="510"/>
        <v>0</v>
      </c>
      <c r="O1329" s="1268">
        <f t="shared" si="510"/>
        <v>5773.0999999999995</v>
      </c>
      <c r="P1329" s="1268">
        <f t="shared" si="510"/>
        <v>17432609</v>
      </c>
      <c r="Q1329" s="1268">
        <f t="shared" si="510"/>
        <v>0</v>
      </c>
      <c r="R1329" s="1268">
        <f t="shared" si="510"/>
        <v>0</v>
      </c>
      <c r="S1329" s="1268">
        <f t="shared" si="510"/>
        <v>0</v>
      </c>
      <c r="T1329" s="1268">
        <f t="shared" si="510"/>
        <v>0</v>
      </c>
      <c r="U1329" s="1268">
        <f t="shared" si="510"/>
        <v>0</v>
      </c>
      <c r="V1329" s="1268">
        <f t="shared" si="510"/>
        <v>0</v>
      </c>
      <c r="W1329" s="1268">
        <v>0</v>
      </c>
      <c r="X1329" s="1268">
        <f t="shared" si="510"/>
        <v>1916851.6099999999</v>
      </c>
      <c r="Y1329" s="1268">
        <f>SUM(Y1330:Y1331)</f>
        <v>0</v>
      </c>
    </row>
    <row r="1330" spans="1:25" s="1277" customFormat="1">
      <c r="A1330" s="1396">
        <v>424</v>
      </c>
      <c r="B1330" s="1277" t="s">
        <v>907</v>
      </c>
      <c r="C1330" s="1268">
        <f t="shared" ref="C1330" si="511">D1330+N1330+P1330+R1330+T1330+V1330+X1330</f>
        <v>1405474.49</v>
      </c>
      <c r="D1330" s="1268">
        <f t="shared" ref="D1330" si="512">SUM(E1330:J1330)</f>
        <v>1341776</v>
      </c>
      <c r="E1330" s="1268">
        <v>0</v>
      </c>
      <c r="F1330" s="1268">
        <v>0</v>
      </c>
      <c r="G1330" s="1268">
        <v>0</v>
      </c>
      <c r="H1330" s="1268">
        <v>0</v>
      </c>
      <c r="I1330" s="1268">
        <v>0</v>
      </c>
      <c r="J1330" s="1268">
        <v>1341776</v>
      </c>
      <c r="K1330" s="1278">
        <v>0</v>
      </c>
      <c r="L1330" s="1268">
        <v>0</v>
      </c>
      <c r="M1330" s="1278">
        <v>0</v>
      </c>
      <c r="N1330" s="1268">
        <v>0</v>
      </c>
      <c r="O1330" s="1268">
        <v>0</v>
      </c>
      <c r="P1330" s="1268">
        <v>0</v>
      </c>
      <c r="Q1330" s="1293">
        <v>0</v>
      </c>
      <c r="R1330" s="1268">
        <v>0</v>
      </c>
      <c r="S1330" s="1268">
        <v>0</v>
      </c>
      <c r="T1330" s="1268">
        <v>0</v>
      </c>
      <c r="U1330" s="1293">
        <v>0</v>
      </c>
      <c r="V1330" s="1268">
        <v>0</v>
      </c>
      <c r="W1330" s="1268">
        <v>0</v>
      </c>
      <c r="X1330" s="1268">
        <v>63698.49</v>
      </c>
      <c r="Y1330" s="1268">
        <v>0</v>
      </c>
    </row>
    <row r="1331" spans="1:25" s="1277" customFormat="1">
      <c r="A1331" s="1396">
        <v>425</v>
      </c>
      <c r="B1331" s="1277" t="s">
        <v>1132</v>
      </c>
      <c r="C1331" s="1268">
        <f t="shared" ref="C1331:C1338" si="513">D1331+N1331+P1331+R1331+T1331+V1331+X1331</f>
        <v>2121484.12</v>
      </c>
      <c r="D1331" s="1268">
        <f t="shared" ref="D1331:D1338" si="514">SUM(E1331:J1331)</f>
        <v>0</v>
      </c>
      <c r="E1331" s="1268">
        <v>0</v>
      </c>
      <c r="F1331" s="1268">
        <v>0</v>
      </c>
      <c r="G1331" s="1268">
        <v>0</v>
      </c>
      <c r="H1331" s="1268">
        <v>0</v>
      </c>
      <c r="I1331" s="1268">
        <v>0</v>
      </c>
      <c r="J1331" s="1268">
        <v>0</v>
      </c>
      <c r="K1331" s="1278">
        <v>0</v>
      </c>
      <c r="L1331" s="1268">
        <v>0</v>
      </c>
      <c r="M1331" s="1278"/>
      <c r="N1331" s="1268">
        <v>0</v>
      </c>
      <c r="O1331" s="1268">
        <v>803.9</v>
      </c>
      <c r="P1331" s="1268">
        <v>2025662</v>
      </c>
      <c r="Q1331" s="1293">
        <v>0</v>
      </c>
      <c r="R1331" s="1268">
        <v>0</v>
      </c>
      <c r="S1331" s="1268">
        <v>0</v>
      </c>
      <c r="T1331" s="1268">
        <v>0</v>
      </c>
      <c r="U1331" s="1293">
        <v>0</v>
      </c>
      <c r="V1331" s="1268">
        <v>0</v>
      </c>
      <c r="W1331" s="1268">
        <v>0</v>
      </c>
      <c r="X1331" s="1268">
        <v>95822.12</v>
      </c>
      <c r="Y1331" s="1268">
        <v>0</v>
      </c>
    </row>
    <row r="1332" spans="1:25" s="1277" customFormat="1">
      <c r="A1332" s="1396">
        <v>426</v>
      </c>
      <c r="B1332" s="1277" t="s">
        <v>942</v>
      </c>
      <c r="C1332" s="1268">
        <f t="shared" si="513"/>
        <v>1720076</v>
      </c>
      <c r="D1332" s="1268">
        <f t="shared" si="514"/>
        <v>1595139</v>
      </c>
      <c r="E1332" s="1268">
        <v>0</v>
      </c>
      <c r="F1332" s="1268">
        <v>0</v>
      </c>
      <c r="G1332" s="1268">
        <v>0</v>
      </c>
      <c r="H1332" s="1268">
        <v>0</v>
      </c>
      <c r="I1332" s="1268">
        <v>0</v>
      </c>
      <c r="J1332" s="1268">
        <v>1595139</v>
      </c>
      <c r="K1332" s="1278">
        <v>0</v>
      </c>
      <c r="L1332" s="1268">
        <v>0</v>
      </c>
      <c r="M1332" s="1278">
        <v>0</v>
      </c>
      <c r="N1332" s="1268">
        <v>0</v>
      </c>
      <c r="O1332" s="1268">
        <v>0</v>
      </c>
      <c r="P1332" s="1268">
        <v>0</v>
      </c>
      <c r="Q1332" s="1293">
        <v>0</v>
      </c>
      <c r="R1332" s="1268">
        <v>0</v>
      </c>
      <c r="S1332" s="1268">
        <v>0</v>
      </c>
      <c r="T1332" s="1268">
        <v>0</v>
      </c>
      <c r="U1332" s="1293">
        <v>0</v>
      </c>
      <c r="V1332" s="1268">
        <v>0</v>
      </c>
      <c r="W1332" s="1268">
        <v>0</v>
      </c>
      <c r="X1332" s="1268">
        <v>124937</v>
      </c>
      <c r="Y1332" s="1268">
        <v>0</v>
      </c>
    </row>
    <row r="1333" spans="1:25" s="1277" customFormat="1">
      <c r="A1333" s="1396">
        <v>427</v>
      </c>
      <c r="B1333" s="1277" t="s">
        <v>357</v>
      </c>
      <c r="C1333" s="1268">
        <f t="shared" si="513"/>
        <v>1958042</v>
      </c>
      <c r="D1333" s="1268">
        <f t="shared" si="514"/>
        <v>1815820</v>
      </c>
      <c r="E1333" s="1268">
        <v>0</v>
      </c>
      <c r="F1333" s="1268">
        <v>0</v>
      </c>
      <c r="G1333" s="1268">
        <v>0</v>
      </c>
      <c r="H1333" s="1268">
        <v>0</v>
      </c>
      <c r="I1333" s="1268">
        <v>0</v>
      </c>
      <c r="J1333" s="1268">
        <v>1815820</v>
      </c>
      <c r="K1333" s="1278">
        <v>0</v>
      </c>
      <c r="L1333" s="1268">
        <v>0</v>
      </c>
      <c r="M1333" s="1278">
        <v>0</v>
      </c>
      <c r="N1333" s="1268">
        <v>0</v>
      </c>
      <c r="O1333" s="1268">
        <v>0</v>
      </c>
      <c r="P1333" s="1268">
        <v>0</v>
      </c>
      <c r="Q1333" s="1293">
        <v>0</v>
      </c>
      <c r="R1333" s="1268">
        <v>0</v>
      </c>
      <c r="S1333" s="1268">
        <v>0</v>
      </c>
      <c r="T1333" s="1268">
        <v>0</v>
      </c>
      <c r="U1333" s="1293">
        <v>0</v>
      </c>
      <c r="V1333" s="1268">
        <v>0</v>
      </c>
      <c r="W1333" s="1268">
        <v>0</v>
      </c>
      <c r="X1333" s="1268">
        <v>142222</v>
      </c>
      <c r="Y1333" s="1268">
        <v>0</v>
      </c>
    </row>
    <row r="1334" spans="1:25" s="1277" customFormat="1">
      <c r="A1334" s="1396">
        <v>428</v>
      </c>
      <c r="B1334" s="1277" t="s">
        <v>737</v>
      </c>
      <c r="C1334" s="1268">
        <f t="shared" si="513"/>
        <v>4878878</v>
      </c>
      <c r="D1334" s="1268">
        <f t="shared" si="514"/>
        <v>0</v>
      </c>
      <c r="E1334" s="1268">
        <v>0</v>
      </c>
      <c r="F1334" s="1268">
        <v>0</v>
      </c>
      <c r="G1334" s="1268">
        <v>0</v>
      </c>
      <c r="H1334" s="1268">
        <v>0</v>
      </c>
      <c r="I1334" s="1268">
        <v>0</v>
      </c>
      <c r="J1334" s="1268">
        <v>0</v>
      </c>
      <c r="K1334" s="1278">
        <v>0</v>
      </c>
      <c r="L1334" s="1268">
        <v>0</v>
      </c>
      <c r="M1334" s="1278">
        <v>0</v>
      </c>
      <c r="N1334" s="1268">
        <v>0</v>
      </c>
      <c r="O1334" s="1268">
        <v>1223</v>
      </c>
      <c r="P1334" s="1268">
        <v>4524502</v>
      </c>
      <c r="Q1334" s="1293">
        <v>0</v>
      </c>
      <c r="R1334" s="1268">
        <v>0</v>
      </c>
      <c r="S1334" s="1268">
        <v>0</v>
      </c>
      <c r="T1334" s="1268">
        <v>0</v>
      </c>
      <c r="U1334" s="1293">
        <v>0</v>
      </c>
      <c r="V1334" s="1268">
        <v>0</v>
      </c>
      <c r="W1334" s="1268">
        <v>0</v>
      </c>
      <c r="X1334" s="1268">
        <v>354376</v>
      </c>
      <c r="Y1334" s="1268">
        <v>0</v>
      </c>
    </row>
    <row r="1335" spans="1:25" s="1277" customFormat="1">
      <c r="A1335" s="1396">
        <v>429</v>
      </c>
      <c r="B1335" s="1277" t="s">
        <v>739</v>
      </c>
      <c r="C1335" s="1268">
        <f t="shared" si="513"/>
        <v>4878878</v>
      </c>
      <c r="D1335" s="1268">
        <f t="shared" si="514"/>
        <v>0</v>
      </c>
      <c r="E1335" s="1268">
        <v>0</v>
      </c>
      <c r="F1335" s="1268">
        <v>0</v>
      </c>
      <c r="G1335" s="1268">
        <v>0</v>
      </c>
      <c r="H1335" s="1268">
        <v>0</v>
      </c>
      <c r="I1335" s="1268">
        <v>0</v>
      </c>
      <c r="J1335" s="1268">
        <v>0</v>
      </c>
      <c r="K1335" s="1278">
        <v>0</v>
      </c>
      <c r="L1335" s="1268">
        <v>0</v>
      </c>
      <c r="M1335" s="1278">
        <v>0</v>
      </c>
      <c r="N1335" s="1268">
        <v>0</v>
      </c>
      <c r="O1335" s="1268">
        <v>1223</v>
      </c>
      <c r="P1335" s="1268">
        <v>4524502</v>
      </c>
      <c r="Q1335" s="1293">
        <v>0</v>
      </c>
      <c r="R1335" s="1268">
        <v>0</v>
      </c>
      <c r="S1335" s="1268">
        <v>0</v>
      </c>
      <c r="T1335" s="1268">
        <v>0</v>
      </c>
      <c r="U1335" s="1293">
        <v>0</v>
      </c>
      <c r="V1335" s="1268">
        <v>0</v>
      </c>
      <c r="W1335" s="1268">
        <v>0</v>
      </c>
      <c r="X1335" s="1268">
        <v>354376</v>
      </c>
      <c r="Y1335" s="1268">
        <v>0</v>
      </c>
    </row>
    <row r="1336" spans="1:25" s="1277" customFormat="1">
      <c r="A1336" s="1396">
        <v>430</v>
      </c>
      <c r="B1336" s="1277" t="s">
        <v>943</v>
      </c>
      <c r="C1336" s="1268">
        <f t="shared" si="513"/>
        <v>3518714</v>
      </c>
      <c r="D1336" s="1268">
        <f t="shared" si="514"/>
        <v>0</v>
      </c>
      <c r="E1336" s="1268">
        <v>0</v>
      </c>
      <c r="F1336" s="1268">
        <v>0</v>
      </c>
      <c r="G1336" s="1268">
        <v>0</v>
      </c>
      <c r="H1336" s="1268">
        <v>0</v>
      </c>
      <c r="I1336" s="1268">
        <v>0</v>
      </c>
      <c r="J1336" s="1268">
        <v>0</v>
      </c>
      <c r="K1336" s="1278">
        <v>0</v>
      </c>
      <c r="L1336" s="1268">
        <v>0</v>
      </c>
      <c r="M1336" s="1278">
        <v>0</v>
      </c>
      <c r="N1336" s="1268">
        <v>0</v>
      </c>
      <c r="O1336" s="1268">
        <v>1295</v>
      </c>
      <c r="P1336" s="1268">
        <v>3263133</v>
      </c>
      <c r="Q1336" s="1293">
        <v>0</v>
      </c>
      <c r="R1336" s="1268">
        <v>0</v>
      </c>
      <c r="S1336" s="1268">
        <v>0</v>
      </c>
      <c r="T1336" s="1268">
        <v>0</v>
      </c>
      <c r="U1336" s="1293">
        <v>0</v>
      </c>
      <c r="V1336" s="1268">
        <v>0</v>
      </c>
      <c r="W1336" s="1268">
        <v>0</v>
      </c>
      <c r="X1336" s="1268">
        <v>255581</v>
      </c>
      <c r="Y1336" s="1268">
        <v>0</v>
      </c>
    </row>
    <row r="1337" spans="1:25" s="1277" customFormat="1">
      <c r="A1337" s="1396">
        <v>431</v>
      </c>
      <c r="B1337" s="1277" t="s">
        <v>741</v>
      </c>
      <c r="C1337" s="1268">
        <f t="shared" si="513"/>
        <v>3337208</v>
      </c>
      <c r="D1337" s="1268">
        <f t="shared" si="514"/>
        <v>0</v>
      </c>
      <c r="E1337" s="1268">
        <v>0</v>
      </c>
      <c r="F1337" s="1268">
        <v>0</v>
      </c>
      <c r="G1337" s="1268">
        <v>0</v>
      </c>
      <c r="H1337" s="1268">
        <v>0</v>
      </c>
      <c r="I1337" s="1268">
        <v>0</v>
      </c>
      <c r="J1337" s="1268">
        <v>0</v>
      </c>
      <c r="K1337" s="1278">
        <v>0</v>
      </c>
      <c r="L1337" s="1268">
        <v>0</v>
      </c>
      <c r="M1337" s="1278">
        <v>0</v>
      </c>
      <c r="N1337" s="1268">
        <v>0</v>
      </c>
      <c r="O1337" s="1268">
        <v>1228.2</v>
      </c>
      <c r="P1337" s="1268">
        <v>3094810</v>
      </c>
      <c r="Q1337" s="1293">
        <v>0</v>
      </c>
      <c r="R1337" s="1268">
        <v>0</v>
      </c>
      <c r="S1337" s="1268">
        <v>0</v>
      </c>
      <c r="T1337" s="1268">
        <v>0</v>
      </c>
      <c r="U1337" s="1293">
        <v>0</v>
      </c>
      <c r="V1337" s="1268">
        <v>0</v>
      </c>
      <c r="W1337" s="1268">
        <v>0</v>
      </c>
      <c r="X1337" s="1268">
        <v>242398</v>
      </c>
      <c r="Y1337" s="1268">
        <v>0</v>
      </c>
    </row>
    <row r="1338" spans="1:25" s="1277" customFormat="1">
      <c r="A1338" s="1396">
        <v>432</v>
      </c>
      <c r="B1338" s="1277" t="s">
        <v>742</v>
      </c>
      <c r="C1338" s="1268">
        <f t="shared" si="513"/>
        <v>3902279</v>
      </c>
      <c r="D1338" s="1268">
        <f t="shared" si="514"/>
        <v>3618838</v>
      </c>
      <c r="E1338" s="1268">
        <v>0</v>
      </c>
      <c r="F1338" s="1268">
        <v>0</v>
      </c>
      <c r="G1338" s="1268">
        <v>0</v>
      </c>
      <c r="H1338" s="1268">
        <v>0</v>
      </c>
      <c r="I1338" s="1268">
        <v>3618838</v>
      </c>
      <c r="J1338" s="1268">
        <v>0</v>
      </c>
      <c r="K1338" s="1278">
        <v>0</v>
      </c>
      <c r="L1338" s="1268">
        <v>0</v>
      </c>
      <c r="M1338" s="1278">
        <v>0</v>
      </c>
      <c r="N1338" s="1268">
        <v>0</v>
      </c>
      <c r="O1338" s="1268">
        <v>0</v>
      </c>
      <c r="P1338" s="1268">
        <v>0</v>
      </c>
      <c r="Q1338" s="1293">
        <v>0</v>
      </c>
      <c r="R1338" s="1268">
        <v>0</v>
      </c>
      <c r="S1338" s="1268">
        <v>0</v>
      </c>
      <c r="T1338" s="1268">
        <v>0</v>
      </c>
      <c r="U1338" s="1293">
        <v>0</v>
      </c>
      <c r="V1338" s="1268">
        <v>0</v>
      </c>
      <c r="W1338" s="1268">
        <v>0</v>
      </c>
      <c r="X1338" s="1268">
        <v>283441</v>
      </c>
      <c r="Y1338" s="1268">
        <v>0</v>
      </c>
    </row>
    <row r="1339" spans="1:25" s="1277" customFormat="1" ht="75.599999999999994">
      <c r="A1339" s="1396"/>
      <c r="B1339" s="1267" t="s">
        <v>1162</v>
      </c>
      <c r="C1339" s="1268">
        <f>C1340+C1341</f>
        <v>14594826.83</v>
      </c>
      <c r="D1339" s="1268">
        <f t="shared" ref="D1339:Y1339" si="515">D1340+D1341</f>
        <v>991979</v>
      </c>
      <c r="E1339" s="1268">
        <f t="shared" si="515"/>
        <v>991979</v>
      </c>
      <c r="F1339" s="1268">
        <f t="shared" si="515"/>
        <v>0</v>
      </c>
      <c r="G1339" s="1268">
        <f t="shared" si="515"/>
        <v>0</v>
      </c>
      <c r="H1339" s="1268">
        <f t="shared" si="515"/>
        <v>0</v>
      </c>
      <c r="I1339" s="1268">
        <f t="shared" si="515"/>
        <v>0</v>
      </c>
      <c r="J1339" s="1268">
        <f t="shared" si="515"/>
        <v>0</v>
      </c>
      <c r="K1339" s="1278">
        <f t="shared" si="515"/>
        <v>0</v>
      </c>
      <c r="L1339" s="1268">
        <f t="shared" si="515"/>
        <v>0</v>
      </c>
      <c r="M1339" s="1278">
        <f t="shared" si="515"/>
        <v>0</v>
      </c>
      <c r="N1339" s="1268">
        <f t="shared" si="515"/>
        <v>0</v>
      </c>
      <c r="O1339" s="1268">
        <f t="shared" si="515"/>
        <v>0</v>
      </c>
      <c r="P1339" s="1268">
        <f t="shared" si="515"/>
        <v>0</v>
      </c>
      <c r="Q1339" s="1268">
        <f t="shared" si="515"/>
        <v>0</v>
      </c>
      <c r="R1339" s="1268">
        <f t="shared" si="515"/>
        <v>0</v>
      </c>
      <c r="S1339" s="1268">
        <f t="shared" si="515"/>
        <v>2723.6000000000004</v>
      </c>
      <c r="T1339" s="1268">
        <f t="shared" si="515"/>
        <v>12502603.140000001</v>
      </c>
      <c r="U1339" s="1268">
        <f t="shared" si="515"/>
        <v>0</v>
      </c>
      <c r="V1339" s="1268">
        <f t="shared" si="515"/>
        <v>0</v>
      </c>
      <c r="W1339" s="1268">
        <v>0</v>
      </c>
      <c r="X1339" s="1268">
        <f t="shared" si="515"/>
        <v>1100244.69</v>
      </c>
      <c r="Y1339" s="1268">
        <f t="shared" si="515"/>
        <v>0</v>
      </c>
    </row>
    <row r="1340" spans="1:25" s="1277" customFormat="1">
      <c r="A1340" s="1396">
        <v>433</v>
      </c>
      <c r="B1340" s="1277" t="s">
        <v>865</v>
      </c>
      <c r="C1340" s="1268">
        <f t="shared" ref="C1340:C1341" si="516">D1340+N1340+P1340+R1340+T1340+V1340+X1340</f>
        <v>7887040.2599999998</v>
      </c>
      <c r="D1340" s="1268">
        <f t="shared" ref="D1340:D1341" si="517">SUM(E1340:J1340)</f>
        <v>991979</v>
      </c>
      <c r="E1340" s="1268">
        <v>991979</v>
      </c>
      <c r="F1340" s="1268">
        <v>0</v>
      </c>
      <c r="G1340" s="1268">
        <v>0</v>
      </c>
      <c r="H1340" s="1268">
        <v>0</v>
      </c>
      <c r="I1340" s="1268">
        <v>0</v>
      </c>
      <c r="J1340" s="1268">
        <v>0</v>
      </c>
      <c r="K1340" s="1278">
        <v>0</v>
      </c>
      <c r="L1340" s="1268">
        <v>0</v>
      </c>
      <c r="M1340" s="1278">
        <v>0</v>
      </c>
      <c r="N1340" s="1268">
        <v>0</v>
      </c>
      <c r="O1340" s="1268">
        <v>0</v>
      </c>
      <c r="P1340" s="1268">
        <v>0</v>
      </c>
      <c r="Q1340" s="1268">
        <v>0</v>
      </c>
      <c r="R1340" s="1268">
        <v>0</v>
      </c>
      <c r="S1340" s="1268">
        <v>1372.4</v>
      </c>
      <c r="T1340" s="1268">
        <v>6302111.5700000003</v>
      </c>
      <c r="U1340" s="1268">
        <v>0</v>
      </c>
      <c r="V1340" s="1268">
        <v>0</v>
      </c>
      <c r="W1340" s="1268">
        <v>0</v>
      </c>
      <c r="X1340" s="1268">
        <v>592949.68999999994</v>
      </c>
      <c r="Y1340" s="1268">
        <v>0</v>
      </c>
    </row>
    <row r="1341" spans="1:25" s="1277" customFormat="1">
      <c r="A1341" s="1396">
        <v>434</v>
      </c>
      <c r="B1341" s="1277" t="s">
        <v>866</v>
      </c>
      <c r="C1341" s="1268">
        <f t="shared" si="516"/>
        <v>6707786.5700000003</v>
      </c>
      <c r="D1341" s="1268">
        <f t="shared" si="517"/>
        <v>0</v>
      </c>
      <c r="E1341" s="1268">
        <v>0</v>
      </c>
      <c r="F1341" s="1268">
        <v>0</v>
      </c>
      <c r="G1341" s="1268">
        <v>0</v>
      </c>
      <c r="H1341" s="1268">
        <v>0</v>
      </c>
      <c r="I1341" s="1268">
        <v>0</v>
      </c>
      <c r="J1341" s="1268">
        <v>0</v>
      </c>
      <c r="K1341" s="1278">
        <v>0</v>
      </c>
      <c r="L1341" s="1268">
        <v>0</v>
      </c>
      <c r="M1341" s="1278">
        <v>0</v>
      </c>
      <c r="N1341" s="1268">
        <v>0</v>
      </c>
      <c r="O1341" s="1268">
        <v>0</v>
      </c>
      <c r="P1341" s="1268">
        <v>0</v>
      </c>
      <c r="Q1341" s="1268">
        <v>0</v>
      </c>
      <c r="R1341" s="1268">
        <v>0</v>
      </c>
      <c r="S1341" s="1268">
        <v>1351.2</v>
      </c>
      <c r="T1341" s="1268">
        <v>6200491.5700000003</v>
      </c>
      <c r="U1341" s="1268">
        <v>0</v>
      </c>
      <c r="V1341" s="1268">
        <v>0</v>
      </c>
      <c r="W1341" s="1268">
        <v>0</v>
      </c>
      <c r="X1341" s="1268">
        <v>507295</v>
      </c>
      <c r="Y1341" s="1268">
        <v>0</v>
      </c>
    </row>
    <row r="1342" spans="1:25" s="1277" customFormat="1" ht="75.599999999999994">
      <c r="A1342" s="1396"/>
      <c r="B1342" s="1277" t="s">
        <v>1681</v>
      </c>
      <c r="C1342" s="1268">
        <f>SUM(C1343:C1352)</f>
        <v>22098683.720000003</v>
      </c>
      <c r="D1342" s="1268">
        <f t="shared" ref="D1342:Y1342" si="518">SUM(D1343:D1352)</f>
        <v>0</v>
      </c>
      <c r="E1342" s="1268">
        <f t="shared" si="518"/>
        <v>0</v>
      </c>
      <c r="F1342" s="1268">
        <f t="shared" si="518"/>
        <v>0</v>
      </c>
      <c r="G1342" s="1268">
        <f t="shared" si="518"/>
        <v>0</v>
      </c>
      <c r="H1342" s="1268">
        <f t="shared" si="518"/>
        <v>0</v>
      </c>
      <c r="I1342" s="1268">
        <f t="shared" si="518"/>
        <v>0</v>
      </c>
      <c r="J1342" s="1268">
        <f t="shared" si="518"/>
        <v>0</v>
      </c>
      <c r="K1342" s="1278">
        <f t="shared" si="518"/>
        <v>0</v>
      </c>
      <c r="L1342" s="1268">
        <f t="shared" si="518"/>
        <v>0</v>
      </c>
      <c r="M1342" s="1278">
        <f t="shared" si="518"/>
        <v>0</v>
      </c>
      <c r="N1342" s="1268">
        <f t="shared" si="518"/>
        <v>0</v>
      </c>
      <c r="O1342" s="1268">
        <f t="shared" si="518"/>
        <v>3912</v>
      </c>
      <c r="P1342" s="1268">
        <f t="shared" si="518"/>
        <v>11440580.219999999</v>
      </c>
      <c r="Q1342" s="1268">
        <f t="shared" si="518"/>
        <v>0</v>
      </c>
      <c r="R1342" s="1268">
        <f t="shared" si="518"/>
        <v>0</v>
      </c>
      <c r="S1342" s="1268">
        <f t="shared" si="518"/>
        <v>3826.2</v>
      </c>
      <c r="T1342" s="1268">
        <f t="shared" si="518"/>
        <v>9323473.540000001</v>
      </c>
      <c r="U1342" s="1268">
        <f t="shared" si="518"/>
        <v>0</v>
      </c>
      <c r="V1342" s="1268">
        <f t="shared" si="518"/>
        <v>0</v>
      </c>
      <c r="W1342" s="1268">
        <v>0</v>
      </c>
      <c r="X1342" s="1268">
        <f t="shared" si="518"/>
        <v>1334629.96</v>
      </c>
      <c r="Y1342" s="1268">
        <f t="shared" si="518"/>
        <v>0</v>
      </c>
    </row>
    <row r="1343" spans="1:25" s="1277" customFormat="1">
      <c r="A1343" s="1396">
        <v>435</v>
      </c>
      <c r="B1343" s="1277" t="s">
        <v>1134</v>
      </c>
      <c r="C1343" s="1268">
        <f t="shared" ref="C1343" si="519">D1343+N1343+P1343+R1343+T1343+V1343+X1343</f>
        <v>2620866</v>
      </c>
      <c r="D1343" s="1268">
        <f t="shared" ref="D1343" si="520">SUM(E1343:J1343)</f>
        <v>0</v>
      </c>
      <c r="E1343" s="1268">
        <v>0</v>
      </c>
      <c r="F1343" s="1268">
        <v>0</v>
      </c>
      <c r="G1343" s="1268">
        <v>0</v>
      </c>
      <c r="H1343" s="1268">
        <v>0</v>
      </c>
      <c r="I1343" s="1268">
        <v>0</v>
      </c>
      <c r="J1343" s="1268">
        <v>0</v>
      </c>
      <c r="K1343" s="1278">
        <v>0</v>
      </c>
      <c r="L1343" s="1268">
        <v>0</v>
      </c>
      <c r="M1343" s="1278">
        <v>0</v>
      </c>
      <c r="N1343" s="1268">
        <v>0</v>
      </c>
      <c r="O1343" s="1268">
        <v>835</v>
      </c>
      <c r="P1343" s="1268">
        <v>2496189.7999999998</v>
      </c>
      <c r="Q1343" s="1268">
        <v>0</v>
      </c>
      <c r="R1343" s="1268">
        <v>0</v>
      </c>
      <c r="S1343" s="1268">
        <v>0</v>
      </c>
      <c r="T1343" s="1268">
        <v>0</v>
      </c>
      <c r="U1343" s="1268">
        <v>0</v>
      </c>
      <c r="V1343" s="1268">
        <v>0</v>
      </c>
      <c r="W1343" s="1268">
        <v>0</v>
      </c>
      <c r="X1343" s="1268">
        <v>124676.2</v>
      </c>
      <c r="Y1343" s="1268">
        <v>0</v>
      </c>
    </row>
    <row r="1344" spans="1:25" s="1277" customFormat="1">
      <c r="A1344" s="1396">
        <v>436</v>
      </c>
      <c r="B1344" s="1277" t="s">
        <v>628</v>
      </c>
      <c r="C1344" s="1268">
        <f t="shared" ref="C1344:C1351" si="521">D1344+N1344+P1344+R1344+T1344+V1344+X1344</f>
        <v>1255505</v>
      </c>
      <c r="D1344" s="1268">
        <f t="shared" ref="D1344:D1351" si="522">SUM(E1344:J1344)</f>
        <v>0</v>
      </c>
      <c r="E1344" s="1268">
        <v>0</v>
      </c>
      <c r="F1344" s="1268">
        <v>0</v>
      </c>
      <c r="G1344" s="1268">
        <v>0</v>
      </c>
      <c r="H1344" s="1268">
        <v>0</v>
      </c>
      <c r="I1344" s="1268">
        <v>0</v>
      </c>
      <c r="J1344" s="1268">
        <v>0</v>
      </c>
      <c r="K1344" s="1278">
        <v>0</v>
      </c>
      <c r="L1344" s="1268">
        <v>0</v>
      </c>
      <c r="M1344" s="1278">
        <v>0</v>
      </c>
      <c r="N1344" s="1268">
        <v>0</v>
      </c>
      <c r="O1344" s="1268">
        <v>400</v>
      </c>
      <c r="P1344" s="1268">
        <v>1197709.5</v>
      </c>
      <c r="Q1344" s="1268">
        <v>0</v>
      </c>
      <c r="R1344" s="1268">
        <v>0</v>
      </c>
      <c r="S1344" s="1268">
        <v>0</v>
      </c>
      <c r="T1344" s="1268">
        <v>0</v>
      </c>
      <c r="U1344" s="1268">
        <v>0</v>
      </c>
      <c r="V1344" s="1268">
        <v>0</v>
      </c>
      <c r="W1344" s="1268">
        <v>0</v>
      </c>
      <c r="X1344" s="1268">
        <v>57795.5</v>
      </c>
      <c r="Y1344" s="1268">
        <v>0</v>
      </c>
    </row>
    <row r="1345" spans="1:25" s="1277" customFormat="1">
      <c r="A1345" s="1396">
        <v>437</v>
      </c>
      <c r="B1345" s="1277" t="s">
        <v>392</v>
      </c>
      <c r="C1345" s="1268">
        <f t="shared" si="521"/>
        <v>1098567</v>
      </c>
      <c r="D1345" s="1268">
        <f t="shared" si="522"/>
        <v>0</v>
      </c>
      <c r="E1345" s="1268">
        <v>0</v>
      </c>
      <c r="F1345" s="1268">
        <v>0</v>
      </c>
      <c r="G1345" s="1268">
        <v>0</v>
      </c>
      <c r="H1345" s="1268">
        <v>0</v>
      </c>
      <c r="I1345" s="1268">
        <v>0</v>
      </c>
      <c r="J1345" s="1268">
        <v>0</v>
      </c>
      <c r="K1345" s="1278">
        <v>0</v>
      </c>
      <c r="L1345" s="1268">
        <v>0</v>
      </c>
      <c r="M1345" s="1278">
        <v>0</v>
      </c>
      <c r="N1345" s="1268">
        <v>0</v>
      </c>
      <c r="O1345" s="1268">
        <v>350</v>
      </c>
      <c r="P1345" s="1268">
        <v>1035713.2</v>
      </c>
      <c r="Q1345" s="1268">
        <v>0</v>
      </c>
      <c r="R1345" s="1268">
        <v>0</v>
      </c>
      <c r="S1345" s="1268">
        <v>0</v>
      </c>
      <c r="T1345" s="1268">
        <v>0</v>
      </c>
      <c r="U1345" s="1268">
        <v>0</v>
      </c>
      <c r="V1345" s="1268">
        <v>0</v>
      </c>
      <c r="W1345" s="1268">
        <v>0</v>
      </c>
      <c r="X1345" s="1268">
        <v>62853.8</v>
      </c>
      <c r="Y1345" s="1268">
        <v>0</v>
      </c>
    </row>
    <row r="1346" spans="1:25" s="1277" customFormat="1">
      <c r="A1346" s="1396">
        <v>438</v>
      </c>
      <c r="B1346" s="1277" t="s">
        <v>758</v>
      </c>
      <c r="C1346" s="1268">
        <f t="shared" si="521"/>
        <v>1726319</v>
      </c>
      <c r="D1346" s="1268">
        <f t="shared" si="522"/>
        <v>0</v>
      </c>
      <c r="E1346" s="1268">
        <v>0</v>
      </c>
      <c r="F1346" s="1268">
        <v>0</v>
      </c>
      <c r="G1346" s="1268">
        <v>0</v>
      </c>
      <c r="H1346" s="1268">
        <v>0</v>
      </c>
      <c r="I1346" s="1268">
        <v>0</v>
      </c>
      <c r="J1346" s="1268">
        <v>0</v>
      </c>
      <c r="K1346" s="1278">
        <v>0</v>
      </c>
      <c r="L1346" s="1268">
        <v>0</v>
      </c>
      <c r="M1346" s="1278">
        <v>0</v>
      </c>
      <c r="N1346" s="1268">
        <v>0</v>
      </c>
      <c r="O1346" s="1268">
        <v>550</v>
      </c>
      <c r="P1346" s="1268">
        <v>1698667.7</v>
      </c>
      <c r="Q1346" s="1268">
        <v>0</v>
      </c>
      <c r="R1346" s="1268">
        <v>0</v>
      </c>
      <c r="S1346" s="1268">
        <v>0</v>
      </c>
      <c r="T1346" s="1268">
        <v>0</v>
      </c>
      <c r="U1346" s="1268">
        <v>0</v>
      </c>
      <c r="V1346" s="1268">
        <v>0</v>
      </c>
      <c r="W1346" s="1268">
        <v>0</v>
      </c>
      <c r="X1346" s="1268">
        <v>27651.3</v>
      </c>
      <c r="Y1346" s="1268">
        <v>0</v>
      </c>
    </row>
    <row r="1347" spans="1:25" s="1277" customFormat="1">
      <c r="A1347" s="1396">
        <v>439</v>
      </c>
      <c r="B1347" s="1277" t="s">
        <v>1133</v>
      </c>
      <c r="C1347" s="1268">
        <f t="shared" si="521"/>
        <v>1412443</v>
      </c>
      <c r="D1347" s="1268">
        <f t="shared" si="522"/>
        <v>0</v>
      </c>
      <c r="E1347" s="1268">
        <v>0</v>
      </c>
      <c r="F1347" s="1268">
        <v>0</v>
      </c>
      <c r="G1347" s="1268">
        <v>0</v>
      </c>
      <c r="H1347" s="1268">
        <v>0</v>
      </c>
      <c r="I1347" s="1268">
        <v>0</v>
      </c>
      <c r="J1347" s="1268">
        <v>0</v>
      </c>
      <c r="K1347" s="1278">
        <v>0</v>
      </c>
      <c r="L1347" s="1268">
        <v>0</v>
      </c>
      <c r="M1347" s="1278">
        <v>0</v>
      </c>
      <c r="N1347" s="1268">
        <v>0</v>
      </c>
      <c r="O1347" s="1268">
        <v>450</v>
      </c>
      <c r="P1347" s="1268">
        <v>1334984.3</v>
      </c>
      <c r="Q1347" s="1268">
        <v>0</v>
      </c>
      <c r="R1347" s="1268">
        <v>0</v>
      </c>
      <c r="S1347" s="1268">
        <v>0</v>
      </c>
      <c r="T1347" s="1268">
        <v>0</v>
      </c>
      <c r="U1347" s="1268">
        <v>0</v>
      </c>
      <c r="V1347" s="1268">
        <v>0</v>
      </c>
      <c r="W1347" s="1268">
        <v>0</v>
      </c>
      <c r="X1347" s="1268">
        <v>77458.7</v>
      </c>
      <c r="Y1347" s="1268">
        <v>0</v>
      </c>
    </row>
    <row r="1348" spans="1:25" s="1277" customFormat="1">
      <c r="A1348" s="1396">
        <v>440</v>
      </c>
      <c r="B1348" s="1277" t="s">
        <v>622</v>
      </c>
      <c r="C1348" s="1268">
        <f t="shared" si="521"/>
        <v>2986180.0600000005</v>
      </c>
      <c r="D1348" s="1268">
        <f t="shared" si="522"/>
        <v>0</v>
      </c>
      <c r="E1348" s="1268">
        <v>0</v>
      </c>
      <c r="F1348" s="1268">
        <v>0</v>
      </c>
      <c r="G1348" s="1268">
        <v>0</v>
      </c>
      <c r="H1348" s="1268">
        <v>0</v>
      </c>
      <c r="I1348" s="1268">
        <v>0</v>
      </c>
      <c r="J1348" s="1268">
        <v>0</v>
      </c>
      <c r="K1348" s="1278">
        <v>0</v>
      </c>
      <c r="L1348" s="1268">
        <v>0</v>
      </c>
      <c r="M1348" s="1278">
        <v>0</v>
      </c>
      <c r="N1348" s="1268">
        <v>0</v>
      </c>
      <c r="O1348" s="1268">
        <v>480</v>
      </c>
      <c r="P1348" s="1268">
        <v>1406614.51</v>
      </c>
      <c r="Q1348" s="1268">
        <v>0</v>
      </c>
      <c r="R1348" s="1268">
        <v>0</v>
      </c>
      <c r="S1348" s="1268">
        <v>552.20000000000005</v>
      </c>
      <c r="T1348" s="1268">
        <v>1362665.06</v>
      </c>
      <c r="U1348" s="1268">
        <v>0</v>
      </c>
      <c r="V1348" s="1268">
        <v>0</v>
      </c>
      <c r="W1348" s="1268">
        <v>0</v>
      </c>
      <c r="X1348" s="1268">
        <v>216900.49</v>
      </c>
      <c r="Y1348" s="1268">
        <v>0</v>
      </c>
    </row>
    <row r="1349" spans="1:25" s="1277" customFormat="1">
      <c r="A1349" s="1396">
        <v>441</v>
      </c>
      <c r="B1349" s="1277" t="s">
        <v>392</v>
      </c>
      <c r="C1349" s="1268">
        <f t="shared" si="521"/>
        <v>943734.47</v>
      </c>
      <c r="D1349" s="1268">
        <f t="shared" si="522"/>
        <v>0</v>
      </c>
      <c r="E1349" s="1268">
        <v>0</v>
      </c>
      <c r="F1349" s="1268">
        <v>0</v>
      </c>
      <c r="G1349" s="1268">
        <v>0</v>
      </c>
      <c r="H1349" s="1268">
        <v>0</v>
      </c>
      <c r="I1349" s="1268">
        <v>0</v>
      </c>
      <c r="J1349" s="1268">
        <v>0</v>
      </c>
      <c r="K1349" s="1278">
        <v>0</v>
      </c>
      <c r="L1349" s="1268">
        <v>0</v>
      </c>
      <c r="M1349" s="1278">
        <v>0</v>
      </c>
      <c r="N1349" s="1268">
        <v>0</v>
      </c>
      <c r="O1349" s="1268">
        <v>0</v>
      </c>
      <c r="P1349" s="1268">
        <v>0</v>
      </c>
      <c r="Q1349" s="1268">
        <v>0</v>
      </c>
      <c r="R1349" s="1268">
        <v>0</v>
      </c>
      <c r="S1349" s="1268">
        <v>412</v>
      </c>
      <c r="T1349" s="1268">
        <v>898244</v>
      </c>
      <c r="U1349" s="1268">
        <v>0</v>
      </c>
      <c r="V1349" s="1268">
        <v>0</v>
      </c>
      <c r="W1349" s="1268">
        <v>0</v>
      </c>
      <c r="X1349" s="1268">
        <v>45490.47</v>
      </c>
      <c r="Y1349" s="1268">
        <v>0</v>
      </c>
    </row>
    <row r="1350" spans="1:25" s="1277" customFormat="1">
      <c r="A1350" s="1396">
        <v>442</v>
      </c>
      <c r="B1350" s="1277" t="s">
        <v>628</v>
      </c>
      <c r="C1350" s="1268">
        <f t="shared" si="521"/>
        <v>1343796</v>
      </c>
      <c r="D1350" s="1268">
        <f t="shared" si="522"/>
        <v>0</v>
      </c>
      <c r="E1350" s="1268">
        <v>0</v>
      </c>
      <c r="F1350" s="1268">
        <v>0</v>
      </c>
      <c r="G1350" s="1268">
        <v>0</v>
      </c>
      <c r="H1350" s="1268">
        <v>0</v>
      </c>
      <c r="I1350" s="1268">
        <v>0</v>
      </c>
      <c r="J1350" s="1268">
        <v>0</v>
      </c>
      <c r="K1350" s="1278">
        <v>0</v>
      </c>
      <c r="L1350" s="1268">
        <v>0</v>
      </c>
      <c r="M1350" s="1278">
        <v>0</v>
      </c>
      <c r="N1350" s="1268">
        <v>0</v>
      </c>
      <c r="O1350" s="1268">
        <v>0</v>
      </c>
      <c r="P1350" s="1268">
        <v>0</v>
      </c>
      <c r="Q1350" s="1268">
        <v>0</v>
      </c>
      <c r="R1350" s="1268">
        <v>0</v>
      </c>
      <c r="S1350" s="1268">
        <v>505</v>
      </c>
      <c r="T1350" s="1268">
        <v>1246190</v>
      </c>
      <c r="U1350" s="1268">
        <v>0</v>
      </c>
      <c r="V1350" s="1268">
        <v>0</v>
      </c>
      <c r="W1350" s="1268">
        <v>0</v>
      </c>
      <c r="X1350" s="1268">
        <v>97606</v>
      </c>
      <c r="Y1350" s="1268">
        <v>0</v>
      </c>
    </row>
    <row r="1351" spans="1:25" s="1277" customFormat="1">
      <c r="A1351" s="1396">
        <v>443</v>
      </c>
      <c r="B1351" s="1277" t="s">
        <v>624</v>
      </c>
      <c r="C1351" s="1268">
        <f t="shared" si="521"/>
        <v>2118953</v>
      </c>
      <c r="D1351" s="1268">
        <f t="shared" si="522"/>
        <v>0</v>
      </c>
      <c r="E1351" s="1268">
        <v>0</v>
      </c>
      <c r="F1351" s="1268">
        <v>0</v>
      </c>
      <c r="G1351" s="1268">
        <v>0</v>
      </c>
      <c r="H1351" s="1268">
        <v>0</v>
      </c>
      <c r="I1351" s="1268">
        <v>0</v>
      </c>
      <c r="J1351" s="1268">
        <v>0</v>
      </c>
      <c r="K1351" s="1278">
        <v>0</v>
      </c>
      <c r="L1351" s="1268">
        <v>0</v>
      </c>
      <c r="M1351" s="1278">
        <v>0</v>
      </c>
      <c r="N1351" s="1293">
        <v>0</v>
      </c>
      <c r="O1351" s="1268">
        <v>285</v>
      </c>
      <c r="P1351" s="1268">
        <v>854577.21</v>
      </c>
      <c r="Q1351" s="1268">
        <v>0</v>
      </c>
      <c r="R1351" s="1268">
        <v>0</v>
      </c>
      <c r="S1351" s="1268">
        <v>450</v>
      </c>
      <c r="T1351" s="1268">
        <v>1110466</v>
      </c>
      <c r="U1351" s="1268">
        <v>0</v>
      </c>
      <c r="V1351" s="1268">
        <v>0</v>
      </c>
      <c r="W1351" s="1268">
        <v>0</v>
      </c>
      <c r="X1351" s="1268">
        <v>153909.79</v>
      </c>
      <c r="Y1351" s="1268">
        <v>0</v>
      </c>
    </row>
    <row r="1352" spans="1:25" s="1277" customFormat="1">
      <c r="A1352" s="1396">
        <v>444</v>
      </c>
      <c r="B1352" s="1277" t="s">
        <v>1666</v>
      </c>
      <c r="C1352" s="1268">
        <f t="shared" ref="C1352" si="523">D1352+N1352+P1352+R1352+T1352+V1352+X1352</f>
        <v>6592320.1900000004</v>
      </c>
      <c r="D1352" s="1268">
        <f t="shared" ref="D1352" si="524">SUM(E1352:J1352)</f>
        <v>0</v>
      </c>
      <c r="E1352" s="1268">
        <v>0</v>
      </c>
      <c r="F1352" s="1268">
        <v>0</v>
      </c>
      <c r="G1352" s="1268">
        <v>0</v>
      </c>
      <c r="H1352" s="1268">
        <v>0</v>
      </c>
      <c r="I1352" s="1268">
        <v>0</v>
      </c>
      <c r="J1352" s="1268">
        <v>0</v>
      </c>
      <c r="K1352" s="1278">
        <v>0</v>
      </c>
      <c r="L1352" s="1268">
        <v>0</v>
      </c>
      <c r="M1352" s="1278">
        <v>0</v>
      </c>
      <c r="N1352" s="1293">
        <v>0</v>
      </c>
      <c r="O1352" s="1268">
        <v>562</v>
      </c>
      <c r="P1352" s="1268">
        <v>1416124</v>
      </c>
      <c r="Q1352" s="1268">
        <v>0</v>
      </c>
      <c r="R1352" s="1268">
        <v>0</v>
      </c>
      <c r="S1352" s="1268">
        <v>1907</v>
      </c>
      <c r="T1352" s="1268">
        <v>4705908.4800000004</v>
      </c>
      <c r="U1352" s="1268">
        <v>0</v>
      </c>
      <c r="V1352" s="1268">
        <v>0</v>
      </c>
      <c r="W1352" s="1268">
        <v>0</v>
      </c>
      <c r="X1352" s="1268">
        <v>470287.71</v>
      </c>
      <c r="Y1352" s="1268">
        <v>0</v>
      </c>
    </row>
    <row r="1353" spans="1:25" s="1277" customFormat="1">
      <c r="A1353" s="1396"/>
      <c r="B1353" s="1267" t="s">
        <v>41</v>
      </c>
      <c r="C1353" s="1268">
        <f>C1354</f>
        <v>15506314.620000001</v>
      </c>
      <c r="D1353" s="1268">
        <f t="shared" ref="D1353:Y1353" si="525">D1354</f>
        <v>7485447.4500000002</v>
      </c>
      <c r="E1353" s="1268">
        <f t="shared" si="525"/>
        <v>2485588.4500000002</v>
      </c>
      <c r="F1353" s="1268">
        <f t="shared" si="525"/>
        <v>1422915</v>
      </c>
      <c r="G1353" s="1268">
        <f t="shared" si="525"/>
        <v>0</v>
      </c>
      <c r="H1353" s="1268">
        <f t="shared" si="525"/>
        <v>2171380</v>
      </c>
      <c r="I1353" s="1268">
        <f t="shared" si="525"/>
        <v>0</v>
      </c>
      <c r="J1353" s="1268">
        <f t="shared" si="525"/>
        <v>1405564</v>
      </c>
      <c r="K1353" s="1278">
        <v>0</v>
      </c>
      <c r="L1353" s="1268">
        <v>0</v>
      </c>
      <c r="M1353" s="1278">
        <f t="shared" si="525"/>
        <v>0</v>
      </c>
      <c r="N1353" s="1268">
        <f t="shared" si="525"/>
        <v>0</v>
      </c>
      <c r="O1353" s="1268">
        <f t="shared" si="525"/>
        <v>0</v>
      </c>
      <c r="P1353" s="1268">
        <f t="shared" si="525"/>
        <v>0</v>
      </c>
      <c r="Q1353" s="1268">
        <f t="shared" si="525"/>
        <v>0</v>
      </c>
      <c r="R1353" s="1268">
        <f t="shared" si="525"/>
        <v>0</v>
      </c>
      <c r="S1353" s="1268">
        <f t="shared" si="525"/>
        <v>3015.81</v>
      </c>
      <c r="T1353" s="1268">
        <f t="shared" si="525"/>
        <v>7031548.8300000001</v>
      </c>
      <c r="U1353" s="1268">
        <f t="shared" si="525"/>
        <v>0</v>
      </c>
      <c r="V1353" s="1268">
        <f t="shared" si="525"/>
        <v>0</v>
      </c>
      <c r="W1353" s="1268">
        <v>0</v>
      </c>
      <c r="X1353" s="1268">
        <f t="shared" si="525"/>
        <v>989318.34000000008</v>
      </c>
      <c r="Y1353" s="1268">
        <f t="shared" si="525"/>
        <v>0</v>
      </c>
    </row>
    <row r="1354" spans="1:25" s="1277" customFormat="1" ht="75.599999999999994">
      <c r="A1354" s="1396"/>
      <c r="B1354" s="1267" t="s">
        <v>1075</v>
      </c>
      <c r="C1354" s="1289">
        <f>SUM(C1355:C1363)</f>
        <v>15506314.620000001</v>
      </c>
      <c r="D1354" s="1289">
        <f t="shared" ref="D1354:Y1354" si="526">SUM(D1355:D1363)</f>
        <v>7485447.4500000002</v>
      </c>
      <c r="E1354" s="1289">
        <f t="shared" si="526"/>
        <v>2485588.4500000002</v>
      </c>
      <c r="F1354" s="1289">
        <f t="shared" si="526"/>
        <v>1422915</v>
      </c>
      <c r="G1354" s="1289">
        <f t="shared" si="526"/>
        <v>0</v>
      </c>
      <c r="H1354" s="1289">
        <f t="shared" si="526"/>
        <v>2171380</v>
      </c>
      <c r="I1354" s="1289">
        <f t="shared" si="526"/>
        <v>0</v>
      </c>
      <c r="J1354" s="1289">
        <f t="shared" si="526"/>
        <v>1405564</v>
      </c>
      <c r="K1354" s="1278">
        <f t="shared" si="526"/>
        <v>0</v>
      </c>
      <c r="L1354" s="1289">
        <f t="shared" si="526"/>
        <v>0</v>
      </c>
      <c r="M1354" s="1278">
        <f t="shared" si="526"/>
        <v>0</v>
      </c>
      <c r="N1354" s="1289">
        <f t="shared" si="526"/>
        <v>0</v>
      </c>
      <c r="O1354" s="1289">
        <f t="shared" si="526"/>
        <v>0</v>
      </c>
      <c r="P1354" s="1289">
        <f t="shared" si="526"/>
        <v>0</v>
      </c>
      <c r="Q1354" s="1289">
        <f t="shared" si="526"/>
        <v>0</v>
      </c>
      <c r="R1354" s="1289">
        <f t="shared" si="526"/>
        <v>0</v>
      </c>
      <c r="S1354" s="1289">
        <f t="shared" si="526"/>
        <v>3015.81</v>
      </c>
      <c r="T1354" s="1289">
        <f t="shared" si="526"/>
        <v>7031548.8300000001</v>
      </c>
      <c r="U1354" s="1289">
        <f t="shared" si="526"/>
        <v>0</v>
      </c>
      <c r="V1354" s="1289">
        <f t="shared" si="526"/>
        <v>0</v>
      </c>
      <c r="W1354" s="1268">
        <v>0</v>
      </c>
      <c r="X1354" s="1289">
        <f t="shared" si="526"/>
        <v>989318.34000000008</v>
      </c>
      <c r="Y1354" s="1289">
        <f t="shared" si="526"/>
        <v>0</v>
      </c>
    </row>
    <row r="1355" spans="1:25" s="1277" customFormat="1" ht="75.599999999999994">
      <c r="A1355" s="1396">
        <v>445</v>
      </c>
      <c r="B1355" s="1267" t="s">
        <v>1381</v>
      </c>
      <c r="C1355" s="1268">
        <f>D1355+N1355+P1355+R1355+T1355+V1355+X1355</f>
        <v>2342562</v>
      </c>
      <c r="D1355" s="1268">
        <f>SUM(E1355:J1355)</f>
        <v>2172411</v>
      </c>
      <c r="E1355" s="1268">
        <v>0</v>
      </c>
      <c r="F1355" s="1268">
        <v>0</v>
      </c>
      <c r="G1355" s="1268">
        <v>0</v>
      </c>
      <c r="H1355" s="1268">
        <v>1317088</v>
      </c>
      <c r="I1355" s="1268">
        <v>0</v>
      </c>
      <c r="J1355" s="1268">
        <v>855323</v>
      </c>
      <c r="K1355" s="1278">
        <v>0</v>
      </c>
      <c r="L1355" s="1268">
        <v>0</v>
      </c>
      <c r="M1355" s="1278">
        <v>0</v>
      </c>
      <c r="N1355" s="1268">
        <v>0</v>
      </c>
      <c r="O1355" s="1268">
        <v>0</v>
      </c>
      <c r="P1355" s="1268">
        <v>0</v>
      </c>
      <c r="Q1355" s="1268">
        <v>0</v>
      </c>
      <c r="R1355" s="1268">
        <v>0</v>
      </c>
      <c r="S1355" s="1268">
        <v>0</v>
      </c>
      <c r="T1355" s="1268">
        <v>0</v>
      </c>
      <c r="U1355" s="1268">
        <v>0</v>
      </c>
      <c r="V1355" s="1268">
        <v>0</v>
      </c>
      <c r="W1355" s="1268">
        <v>0</v>
      </c>
      <c r="X1355" s="1268">
        <v>170151</v>
      </c>
      <c r="Y1355" s="1268">
        <v>0</v>
      </c>
    </row>
    <row r="1356" spans="1:25" s="1277" customFormat="1">
      <c r="A1356" s="1396">
        <v>446</v>
      </c>
      <c r="B1356" s="1267" t="s">
        <v>1046</v>
      </c>
      <c r="C1356" s="1268">
        <f t="shared" ref="C1356:C1363" si="527">D1356+N1356+P1356+R1356+T1356+V1356+X1356</f>
        <v>2575541</v>
      </c>
      <c r="D1356" s="1268">
        <f t="shared" ref="D1356:D1363" si="528">SUM(E1356:J1356)</f>
        <v>0</v>
      </c>
      <c r="E1356" s="1268">
        <v>0</v>
      </c>
      <c r="F1356" s="1268">
        <v>0</v>
      </c>
      <c r="G1356" s="1268">
        <v>0</v>
      </c>
      <c r="H1356" s="1268">
        <v>0</v>
      </c>
      <c r="I1356" s="1268">
        <v>0</v>
      </c>
      <c r="J1356" s="1268">
        <v>0</v>
      </c>
      <c r="K1356" s="1278">
        <v>0</v>
      </c>
      <c r="L1356" s="1268">
        <v>0</v>
      </c>
      <c r="M1356" s="1278">
        <v>0</v>
      </c>
      <c r="N1356" s="1268">
        <v>0</v>
      </c>
      <c r="O1356" s="1268">
        <v>0</v>
      </c>
      <c r="P1356" s="1268">
        <v>0</v>
      </c>
      <c r="Q1356" s="1268">
        <v>0</v>
      </c>
      <c r="R1356" s="1268">
        <v>0</v>
      </c>
      <c r="S1356" s="1268">
        <v>1043.7</v>
      </c>
      <c r="T1356" s="1268">
        <v>2443296.21</v>
      </c>
      <c r="U1356" s="1268">
        <v>0</v>
      </c>
      <c r="V1356" s="1268">
        <v>0</v>
      </c>
      <c r="W1356" s="1268">
        <v>0</v>
      </c>
      <c r="X1356" s="1268">
        <v>132244.79</v>
      </c>
      <c r="Y1356" s="1268">
        <v>0</v>
      </c>
    </row>
    <row r="1357" spans="1:25" s="1277" customFormat="1">
      <c r="A1357" s="1396">
        <v>447</v>
      </c>
      <c r="B1357" s="1267" t="s">
        <v>1048</v>
      </c>
      <c r="C1357" s="1268">
        <f t="shared" si="527"/>
        <v>2064903.9</v>
      </c>
      <c r="D1357" s="1268">
        <f t="shared" si="528"/>
        <v>373842.45</v>
      </c>
      <c r="E1357" s="1268">
        <v>373842.45</v>
      </c>
      <c r="F1357" s="1268">
        <v>0</v>
      </c>
      <c r="G1357" s="1268">
        <v>0</v>
      </c>
      <c r="H1357" s="1268">
        <v>0</v>
      </c>
      <c r="I1357" s="1268">
        <v>0</v>
      </c>
      <c r="J1357" s="1268">
        <v>0</v>
      </c>
      <c r="K1357" s="1278">
        <v>0</v>
      </c>
      <c r="L1357" s="1268">
        <v>0</v>
      </c>
      <c r="M1357" s="1278">
        <v>0</v>
      </c>
      <c r="N1357" s="1268">
        <v>0</v>
      </c>
      <c r="O1357" s="1268">
        <v>0</v>
      </c>
      <c r="P1357" s="1268">
        <v>0</v>
      </c>
      <c r="Q1357" s="1268">
        <v>0</v>
      </c>
      <c r="R1357" s="1268">
        <v>0</v>
      </c>
      <c r="S1357" s="1268">
        <v>677.16</v>
      </c>
      <c r="T1357" s="1268">
        <v>1586045.58</v>
      </c>
      <c r="U1357" s="1268">
        <v>0</v>
      </c>
      <c r="V1357" s="1268">
        <v>0</v>
      </c>
      <c r="W1357" s="1268">
        <v>0</v>
      </c>
      <c r="X1357" s="1268">
        <v>105015.87</v>
      </c>
      <c r="Y1357" s="1268">
        <v>0</v>
      </c>
    </row>
    <row r="1358" spans="1:25" s="1277" customFormat="1">
      <c r="A1358" s="1396">
        <v>448</v>
      </c>
      <c r="B1358" s="1267" t="s">
        <v>2002</v>
      </c>
      <c r="C1358" s="1268">
        <f t="shared" si="527"/>
        <v>2133082</v>
      </c>
      <c r="D1358" s="1268">
        <f t="shared" si="528"/>
        <v>0</v>
      </c>
      <c r="E1358" s="1268">
        <v>0</v>
      </c>
      <c r="F1358" s="1268">
        <v>0</v>
      </c>
      <c r="G1358" s="1268">
        <v>0</v>
      </c>
      <c r="H1358" s="1268">
        <v>0</v>
      </c>
      <c r="I1358" s="1268">
        <v>0</v>
      </c>
      <c r="J1358" s="1268">
        <v>0</v>
      </c>
      <c r="K1358" s="1278">
        <v>0</v>
      </c>
      <c r="L1358" s="1268">
        <v>0</v>
      </c>
      <c r="M1358" s="1278">
        <v>0</v>
      </c>
      <c r="N1358" s="1268">
        <v>0</v>
      </c>
      <c r="O1358" s="1268">
        <v>0</v>
      </c>
      <c r="P1358" s="1268">
        <v>0</v>
      </c>
      <c r="Q1358" s="1268">
        <v>0</v>
      </c>
      <c r="R1358" s="1268">
        <v>0</v>
      </c>
      <c r="S1358" s="1268">
        <v>864</v>
      </c>
      <c r="T1358" s="1268">
        <v>2022045.04</v>
      </c>
      <c r="U1358" s="1268">
        <v>0</v>
      </c>
      <c r="V1358" s="1268">
        <v>0</v>
      </c>
      <c r="W1358" s="1268">
        <v>0</v>
      </c>
      <c r="X1358" s="1268">
        <v>111036.96</v>
      </c>
      <c r="Y1358" s="1268">
        <v>0</v>
      </c>
    </row>
    <row r="1359" spans="1:25" s="1277" customFormat="1">
      <c r="A1359" s="1396">
        <v>449</v>
      </c>
      <c r="B1359" s="1267" t="s">
        <v>1049</v>
      </c>
      <c r="C1359" s="1268">
        <f t="shared" si="527"/>
        <v>1058186</v>
      </c>
      <c r="D1359" s="1268">
        <f t="shared" si="528"/>
        <v>981325</v>
      </c>
      <c r="E1359" s="1268">
        <v>981325</v>
      </c>
      <c r="F1359" s="1268">
        <v>0</v>
      </c>
      <c r="G1359" s="1268">
        <v>0</v>
      </c>
      <c r="H1359" s="1268">
        <v>0</v>
      </c>
      <c r="I1359" s="1268">
        <v>0</v>
      </c>
      <c r="J1359" s="1268">
        <v>0</v>
      </c>
      <c r="K1359" s="1278">
        <v>0</v>
      </c>
      <c r="L1359" s="1268">
        <v>0</v>
      </c>
      <c r="M1359" s="1278">
        <v>0</v>
      </c>
      <c r="N1359" s="1268">
        <v>0</v>
      </c>
      <c r="O1359" s="1268">
        <v>0</v>
      </c>
      <c r="P1359" s="1268">
        <v>0</v>
      </c>
      <c r="Q1359" s="1268">
        <v>0</v>
      </c>
      <c r="R1359" s="1268">
        <v>0</v>
      </c>
      <c r="S1359" s="1268">
        <v>0</v>
      </c>
      <c r="T1359" s="1268">
        <v>0</v>
      </c>
      <c r="U1359" s="1268">
        <v>0</v>
      </c>
      <c r="V1359" s="1268">
        <v>0</v>
      </c>
      <c r="W1359" s="1268">
        <v>0</v>
      </c>
      <c r="X1359" s="1268">
        <v>76861</v>
      </c>
      <c r="Y1359" s="1268">
        <v>0</v>
      </c>
    </row>
    <row r="1360" spans="1:25" s="1277" customFormat="1" ht="75.599999999999994">
      <c r="A1360" s="1396">
        <v>450</v>
      </c>
      <c r="B1360" s="1267" t="s">
        <v>2569</v>
      </c>
      <c r="C1360" s="1268">
        <f t="shared" si="527"/>
        <v>1440155.24</v>
      </c>
      <c r="D1360" s="1268">
        <f t="shared" si="528"/>
        <v>1335987</v>
      </c>
      <c r="E1360" s="1268">
        <v>274335</v>
      </c>
      <c r="F1360" s="1268">
        <v>531508</v>
      </c>
      <c r="G1360" s="1268">
        <v>0</v>
      </c>
      <c r="H1360" s="1268">
        <v>323794</v>
      </c>
      <c r="I1360" s="1268">
        <v>0</v>
      </c>
      <c r="J1360" s="1268">
        <v>206350</v>
      </c>
      <c r="K1360" s="1278">
        <v>0</v>
      </c>
      <c r="L1360" s="1268">
        <v>0</v>
      </c>
      <c r="M1360" s="1278">
        <v>0</v>
      </c>
      <c r="N1360" s="1268">
        <v>0</v>
      </c>
      <c r="O1360" s="1268">
        <v>0</v>
      </c>
      <c r="P1360" s="1268">
        <v>0</v>
      </c>
      <c r="Q1360" s="1268">
        <v>0</v>
      </c>
      <c r="R1360" s="1268">
        <v>0</v>
      </c>
      <c r="S1360" s="1268">
        <v>0</v>
      </c>
      <c r="T1360" s="1268">
        <v>0</v>
      </c>
      <c r="U1360" s="1268">
        <v>0</v>
      </c>
      <c r="V1360" s="1268">
        <v>0</v>
      </c>
      <c r="W1360" s="1268">
        <v>0</v>
      </c>
      <c r="X1360" s="1268">
        <v>104168.24</v>
      </c>
      <c r="Y1360" s="1268">
        <v>0</v>
      </c>
    </row>
    <row r="1361" spans="1:25" s="1277" customFormat="1">
      <c r="A1361" s="1396">
        <v>451</v>
      </c>
      <c r="B1361" s="1267" t="s">
        <v>1051</v>
      </c>
      <c r="C1361" s="1268">
        <f t="shared" si="527"/>
        <v>437216.98</v>
      </c>
      <c r="D1361" s="1268">
        <f t="shared" si="528"/>
        <v>404356</v>
      </c>
      <c r="E1361" s="1268">
        <v>404356</v>
      </c>
      <c r="F1361" s="1268">
        <v>0</v>
      </c>
      <c r="G1361" s="1268">
        <v>0</v>
      </c>
      <c r="H1361" s="1268">
        <v>0</v>
      </c>
      <c r="I1361" s="1268">
        <v>0</v>
      </c>
      <c r="J1361" s="1268">
        <v>0</v>
      </c>
      <c r="K1361" s="1278">
        <v>0</v>
      </c>
      <c r="L1361" s="1268">
        <v>0</v>
      </c>
      <c r="M1361" s="1278">
        <v>0</v>
      </c>
      <c r="N1361" s="1268">
        <v>0</v>
      </c>
      <c r="O1361" s="1268">
        <v>0</v>
      </c>
      <c r="P1361" s="1268">
        <v>0</v>
      </c>
      <c r="Q1361" s="1268">
        <v>0</v>
      </c>
      <c r="R1361" s="1268">
        <v>0</v>
      </c>
      <c r="S1361" s="1268">
        <v>0</v>
      </c>
      <c r="T1361" s="1268">
        <v>0</v>
      </c>
      <c r="U1361" s="1268">
        <v>0</v>
      </c>
      <c r="V1361" s="1268">
        <v>0</v>
      </c>
      <c r="W1361" s="1268">
        <v>0</v>
      </c>
      <c r="X1361" s="1268">
        <v>32860.980000000003</v>
      </c>
      <c r="Y1361" s="1268">
        <v>0</v>
      </c>
    </row>
    <row r="1362" spans="1:25" s="1277" customFormat="1">
      <c r="A1362" s="1396">
        <v>452</v>
      </c>
      <c r="B1362" s="1267" t="s">
        <v>1052</v>
      </c>
      <c r="C1362" s="1268">
        <f t="shared" si="527"/>
        <v>2391211.5</v>
      </c>
      <c r="D1362" s="1268">
        <f t="shared" si="528"/>
        <v>2217526</v>
      </c>
      <c r="E1362" s="1268">
        <v>451730</v>
      </c>
      <c r="F1362" s="1268">
        <v>891407</v>
      </c>
      <c r="G1362" s="1268">
        <v>0</v>
      </c>
      <c r="H1362" s="1268">
        <v>530498</v>
      </c>
      <c r="I1362" s="1268">
        <v>0</v>
      </c>
      <c r="J1362" s="1268">
        <v>343891</v>
      </c>
      <c r="K1362" s="1278">
        <v>0</v>
      </c>
      <c r="L1362" s="1268">
        <v>0</v>
      </c>
      <c r="M1362" s="1278">
        <v>0</v>
      </c>
      <c r="N1362" s="1268">
        <v>0</v>
      </c>
      <c r="O1362" s="1268">
        <v>0</v>
      </c>
      <c r="P1362" s="1268">
        <v>0</v>
      </c>
      <c r="Q1362" s="1268">
        <v>0</v>
      </c>
      <c r="R1362" s="1268">
        <v>0</v>
      </c>
      <c r="S1362" s="1268">
        <v>0</v>
      </c>
      <c r="T1362" s="1268">
        <v>0</v>
      </c>
      <c r="U1362" s="1268">
        <v>0</v>
      </c>
      <c r="V1362" s="1268">
        <v>0</v>
      </c>
      <c r="W1362" s="1268">
        <v>0</v>
      </c>
      <c r="X1362" s="1268">
        <v>173685.5</v>
      </c>
      <c r="Y1362" s="1268">
        <v>0</v>
      </c>
    </row>
    <row r="1363" spans="1:25" s="1277" customFormat="1">
      <c r="A1363" s="1396">
        <v>453</v>
      </c>
      <c r="B1363" s="1267" t="s">
        <v>1382</v>
      </c>
      <c r="C1363" s="1268">
        <f t="shared" si="527"/>
        <v>1063456</v>
      </c>
      <c r="D1363" s="1268">
        <f t="shared" si="528"/>
        <v>0</v>
      </c>
      <c r="E1363" s="1268">
        <v>0</v>
      </c>
      <c r="F1363" s="1268">
        <v>0</v>
      </c>
      <c r="G1363" s="1268">
        <v>0</v>
      </c>
      <c r="H1363" s="1268">
        <v>0</v>
      </c>
      <c r="I1363" s="1268">
        <v>0</v>
      </c>
      <c r="J1363" s="1268">
        <v>0</v>
      </c>
      <c r="K1363" s="1278">
        <v>0</v>
      </c>
      <c r="L1363" s="1268">
        <v>0</v>
      </c>
      <c r="M1363" s="1278">
        <v>0</v>
      </c>
      <c r="N1363" s="1268">
        <v>0</v>
      </c>
      <c r="O1363" s="1268">
        <v>0</v>
      </c>
      <c r="P1363" s="1268">
        <v>0</v>
      </c>
      <c r="Q1363" s="1268">
        <v>0</v>
      </c>
      <c r="R1363" s="1268">
        <v>0</v>
      </c>
      <c r="S1363" s="1268">
        <v>430.95</v>
      </c>
      <c r="T1363" s="1268">
        <v>980162</v>
      </c>
      <c r="U1363" s="1268">
        <v>0</v>
      </c>
      <c r="V1363" s="1268">
        <v>0</v>
      </c>
      <c r="W1363" s="1268">
        <v>0</v>
      </c>
      <c r="X1363" s="1268">
        <v>83294</v>
      </c>
      <c r="Y1363" s="1268">
        <v>0</v>
      </c>
    </row>
    <row r="1364" spans="1:25" s="1277" customFormat="1">
      <c r="A1364" s="1396"/>
      <c r="B1364" s="1267" t="s">
        <v>68</v>
      </c>
      <c r="C1364" s="1268">
        <f>C1365</f>
        <v>3559224</v>
      </c>
      <c r="D1364" s="1268">
        <f t="shared" ref="D1364:Y1364" si="529">D1365</f>
        <v>710515.7029235519</v>
      </c>
      <c r="E1364" s="1268">
        <f t="shared" si="529"/>
        <v>710515.7029235519</v>
      </c>
      <c r="F1364" s="1268">
        <f t="shared" si="529"/>
        <v>0</v>
      </c>
      <c r="G1364" s="1268">
        <f t="shared" si="529"/>
        <v>0</v>
      </c>
      <c r="H1364" s="1268">
        <f t="shared" si="529"/>
        <v>0</v>
      </c>
      <c r="I1364" s="1268">
        <f t="shared" si="529"/>
        <v>0</v>
      </c>
      <c r="J1364" s="1268">
        <f t="shared" si="529"/>
        <v>0</v>
      </c>
      <c r="K1364" s="1278">
        <v>0</v>
      </c>
      <c r="L1364" s="1268">
        <v>0</v>
      </c>
      <c r="M1364" s="1278">
        <f t="shared" si="529"/>
        <v>0</v>
      </c>
      <c r="N1364" s="1268">
        <f t="shared" si="529"/>
        <v>0</v>
      </c>
      <c r="O1364" s="1268">
        <f t="shared" si="529"/>
        <v>601</v>
      </c>
      <c r="P1364" s="1268">
        <f t="shared" si="529"/>
        <v>1886396</v>
      </c>
      <c r="Q1364" s="1268">
        <f t="shared" si="529"/>
        <v>0</v>
      </c>
      <c r="R1364" s="1268">
        <f t="shared" si="529"/>
        <v>0</v>
      </c>
      <c r="S1364" s="1268">
        <f t="shared" si="529"/>
        <v>266.8</v>
      </c>
      <c r="T1364" s="1268">
        <f t="shared" si="529"/>
        <v>703789</v>
      </c>
      <c r="U1364" s="1268">
        <f t="shared" si="529"/>
        <v>0</v>
      </c>
      <c r="V1364" s="1268">
        <f t="shared" si="529"/>
        <v>0</v>
      </c>
      <c r="W1364" s="1268">
        <v>0</v>
      </c>
      <c r="X1364" s="1268">
        <f t="shared" si="529"/>
        <v>258523.29707644816</v>
      </c>
      <c r="Y1364" s="1268">
        <f t="shared" si="529"/>
        <v>0</v>
      </c>
    </row>
    <row r="1365" spans="1:25" s="1277" customFormat="1" ht="75.599999999999994">
      <c r="A1365" s="1396"/>
      <c r="B1365" s="1267" t="s">
        <v>1076</v>
      </c>
      <c r="C1365" s="1268">
        <f>SUM(C1366:C1369)</f>
        <v>3559224</v>
      </c>
      <c r="D1365" s="1268">
        <f t="shared" ref="D1365:Y1365" si="530">SUM(D1366:D1369)</f>
        <v>710515.7029235519</v>
      </c>
      <c r="E1365" s="1268">
        <f t="shared" si="530"/>
        <v>710515.7029235519</v>
      </c>
      <c r="F1365" s="1268">
        <f t="shared" si="530"/>
        <v>0</v>
      </c>
      <c r="G1365" s="1268">
        <f t="shared" si="530"/>
        <v>0</v>
      </c>
      <c r="H1365" s="1268">
        <f t="shared" si="530"/>
        <v>0</v>
      </c>
      <c r="I1365" s="1268">
        <f t="shared" si="530"/>
        <v>0</v>
      </c>
      <c r="J1365" s="1268">
        <f t="shared" si="530"/>
        <v>0</v>
      </c>
      <c r="K1365" s="1278">
        <f t="shared" si="530"/>
        <v>0</v>
      </c>
      <c r="L1365" s="1268">
        <f t="shared" si="530"/>
        <v>0</v>
      </c>
      <c r="M1365" s="1278">
        <f t="shared" si="530"/>
        <v>0</v>
      </c>
      <c r="N1365" s="1268">
        <f t="shared" si="530"/>
        <v>0</v>
      </c>
      <c r="O1365" s="1268">
        <f t="shared" si="530"/>
        <v>601</v>
      </c>
      <c r="P1365" s="1268">
        <f t="shared" si="530"/>
        <v>1886396</v>
      </c>
      <c r="Q1365" s="1268">
        <f t="shared" si="530"/>
        <v>0</v>
      </c>
      <c r="R1365" s="1268">
        <f t="shared" si="530"/>
        <v>0</v>
      </c>
      <c r="S1365" s="1268">
        <f t="shared" si="530"/>
        <v>266.8</v>
      </c>
      <c r="T1365" s="1268">
        <f t="shared" si="530"/>
        <v>703789</v>
      </c>
      <c r="U1365" s="1268">
        <f t="shared" si="530"/>
        <v>0</v>
      </c>
      <c r="V1365" s="1268">
        <f t="shared" si="530"/>
        <v>0</v>
      </c>
      <c r="W1365" s="1268">
        <v>0</v>
      </c>
      <c r="X1365" s="1268">
        <f t="shared" si="530"/>
        <v>258523.29707644816</v>
      </c>
      <c r="Y1365" s="1268">
        <f t="shared" si="530"/>
        <v>0</v>
      </c>
    </row>
    <row r="1366" spans="1:25" s="1277" customFormat="1">
      <c r="A1366" s="1396">
        <v>454</v>
      </c>
      <c r="B1366" s="1277" t="s">
        <v>505</v>
      </c>
      <c r="C1366" s="1268">
        <f t="shared" ref="C1366" si="531">D1366+N1366+P1366+R1366+T1366+V1366+X1366</f>
        <v>193465</v>
      </c>
      <c r="D1366" s="1268">
        <f t="shared" ref="D1366" si="532">SUM(E1366:J1366)</f>
        <v>179412.70292355184</v>
      </c>
      <c r="E1366" s="1268">
        <v>179412.70292355184</v>
      </c>
      <c r="F1366" s="1268">
        <v>0</v>
      </c>
      <c r="G1366" s="1268">
        <v>0</v>
      </c>
      <c r="H1366" s="1268">
        <v>0</v>
      </c>
      <c r="I1366" s="1268">
        <v>0</v>
      </c>
      <c r="J1366" s="1268">
        <v>0</v>
      </c>
      <c r="K1366" s="1278">
        <v>0</v>
      </c>
      <c r="L1366" s="1268">
        <v>0</v>
      </c>
      <c r="M1366" s="1278">
        <v>0</v>
      </c>
      <c r="N1366" s="1268">
        <v>0</v>
      </c>
      <c r="O1366" s="1268">
        <v>0</v>
      </c>
      <c r="P1366" s="1268">
        <v>0</v>
      </c>
      <c r="Q1366" s="1268">
        <v>0</v>
      </c>
      <c r="R1366" s="1268">
        <v>0</v>
      </c>
      <c r="S1366" s="1268">
        <v>0</v>
      </c>
      <c r="T1366" s="1268">
        <v>0</v>
      </c>
      <c r="U1366" s="1268">
        <v>0</v>
      </c>
      <c r="V1366" s="1268">
        <v>0</v>
      </c>
      <c r="W1366" s="1268">
        <v>0</v>
      </c>
      <c r="X1366" s="1268">
        <v>14052.297076448156</v>
      </c>
      <c r="Y1366" s="1268">
        <v>0</v>
      </c>
    </row>
    <row r="1367" spans="1:25" s="1277" customFormat="1">
      <c r="A1367" s="1396">
        <v>455</v>
      </c>
      <c r="B1367" s="1277" t="s">
        <v>769</v>
      </c>
      <c r="C1367" s="1268">
        <f t="shared" ref="C1367:C1369" si="533">D1367+N1367+P1367+R1367+T1367+V1367+X1367</f>
        <v>758912</v>
      </c>
      <c r="D1367" s="1268">
        <f t="shared" ref="D1367:D1369" si="534">SUM(E1367:J1367)</f>
        <v>0</v>
      </c>
      <c r="E1367" s="1268">
        <v>0</v>
      </c>
      <c r="F1367" s="1268">
        <v>0</v>
      </c>
      <c r="G1367" s="1268">
        <v>0</v>
      </c>
      <c r="H1367" s="1268">
        <v>0</v>
      </c>
      <c r="I1367" s="1268">
        <v>0</v>
      </c>
      <c r="J1367" s="1268">
        <v>0</v>
      </c>
      <c r="K1367" s="1278">
        <v>0</v>
      </c>
      <c r="L1367" s="1268">
        <v>0</v>
      </c>
      <c r="M1367" s="1278">
        <v>0</v>
      </c>
      <c r="N1367" s="1268">
        <v>0</v>
      </c>
      <c r="O1367" s="1268">
        <v>0</v>
      </c>
      <c r="P1367" s="1268">
        <v>0</v>
      </c>
      <c r="Q1367" s="1268">
        <v>0</v>
      </c>
      <c r="R1367" s="1268">
        <v>0</v>
      </c>
      <c r="S1367" s="1268">
        <v>266.8</v>
      </c>
      <c r="T1367" s="1268">
        <v>703789</v>
      </c>
      <c r="U1367" s="1268">
        <v>0</v>
      </c>
      <c r="V1367" s="1268">
        <v>0</v>
      </c>
      <c r="W1367" s="1268">
        <v>0</v>
      </c>
      <c r="X1367" s="1268">
        <v>55123</v>
      </c>
      <c r="Y1367" s="1268">
        <v>0</v>
      </c>
    </row>
    <row r="1368" spans="1:25" s="1277" customFormat="1">
      <c r="A1368" s="1396">
        <v>456</v>
      </c>
      <c r="B1368" s="1277" t="s">
        <v>2003</v>
      </c>
      <c r="C1368" s="1268">
        <f t="shared" si="533"/>
        <v>2034146</v>
      </c>
      <c r="D1368" s="1268">
        <f t="shared" si="534"/>
        <v>0</v>
      </c>
      <c r="E1368" s="1268">
        <v>0</v>
      </c>
      <c r="F1368" s="1268">
        <v>0</v>
      </c>
      <c r="G1368" s="1268">
        <v>0</v>
      </c>
      <c r="H1368" s="1268">
        <v>0</v>
      </c>
      <c r="I1368" s="1268">
        <v>0</v>
      </c>
      <c r="J1368" s="1268">
        <v>0</v>
      </c>
      <c r="K1368" s="1278">
        <v>0</v>
      </c>
      <c r="L1368" s="1268">
        <v>0</v>
      </c>
      <c r="M1368" s="1278">
        <v>0</v>
      </c>
      <c r="N1368" s="1268">
        <v>0</v>
      </c>
      <c r="O1368" s="1268">
        <v>601</v>
      </c>
      <c r="P1368" s="1268">
        <v>1886396</v>
      </c>
      <c r="Q1368" s="1268">
        <v>0</v>
      </c>
      <c r="R1368" s="1268">
        <v>0</v>
      </c>
      <c r="S1368" s="1268">
        <v>0</v>
      </c>
      <c r="T1368" s="1268">
        <v>0</v>
      </c>
      <c r="U1368" s="1268">
        <v>0</v>
      </c>
      <c r="V1368" s="1268">
        <v>0</v>
      </c>
      <c r="W1368" s="1268">
        <v>0</v>
      </c>
      <c r="X1368" s="1268">
        <v>147750</v>
      </c>
      <c r="Y1368" s="1268">
        <v>0</v>
      </c>
    </row>
    <row r="1369" spans="1:25" s="1277" customFormat="1">
      <c r="A1369" s="1396">
        <v>457</v>
      </c>
      <c r="B1369" s="1277" t="s">
        <v>1211</v>
      </c>
      <c r="C1369" s="1268">
        <f t="shared" si="533"/>
        <v>572701</v>
      </c>
      <c r="D1369" s="1268">
        <f t="shared" si="534"/>
        <v>531103</v>
      </c>
      <c r="E1369" s="1268">
        <v>531103</v>
      </c>
      <c r="F1369" s="1268">
        <v>0</v>
      </c>
      <c r="G1369" s="1268">
        <v>0</v>
      </c>
      <c r="H1369" s="1268">
        <v>0</v>
      </c>
      <c r="I1369" s="1268">
        <v>0</v>
      </c>
      <c r="J1369" s="1268">
        <v>0</v>
      </c>
      <c r="K1369" s="1278">
        <v>0</v>
      </c>
      <c r="L1369" s="1268">
        <v>0</v>
      </c>
      <c r="M1369" s="1278">
        <v>0</v>
      </c>
      <c r="N1369" s="1268">
        <v>0</v>
      </c>
      <c r="O1369" s="1268">
        <v>0</v>
      </c>
      <c r="P1369" s="1268">
        <v>0</v>
      </c>
      <c r="Q1369" s="1268">
        <v>0</v>
      </c>
      <c r="R1369" s="1268">
        <v>0</v>
      </c>
      <c r="S1369" s="1268">
        <v>0</v>
      </c>
      <c r="T1369" s="1268">
        <v>0</v>
      </c>
      <c r="U1369" s="1268">
        <v>0</v>
      </c>
      <c r="V1369" s="1268">
        <v>0</v>
      </c>
      <c r="W1369" s="1268">
        <v>0</v>
      </c>
      <c r="X1369" s="1268">
        <v>41598</v>
      </c>
      <c r="Y1369" s="1268">
        <v>0</v>
      </c>
    </row>
    <row r="1370" spans="1:25" s="1277" customFormat="1">
      <c r="A1370" s="1396"/>
      <c r="B1370" s="1277" t="s">
        <v>43</v>
      </c>
      <c r="C1370" s="1268">
        <f>C1371+C1390</f>
        <v>42565260.159999996</v>
      </c>
      <c r="D1370" s="1268">
        <f t="shared" ref="D1370:Y1370" si="535">D1371+D1390</f>
        <v>8894363.1400000006</v>
      </c>
      <c r="E1370" s="1268">
        <f t="shared" si="535"/>
        <v>404141</v>
      </c>
      <c r="F1370" s="1268">
        <f t="shared" si="535"/>
        <v>6380571</v>
      </c>
      <c r="G1370" s="1268">
        <f t="shared" si="535"/>
        <v>0</v>
      </c>
      <c r="H1370" s="1268">
        <f t="shared" si="535"/>
        <v>1412809.1400000001</v>
      </c>
      <c r="I1370" s="1268">
        <f t="shared" si="535"/>
        <v>0</v>
      </c>
      <c r="J1370" s="1268">
        <f t="shared" si="535"/>
        <v>696842</v>
      </c>
      <c r="K1370" s="1278">
        <f t="shared" si="535"/>
        <v>0</v>
      </c>
      <c r="L1370" s="1268">
        <f t="shared" si="535"/>
        <v>0</v>
      </c>
      <c r="M1370" s="1278">
        <f t="shared" si="535"/>
        <v>0</v>
      </c>
      <c r="N1370" s="1268">
        <f t="shared" si="535"/>
        <v>0</v>
      </c>
      <c r="O1370" s="1268">
        <f t="shared" si="535"/>
        <v>7175.82</v>
      </c>
      <c r="P1370" s="1268">
        <f t="shared" si="535"/>
        <v>19026686.949999999</v>
      </c>
      <c r="Q1370" s="1268">
        <f t="shared" si="535"/>
        <v>625.5</v>
      </c>
      <c r="R1370" s="1268">
        <f t="shared" si="535"/>
        <v>845246</v>
      </c>
      <c r="S1370" s="1268">
        <f t="shared" si="535"/>
        <v>4311</v>
      </c>
      <c r="T1370" s="1268">
        <f t="shared" si="535"/>
        <v>10638686</v>
      </c>
      <c r="U1370" s="1268">
        <f t="shared" si="535"/>
        <v>0</v>
      </c>
      <c r="V1370" s="1268">
        <f t="shared" si="535"/>
        <v>0</v>
      </c>
      <c r="W1370" s="1268">
        <v>0</v>
      </c>
      <c r="X1370" s="1268">
        <f t="shared" si="535"/>
        <v>3160278.0700000003</v>
      </c>
      <c r="Y1370" s="1268">
        <f t="shared" si="535"/>
        <v>0</v>
      </c>
    </row>
    <row r="1371" spans="1:25" s="1277" customFormat="1" ht="113.4">
      <c r="A1371" s="1396"/>
      <c r="B1371" s="1277" t="s">
        <v>1115</v>
      </c>
      <c r="C1371" s="1268">
        <f>SUM(C1372:C1389)</f>
        <v>42381926.159999996</v>
      </c>
      <c r="D1371" s="1268">
        <f t="shared" ref="D1371:Y1371" si="536">SUM(D1372:D1389)</f>
        <v>8894363.1400000006</v>
      </c>
      <c r="E1371" s="1268">
        <f t="shared" si="536"/>
        <v>404141</v>
      </c>
      <c r="F1371" s="1268">
        <f t="shared" si="536"/>
        <v>6380571</v>
      </c>
      <c r="G1371" s="1268">
        <f t="shared" si="536"/>
        <v>0</v>
      </c>
      <c r="H1371" s="1268">
        <f t="shared" si="536"/>
        <v>1412809.1400000001</v>
      </c>
      <c r="I1371" s="1268">
        <f t="shared" si="536"/>
        <v>0</v>
      </c>
      <c r="J1371" s="1268">
        <f t="shared" si="536"/>
        <v>696842</v>
      </c>
      <c r="K1371" s="1278">
        <f t="shared" si="536"/>
        <v>0</v>
      </c>
      <c r="L1371" s="1268">
        <f t="shared" si="536"/>
        <v>0</v>
      </c>
      <c r="M1371" s="1278">
        <f t="shared" si="536"/>
        <v>0</v>
      </c>
      <c r="N1371" s="1268">
        <f t="shared" si="536"/>
        <v>0</v>
      </c>
      <c r="O1371" s="1268">
        <f t="shared" si="536"/>
        <v>7175.82</v>
      </c>
      <c r="P1371" s="1268">
        <f t="shared" si="536"/>
        <v>19026686.949999999</v>
      </c>
      <c r="Q1371" s="1268">
        <f t="shared" si="536"/>
        <v>625.5</v>
      </c>
      <c r="R1371" s="1268">
        <f t="shared" si="536"/>
        <v>845246</v>
      </c>
      <c r="S1371" s="1268">
        <f t="shared" si="536"/>
        <v>4311</v>
      </c>
      <c r="T1371" s="1268">
        <f t="shared" si="536"/>
        <v>10638686</v>
      </c>
      <c r="U1371" s="1268">
        <f t="shared" si="536"/>
        <v>0</v>
      </c>
      <c r="V1371" s="1268">
        <f t="shared" si="536"/>
        <v>0</v>
      </c>
      <c r="W1371" s="1268">
        <v>0</v>
      </c>
      <c r="X1371" s="1268">
        <f t="shared" si="536"/>
        <v>2976944.0700000003</v>
      </c>
      <c r="Y1371" s="1268">
        <f t="shared" si="536"/>
        <v>0</v>
      </c>
    </row>
    <row r="1372" spans="1:25" s="1277" customFormat="1" ht="58.8" customHeight="1">
      <c r="A1372" s="1396">
        <v>458</v>
      </c>
      <c r="B1372" s="1277" t="s">
        <v>397</v>
      </c>
      <c r="C1372" s="1268">
        <f t="shared" ref="C1372" si="537">D1372+N1372+P1372+R1372+T1372+V1372+X1372</f>
        <v>1405964</v>
      </c>
      <c r="D1372" s="1268">
        <f t="shared" ref="D1372" si="538">SUM(E1372:J1372)</f>
        <v>0</v>
      </c>
      <c r="E1372" s="1268">
        <v>0</v>
      </c>
      <c r="F1372" s="1268">
        <v>0</v>
      </c>
      <c r="G1372" s="1268">
        <v>0</v>
      </c>
      <c r="H1372" s="1268">
        <v>0</v>
      </c>
      <c r="I1372" s="1268">
        <v>0</v>
      </c>
      <c r="J1372" s="1268">
        <v>0</v>
      </c>
      <c r="K1372" s="1278">
        <v>0</v>
      </c>
      <c r="L1372" s="1268">
        <v>0</v>
      </c>
      <c r="M1372" s="1278">
        <v>0</v>
      </c>
      <c r="N1372" s="1268">
        <v>0</v>
      </c>
      <c r="O1372" s="1268">
        <v>415.4</v>
      </c>
      <c r="P1372" s="1268">
        <v>1303842</v>
      </c>
      <c r="Q1372" s="1268">
        <v>0</v>
      </c>
      <c r="R1372" s="1268">
        <v>0</v>
      </c>
      <c r="S1372" s="1268">
        <v>0</v>
      </c>
      <c r="T1372" s="1268">
        <v>0</v>
      </c>
      <c r="U1372" s="1268">
        <v>0</v>
      </c>
      <c r="V1372" s="1268">
        <v>0</v>
      </c>
      <c r="W1372" s="1268">
        <v>0</v>
      </c>
      <c r="X1372" s="1268">
        <v>102122</v>
      </c>
      <c r="Y1372" s="1268">
        <v>0</v>
      </c>
    </row>
    <row r="1373" spans="1:25" s="1277" customFormat="1">
      <c r="A1373" s="1396">
        <v>459</v>
      </c>
      <c r="B1373" s="1277" t="s">
        <v>403</v>
      </c>
      <c r="C1373" s="1268">
        <f t="shared" ref="C1373:C1388" si="539">D1373+N1373+P1373+R1373+T1373+V1373+X1373</f>
        <v>1720042</v>
      </c>
      <c r="D1373" s="1268">
        <f t="shared" ref="D1373:D1388" si="540">SUM(E1373:J1373)</f>
        <v>0</v>
      </c>
      <c r="E1373" s="1268">
        <v>0</v>
      </c>
      <c r="F1373" s="1268">
        <v>0</v>
      </c>
      <c r="G1373" s="1268">
        <v>0</v>
      </c>
      <c r="H1373" s="1268">
        <v>0</v>
      </c>
      <c r="I1373" s="1268">
        <v>0</v>
      </c>
      <c r="J1373" s="1268">
        <v>0</v>
      </c>
      <c r="K1373" s="1278">
        <v>0</v>
      </c>
      <c r="L1373" s="1268">
        <v>0</v>
      </c>
      <c r="M1373" s="1278">
        <v>0</v>
      </c>
      <c r="N1373" s="1268">
        <v>0</v>
      </c>
      <c r="O1373" s="1268">
        <v>548</v>
      </c>
      <c r="P1373" s="1268">
        <v>1720042</v>
      </c>
      <c r="Q1373" s="1268">
        <v>0</v>
      </c>
      <c r="R1373" s="1268">
        <v>0</v>
      </c>
      <c r="S1373" s="1268">
        <v>0</v>
      </c>
      <c r="T1373" s="1268">
        <v>0</v>
      </c>
      <c r="U1373" s="1268">
        <v>0</v>
      </c>
      <c r="V1373" s="1268">
        <v>0</v>
      </c>
      <c r="W1373" s="1268">
        <v>0</v>
      </c>
      <c r="X1373" s="1268">
        <v>0</v>
      </c>
      <c r="Y1373" s="1268">
        <v>0</v>
      </c>
    </row>
    <row r="1374" spans="1:25" s="1277" customFormat="1">
      <c r="A1374" s="1396">
        <v>460</v>
      </c>
      <c r="B1374" s="1277" t="s">
        <v>1021</v>
      </c>
      <c r="C1374" s="1268">
        <f t="shared" si="539"/>
        <v>3638269</v>
      </c>
      <c r="D1374" s="1268">
        <f t="shared" si="540"/>
        <v>0</v>
      </c>
      <c r="E1374" s="1268">
        <v>0</v>
      </c>
      <c r="F1374" s="1268">
        <v>0</v>
      </c>
      <c r="G1374" s="1268">
        <v>0</v>
      </c>
      <c r="H1374" s="1268">
        <v>0</v>
      </c>
      <c r="I1374" s="1268">
        <v>0</v>
      </c>
      <c r="J1374" s="1268">
        <v>0</v>
      </c>
      <c r="K1374" s="1278">
        <v>0</v>
      </c>
      <c r="L1374" s="1268">
        <v>0</v>
      </c>
      <c r="M1374" s="1278">
        <v>0</v>
      </c>
      <c r="N1374" s="1268">
        <v>0</v>
      </c>
      <c r="O1374" s="1268">
        <v>1339</v>
      </c>
      <c r="P1374" s="1268">
        <v>3374004</v>
      </c>
      <c r="Q1374" s="1268">
        <v>0</v>
      </c>
      <c r="R1374" s="1268">
        <v>0</v>
      </c>
      <c r="S1374" s="1268">
        <v>0</v>
      </c>
      <c r="T1374" s="1268">
        <v>0</v>
      </c>
      <c r="U1374" s="1268">
        <v>0</v>
      </c>
      <c r="V1374" s="1268">
        <v>0</v>
      </c>
      <c r="W1374" s="1268">
        <v>0</v>
      </c>
      <c r="X1374" s="1268">
        <v>264265</v>
      </c>
      <c r="Y1374" s="1268">
        <v>0</v>
      </c>
    </row>
    <row r="1375" spans="1:25" s="1277" customFormat="1">
      <c r="A1375" s="1396">
        <v>461</v>
      </c>
      <c r="B1375" s="1277" t="s">
        <v>2570</v>
      </c>
      <c r="C1375" s="1268">
        <f t="shared" si="539"/>
        <v>5683197</v>
      </c>
      <c r="D1375" s="1268">
        <f t="shared" si="540"/>
        <v>5270399</v>
      </c>
      <c r="E1375" s="1268">
        <v>0</v>
      </c>
      <c r="F1375" s="1268">
        <v>5270399</v>
      </c>
      <c r="G1375" s="1268">
        <v>0</v>
      </c>
      <c r="H1375" s="1268">
        <v>0</v>
      </c>
      <c r="I1375" s="1268">
        <v>0</v>
      </c>
      <c r="J1375" s="1268">
        <v>0</v>
      </c>
      <c r="K1375" s="1278">
        <v>0</v>
      </c>
      <c r="L1375" s="1268">
        <v>0</v>
      </c>
      <c r="M1375" s="1278">
        <v>0</v>
      </c>
      <c r="N1375" s="1268">
        <v>0</v>
      </c>
      <c r="O1375" s="1268">
        <v>0</v>
      </c>
      <c r="P1375" s="1268">
        <v>0</v>
      </c>
      <c r="Q1375" s="1268">
        <v>0</v>
      </c>
      <c r="R1375" s="1268">
        <v>0</v>
      </c>
      <c r="S1375" s="1268">
        <v>0</v>
      </c>
      <c r="T1375" s="1268">
        <v>0</v>
      </c>
      <c r="U1375" s="1268">
        <v>0</v>
      </c>
      <c r="V1375" s="1268">
        <v>0</v>
      </c>
      <c r="W1375" s="1268">
        <v>0</v>
      </c>
      <c r="X1375" s="1268">
        <v>412798</v>
      </c>
      <c r="Y1375" s="1268">
        <v>0</v>
      </c>
    </row>
    <row r="1376" spans="1:25" s="1277" customFormat="1">
      <c r="A1376" s="1396">
        <v>462</v>
      </c>
      <c r="B1376" s="1277" t="s">
        <v>1027</v>
      </c>
      <c r="C1376" s="1268">
        <f t="shared" si="539"/>
        <v>494943</v>
      </c>
      <c r="D1376" s="1268">
        <f t="shared" si="540"/>
        <v>0</v>
      </c>
      <c r="E1376" s="1268">
        <v>0</v>
      </c>
      <c r="F1376" s="1268">
        <v>0</v>
      </c>
      <c r="G1376" s="1268">
        <v>0</v>
      </c>
      <c r="H1376" s="1268">
        <v>0</v>
      </c>
      <c r="I1376" s="1268">
        <v>0</v>
      </c>
      <c r="J1376" s="1268">
        <v>0</v>
      </c>
      <c r="K1376" s="1278">
        <v>0</v>
      </c>
      <c r="L1376" s="1268">
        <v>0</v>
      </c>
      <c r="M1376" s="1278">
        <v>0</v>
      </c>
      <c r="N1376" s="1268">
        <v>0</v>
      </c>
      <c r="O1376" s="1268">
        <v>0</v>
      </c>
      <c r="P1376" s="1268">
        <v>0</v>
      </c>
      <c r="Q1376" s="1268">
        <v>0</v>
      </c>
      <c r="R1376" s="1268">
        <v>0</v>
      </c>
      <c r="S1376" s="1268">
        <v>186</v>
      </c>
      <c r="T1376" s="1268">
        <v>458993</v>
      </c>
      <c r="U1376" s="1268">
        <v>0</v>
      </c>
      <c r="V1376" s="1268">
        <v>0</v>
      </c>
      <c r="W1376" s="1268">
        <v>0</v>
      </c>
      <c r="X1376" s="1268">
        <v>35950</v>
      </c>
      <c r="Y1376" s="1268">
        <v>0</v>
      </c>
    </row>
    <row r="1377" spans="1:25" s="1277" customFormat="1">
      <c r="A1377" s="1396">
        <v>463</v>
      </c>
      <c r="B1377" s="1277" t="s">
        <v>1024</v>
      </c>
      <c r="C1377" s="1268">
        <f t="shared" si="539"/>
        <v>911449</v>
      </c>
      <c r="D1377" s="1268">
        <f t="shared" si="540"/>
        <v>0</v>
      </c>
      <c r="E1377" s="1268">
        <v>0</v>
      </c>
      <c r="F1377" s="1268">
        <v>0</v>
      </c>
      <c r="G1377" s="1268">
        <v>0</v>
      </c>
      <c r="H1377" s="1268">
        <v>0</v>
      </c>
      <c r="I1377" s="1268">
        <v>0</v>
      </c>
      <c r="J1377" s="1268">
        <v>0</v>
      </c>
      <c r="K1377" s="1278">
        <v>0</v>
      </c>
      <c r="L1377" s="1268">
        <v>0</v>
      </c>
      <c r="M1377" s="1278">
        <v>0</v>
      </c>
      <c r="N1377" s="1268">
        <v>0</v>
      </c>
      <c r="O1377" s="1268">
        <v>0</v>
      </c>
      <c r="P1377" s="1268">
        <v>0</v>
      </c>
      <c r="Q1377" s="1268">
        <v>625.5</v>
      </c>
      <c r="R1377" s="1268">
        <v>845246</v>
      </c>
      <c r="S1377" s="1268">
        <v>0</v>
      </c>
      <c r="T1377" s="1268">
        <v>0</v>
      </c>
      <c r="U1377" s="1268">
        <v>0</v>
      </c>
      <c r="V1377" s="1268">
        <v>0</v>
      </c>
      <c r="W1377" s="1268">
        <v>0</v>
      </c>
      <c r="X1377" s="1268">
        <v>66203</v>
      </c>
      <c r="Y1377" s="1268">
        <v>0</v>
      </c>
    </row>
    <row r="1378" spans="1:25" s="1277" customFormat="1" ht="54" customHeight="1">
      <c r="A1378" s="1396">
        <v>464</v>
      </c>
      <c r="B1378" s="1277" t="s">
        <v>1023</v>
      </c>
      <c r="C1378" s="1268">
        <f t="shared" si="539"/>
        <v>921349.54999999993</v>
      </c>
      <c r="D1378" s="1268">
        <f t="shared" si="540"/>
        <v>851856.7</v>
      </c>
      <c r="E1378" s="1268">
        <v>0</v>
      </c>
      <c r="F1378" s="1268">
        <v>532027</v>
      </c>
      <c r="G1378" s="1268">
        <v>0</v>
      </c>
      <c r="H1378" s="1268">
        <v>319829.7</v>
      </c>
      <c r="I1378" s="1268">
        <v>0</v>
      </c>
      <c r="J1378" s="1268">
        <v>0</v>
      </c>
      <c r="K1378" s="1278">
        <v>0</v>
      </c>
      <c r="L1378" s="1268">
        <v>0</v>
      </c>
      <c r="M1378" s="1278">
        <v>0</v>
      </c>
      <c r="N1378" s="1268">
        <v>0</v>
      </c>
      <c r="O1378" s="1268">
        <v>0</v>
      </c>
      <c r="P1378" s="1268">
        <v>0</v>
      </c>
      <c r="Q1378" s="1268">
        <v>0</v>
      </c>
      <c r="R1378" s="1268">
        <v>0</v>
      </c>
      <c r="S1378" s="1268">
        <v>0</v>
      </c>
      <c r="T1378" s="1268">
        <v>0</v>
      </c>
      <c r="U1378" s="1268">
        <v>0</v>
      </c>
      <c r="V1378" s="1268">
        <v>0</v>
      </c>
      <c r="W1378" s="1268">
        <v>0</v>
      </c>
      <c r="X1378" s="1268">
        <v>69492.850000000006</v>
      </c>
      <c r="Y1378" s="1268">
        <v>0</v>
      </c>
    </row>
    <row r="1379" spans="1:25" s="1277" customFormat="1">
      <c r="A1379" s="1396">
        <v>465</v>
      </c>
      <c r="B1379" s="1277" t="s">
        <v>1025</v>
      </c>
      <c r="C1379" s="1268">
        <f t="shared" si="539"/>
        <v>2603033</v>
      </c>
      <c r="D1379" s="1268">
        <f t="shared" si="540"/>
        <v>0</v>
      </c>
      <c r="E1379" s="1268">
        <v>0</v>
      </c>
      <c r="F1379" s="1268">
        <v>0</v>
      </c>
      <c r="G1379" s="1268">
        <v>0</v>
      </c>
      <c r="H1379" s="1268">
        <v>0</v>
      </c>
      <c r="I1379" s="1268">
        <v>0</v>
      </c>
      <c r="J1379" s="1268">
        <v>0</v>
      </c>
      <c r="K1379" s="1278">
        <v>0</v>
      </c>
      <c r="L1379" s="1268">
        <v>0</v>
      </c>
      <c r="M1379" s="1278">
        <v>0</v>
      </c>
      <c r="N1379" s="1268">
        <v>0</v>
      </c>
      <c r="O1379" s="1268">
        <v>958</v>
      </c>
      <c r="P1379" s="1268">
        <v>2413962</v>
      </c>
      <c r="Q1379" s="1268">
        <v>0</v>
      </c>
      <c r="R1379" s="1268">
        <v>0</v>
      </c>
      <c r="S1379" s="1268">
        <v>0</v>
      </c>
      <c r="T1379" s="1268">
        <v>0</v>
      </c>
      <c r="U1379" s="1268">
        <v>0</v>
      </c>
      <c r="V1379" s="1268">
        <v>0</v>
      </c>
      <c r="W1379" s="1268">
        <v>0</v>
      </c>
      <c r="X1379" s="1268">
        <v>189071</v>
      </c>
      <c r="Y1379" s="1268">
        <v>0</v>
      </c>
    </row>
    <row r="1380" spans="1:25" s="1277" customFormat="1">
      <c r="A1380" s="1396">
        <v>466</v>
      </c>
      <c r="B1380" s="1277" t="s">
        <v>1020</v>
      </c>
      <c r="C1380" s="1268">
        <f t="shared" si="539"/>
        <v>3757824</v>
      </c>
      <c r="D1380" s="1268">
        <f t="shared" si="540"/>
        <v>0</v>
      </c>
      <c r="E1380" s="1268">
        <v>0</v>
      </c>
      <c r="F1380" s="1268">
        <v>0</v>
      </c>
      <c r="G1380" s="1268">
        <v>0</v>
      </c>
      <c r="H1380" s="1268">
        <v>0</v>
      </c>
      <c r="I1380" s="1268">
        <v>0</v>
      </c>
      <c r="J1380" s="1268">
        <v>0</v>
      </c>
      <c r="K1380" s="1278">
        <v>0</v>
      </c>
      <c r="L1380" s="1268">
        <v>0</v>
      </c>
      <c r="M1380" s="1278">
        <v>0</v>
      </c>
      <c r="N1380" s="1268">
        <v>0</v>
      </c>
      <c r="O1380" s="1268">
        <v>1383</v>
      </c>
      <c r="P1380" s="1268">
        <v>3484875</v>
      </c>
      <c r="Q1380" s="1268">
        <v>0</v>
      </c>
      <c r="R1380" s="1268">
        <v>0</v>
      </c>
      <c r="S1380" s="1268">
        <v>0</v>
      </c>
      <c r="T1380" s="1268">
        <v>0</v>
      </c>
      <c r="U1380" s="1268">
        <v>0</v>
      </c>
      <c r="V1380" s="1268">
        <v>0</v>
      </c>
      <c r="W1380" s="1268">
        <v>0</v>
      </c>
      <c r="X1380" s="1268">
        <v>272949</v>
      </c>
      <c r="Y1380" s="1268">
        <v>0</v>
      </c>
    </row>
    <row r="1381" spans="1:25" s="1277" customFormat="1">
      <c r="A1381" s="1396">
        <v>467</v>
      </c>
      <c r="B1381" s="1277" t="s">
        <v>1029</v>
      </c>
      <c r="C1381" s="1268">
        <f t="shared" si="539"/>
        <v>2230018.9899999998</v>
      </c>
      <c r="D1381" s="1268">
        <f t="shared" si="540"/>
        <v>0</v>
      </c>
      <c r="E1381" s="1268">
        <v>0</v>
      </c>
      <c r="F1381" s="1268">
        <v>0</v>
      </c>
      <c r="G1381" s="1268">
        <v>0</v>
      </c>
      <c r="H1381" s="1268">
        <v>0</v>
      </c>
      <c r="I1381" s="1268">
        <v>0</v>
      </c>
      <c r="J1381" s="1268">
        <v>0</v>
      </c>
      <c r="K1381" s="1278">
        <v>0</v>
      </c>
      <c r="L1381" s="1268">
        <v>0</v>
      </c>
      <c r="M1381" s="1278">
        <v>0</v>
      </c>
      <c r="N1381" s="1268">
        <v>0</v>
      </c>
      <c r="O1381" s="1268">
        <v>682.3</v>
      </c>
      <c r="P1381" s="1268">
        <v>2068041.95</v>
      </c>
      <c r="Q1381" s="1268">
        <v>0</v>
      </c>
      <c r="R1381" s="1268">
        <v>0</v>
      </c>
      <c r="S1381" s="1268">
        <v>0</v>
      </c>
      <c r="T1381" s="1268">
        <v>0</v>
      </c>
      <c r="U1381" s="1268">
        <v>0</v>
      </c>
      <c r="V1381" s="1268">
        <v>0</v>
      </c>
      <c r="W1381" s="1268">
        <v>0</v>
      </c>
      <c r="X1381" s="1268">
        <v>161977.04</v>
      </c>
      <c r="Y1381" s="1268">
        <v>0</v>
      </c>
    </row>
    <row r="1382" spans="1:25" s="1277" customFormat="1" ht="51.6" customHeight="1">
      <c r="A1382" s="1396">
        <v>468</v>
      </c>
      <c r="B1382" s="1277" t="s">
        <v>1030</v>
      </c>
      <c r="C1382" s="1268">
        <f t="shared" si="539"/>
        <v>1023687.6199999999</v>
      </c>
      <c r="D1382" s="1268">
        <f t="shared" si="540"/>
        <v>928428.44</v>
      </c>
      <c r="E1382" s="1268">
        <v>0</v>
      </c>
      <c r="F1382" s="1268">
        <v>578145</v>
      </c>
      <c r="G1382" s="1268">
        <v>0</v>
      </c>
      <c r="H1382" s="1268">
        <v>350283.44</v>
      </c>
      <c r="I1382" s="1268">
        <v>0</v>
      </c>
      <c r="J1382" s="1268">
        <v>0</v>
      </c>
      <c r="K1382" s="1278">
        <v>0</v>
      </c>
      <c r="L1382" s="1268">
        <v>0</v>
      </c>
      <c r="M1382" s="1278">
        <v>0</v>
      </c>
      <c r="N1382" s="1268">
        <v>0</v>
      </c>
      <c r="O1382" s="1268">
        <v>0</v>
      </c>
      <c r="P1382" s="1268">
        <v>0</v>
      </c>
      <c r="Q1382" s="1268">
        <v>0</v>
      </c>
      <c r="R1382" s="1268">
        <v>0</v>
      </c>
      <c r="S1382" s="1268">
        <v>0</v>
      </c>
      <c r="T1382" s="1268">
        <v>0</v>
      </c>
      <c r="U1382" s="1268">
        <v>0</v>
      </c>
      <c r="V1382" s="1268">
        <v>0</v>
      </c>
      <c r="W1382" s="1268">
        <v>0</v>
      </c>
      <c r="X1382" s="1268">
        <v>95259.18</v>
      </c>
      <c r="Y1382" s="1268">
        <v>0</v>
      </c>
    </row>
    <row r="1383" spans="1:25" s="1277" customFormat="1">
      <c r="A1383" s="1396">
        <v>469</v>
      </c>
      <c r="B1383" s="1277" t="s">
        <v>1031</v>
      </c>
      <c r="C1383" s="1268">
        <f t="shared" si="539"/>
        <v>3170918</v>
      </c>
      <c r="D1383" s="1268">
        <f t="shared" si="540"/>
        <v>0</v>
      </c>
      <c r="E1383" s="1268">
        <v>0</v>
      </c>
      <c r="F1383" s="1268">
        <v>0</v>
      </c>
      <c r="G1383" s="1268">
        <v>0</v>
      </c>
      <c r="H1383" s="1268">
        <v>0</v>
      </c>
      <c r="I1383" s="1268">
        <v>0</v>
      </c>
      <c r="J1383" s="1268">
        <v>0</v>
      </c>
      <c r="K1383" s="1278">
        <v>0</v>
      </c>
      <c r="L1383" s="1268">
        <v>0</v>
      </c>
      <c r="M1383" s="1278">
        <v>0</v>
      </c>
      <c r="N1383" s="1268">
        <v>0</v>
      </c>
      <c r="O1383" s="1268">
        <v>1167</v>
      </c>
      <c r="P1383" s="1268">
        <v>2940599</v>
      </c>
      <c r="Q1383" s="1268">
        <v>0</v>
      </c>
      <c r="R1383" s="1268">
        <v>0</v>
      </c>
      <c r="S1383" s="1268">
        <v>0</v>
      </c>
      <c r="T1383" s="1268">
        <v>0</v>
      </c>
      <c r="U1383" s="1268">
        <v>0</v>
      </c>
      <c r="V1383" s="1268">
        <v>0</v>
      </c>
      <c r="W1383" s="1268">
        <v>0</v>
      </c>
      <c r="X1383" s="1268">
        <v>230319</v>
      </c>
      <c r="Y1383" s="1268">
        <v>0</v>
      </c>
    </row>
    <row r="1384" spans="1:25" s="1277" customFormat="1">
      <c r="A1384" s="1396">
        <v>470</v>
      </c>
      <c r="B1384" s="1277" t="s">
        <v>1024</v>
      </c>
      <c r="C1384" s="1268">
        <f t="shared" si="539"/>
        <v>751421</v>
      </c>
      <c r="D1384" s="1268">
        <f t="shared" si="540"/>
        <v>696842</v>
      </c>
      <c r="E1384" s="1268">
        <v>0</v>
      </c>
      <c r="F1384" s="1268">
        <v>0</v>
      </c>
      <c r="G1384" s="1268">
        <v>0</v>
      </c>
      <c r="H1384" s="1268">
        <v>0</v>
      </c>
      <c r="I1384" s="1268">
        <v>0</v>
      </c>
      <c r="J1384" s="1268">
        <v>696842</v>
      </c>
      <c r="K1384" s="1278">
        <v>0</v>
      </c>
      <c r="L1384" s="1268">
        <v>0</v>
      </c>
      <c r="M1384" s="1278">
        <v>0</v>
      </c>
      <c r="N1384" s="1268">
        <v>0</v>
      </c>
      <c r="O1384" s="1268">
        <v>0</v>
      </c>
      <c r="P1384" s="1268">
        <v>0</v>
      </c>
      <c r="Q1384" s="1268">
        <v>0</v>
      </c>
      <c r="R1384" s="1268">
        <v>0</v>
      </c>
      <c r="S1384" s="1268">
        <v>0</v>
      </c>
      <c r="T1384" s="1268">
        <v>0</v>
      </c>
      <c r="U1384" s="1268">
        <v>0</v>
      </c>
      <c r="V1384" s="1268">
        <v>0</v>
      </c>
      <c r="W1384" s="1268">
        <v>0</v>
      </c>
      <c r="X1384" s="1268">
        <v>54579</v>
      </c>
      <c r="Y1384" s="1268">
        <v>0</v>
      </c>
    </row>
    <row r="1385" spans="1:25" s="1277" customFormat="1">
      <c r="A1385" s="1396">
        <v>471</v>
      </c>
      <c r="B1385" s="1277" t="s">
        <v>1026</v>
      </c>
      <c r="C1385" s="1268">
        <f t="shared" si="539"/>
        <v>2032991</v>
      </c>
      <c r="D1385" s="1268">
        <f t="shared" si="540"/>
        <v>0</v>
      </c>
      <c r="E1385" s="1268">
        <v>0</v>
      </c>
      <c r="F1385" s="1268">
        <v>0</v>
      </c>
      <c r="G1385" s="1268">
        <v>0</v>
      </c>
      <c r="H1385" s="1268">
        <v>0</v>
      </c>
      <c r="I1385" s="1268">
        <v>0</v>
      </c>
      <c r="J1385" s="1268">
        <v>0</v>
      </c>
      <c r="K1385" s="1278">
        <v>0</v>
      </c>
      <c r="L1385" s="1268">
        <v>0</v>
      </c>
      <c r="M1385" s="1278">
        <v>0</v>
      </c>
      <c r="N1385" s="1268">
        <v>0</v>
      </c>
      <c r="O1385" s="1268">
        <v>0</v>
      </c>
      <c r="P1385" s="1268">
        <v>0</v>
      </c>
      <c r="Q1385" s="1268">
        <v>0</v>
      </c>
      <c r="R1385" s="1268">
        <v>0</v>
      </c>
      <c r="S1385" s="1268">
        <v>764</v>
      </c>
      <c r="T1385" s="1268">
        <v>1885325</v>
      </c>
      <c r="U1385" s="1268">
        <v>0</v>
      </c>
      <c r="V1385" s="1268">
        <v>0</v>
      </c>
      <c r="W1385" s="1268">
        <v>0</v>
      </c>
      <c r="X1385" s="1268">
        <v>147666</v>
      </c>
      <c r="Y1385" s="1268">
        <v>0</v>
      </c>
    </row>
    <row r="1386" spans="1:25" s="1277" customFormat="1">
      <c r="A1386" s="1396">
        <v>472</v>
      </c>
      <c r="B1386" s="1277" t="s">
        <v>2004</v>
      </c>
      <c r="C1386" s="1268">
        <f t="shared" si="539"/>
        <v>435795</v>
      </c>
      <c r="D1386" s="1268">
        <f t="shared" si="540"/>
        <v>404141</v>
      </c>
      <c r="E1386" s="1268">
        <v>404141</v>
      </c>
      <c r="F1386" s="1268">
        <v>0</v>
      </c>
      <c r="G1386" s="1268">
        <v>0</v>
      </c>
      <c r="H1386" s="1268">
        <v>0</v>
      </c>
      <c r="I1386" s="1268">
        <v>0</v>
      </c>
      <c r="J1386" s="1268">
        <v>0</v>
      </c>
      <c r="K1386" s="1278">
        <v>0</v>
      </c>
      <c r="L1386" s="1268">
        <v>0</v>
      </c>
      <c r="M1386" s="1278">
        <v>0</v>
      </c>
      <c r="N1386" s="1268">
        <v>0</v>
      </c>
      <c r="O1386" s="1268">
        <v>0</v>
      </c>
      <c r="P1386" s="1268">
        <v>0</v>
      </c>
      <c r="Q1386" s="1268">
        <v>0</v>
      </c>
      <c r="R1386" s="1268">
        <v>0</v>
      </c>
      <c r="S1386" s="1268">
        <v>0</v>
      </c>
      <c r="T1386" s="1268">
        <v>0</v>
      </c>
      <c r="U1386" s="1268">
        <v>0</v>
      </c>
      <c r="V1386" s="1268">
        <v>0</v>
      </c>
      <c r="W1386" s="1268">
        <v>0</v>
      </c>
      <c r="X1386" s="1268">
        <v>31654</v>
      </c>
      <c r="Y1386" s="1268">
        <v>0</v>
      </c>
    </row>
    <row r="1387" spans="1:25" s="1277" customFormat="1">
      <c r="A1387" s="1396">
        <v>473</v>
      </c>
      <c r="B1387" s="1277" t="s">
        <v>1033</v>
      </c>
      <c r="C1387" s="1268">
        <f t="shared" si="539"/>
        <v>3552669</v>
      </c>
      <c r="D1387" s="1268">
        <f t="shared" si="540"/>
        <v>742696</v>
      </c>
      <c r="E1387" s="1268">
        <v>0</v>
      </c>
      <c r="F1387" s="1268">
        <v>0</v>
      </c>
      <c r="G1387" s="1268">
        <v>0</v>
      </c>
      <c r="H1387" s="1268">
        <v>742696</v>
      </c>
      <c r="I1387" s="1268">
        <v>0</v>
      </c>
      <c r="J1387" s="1268">
        <v>0</v>
      </c>
      <c r="K1387" s="1278">
        <v>0</v>
      </c>
      <c r="L1387" s="1268">
        <v>0</v>
      </c>
      <c r="M1387" s="1278">
        <v>0</v>
      </c>
      <c r="N1387" s="1268">
        <v>0</v>
      </c>
      <c r="O1387" s="1268">
        <v>0</v>
      </c>
      <c r="P1387" s="1268">
        <v>0</v>
      </c>
      <c r="Q1387" s="1268">
        <v>0</v>
      </c>
      <c r="R1387" s="1268">
        <v>0</v>
      </c>
      <c r="S1387" s="1268">
        <v>1034</v>
      </c>
      <c r="T1387" s="1268">
        <v>2551925</v>
      </c>
      <c r="U1387" s="1268">
        <v>0</v>
      </c>
      <c r="V1387" s="1268">
        <v>0</v>
      </c>
      <c r="W1387" s="1268">
        <v>0</v>
      </c>
      <c r="X1387" s="1268">
        <v>258048</v>
      </c>
      <c r="Y1387" s="1268">
        <v>0</v>
      </c>
    </row>
    <row r="1388" spans="1:25" s="1277" customFormat="1">
      <c r="A1388" s="1396">
        <v>474</v>
      </c>
      <c r="B1388" s="1277" t="s">
        <v>1034</v>
      </c>
      <c r="C1388" s="1268">
        <f t="shared" si="539"/>
        <v>1856142</v>
      </c>
      <c r="D1388" s="1268">
        <f t="shared" si="540"/>
        <v>0</v>
      </c>
      <c r="E1388" s="1268">
        <v>0</v>
      </c>
      <c r="F1388" s="1268">
        <v>0</v>
      </c>
      <c r="G1388" s="1268">
        <v>0</v>
      </c>
      <c r="H1388" s="1268">
        <v>0</v>
      </c>
      <c r="I1388" s="1268">
        <v>0</v>
      </c>
      <c r="J1388" s="1268">
        <v>0</v>
      </c>
      <c r="K1388" s="1278">
        <v>0</v>
      </c>
      <c r="L1388" s="1268">
        <v>0</v>
      </c>
      <c r="M1388" s="1278">
        <v>0</v>
      </c>
      <c r="N1388" s="1268">
        <v>0</v>
      </c>
      <c r="O1388" s="1268">
        <v>683.12</v>
      </c>
      <c r="P1388" s="1268">
        <v>1721321</v>
      </c>
      <c r="Q1388" s="1268">
        <v>0</v>
      </c>
      <c r="R1388" s="1268">
        <v>0</v>
      </c>
      <c r="S1388" s="1268">
        <v>0</v>
      </c>
      <c r="T1388" s="1268">
        <v>0</v>
      </c>
      <c r="U1388" s="1268">
        <v>0</v>
      </c>
      <c r="V1388" s="1268">
        <v>0</v>
      </c>
      <c r="W1388" s="1268">
        <v>0</v>
      </c>
      <c r="X1388" s="1268">
        <v>134821</v>
      </c>
      <c r="Y1388" s="1268">
        <v>0</v>
      </c>
    </row>
    <row r="1389" spans="1:25" s="1277" customFormat="1">
      <c r="A1389" s="1396">
        <v>475</v>
      </c>
      <c r="B1389" s="1277" t="s">
        <v>1028</v>
      </c>
      <c r="C1389" s="1268">
        <f t="shared" ref="C1389" si="541">D1389+N1389+P1389+R1389+T1389+V1389+X1389</f>
        <v>6192213</v>
      </c>
      <c r="D1389" s="1268">
        <f t="shared" ref="D1389" si="542">SUM(E1389:J1389)</f>
        <v>0</v>
      </c>
      <c r="E1389" s="1268">
        <v>0</v>
      </c>
      <c r="F1389" s="1268">
        <v>0</v>
      </c>
      <c r="G1389" s="1268">
        <v>0</v>
      </c>
      <c r="H1389" s="1268">
        <v>0</v>
      </c>
      <c r="I1389" s="1268">
        <v>0</v>
      </c>
      <c r="J1389" s="1268">
        <v>0</v>
      </c>
      <c r="K1389" s="1278">
        <v>0</v>
      </c>
      <c r="L1389" s="1268">
        <v>0</v>
      </c>
      <c r="M1389" s="1278">
        <v>0</v>
      </c>
      <c r="N1389" s="1268">
        <v>0</v>
      </c>
      <c r="O1389" s="1268">
        <v>0</v>
      </c>
      <c r="P1389" s="1268">
        <v>0</v>
      </c>
      <c r="Q1389" s="1268">
        <v>0</v>
      </c>
      <c r="R1389" s="1268">
        <v>0</v>
      </c>
      <c r="S1389" s="1268">
        <v>2327</v>
      </c>
      <c r="T1389" s="1268">
        <v>5742443</v>
      </c>
      <c r="U1389" s="1268">
        <v>0</v>
      </c>
      <c r="V1389" s="1268">
        <v>0</v>
      </c>
      <c r="W1389" s="1268">
        <v>0</v>
      </c>
      <c r="X1389" s="1268">
        <v>449770</v>
      </c>
      <c r="Y1389" s="1268">
        <v>0</v>
      </c>
    </row>
    <row r="1390" spans="1:25" s="1277" customFormat="1" ht="113.4">
      <c r="A1390" s="1396"/>
      <c r="B1390" s="1277" t="s">
        <v>1180</v>
      </c>
      <c r="C1390" s="1268">
        <f>C1391</f>
        <v>183334</v>
      </c>
      <c r="D1390" s="1268">
        <f t="shared" ref="D1390:Y1390" si="543">D1391</f>
        <v>0</v>
      </c>
      <c r="E1390" s="1268">
        <f t="shared" si="543"/>
        <v>0</v>
      </c>
      <c r="F1390" s="1268">
        <f t="shared" si="543"/>
        <v>0</v>
      </c>
      <c r="G1390" s="1268">
        <f t="shared" si="543"/>
        <v>0</v>
      </c>
      <c r="H1390" s="1268">
        <f t="shared" si="543"/>
        <v>0</v>
      </c>
      <c r="I1390" s="1268">
        <f t="shared" si="543"/>
        <v>0</v>
      </c>
      <c r="J1390" s="1268">
        <f t="shared" si="543"/>
        <v>0</v>
      </c>
      <c r="K1390" s="1278">
        <f t="shared" si="543"/>
        <v>0</v>
      </c>
      <c r="L1390" s="1268">
        <f t="shared" si="543"/>
        <v>0</v>
      </c>
      <c r="M1390" s="1278">
        <f t="shared" si="543"/>
        <v>0</v>
      </c>
      <c r="N1390" s="1268">
        <f t="shared" si="543"/>
        <v>0</v>
      </c>
      <c r="O1390" s="1268">
        <f t="shared" si="543"/>
        <v>0</v>
      </c>
      <c r="P1390" s="1268">
        <f t="shared" si="543"/>
        <v>0</v>
      </c>
      <c r="Q1390" s="1268">
        <f t="shared" si="543"/>
        <v>0</v>
      </c>
      <c r="R1390" s="1268">
        <f t="shared" si="543"/>
        <v>0</v>
      </c>
      <c r="S1390" s="1268">
        <f t="shared" si="543"/>
        <v>0</v>
      </c>
      <c r="T1390" s="1268">
        <f t="shared" si="543"/>
        <v>0</v>
      </c>
      <c r="U1390" s="1268">
        <f t="shared" si="543"/>
        <v>0</v>
      </c>
      <c r="V1390" s="1268">
        <f t="shared" si="543"/>
        <v>0</v>
      </c>
      <c r="W1390" s="1268">
        <v>0</v>
      </c>
      <c r="X1390" s="1268">
        <f t="shared" si="543"/>
        <v>183334</v>
      </c>
      <c r="Y1390" s="1268">
        <f t="shared" si="543"/>
        <v>0</v>
      </c>
    </row>
    <row r="1391" spans="1:25" s="1277" customFormat="1" ht="75.599999999999994">
      <c r="A1391" s="1396">
        <v>476</v>
      </c>
      <c r="B1391" s="1277" t="s">
        <v>1616</v>
      </c>
      <c r="C1391" s="1268">
        <v>183334</v>
      </c>
      <c r="D1391" s="1268">
        <v>0</v>
      </c>
      <c r="E1391" s="1268">
        <v>0</v>
      </c>
      <c r="F1391" s="1268">
        <v>0</v>
      </c>
      <c r="G1391" s="1268">
        <v>0</v>
      </c>
      <c r="H1391" s="1268">
        <v>0</v>
      </c>
      <c r="I1391" s="1268">
        <v>0</v>
      </c>
      <c r="J1391" s="1268">
        <v>0</v>
      </c>
      <c r="K1391" s="1278">
        <v>0</v>
      </c>
      <c r="L1391" s="1268">
        <v>0</v>
      </c>
      <c r="M1391" s="1278">
        <v>0</v>
      </c>
      <c r="N1391" s="1268">
        <v>0</v>
      </c>
      <c r="O1391" s="1268">
        <v>0</v>
      </c>
      <c r="P1391" s="1268">
        <v>0</v>
      </c>
      <c r="Q1391" s="1268">
        <v>0</v>
      </c>
      <c r="R1391" s="1268">
        <v>0</v>
      </c>
      <c r="S1391" s="1268">
        <v>0</v>
      </c>
      <c r="T1391" s="1268">
        <v>0</v>
      </c>
      <c r="U1391" s="1268">
        <v>0</v>
      </c>
      <c r="V1391" s="1268">
        <v>0</v>
      </c>
      <c r="W1391" s="1268">
        <v>0</v>
      </c>
      <c r="X1391" s="1268">
        <v>183334</v>
      </c>
      <c r="Y1391" s="1268">
        <v>0</v>
      </c>
    </row>
    <row r="1392" spans="1:25" s="1277" customFormat="1" ht="75.599999999999994">
      <c r="A1392" s="1396"/>
      <c r="B1392" s="1277" t="s">
        <v>1588</v>
      </c>
      <c r="C1392" s="1268">
        <f>SUM(C1393:C1398)</f>
        <v>14971020.529999999</v>
      </c>
      <c r="D1392" s="1268">
        <f t="shared" ref="D1392:Y1392" si="544">SUM(D1393:D1398)</f>
        <v>0</v>
      </c>
      <c r="E1392" s="1268">
        <f t="shared" si="544"/>
        <v>0</v>
      </c>
      <c r="F1392" s="1268">
        <f t="shared" si="544"/>
        <v>0</v>
      </c>
      <c r="G1392" s="1268">
        <f t="shared" si="544"/>
        <v>0</v>
      </c>
      <c r="H1392" s="1268">
        <f t="shared" si="544"/>
        <v>0</v>
      </c>
      <c r="I1392" s="1268">
        <f t="shared" si="544"/>
        <v>0</v>
      </c>
      <c r="J1392" s="1268">
        <f t="shared" si="544"/>
        <v>0</v>
      </c>
      <c r="K1392" s="1278">
        <f t="shared" si="544"/>
        <v>0</v>
      </c>
      <c r="L1392" s="1268">
        <f t="shared" si="544"/>
        <v>0</v>
      </c>
      <c r="M1392" s="1278">
        <f t="shared" si="544"/>
        <v>0</v>
      </c>
      <c r="N1392" s="1268">
        <f t="shared" si="544"/>
        <v>0</v>
      </c>
      <c r="O1392" s="1268">
        <f t="shared" si="544"/>
        <v>3764.4700000000003</v>
      </c>
      <c r="P1392" s="1268">
        <f t="shared" si="544"/>
        <v>13025262.039999999</v>
      </c>
      <c r="Q1392" s="1268">
        <f t="shared" si="544"/>
        <v>0</v>
      </c>
      <c r="R1392" s="1268">
        <f t="shared" si="544"/>
        <v>0</v>
      </c>
      <c r="S1392" s="1268">
        <f t="shared" si="544"/>
        <v>448.59</v>
      </c>
      <c r="T1392" s="1268">
        <f t="shared" si="544"/>
        <v>1106986.6200000001</v>
      </c>
      <c r="U1392" s="1268">
        <f t="shared" si="544"/>
        <v>0</v>
      </c>
      <c r="V1392" s="1268">
        <f t="shared" si="544"/>
        <v>0</v>
      </c>
      <c r="W1392" s="1268">
        <v>0</v>
      </c>
      <c r="X1392" s="1268">
        <f t="shared" si="544"/>
        <v>838771.87</v>
      </c>
      <c r="Y1392" s="1268">
        <f t="shared" si="544"/>
        <v>0</v>
      </c>
    </row>
    <row r="1393" spans="1:25" s="1277" customFormat="1">
      <c r="A1393" s="1396">
        <v>477</v>
      </c>
      <c r="B1393" s="1277" t="s">
        <v>1589</v>
      </c>
      <c r="C1393" s="1268">
        <f t="shared" ref="C1393" si="545">D1393+N1393+P1393+R1393+T1393+V1393+X1393</f>
        <v>1591980</v>
      </c>
      <c r="D1393" s="1268">
        <f t="shared" ref="D1393" si="546">SUM(E1393:J1393)</f>
        <v>0</v>
      </c>
      <c r="E1393" s="1268">
        <v>0</v>
      </c>
      <c r="F1393" s="1268">
        <v>0</v>
      </c>
      <c r="G1393" s="1268">
        <v>0</v>
      </c>
      <c r="H1393" s="1268">
        <v>0</v>
      </c>
      <c r="I1393" s="1268">
        <v>0</v>
      </c>
      <c r="J1393" s="1268">
        <v>0</v>
      </c>
      <c r="K1393" s="1278">
        <v>0</v>
      </c>
      <c r="L1393" s="1268">
        <v>0</v>
      </c>
      <c r="M1393" s="1278">
        <v>0</v>
      </c>
      <c r="N1393" s="1268">
        <v>0</v>
      </c>
      <c r="O1393" s="1396">
        <v>585.9</v>
      </c>
      <c r="P1393" s="1355">
        <v>1476347</v>
      </c>
      <c r="Q1393" s="1268">
        <v>0</v>
      </c>
      <c r="R1393" s="1268">
        <v>0</v>
      </c>
      <c r="S1393" s="1268">
        <v>0</v>
      </c>
      <c r="T1393" s="1268">
        <v>0</v>
      </c>
      <c r="U1393" s="1268">
        <v>0</v>
      </c>
      <c r="V1393" s="1268">
        <v>0</v>
      </c>
      <c r="W1393" s="1268">
        <v>0</v>
      </c>
      <c r="X1393" s="1355">
        <v>115633</v>
      </c>
      <c r="Y1393" s="1268">
        <v>0</v>
      </c>
    </row>
    <row r="1394" spans="1:25" s="1277" customFormat="1">
      <c r="A1394" s="1396">
        <v>478</v>
      </c>
      <c r="B1394" s="1277" t="s">
        <v>1590</v>
      </c>
      <c r="C1394" s="1268">
        <f t="shared" ref="C1394:C1395" si="547">D1394+N1394+P1394+R1394+T1394+V1394+X1394</f>
        <v>4221937</v>
      </c>
      <c r="D1394" s="1268">
        <f t="shared" ref="D1394:D1395" si="548">SUM(E1394:J1394)</f>
        <v>0</v>
      </c>
      <c r="E1394" s="1268">
        <v>0</v>
      </c>
      <c r="F1394" s="1268">
        <v>0</v>
      </c>
      <c r="G1394" s="1268">
        <v>0</v>
      </c>
      <c r="H1394" s="1268">
        <v>0</v>
      </c>
      <c r="I1394" s="1268">
        <v>0</v>
      </c>
      <c r="J1394" s="1268">
        <v>0</v>
      </c>
      <c r="K1394" s="1278">
        <v>0</v>
      </c>
      <c r="L1394" s="1268">
        <v>0</v>
      </c>
      <c r="M1394" s="1278">
        <v>0</v>
      </c>
      <c r="N1394" s="1268">
        <v>0</v>
      </c>
      <c r="O1394" s="1396">
        <v>864.32</v>
      </c>
      <c r="P1394" s="1355">
        <v>3915277</v>
      </c>
      <c r="Q1394" s="1268">
        <v>0</v>
      </c>
      <c r="R1394" s="1268">
        <v>0</v>
      </c>
      <c r="S1394" s="1268">
        <v>0</v>
      </c>
      <c r="T1394" s="1268">
        <v>0</v>
      </c>
      <c r="U1394" s="1268">
        <v>0</v>
      </c>
      <c r="V1394" s="1268">
        <v>0</v>
      </c>
      <c r="W1394" s="1268">
        <v>0</v>
      </c>
      <c r="X1394" s="1355">
        <v>306660</v>
      </c>
      <c r="Y1394" s="1268">
        <v>0</v>
      </c>
    </row>
    <row r="1395" spans="1:25" s="1277" customFormat="1" ht="75.599999999999994">
      <c r="A1395" s="1396">
        <v>479</v>
      </c>
      <c r="B1395" s="1277" t="s">
        <v>1591</v>
      </c>
      <c r="C1395" s="1268">
        <f t="shared" si="547"/>
        <v>1648301.27</v>
      </c>
      <c r="D1395" s="1268">
        <f t="shared" si="548"/>
        <v>0</v>
      </c>
      <c r="E1395" s="1268">
        <v>0</v>
      </c>
      <c r="F1395" s="1268">
        <v>0</v>
      </c>
      <c r="G1395" s="1268">
        <v>0</v>
      </c>
      <c r="H1395" s="1268">
        <v>0</v>
      </c>
      <c r="I1395" s="1268">
        <v>0</v>
      </c>
      <c r="J1395" s="1268">
        <v>0</v>
      </c>
      <c r="K1395" s="1278">
        <v>0</v>
      </c>
      <c r="L1395" s="1268">
        <v>0</v>
      </c>
      <c r="M1395" s="1278">
        <v>0</v>
      </c>
      <c r="N1395" s="1268">
        <v>0</v>
      </c>
      <c r="O1395" s="1396">
        <v>487</v>
      </c>
      <c r="P1395" s="1355">
        <v>1528577.19</v>
      </c>
      <c r="Q1395" s="1268">
        <v>0</v>
      </c>
      <c r="R1395" s="1268">
        <v>0</v>
      </c>
      <c r="S1395" s="1268">
        <v>0</v>
      </c>
      <c r="T1395" s="1268">
        <v>0</v>
      </c>
      <c r="U1395" s="1268">
        <v>0</v>
      </c>
      <c r="V1395" s="1268">
        <v>0</v>
      </c>
      <c r="W1395" s="1268">
        <v>0</v>
      </c>
      <c r="X1395" s="1355">
        <v>119724.08</v>
      </c>
      <c r="Y1395" s="1268">
        <v>0</v>
      </c>
    </row>
    <row r="1396" spans="1:25" s="1277" customFormat="1">
      <c r="A1396" s="1396">
        <v>480</v>
      </c>
      <c r="B1396" s="1277" t="s">
        <v>767</v>
      </c>
      <c r="C1396" s="1268">
        <f>D1396+N1396+P1396+R1396+T1396+V1396+X1396</f>
        <v>2445729.9300000002</v>
      </c>
      <c r="D1396" s="1268">
        <f>SUM(E1396:J1396)</f>
        <v>0</v>
      </c>
      <c r="E1396" s="1268">
        <v>0</v>
      </c>
      <c r="F1396" s="1268">
        <v>0</v>
      </c>
      <c r="G1396" s="1268">
        <v>0</v>
      </c>
      <c r="H1396" s="1268">
        <v>0</v>
      </c>
      <c r="I1396" s="1268">
        <v>0</v>
      </c>
      <c r="J1396" s="1268">
        <v>0</v>
      </c>
      <c r="K1396" s="1278">
        <v>0</v>
      </c>
      <c r="L1396" s="1268">
        <v>0</v>
      </c>
      <c r="M1396" s="1278">
        <v>0</v>
      </c>
      <c r="N1396" s="1268">
        <v>0</v>
      </c>
      <c r="O1396" s="1268">
        <v>757.85</v>
      </c>
      <c r="P1396" s="1268">
        <v>2378710.9300000002</v>
      </c>
      <c r="Q1396" s="1268">
        <v>0</v>
      </c>
      <c r="R1396" s="1268">
        <v>0</v>
      </c>
      <c r="S1396" s="1268">
        <v>0</v>
      </c>
      <c r="T1396" s="1268">
        <v>0</v>
      </c>
      <c r="U1396" s="1268">
        <v>0</v>
      </c>
      <c r="V1396" s="1268">
        <v>0</v>
      </c>
      <c r="W1396" s="1268">
        <v>0</v>
      </c>
      <c r="X1396" s="1268">
        <v>67019</v>
      </c>
      <c r="Y1396" s="1268">
        <v>0</v>
      </c>
    </row>
    <row r="1397" spans="1:25" s="1277" customFormat="1">
      <c r="A1397" s="1396">
        <v>481</v>
      </c>
      <c r="B1397" s="1277" t="s">
        <v>503</v>
      </c>
      <c r="C1397" s="1268">
        <f t="shared" ref="C1397:C1398" si="549">D1397+N1397+P1397+R1397+T1397+V1397+X1397</f>
        <v>2552584.11</v>
      </c>
      <c r="D1397" s="1268">
        <f t="shared" ref="D1397:D1398" si="550">SUM(E1397:J1397)</f>
        <v>0</v>
      </c>
      <c r="E1397" s="1268">
        <v>0</v>
      </c>
      <c r="F1397" s="1268">
        <v>0</v>
      </c>
      <c r="G1397" s="1268">
        <v>0</v>
      </c>
      <c r="H1397" s="1268">
        <v>0</v>
      </c>
      <c r="I1397" s="1268">
        <v>0</v>
      </c>
      <c r="J1397" s="1268">
        <v>0</v>
      </c>
      <c r="K1397" s="1278">
        <v>0</v>
      </c>
      <c r="L1397" s="1268">
        <v>0</v>
      </c>
      <c r="M1397" s="1278">
        <v>0</v>
      </c>
      <c r="N1397" s="1268">
        <v>0</v>
      </c>
      <c r="O1397" s="1268">
        <v>659.4</v>
      </c>
      <c r="P1397" s="1268">
        <v>2439457.42</v>
      </c>
      <c r="Q1397" s="1268">
        <v>0</v>
      </c>
      <c r="R1397" s="1268">
        <v>0</v>
      </c>
      <c r="S1397" s="1268">
        <v>0</v>
      </c>
      <c r="T1397" s="1268">
        <v>0</v>
      </c>
      <c r="U1397" s="1268">
        <v>0</v>
      </c>
      <c r="V1397" s="1268">
        <v>0</v>
      </c>
      <c r="W1397" s="1268">
        <v>0</v>
      </c>
      <c r="X1397" s="1268">
        <v>113126.69</v>
      </c>
      <c r="Y1397" s="1268">
        <v>0</v>
      </c>
    </row>
    <row r="1398" spans="1:25" s="1277" customFormat="1">
      <c r="A1398" s="1396">
        <v>482</v>
      </c>
      <c r="B1398" s="1277" t="s">
        <v>504</v>
      </c>
      <c r="C1398" s="1268">
        <f t="shared" si="549"/>
        <v>2510488.2200000002</v>
      </c>
      <c r="D1398" s="1268">
        <f t="shared" si="550"/>
        <v>0</v>
      </c>
      <c r="E1398" s="1268">
        <v>0</v>
      </c>
      <c r="F1398" s="1268">
        <v>0</v>
      </c>
      <c r="G1398" s="1268">
        <v>0</v>
      </c>
      <c r="H1398" s="1268">
        <v>0</v>
      </c>
      <c r="I1398" s="1268">
        <v>0</v>
      </c>
      <c r="J1398" s="1268">
        <v>0</v>
      </c>
      <c r="K1398" s="1278">
        <v>0</v>
      </c>
      <c r="L1398" s="1268">
        <v>0</v>
      </c>
      <c r="M1398" s="1278">
        <v>0</v>
      </c>
      <c r="N1398" s="1268">
        <v>0</v>
      </c>
      <c r="O1398" s="1268">
        <v>410</v>
      </c>
      <c r="P1398" s="1268">
        <v>1286892.5</v>
      </c>
      <c r="Q1398" s="1268">
        <v>0</v>
      </c>
      <c r="R1398" s="1268">
        <v>0</v>
      </c>
      <c r="S1398" s="1268">
        <v>448.59</v>
      </c>
      <c r="T1398" s="1268">
        <v>1106986.6200000001</v>
      </c>
      <c r="U1398" s="1268">
        <v>0</v>
      </c>
      <c r="V1398" s="1268">
        <v>0</v>
      </c>
      <c r="W1398" s="1268">
        <v>0</v>
      </c>
      <c r="X1398" s="1268">
        <v>116609.1</v>
      </c>
      <c r="Y1398" s="1268">
        <v>0</v>
      </c>
    </row>
    <row r="1399" spans="1:25" s="1277" customFormat="1">
      <c r="A1399" s="1396"/>
      <c r="B1399" s="1277" t="s">
        <v>46</v>
      </c>
      <c r="C1399" s="1268">
        <f>C1400</f>
        <v>6313286.6600000001</v>
      </c>
      <c r="D1399" s="1268">
        <f t="shared" ref="D1399:Y1399" si="551">D1400</f>
        <v>0</v>
      </c>
      <c r="E1399" s="1268">
        <f t="shared" si="551"/>
        <v>0</v>
      </c>
      <c r="F1399" s="1268">
        <f t="shared" si="551"/>
        <v>0</v>
      </c>
      <c r="G1399" s="1268">
        <f t="shared" si="551"/>
        <v>0</v>
      </c>
      <c r="H1399" s="1268">
        <f t="shared" si="551"/>
        <v>0</v>
      </c>
      <c r="I1399" s="1268">
        <f t="shared" si="551"/>
        <v>0</v>
      </c>
      <c r="J1399" s="1268">
        <f t="shared" si="551"/>
        <v>0</v>
      </c>
      <c r="K1399" s="1278">
        <f t="shared" si="551"/>
        <v>0</v>
      </c>
      <c r="L1399" s="1268">
        <f t="shared" si="551"/>
        <v>0</v>
      </c>
      <c r="M1399" s="1278">
        <f t="shared" si="551"/>
        <v>0</v>
      </c>
      <c r="N1399" s="1268">
        <f t="shared" si="551"/>
        <v>0</v>
      </c>
      <c r="O1399" s="1268">
        <f t="shared" si="551"/>
        <v>457</v>
      </c>
      <c r="P1399" s="1268">
        <f t="shared" si="551"/>
        <v>1387537</v>
      </c>
      <c r="Q1399" s="1268">
        <f t="shared" si="551"/>
        <v>0</v>
      </c>
      <c r="R1399" s="1268">
        <f t="shared" si="551"/>
        <v>0</v>
      </c>
      <c r="S1399" s="1268">
        <f t="shared" si="551"/>
        <v>947.6</v>
      </c>
      <c r="T1399" s="1268">
        <f t="shared" si="551"/>
        <v>4542254.66</v>
      </c>
      <c r="U1399" s="1268">
        <f t="shared" si="551"/>
        <v>0</v>
      </c>
      <c r="V1399" s="1268">
        <f t="shared" si="551"/>
        <v>0</v>
      </c>
      <c r="W1399" s="1268">
        <v>0</v>
      </c>
      <c r="X1399" s="1268">
        <f t="shared" si="551"/>
        <v>383495</v>
      </c>
      <c r="Y1399" s="1268">
        <f t="shared" si="551"/>
        <v>0</v>
      </c>
    </row>
    <row r="1400" spans="1:25" s="1277" customFormat="1" ht="113.4">
      <c r="A1400" s="1396"/>
      <c r="B1400" s="1277" t="s">
        <v>1106</v>
      </c>
      <c r="C1400" s="1268">
        <f>C1401+C1402+C1403</f>
        <v>6313286.6600000001</v>
      </c>
      <c r="D1400" s="1268">
        <f t="shared" ref="D1400:Y1400" si="552">D1401+D1402+D1403</f>
        <v>0</v>
      </c>
      <c r="E1400" s="1268">
        <f t="shared" si="552"/>
        <v>0</v>
      </c>
      <c r="F1400" s="1268">
        <f t="shared" si="552"/>
        <v>0</v>
      </c>
      <c r="G1400" s="1268">
        <f t="shared" si="552"/>
        <v>0</v>
      </c>
      <c r="H1400" s="1268">
        <f t="shared" si="552"/>
        <v>0</v>
      </c>
      <c r="I1400" s="1268">
        <f t="shared" si="552"/>
        <v>0</v>
      </c>
      <c r="J1400" s="1268">
        <f t="shared" si="552"/>
        <v>0</v>
      </c>
      <c r="K1400" s="1278">
        <f t="shared" si="552"/>
        <v>0</v>
      </c>
      <c r="L1400" s="1268">
        <f t="shared" si="552"/>
        <v>0</v>
      </c>
      <c r="M1400" s="1278">
        <f t="shared" si="552"/>
        <v>0</v>
      </c>
      <c r="N1400" s="1268">
        <f t="shared" si="552"/>
        <v>0</v>
      </c>
      <c r="O1400" s="1268">
        <f t="shared" si="552"/>
        <v>457</v>
      </c>
      <c r="P1400" s="1268">
        <f t="shared" si="552"/>
        <v>1387537</v>
      </c>
      <c r="Q1400" s="1268">
        <f t="shared" si="552"/>
        <v>0</v>
      </c>
      <c r="R1400" s="1268">
        <f t="shared" si="552"/>
        <v>0</v>
      </c>
      <c r="S1400" s="1268">
        <f t="shared" si="552"/>
        <v>947.6</v>
      </c>
      <c r="T1400" s="1268">
        <f t="shared" si="552"/>
        <v>4542254.66</v>
      </c>
      <c r="U1400" s="1268">
        <f t="shared" si="552"/>
        <v>0</v>
      </c>
      <c r="V1400" s="1268">
        <f t="shared" si="552"/>
        <v>0</v>
      </c>
      <c r="W1400" s="1268">
        <v>0</v>
      </c>
      <c r="X1400" s="1268">
        <f t="shared" si="552"/>
        <v>383495</v>
      </c>
      <c r="Y1400" s="1268">
        <f t="shared" si="552"/>
        <v>0</v>
      </c>
    </row>
    <row r="1401" spans="1:25" s="1277" customFormat="1">
      <c r="A1401" s="1396">
        <v>483</v>
      </c>
      <c r="B1401" s="1277" t="s">
        <v>1602</v>
      </c>
      <c r="C1401" s="1268">
        <f t="shared" ref="C1401" si="553">D1401+N1401+P1401+R1401+T1401+V1401+X1401</f>
        <v>1415265</v>
      </c>
      <c r="D1401" s="1268">
        <f t="shared" ref="D1401" si="554">SUM(E1401:J1401)</f>
        <v>0</v>
      </c>
      <c r="E1401" s="1268">
        <v>0</v>
      </c>
      <c r="F1401" s="1268">
        <v>0</v>
      </c>
      <c r="G1401" s="1268">
        <v>0</v>
      </c>
      <c r="H1401" s="1268">
        <v>0</v>
      </c>
      <c r="I1401" s="1268">
        <v>0</v>
      </c>
      <c r="J1401" s="1268">
        <v>0</v>
      </c>
      <c r="K1401" s="1278">
        <v>0</v>
      </c>
      <c r="L1401" s="1268">
        <v>0</v>
      </c>
      <c r="M1401" s="1278">
        <v>0</v>
      </c>
      <c r="N1401" s="1268">
        <v>0</v>
      </c>
      <c r="O1401" s="1268">
        <v>457</v>
      </c>
      <c r="P1401" s="1268">
        <v>1387537</v>
      </c>
      <c r="Q1401" s="1268">
        <v>0</v>
      </c>
      <c r="R1401" s="1268">
        <v>0</v>
      </c>
      <c r="S1401" s="1268">
        <v>0</v>
      </c>
      <c r="T1401" s="1268">
        <v>0</v>
      </c>
      <c r="U1401" s="1268">
        <v>0</v>
      </c>
      <c r="V1401" s="1268">
        <v>0</v>
      </c>
      <c r="W1401" s="1268">
        <v>0</v>
      </c>
      <c r="X1401" s="1268">
        <v>27728</v>
      </c>
      <c r="Y1401" s="1268">
        <v>0</v>
      </c>
    </row>
    <row r="1402" spans="1:25" s="1277" customFormat="1">
      <c r="A1402" s="1396">
        <v>484</v>
      </c>
      <c r="B1402" s="1277" t="s">
        <v>1603</v>
      </c>
      <c r="C1402" s="1268">
        <f t="shared" ref="C1402:C1403" si="555">D1402+N1402+P1402+R1402+T1402+V1402+X1402</f>
        <v>2435054.66</v>
      </c>
      <c r="D1402" s="1268">
        <f t="shared" ref="D1402:D1403" si="556">SUM(E1402:J1402)</f>
        <v>0</v>
      </c>
      <c r="E1402" s="1268">
        <v>0</v>
      </c>
      <c r="F1402" s="1268">
        <v>0</v>
      </c>
      <c r="G1402" s="1268">
        <v>0</v>
      </c>
      <c r="H1402" s="1268">
        <v>0</v>
      </c>
      <c r="I1402" s="1268">
        <v>0</v>
      </c>
      <c r="J1402" s="1268">
        <v>0</v>
      </c>
      <c r="K1402" s="1278">
        <v>0</v>
      </c>
      <c r="L1402" s="1268">
        <v>0</v>
      </c>
      <c r="M1402" s="1278">
        <v>0</v>
      </c>
      <c r="N1402" s="1268">
        <v>0</v>
      </c>
      <c r="O1402" s="1268">
        <v>0</v>
      </c>
      <c r="P1402" s="1268">
        <v>0</v>
      </c>
      <c r="Q1402" s="1268">
        <v>0</v>
      </c>
      <c r="R1402" s="1268">
        <v>0</v>
      </c>
      <c r="S1402" s="1268">
        <v>471.1</v>
      </c>
      <c r="T1402" s="1268">
        <v>2258184.66</v>
      </c>
      <c r="U1402" s="1268">
        <v>0</v>
      </c>
      <c r="V1402" s="1268">
        <v>0</v>
      </c>
      <c r="W1402" s="1268">
        <v>0</v>
      </c>
      <c r="X1402" s="1268">
        <v>176870</v>
      </c>
      <c r="Y1402" s="1268">
        <v>0</v>
      </c>
    </row>
    <row r="1403" spans="1:25" s="1277" customFormat="1" ht="56.4" customHeight="1">
      <c r="A1403" s="1396">
        <v>485</v>
      </c>
      <c r="B1403" s="1277" t="s">
        <v>592</v>
      </c>
      <c r="C1403" s="1268">
        <f t="shared" si="555"/>
        <v>2462967</v>
      </c>
      <c r="D1403" s="1268">
        <f t="shared" si="556"/>
        <v>0</v>
      </c>
      <c r="E1403" s="1268">
        <v>0</v>
      </c>
      <c r="F1403" s="1268">
        <v>0</v>
      </c>
      <c r="G1403" s="1268">
        <v>0</v>
      </c>
      <c r="H1403" s="1268">
        <v>0</v>
      </c>
      <c r="I1403" s="1268">
        <v>0</v>
      </c>
      <c r="J1403" s="1268">
        <v>0</v>
      </c>
      <c r="K1403" s="1278">
        <v>0</v>
      </c>
      <c r="L1403" s="1268">
        <v>0</v>
      </c>
      <c r="M1403" s="1278">
        <v>0</v>
      </c>
      <c r="N1403" s="1268">
        <v>0</v>
      </c>
      <c r="O1403" s="1268">
        <v>0</v>
      </c>
      <c r="P1403" s="1268">
        <v>0</v>
      </c>
      <c r="Q1403" s="1268">
        <v>0</v>
      </c>
      <c r="R1403" s="1268">
        <v>0</v>
      </c>
      <c r="S1403" s="1268">
        <v>476.5</v>
      </c>
      <c r="T1403" s="1268">
        <v>2284070</v>
      </c>
      <c r="U1403" s="1268">
        <v>0</v>
      </c>
      <c r="V1403" s="1268">
        <v>0</v>
      </c>
      <c r="W1403" s="1268">
        <v>0</v>
      </c>
      <c r="X1403" s="1268">
        <v>178897</v>
      </c>
      <c r="Y1403" s="1268">
        <v>0</v>
      </c>
    </row>
    <row r="1404" spans="1:25" s="1277" customFormat="1" ht="75.599999999999994">
      <c r="A1404" s="1396"/>
      <c r="B1404" s="1277" t="s">
        <v>2012</v>
      </c>
      <c r="C1404" s="1268">
        <f>SUM(C1405:C1413)</f>
        <v>15338279.420000002</v>
      </c>
      <c r="D1404" s="1268">
        <f t="shared" ref="D1404:Y1404" si="557">SUM(D1405:D1413)</f>
        <v>0</v>
      </c>
      <c r="E1404" s="1268">
        <f t="shared" si="557"/>
        <v>0</v>
      </c>
      <c r="F1404" s="1268">
        <f t="shared" si="557"/>
        <v>0</v>
      </c>
      <c r="G1404" s="1268">
        <f t="shared" si="557"/>
        <v>0</v>
      </c>
      <c r="H1404" s="1268">
        <f t="shared" si="557"/>
        <v>0</v>
      </c>
      <c r="I1404" s="1268">
        <f t="shared" si="557"/>
        <v>0</v>
      </c>
      <c r="J1404" s="1268">
        <f t="shared" si="557"/>
        <v>0</v>
      </c>
      <c r="K1404" s="1278">
        <f t="shared" si="557"/>
        <v>0</v>
      </c>
      <c r="L1404" s="1268">
        <f t="shared" si="557"/>
        <v>0</v>
      </c>
      <c r="M1404" s="1278">
        <f t="shared" si="557"/>
        <v>0</v>
      </c>
      <c r="N1404" s="1268">
        <f t="shared" si="557"/>
        <v>0</v>
      </c>
      <c r="O1404" s="1268">
        <f t="shared" si="557"/>
        <v>4627.6500000000005</v>
      </c>
      <c r="P1404" s="1268">
        <f t="shared" si="557"/>
        <v>14297623.25</v>
      </c>
      <c r="Q1404" s="1268">
        <f t="shared" si="557"/>
        <v>0</v>
      </c>
      <c r="R1404" s="1268">
        <f t="shared" si="557"/>
        <v>0</v>
      </c>
      <c r="S1404" s="1268">
        <f t="shared" si="557"/>
        <v>0</v>
      </c>
      <c r="T1404" s="1268">
        <f t="shared" si="557"/>
        <v>0</v>
      </c>
      <c r="U1404" s="1268">
        <f t="shared" si="557"/>
        <v>0</v>
      </c>
      <c r="V1404" s="1268">
        <f t="shared" si="557"/>
        <v>0</v>
      </c>
      <c r="W1404" s="1268">
        <v>0</v>
      </c>
      <c r="X1404" s="1268">
        <f t="shared" si="557"/>
        <v>1040656.1699999999</v>
      </c>
      <c r="Y1404" s="1268">
        <f t="shared" si="557"/>
        <v>0</v>
      </c>
    </row>
    <row r="1405" spans="1:25" s="1277" customFormat="1">
      <c r="A1405" s="1396">
        <v>486</v>
      </c>
      <c r="B1405" s="1267" t="s">
        <v>1035</v>
      </c>
      <c r="C1405" s="1268">
        <f t="shared" ref="C1405" si="558">D1405+N1405+P1405+R1405+T1405+V1405+X1405</f>
        <v>1194765</v>
      </c>
      <c r="D1405" s="1268">
        <f t="shared" ref="D1405" si="559">SUM(E1405:J1405)</f>
        <v>0</v>
      </c>
      <c r="E1405" s="1268">
        <v>0</v>
      </c>
      <c r="F1405" s="1268">
        <v>0</v>
      </c>
      <c r="G1405" s="1268">
        <v>0</v>
      </c>
      <c r="H1405" s="1268">
        <v>0</v>
      </c>
      <c r="I1405" s="1268">
        <v>0</v>
      </c>
      <c r="J1405" s="1268">
        <v>0</v>
      </c>
      <c r="K1405" s="1278">
        <v>0</v>
      </c>
      <c r="L1405" s="1268">
        <v>0</v>
      </c>
      <c r="M1405" s="1278">
        <v>0</v>
      </c>
      <c r="N1405" s="1268">
        <v>0</v>
      </c>
      <c r="O1405" s="1268">
        <v>353</v>
      </c>
      <c r="P1405" s="1268">
        <v>1107983</v>
      </c>
      <c r="Q1405" s="1268">
        <v>0</v>
      </c>
      <c r="R1405" s="1268">
        <v>0</v>
      </c>
      <c r="S1405" s="1268">
        <v>0</v>
      </c>
      <c r="T1405" s="1268">
        <v>0</v>
      </c>
      <c r="U1405" s="1268">
        <v>0</v>
      </c>
      <c r="V1405" s="1268">
        <v>0</v>
      </c>
      <c r="W1405" s="1268">
        <v>0</v>
      </c>
      <c r="X1405" s="1268">
        <v>86782</v>
      </c>
      <c r="Y1405" s="1268">
        <v>0</v>
      </c>
    </row>
    <row r="1406" spans="1:25" s="1277" customFormat="1">
      <c r="A1406" s="1396">
        <v>487</v>
      </c>
      <c r="B1406" s="1267" t="s">
        <v>1135</v>
      </c>
      <c r="C1406" s="1268">
        <f t="shared" ref="C1406:C1413" si="560">D1406+N1406+P1406+R1406+T1406+V1406+X1406</f>
        <v>1627575</v>
      </c>
      <c r="D1406" s="1268">
        <f t="shared" ref="D1406:D1413" si="561">SUM(E1406:J1406)</f>
        <v>0</v>
      </c>
      <c r="E1406" s="1268">
        <v>0</v>
      </c>
      <c r="F1406" s="1268">
        <v>0</v>
      </c>
      <c r="G1406" s="1268">
        <v>0</v>
      </c>
      <c r="H1406" s="1268">
        <v>0</v>
      </c>
      <c r="I1406" s="1268">
        <v>0</v>
      </c>
      <c r="J1406" s="1268">
        <v>0</v>
      </c>
      <c r="K1406" s="1278">
        <v>0</v>
      </c>
      <c r="L1406" s="1268">
        <v>0</v>
      </c>
      <c r="M1406" s="1278">
        <v>0</v>
      </c>
      <c r="N1406" s="1268">
        <v>0</v>
      </c>
      <c r="O1406" s="1268">
        <v>599</v>
      </c>
      <c r="P1406" s="1268">
        <v>1509356</v>
      </c>
      <c r="Q1406" s="1268">
        <v>0</v>
      </c>
      <c r="R1406" s="1268">
        <v>0</v>
      </c>
      <c r="S1406" s="1268">
        <v>0</v>
      </c>
      <c r="T1406" s="1268">
        <v>0</v>
      </c>
      <c r="U1406" s="1268">
        <v>0</v>
      </c>
      <c r="V1406" s="1268">
        <v>0</v>
      </c>
      <c r="W1406" s="1268">
        <v>0</v>
      </c>
      <c r="X1406" s="1268">
        <v>118219</v>
      </c>
      <c r="Y1406" s="1268">
        <v>0</v>
      </c>
    </row>
    <row r="1407" spans="1:25" s="1277" customFormat="1">
      <c r="A1407" s="1396">
        <v>488</v>
      </c>
      <c r="B1407" s="1267" t="s">
        <v>1136</v>
      </c>
      <c r="C1407" s="1268">
        <f t="shared" si="560"/>
        <v>1570456</v>
      </c>
      <c r="D1407" s="1268">
        <f t="shared" si="561"/>
        <v>0</v>
      </c>
      <c r="E1407" s="1268">
        <v>0</v>
      </c>
      <c r="F1407" s="1268">
        <v>0</v>
      </c>
      <c r="G1407" s="1268">
        <v>0</v>
      </c>
      <c r="H1407" s="1268">
        <v>0</v>
      </c>
      <c r="I1407" s="1268">
        <v>0</v>
      </c>
      <c r="J1407" s="1268">
        <v>0</v>
      </c>
      <c r="K1407" s="1278">
        <v>0</v>
      </c>
      <c r="L1407" s="1268">
        <v>0</v>
      </c>
      <c r="M1407" s="1278">
        <v>0</v>
      </c>
      <c r="N1407" s="1268">
        <v>0</v>
      </c>
      <c r="O1407" s="1268">
        <v>464</v>
      </c>
      <c r="P1407" s="1268">
        <v>1456386</v>
      </c>
      <c r="Q1407" s="1268">
        <v>0</v>
      </c>
      <c r="R1407" s="1268">
        <v>0</v>
      </c>
      <c r="S1407" s="1268">
        <v>0</v>
      </c>
      <c r="T1407" s="1268">
        <v>0</v>
      </c>
      <c r="U1407" s="1268">
        <v>0</v>
      </c>
      <c r="V1407" s="1268">
        <v>0</v>
      </c>
      <c r="W1407" s="1268">
        <v>0</v>
      </c>
      <c r="X1407" s="1268">
        <v>114070</v>
      </c>
      <c r="Y1407" s="1268">
        <v>0</v>
      </c>
    </row>
    <row r="1408" spans="1:25" s="1277" customFormat="1">
      <c r="A1408" s="1396">
        <v>489</v>
      </c>
      <c r="B1408" s="1267" t="s">
        <v>1137</v>
      </c>
      <c r="C1408" s="1268">
        <f t="shared" si="560"/>
        <v>2416059.7000000002</v>
      </c>
      <c r="D1408" s="1268">
        <f t="shared" si="561"/>
        <v>0</v>
      </c>
      <c r="E1408" s="1268">
        <v>0</v>
      </c>
      <c r="F1408" s="1268">
        <v>0</v>
      </c>
      <c r="G1408" s="1268">
        <v>0</v>
      </c>
      <c r="H1408" s="1268">
        <v>0</v>
      </c>
      <c r="I1408" s="1268">
        <v>0</v>
      </c>
      <c r="J1408" s="1268">
        <v>0</v>
      </c>
      <c r="K1408" s="1278">
        <v>0</v>
      </c>
      <c r="L1408" s="1268">
        <v>0</v>
      </c>
      <c r="M1408" s="1278">
        <v>0</v>
      </c>
      <c r="N1408" s="1268">
        <v>0</v>
      </c>
      <c r="O1408" s="1268">
        <v>633.9</v>
      </c>
      <c r="P1408" s="1268">
        <v>2293696.7000000002</v>
      </c>
      <c r="Q1408" s="1268">
        <v>0</v>
      </c>
      <c r="R1408" s="1268">
        <v>0</v>
      </c>
      <c r="S1408" s="1268">
        <v>0</v>
      </c>
      <c r="T1408" s="1268">
        <v>0</v>
      </c>
      <c r="U1408" s="1268">
        <v>0</v>
      </c>
      <c r="V1408" s="1268">
        <v>0</v>
      </c>
      <c r="W1408" s="1268">
        <v>0</v>
      </c>
      <c r="X1408" s="1268">
        <v>122363</v>
      </c>
      <c r="Y1408" s="1268">
        <v>0</v>
      </c>
    </row>
    <row r="1409" spans="1:25" s="1277" customFormat="1">
      <c r="A1409" s="1396">
        <v>490</v>
      </c>
      <c r="B1409" s="1267" t="s">
        <v>870</v>
      </c>
      <c r="C1409" s="1268">
        <f t="shared" si="560"/>
        <v>1579931.79</v>
      </c>
      <c r="D1409" s="1268">
        <f t="shared" si="561"/>
        <v>0</v>
      </c>
      <c r="E1409" s="1268">
        <v>0</v>
      </c>
      <c r="F1409" s="1268">
        <v>0</v>
      </c>
      <c r="G1409" s="1268">
        <v>0</v>
      </c>
      <c r="H1409" s="1268">
        <v>0</v>
      </c>
      <c r="I1409" s="1268">
        <v>0</v>
      </c>
      <c r="J1409" s="1268">
        <v>0</v>
      </c>
      <c r="K1409" s="1278">
        <v>0</v>
      </c>
      <c r="L1409" s="1268">
        <v>0</v>
      </c>
      <c r="M1409" s="1278">
        <v>0</v>
      </c>
      <c r="N1409" s="1268">
        <v>0</v>
      </c>
      <c r="O1409" s="1268">
        <v>466.8</v>
      </c>
      <c r="P1409" s="1268">
        <v>1465173.79</v>
      </c>
      <c r="Q1409" s="1268">
        <v>0</v>
      </c>
      <c r="R1409" s="1268">
        <v>0</v>
      </c>
      <c r="S1409" s="1268">
        <v>0</v>
      </c>
      <c r="T1409" s="1268">
        <v>0</v>
      </c>
      <c r="U1409" s="1268">
        <v>0</v>
      </c>
      <c r="V1409" s="1268">
        <v>0</v>
      </c>
      <c r="W1409" s="1268">
        <v>0</v>
      </c>
      <c r="X1409" s="1268">
        <v>114758</v>
      </c>
      <c r="Y1409" s="1268">
        <v>0</v>
      </c>
    </row>
    <row r="1410" spans="1:25" s="1277" customFormat="1">
      <c r="A1410" s="1396">
        <v>491</v>
      </c>
      <c r="B1410" s="1267" t="s">
        <v>871</v>
      </c>
      <c r="C1410" s="1268">
        <f t="shared" si="560"/>
        <v>1562951</v>
      </c>
      <c r="D1410" s="1268">
        <f t="shared" si="561"/>
        <v>0</v>
      </c>
      <c r="E1410" s="1268">
        <v>0</v>
      </c>
      <c r="F1410" s="1268">
        <v>0</v>
      </c>
      <c r="G1410" s="1268">
        <v>0</v>
      </c>
      <c r="H1410" s="1268">
        <v>0</v>
      </c>
      <c r="I1410" s="1268">
        <v>0</v>
      </c>
      <c r="J1410" s="1268">
        <v>0</v>
      </c>
      <c r="K1410" s="1278">
        <v>0</v>
      </c>
      <c r="L1410" s="1268">
        <v>0</v>
      </c>
      <c r="M1410" s="1278">
        <v>0</v>
      </c>
      <c r="N1410" s="1268">
        <v>0</v>
      </c>
      <c r="O1410" s="1268">
        <v>495.05</v>
      </c>
      <c r="P1410" s="1268">
        <v>1449426.32</v>
      </c>
      <c r="Q1410" s="1268">
        <v>0</v>
      </c>
      <c r="R1410" s="1268">
        <v>0</v>
      </c>
      <c r="S1410" s="1268">
        <v>0</v>
      </c>
      <c r="T1410" s="1268">
        <v>0</v>
      </c>
      <c r="U1410" s="1268">
        <v>0</v>
      </c>
      <c r="V1410" s="1268">
        <v>0</v>
      </c>
      <c r="W1410" s="1268">
        <v>0</v>
      </c>
      <c r="X1410" s="1268">
        <v>113524.68</v>
      </c>
      <c r="Y1410" s="1268">
        <v>0</v>
      </c>
    </row>
    <row r="1411" spans="1:25" s="1277" customFormat="1" ht="58.8" customHeight="1">
      <c r="A1411" s="1396">
        <v>492</v>
      </c>
      <c r="B1411" s="1267" t="s">
        <v>1057</v>
      </c>
      <c r="C1411" s="1268">
        <f t="shared" si="560"/>
        <v>974952</v>
      </c>
      <c r="D1411" s="1268">
        <f t="shared" si="561"/>
        <v>0</v>
      </c>
      <c r="E1411" s="1268">
        <v>0</v>
      </c>
      <c r="F1411" s="1268">
        <v>0</v>
      </c>
      <c r="G1411" s="1268">
        <v>0</v>
      </c>
      <c r="H1411" s="1268">
        <v>0</v>
      </c>
      <c r="I1411" s="1268">
        <v>0</v>
      </c>
      <c r="J1411" s="1268">
        <v>0</v>
      </c>
      <c r="K1411" s="1278">
        <v>0</v>
      </c>
      <c r="L1411" s="1268">
        <v>0</v>
      </c>
      <c r="M1411" s="1278">
        <v>0</v>
      </c>
      <c r="N1411" s="1268">
        <v>0</v>
      </c>
      <c r="O1411" s="1268">
        <v>306</v>
      </c>
      <c r="P1411" s="1268">
        <v>904136.53</v>
      </c>
      <c r="Q1411" s="1268">
        <v>0</v>
      </c>
      <c r="R1411" s="1268">
        <v>0</v>
      </c>
      <c r="S1411" s="1268">
        <v>0</v>
      </c>
      <c r="T1411" s="1268">
        <v>0</v>
      </c>
      <c r="U1411" s="1268">
        <v>0</v>
      </c>
      <c r="V1411" s="1268">
        <v>0</v>
      </c>
      <c r="W1411" s="1268">
        <v>0</v>
      </c>
      <c r="X1411" s="1268">
        <v>70815.47</v>
      </c>
      <c r="Y1411" s="1268">
        <v>0</v>
      </c>
    </row>
    <row r="1412" spans="1:25" s="1277" customFormat="1">
      <c r="A1412" s="1396">
        <v>493</v>
      </c>
      <c r="B1412" s="1267" t="s">
        <v>1058</v>
      </c>
      <c r="C1412" s="1268">
        <f t="shared" si="560"/>
        <v>1423323.48</v>
      </c>
      <c r="D1412" s="1268">
        <f t="shared" si="561"/>
        <v>0</v>
      </c>
      <c r="E1412" s="1268">
        <v>0</v>
      </c>
      <c r="F1412" s="1268">
        <v>0</v>
      </c>
      <c r="G1412" s="1268">
        <v>0</v>
      </c>
      <c r="H1412" s="1268">
        <v>0</v>
      </c>
      <c r="I1412" s="1268">
        <v>0</v>
      </c>
      <c r="J1412" s="1268">
        <v>0</v>
      </c>
      <c r="K1412" s="1278">
        <v>0</v>
      </c>
      <c r="L1412" s="1268">
        <v>0</v>
      </c>
      <c r="M1412" s="1278">
        <v>0</v>
      </c>
      <c r="N1412" s="1268">
        <v>0</v>
      </c>
      <c r="O1412" s="1268">
        <v>427</v>
      </c>
      <c r="P1412" s="1268">
        <v>1340251.46</v>
      </c>
      <c r="Q1412" s="1268">
        <v>0</v>
      </c>
      <c r="R1412" s="1268">
        <v>0</v>
      </c>
      <c r="S1412" s="1268">
        <v>0</v>
      </c>
      <c r="T1412" s="1268">
        <v>0</v>
      </c>
      <c r="U1412" s="1268">
        <v>0</v>
      </c>
      <c r="V1412" s="1268">
        <v>0</v>
      </c>
      <c r="W1412" s="1268">
        <v>0</v>
      </c>
      <c r="X1412" s="1268">
        <v>83072.02</v>
      </c>
      <c r="Y1412" s="1268">
        <v>0</v>
      </c>
    </row>
    <row r="1413" spans="1:25" s="1277" customFormat="1">
      <c r="A1413" s="1396">
        <v>494</v>
      </c>
      <c r="B1413" s="1267" t="s">
        <v>880</v>
      </c>
      <c r="C1413" s="1268">
        <f t="shared" si="560"/>
        <v>2988265.45</v>
      </c>
      <c r="D1413" s="1268">
        <f t="shared" si="561"/>
        <v>0</v>
      </c>
      <c r="E1413" s="1268">
        <v>0</v>
      </c>
      <c r="F1413" s="1268">
        <v>0</v>
      </c>
      <c r="G1413" s="1268">
        <v>0</v>
      </c>
      <c r="H1413" s="1268">
        <v>0</v>
      </c>
      <c r="I1413" s="1268">
        <v>0</v>
      </c>
      <c r="J1413" s="1268">
        <v>0</v>
      </c>
      <c r="K1413" s="1278">
        <v>0</v>
      </c>
      <c r="L1413" s="1268">
        <v>0</v>
      </c>
      <c r="M1413" s="1278">
        <v>0</v>
      </c>
      <c r="N1413" s="1268">
        <v>0</v>
      </c>
      <c r="O1413" s="1268">
        <v>882.9</v>
      </c>
      <c r="P1413" s="1268">
        <v>2771213.45</v>
      </c>
      <c r="Q1413" s="1268">
        <v>0</v>
      </c>
      <c r="R1413" s="1268">
        <v>0</v>
      </c>
      <c r="S1413" s="1268">
        <v>0</v>
      </c>
      <c r="T1413" s="1268">
        <v>0</v>
      </c>
      <c r="U1413" s="1268">
        <v>0</v>
      </c>
      <c r="V1413" s="1268">
        <v>0</v>
      </c>
      <c r="W1413" s="1268">
        <v>0</v>
      </c>
      <c r="X1413" s="1268">
        <v>217052</v>
      </c>
      <c r="Y1413" s="1268">
        <v>0</v>
      </c>
    </row>
    <row r="1414" spans="1:25" s="1277" customFormat="1">
      <c r="A1414" s="1396"/>
      <c r="B1414" s="1277" t="s">
        <v>48</v>
      </c>
      <c r="C1414" s="1268">
        <f t="shared" ref="C1414:Y1414" si="562">C1421+C1415</f>
        <v>9411662.4107917193</v>
      </c>
      <c r="D1414" s="1268">
        <f t="shared" si="562"/>
        <v>1172160</v>
      </c>
      <c r="E1414" s="1268">
        <f t="shared" si="562"/>
        <v>169921</v>
      </c>
      <c r="F1414" s="1268">
        <f t="shared" si="562"/>
        <v>1002239</v>
      </c>
      <c r="G1414" s="1268">
        <f t="shared" si="562"/>
        <v>0</v>
      </c>
      <c r="H1414" s="1268">
        <f t="shared" si="562"/>
        <v>0</v>
      </c>
      <c r="I1414" s="1268">
        <f t="shared" si="562"/>
        <v>0</v>
      </c>
      <c r="J1414" s="1268">
        <f t="shared" si="562"/>
        <v>0</v>
      </c>
      <c r="K1414" s="1278">
        <f t="shared" si="562"/>
        <v>0</v>
      </c>
      <c r="L1414" s="1268">
        <f t="shared" si="562"/>
        <v>0</v>
      </c>
      <c r="M1414" s="1278">
        <f t="shared" si="562"/>
        <v>0</v>
      </c>
      <c r="N1414" s="1268">
        <f t="shared" si="562"/>
        <v>0</v>
      </c>
      <c r="O1414" s="1268">
        <f t="shared" si="562"/>
        <v>897.1</v>
      </c>
      <c r="P1414" s="1268">
        <f t="shared" si="562"/>
        <v>2729361.7195986928</v>
      </c>
      <c r="Q1414" s="1268">
        <f t="shared" si="562"/>
        <v>0</v>
      </c>
      <c r="R1414" s="1268">
        <f t="shared" si="562"/>
        <v>0</v>
      </c>
      <c r="S1414" s="1268">
        <f t="shared" si="562"/>
        <v>1942.27</v>
      </c>
      <c r="T1414" s="1268">
        <f t="shared" si="562"/>
        <v>4762197</v>
      </c>
      <c r="U1414" s="1268">
        <f t="shared" si="562"/>
        <v>0</v>
      </c>
      <c r="V1414" s="1268">
        <f t="shared" si="562"/>
        <v>0</v>
      </c>
      <c r="W1414" s="1268">
        <v>0</v>
      </c>
      <c r="X1414" s="1268">
        <f t="shared" si="562"/>
        <v>747943.69119302707</v>
      </c>
      <c r="Y1414" s="1268">
        <f t="shared" si="562"/>
        <v>0</v>
      </c>
    </row>
    <row r="1415" spans="1:25" s="1277" customFormat="1" ht="75.599999999999994">
      <c r="A1415" s="1396"/>
      <c r="B1415" s="1277" t="s">
        <v>1078</v>
      </c>
      <c r="C1415" s="1268">
        <f>SUM(C1416:C1420)</f>
        <v>8040898.5207917197</v>
      </c>
      <c r="D1415" s="1268">
        <f t="shared" ref="D1415:Y1415" si="563">SUM(D1416:D1420)</f>
        <v>1172160</v>
      </c>
      <c r="E1415" s="1268">
        <f t="shared" si="563"/>
        <v>169921</v>
      </c>
      <c r="F1415" s="1268">
        <f t="shared" si="563"/>
        <v>1002239</v>
      </c>
      <c r="G1415" s="1268">
        <f t="shared" si="563"/>
        <v>0</v>
      </c>
      <c r="H1415" s="1268">
        <f t="shared" si="563"/>
        <v>0</v>
      </c>
      <c r="I1415" s="1268">
        <f t="shared" si="563"/>
        <v>0</v>
      </c>
      <c r="J1415" s="1268">
        <f t="shared" si="563"/>
        <v>0</v>
      </c>
      <c r="K1415" s="1278">
        <f t="shared" si="563"/>
        <v>0</v>
      </c>
      <c r="L1415" s="1268">
        <f t="shared" si="563"/>
        <v>0</v>
      </c>
      <c r="M1415" s="1278">
        <f t="shared" si="563"/>
        <v>0</v>
      </c>
      <c r="N1415" s="1268">
        <f t="shared" si="563"/>
        <v>0</v>
      </c>
      <c r="O1415" s="1268">
        <f t="shared" si="563"/>
        <v>492.1</v>
      </c>
      <c r="P1415" s="1268">
        <f t="shared" si="563"/>
        <v>1458163.0295986927</v>
      </c>
      <c r="Q1415" s="1268">
        <f t="shared" si="563"/>
        <v>0</v>
      </c>
      <c r="R1415" s="1268">
        <f t="shared" si="563"/>
        <v>0</v>
      </c>
      <c r="S1415" s="1268">
        <f t="shared" si="563"/>
        <v>1942.27</v>
      </c>
      <c r="T1415" s="1268">
        <f t="shared" si="563"/>
        <v>4762197</v>
      </c>
      <c r="U1415" s="1268">
        <f t="shared" si="563"/>
        <v>0</v>
      </c>
      <c r="V1415" s="1268">
        <f t="shared" si="563"/>
        <v>0</v>
      </c>
      <c r="W1415" s="1268">
        <v>0</v>
      </c>
      <c r="X1415" s="1268">
        <f t="shared" si="563"/>
        <v>648378.49119302712</v>
      </c>
      <c r="Y1415" s="1268">
        <f t="shared" si="563"/>
        <v>0</v>
      </c>
    </row>
    <row r="1416" spans="1:25" s="1277" customFormat="1">
      <c r="A1416" s="1396">
        <v>495</v>
      </c>
      <c r="B1416" s="1277" t="s">
        <v>774</v>
      </c>
      <c r="C1416" s="1268">
        <f t="shared" ref="C1416" si="564">D1416+N1416+P1416+R1416+T1416+V1416+X1416</f>
        <v>3678196</v>
      </c>
      <c r="D1416" s="1268">
        <f t="shared" ref="D1416" si="565">SUM(E1416:J1416)</f>
        <v>0</v>
      </c>
      <c r="E1416" s="1268">
        <v>0</v>
      </c>
      <c r="F1416" s="1268">
        <v>0</v>
      </c>
      <c r="G1416" s="1268">
        <v>0</v>
      </c>
      <c r="H1416" s="1268">
        <v>0</v>
      </c>
      <c r="I1416" s="1268">
        <v>0</v>
      </c>
      <c r="J1416" s="1268">
        <v>0</v>
      </c>
      <c r="K1416" s="1278">
        <v>0</v>
      </c>
      <c r="L1416" s="1268">
        <v>0</v>
      </c>
      <c r="M1416" s="1278">
        <v>0</v>
      </c>
      <c r="N1416" s="1268">
        <v>0</v>
      </c>
      <c r="O1416" s="1268">
        <v>0</v>
      </c>
      <c r="P1416" s="1268">
        <v>0</v>
      </c>
      <c r="Q1416" s="1268">
        <v>0</v>
      </c>
      <c r="R1416" s="1268">
        <v>0</v>
      </c>
      <c r="S1416" s="1268">
        <v>1382.27</v>
      </c>
      <c r="T1416" s="1268">
        <v>3411031</v>
      </c>
      <c r="U1416" s="1268">
        <v>0</v>
      </c>
      <c r="V1416" s="1268">
        <v>0</v>
      </c>
      <c r="W1416" s="1268">
        <v>0</v>
      </c>
      <c r="X1416" s="1268">
        <v>267165</v>
      </c>
      <c r="Y1416" s="1268">
        <v>0</v>
      </c>
    </row>
    <row r="1417" spans="1:25" s="1277" customFormat="1" ht="75.599999999999994">
      <c r="A1417" s="1396">
        <v>496</v>
      </c>
      <c r="B1417" s="1277" t="s">
        <v>770</v>
      </c>
      <c r="C1417" s="1268">
        <f t="shared" ref="C1417:C1420" si="566">D1417+N1417+P1417+R1417+T1417+V1417+X1417</f>
        <v>1456995</v>
      </c>
      <c r="D1417" s="1268">
        <f t="shared" ref="D1417:D1420" si="567">SUM(E1417:J1417)</f>
        <v>0</v>
      </c>
      <c r="E1417" s="1268">
        <v>0</v>
      </c>
      <c r="F1417" s="1268">
        <v>0</v>
      </c>
      <c r="G1417" s="1268">
        <v>0</v>
      </c>
      <c r="H1417" s="1268">
        <v>0</v>
      </c>
      <c r="I1417" s="1268">
        <v>0</v>
      </c>
      <c r="J1417" s="1268">
        <v>0</v>
      </c>
      <c r="K1417" s="1278">
        <v>0</v>
      </c>
      <c r="L1417" s="1268">
        <v>0</v>
      </c>
      <c r="M1417" s="1278">
        <v>0</v>
      </c>
      <c r="N1417" s="1268">
        <v>0</v>
      </c>
      <c r="O1417" s="1268">
        <v>0</v>
      </c>
      <c r="P1417" s="1268">
        <v>0</v>
      </c>
      <c r="Q1417" s="1268">
        <v>0</v>
      </c>
      <c r="R1417" s="1268">
        <v>0</v>
      </c>
      <c r="S1417" s="1268">
        <v>560</v>
      </c>
      <c r="T1417" s="1268">
        <v>1351166</v>
      </c>
      <c r="U1417" s="1268">
        <v>0</v>
      </c>
      <c r="V1417" s="1268">
        <v>0</v>
      </c>
      <c r="W1417" s="1268">
        <v>0</v>
      </c>
      <c r="X1417" s="1268">
        <v>105829</v>
      </c>
      <c r="Y1417" s="1268">
        <v>0</v>
      </c>
    </row>
    <row r="1418" spans="1:25" s="1277" customFormat="1">
      <c r="A1418" s="1396">
        <v>497</v>
      </c>
      <c r="B1418" s="1277" t="s">
        <v>772</v>
      </c>
      <c r="C1418" s="1268">
        <f t="shared" si="566"/>
        <v>1572372</v>
      </c>
      <c r="D1418" s="1268">
        <f t="shared" si="567"/>
        <v>0</v>
      </c>
      <c r="E1418" s="1268">
        <v>0</v>
      </c>
      <c r="F1418" s="1268">
        <v>0</v>
      </c>
      <c r="G1418" s="1268">
        <v>0</v>
      </c>
      <c r="H1418" s="1268">
        <v>0</v>
      </c>
      <c r="I1418" s="1268">
        <v>0</v>
      </c>
      <c r="J1418" s="1268">
        <v>0</v>
      </c>
      <c r="K1418" s="1278">
        <v>0</v>
      </c>
      <c r="L1418" s="1268">
        <v>0</v>
      </c>
      <c r="M1418" s="1278">
        <v>0</v>
      </c>
      <c r="N1418" s="1268">
        <v>0</v>
      </c>
      <c r="O1418" s="1268">
        <v>492.1</v>
      </c>
      <c r="P1418" s="1268">
        <v>1458163.0295986927</v>
      </c>
      <c r="Q1418" s="1268">
        <v>0</v>
      </c>
      <c r="R1418" s="1268">
        <v>0</v>
      </c>
      <c r="S1418" s="1268">
        <v>0</v>
      </c>
      <c r="T1418" s="1268">
        <v>0</v>
      </c>
      <c r="U1418" s="1268">
        <v>0</v>
      </c>
      <c r="V1418" s="1268">
        <v>0</v>
      </c>
      <c r="W1418" s="1268">
        <v>0</v>
      </c>
      <c r="X1418" s="1268">
        <v>114208.97040130742</v>
      </c>
      <c r="Y1418" s="1268">
        <v>0</v>
      </c>
    </row>
    <row r="1419" spans="1:25" s="1277" customFormat="1">
      <c r="A1419" s="1396">
        <v>498</v>
      </c>
      <c r="B1419" s="1277" t="s">
        <v>773</v>
      </c>
      <c r="C1419" s="1268">
        <f t="shared" si="566"/>
        <v>1080738</v>
      </c>
      <c r="D1419" s="1268">
        <f t="shared" si="567"/>
        <v>1002239</v>
      </c>
      <c r="E1419" s="1268">
        <v>0</v>
      </c>
      <c r="F1419" s="1268">
        <v>1002239</v>
      </c>
      <c r="G1419" s="1268">
        <v>0</v>
      </c>
      <c r="H1419" s="1268">
        <v>0</v>
      </c>
      <c r="I1419" s="1268">
        <v>0</v>
      </c>
      <c r="J1419" s="1268">
        <v>0</v>
      </c>
      <c r="K1419" s="1278">
        <v>0</v>
      </c>
      <c r="L1419" s="1268">
        <v>0</v>
      </c>
      <c r="M1419" s="1278">
        <v>0</v>
      </c>
      <c r="N1419" s="1268">
        <v>0</v>
      </c>
      <c r="O1419" s="1268">
        <v>0</v>
      </c>
      <c r="P1419" s="1268">
        <v>0</v>
      </c>
      <c r="Q1419" s="1268">
        <v>0</v>
      </c>
      <c r="R1419" s="1268">
        <v>0</v>
      </c>
      <c r="S1419" s="1268">
        <v>0</v>
      </c>
      <c r="T1419" s="1268">
        <v>0</v>
      </c>
      <c r="U1419" s="1268">
        <v>0</v>
      </c>
      <c r="V1419" s="1268">
        <v>0</v>
      </c>
      <c r="W1419" s="1268">
        <v>0</v>
      </c>
      <c r="X1419" s="1268">
        <v>78499</v>
      </c>
      <c r="Y1419" s="1268">
        <v>0</v>
      </c>
    </row>
    <row r="1420" spans="1:25" s="1277" customFormat="1" ht="75.599999999999994">
      <c r="A1420" s="1396">
        <v>499</v>
      </c>
      <c r="B1420" s="1277" t="s">
        <v>1138</v>
      </c>
      <c r="C1420" s="1268">
        <f t="shared" si="566"/>
        <v>252597.52079171961</v>
      </c>
      <c r="D1420" s="1268">
        <f t="shared" si="567"/>
        <v>169921</v>
      </c>
      <c r="E1420" s="1268">
        <v>169921</v>
      </c>
      <c r="F1420" s="1268">
        <v>0</v>
      </c>
      <c r="G1420" s="1268">
        <v>0</v>
      </c>
      <c r="H1420" s="1268">
        <v>0</v>
      </c>
      <c r="I1420" s="1268">
        <v>0</v>
      </c>
      <c r="J1420" s="1268">
        <v>0</v>
      </c>
      <c r="K1420" s="1278">
        <v>0</v>
      </c>
      <c r="L1420" s="1268">
        <v>0</v>
      </c>
      <c r="M1420" s="1278">
        <v>0</v>
      </c>
      <c r="N1420" s="1268">
        <v>0</v>
      </c>
      <c r="O1420" s="1268">
        <v>0</v>
      </c>
      <c r="P1420" s="1268">
        <v>0</v>
      </c>
      <c r="Q1420" s="1293">
        <v>0</v>
      </c>
      <c r="R1420" s="1268">
        <v>0</v>
      </c>
      <c r="S1420" s="1268">
        <v>0</v>
      </c>
      <c r="T1420" s="1268">
        <v>0</v>
      </c>
      <c r="U1420" s="1293">
        <v>0</v>
      </c>
      <c r="V1420" s="1268">
        <v>0</v>
      </c>
      <c r="W1420" s="1268">
        <v>0</v>
      </c>
      <c r="X1420" s="1268">
        <v>82676.520791719624</v>
      </c>
      <c r="Y1420" s="1268">
        <v>0</v>
      </c>
    </row>
    <row r="1421" spans="1:25" s="1277" customFormat="1" ht="113.4">
      <c r="A1421" s="1396"/>
      <c r="B1421" s="1277" t="s">
        <v>1199</v>
      </c>
      <c r="C1421" s="1268">
        <f>C1422</f>
        <v>1370763.89</v>
      </c>
      <c r="D1421" s="1268">
        <f t="shared" ref="D1421:Y1421" si="568">D1422</f>
        <v>0</v>
      </c>
      <c r="E1421" s="1268">
        <f t="shared" si="568"/>
        <v>0</v>
      </c>
      <c r="F1421" s="1268">
        <f t="shared" si="568"/>
        <v>0</v>
      </c>
      <c r="G1421" s="1268">
        <f t="shared" si="568"/>
        <v>0</v>
      </c>
      <c r="H1421" s="1268">
        <f t="shared" si="568"/>
        <v>0</v>
      </c>
      <c r="I1421" s="1268">
        <f t="shared" si="568"/>
        <v>0</v>
      </c>
      <c r="J1421" s="1268">
        <f t="shared" si="568"/>
        <v>0</v>
      </c>
      <c r="K1421" s="1278">
        <f t="shared" si="568"/>
        <v>0</v>
      </c>
      <c r="L1421" s="1268">
        <f t="shared" si="568"/>
        <v>0</v>
      </c>
      <c r="M1421" s="1278">
        <f t="shared" si="568"/>
        <v>0</v>
      </c>
      <c r="N1421" s="1268">
        <f t="shared" si="568"/>
        <v>0</v>
      </c>
      <c r="O1421" s="1268">
        <f t="shared" si="568"/>
        <v>405</v>
      </c>
      <c r="P1421" s="1268">
        <f t="shared" si="568"/>
        <v>1271198.69</v>
      </c>
      <c r="Q1421" s="1268">
        <f t="shared" si="568"/>
        <v>0</v>
      </c>
      <c r="R1421" s="1268">
        <f t="shared" si="568"/>
        <v>0</v>
      </c>
      <c r="S1421" s="1268">
        <f t="shared" si="568"/>
        <v>0</v>
      </c>
      <c r="T1421" s="1268">
        <f t="shared" si="568"/>
        <v>0</v>
      </c>
      <c r="U1421" s="1268">
        <f t="shared" si="568"/>
        <v>0</v>
      </c>
      <c r="V1421" s="1268">
        <f t="shared" si="568"/>
        <v>0</v>
      </c>
      <c r="W1421" s="1268">
        <v>0</v>
      </c>
      <c r="X1421" s="1268">
        <f t="shared" si="568"/>
        <v>99565.2</v>
      </c>
      <c r="Y1421" s="1268">
        <f t="shared" si="568"/>
        <v>0</v>
      </c>
    </row>
    <row r="1422" spans="1:25" s="1277" customFormat="1" ht="90" customHeight="1">
      <c r="A1422" s="1396">
        <v>500</v>
      </c>
      <c r="B1422" s="1277" t="s">
        <v>1606</v>
      </c>
      <c r="C1422" s="1268">
        <f t="shared" ref="C1422" si="569">D1422+N1422+P1422+R1422+T1422+V1422+X1422</f>
        <v>1370763.89</v>
      </c>
      <c r="D1422" s="1268">
        <f t="shared" ref="D1422" si="570">SUM(E1422:J1422)</f>
        <v>0</v>
      </c>
      <c r="E1422" s="1268">
        <v>0</v>
      </c>
      <c r="F1422" s="1268">
        <v>0</v>
      </c>
      <c r="G1422" s="1268">
        <v>0</v>
      </c>
      <c r="H1422" s="1268">
        <v>0</v>
      </c>
      <c r="I1422" s="1268">
        <v>0</v>
      </c>
      <c r="J1422" s="1268">
        <v>0</v>
      </c>
      <c r="K1422" s="1278">
        <v>0</v>
      </c>
      <c r="L1422" s="1268">
        <v>0</v>
      </c>
      <c r="M1422" s="1278">
        <v>0</v>
      </c>
      <c r="N1422" s="1268">
        <v>0</v>
      </c>
      <c r="O1422" s="1268">
        <v>405</v>
      </c>
      <c r="P1422" s="1268">
        <v>1271198.69</v>
      </c>
      <c r="Q1422" s="1293">
        <v>0</v>
      </c>
      <c r="R1422" s="1268">
        <v>0</v>
      </c>
      <c r="S1422" s="1268">
        <v>0</v>
      </c>
      <c r="T1422" s="1268">
        <v>0</v>
      </c>
      <c r="U1422" s="1293">
        <v>0</v>
      </c>
      <c r="V1422" s="1268">
        <v>0</v>
      </c>
      <c r="W1422" s="1268">
        <v>0</v>
      </c>
      <c r="X1422" s="1268">
        <v>99565.2</v>
      </c>
      <c r="Y1422" s="1268">
        <v>0</v>
      </c>
    </row>
    <row r="1423" spans="1:25" s="1277" customFormat="1">
      <c r="A1423" s="1396"/>
      <c r="B1423" s="1277" t="s">
        <v>49</v>
      </c>
      <c r="C1423" s="1268">
        <f>C1424+C1428+C1435+C1431+C1426+C1433</f>
        <v>11644242.68</v>
      </c>
      <c r="D1423" s="1268">
        <f t="shared" ref="D1423:Y1423" si="571">D1424+D1428+D1435+D1431+D1426+D1433</f>
        <v>554644</v>
      </c>
      <c r="E1423" s="1268">
        <f t="shared" si="571"/>
        <v>554644</v>
      </c>
      <c r="F1423" s="1268">
        <f t="shared" si="571"/>
        <v>0</v>
      </c>
      <c r="G1423" s="1268">
        <f t="shared" si="571"/>
        <v>0</v>
      </c>
      <c r="H1423" s="1268">
        <f t="shared" si="571"/>
        <v>0</v>
      </c>
      <c r="I1423" s="1268">
        <f t="shared" si="571"/>
        <v>0</v>
      </c>
      <c r="J1423" s="1268">
        <f t="shared" si="571"/>
        <v>0</v>
      </c>
      <c r="K1423" s="1278">
        <f t="shared" si="571"/>
        <v>0</v>
      </c>
      <c r="L1423" s="1268">
        <f t="shared" si="571"/>
        <v>0</v>
      </c>
      <c r="M1423" s="1278">
        <f t="shared" si="571"/>
        <v>0</v>
      </c>
      <c r="N1423" s="1268">
        <f t="shared" si="571"/>
        <v>0</v>
      </c>
      <c r="O1423" s="1268">
        <f t="shared" si="571"/>
        <v>3491</v>
      </c>
      <c r="P1423" s="1268">
        <f t="shared" si="571"/>
        <v>10338600.262495006</v>
      </c>
      <c r="Q1423" s="1268">
        <f t="shared" si="571"/>
        <v>0</v>
      </c>
      <c r="R1423" s="1268">
        <f t="shared" si="571"/>
        <v>0</v>
      </c>
      <c r="S1423" s="1268">
        <f t="shared" si="571"/>
        <v>0</v>
      </c>
      <c r="T1423" s="1268">
        <f t="shared" si="571"/>
        <v>0</v>
      </c>
      <c r="U1423" s="1268">
        <f t="shared" si="571"/>
        <v>0</v>
      </c>
      <c r="V1423" s="1268">
        <f t="shared" si="571"/>
        <v>0</v>
      </c>
      <c r="W1423" s="1268">
        <v>0</v>
      </c>
      <c r="X1423" s="1268">
        <f t="shared" si="571"/>
        <v>750998.41750499362</v>
      </c>
      <c r="Y1423" s="1268">
        <f t="shared" si="571"/>
        <v>0</v>
      </c>
    </row>
    <row r="1424" spans="1:25" s="1277" customFormat="1" ht="113.4">
      <c r="A1424" s="1396"/>
      <c r="B1424" s="1277" t="s">
        <v>1165</v>
      </c>
      <c r="C1424" s="1268">
        <f>SUM(C1425:C1425)</f>
        <v>2567710.3400000003</v>
      </c>
      <c r="D1424" s="1268">
        <f t="shared" ref="D1424:Y1424" si="572">SUM(D1425:D1425)</f>
        <v>0</v>
      </c>
      <c r="E1424" s="1268">
        <f t="shared" si="572"/>
        <v>0</v>
      </c>
      <c r="F1424" s="1268">
        <f t="shared" si="572"/>
        <v>0</v>
      </c>
      <c r="G1424" s="1268">
        <f t="shared" si="572"/>
        <v>0</v>
      </c>
      <c r="H1424" s="1268">
        <f t="shared" si="572"/>
        <v>0</v>
      </c>
      <c r="I1424" s="1268">
        <f t="shared" si="572"/>
        <v>0</v>
      </c>
      <c r="J1424" s="1268">
        <f t="shared" si="572"/>
        <v>0</v>
      </c>
      <c r="K1424" s="1278">
        <v>0</v>
      </c>
      <c r="L1424" s="1268">
        <v>0</v>
      </c>
      <c r="M1424" s="1278">
        <f t="shared" si="572"/>
        <v>0</v>
      </c>
      <c r="N1424" s="1268">
        <f t="shared" si="572"/>
        <v>0</v>
      </c>
      <c r="O1424" s="1268">
        <f t="shared" si="572"/>
        <v>945</v>
      </c>
      <c r="P1424" s="1268">
        <f t="shared" si="572"/>
        <v>2381205.14</v>
      </c>
      <c r="Q1424" s="1268">
        <f t="shared" si="572"/>
        <v>0</v>
      </c>
      <c r="R1424" s="1268">
        <f t="shared" si="572"/>
        <v>0</v>
      </c>
      <c r="S1424" s="1268">
        <f t="shared" si="572"/>
        <v>0</v>
      </c>
      <c r="T1424" s="1268">
        <f t="shared" si="572"/>
        <v>0</v>
      </c>
      <c r="U1424" s="1268">
        <f t="shared" si="572"/>
        <v>0</v>
      </c>
      <c r="V1424" s="1268">
        <f t="shared" si="572"/>
        <v>0</v>
      </c>
      <c r="W1424" s="1268">
        <v>0</v>
      </c>
      <c r="X1424" s="1268">
        <f t="shared" si="572"/>
        <v>186505.2</v>
      </c>
      <c r="Y1424" s="1268">
        <f t="shared" si="572"/>
        <v>0</v>
      </c>
    </row>
    <row r="1425" spans="1:25" s="1277" customFormat="1">
      <c r="A1425" s="1396">
        <v>501</v>
      </c>
      <c r="B1425" s="1267" t="s">
        <v>1166</v>
      </c>
      <c r="C1425" s="1268">
        <f t="shared" ref="C1425" si="573">D1425+N1425+P1425+R1425+T1425+V1425+X1425</f>
        <v>2567710.3400000003</v>
      </c>
      <c r="D1425" s="1268">
        <f t="shared" ref="D1425" si="574">SUM(E1425:J1425)</f>
        <v>0</v>
      </c>
      <c r="E1425" s="1268">
        <v>0</v>
      </c>
      <c r="F1425" s="1268">
        <v>0</v>
      </c>
      <c r="G1425" s="1268">
        <v>0</v>
      </c>
      <c r="H1425" s="1268">
        <v>0</v>
      </c>
      <c r="I1425" s="1268">
        <v>0</v>
      </c>
      <c r="J1425" s="1268">
        <v>0</v>
      </c>
      <c r="K1425" s="1278">
        <v>0</v>
      </c>
      <c r="L1425" s="1268">
        <v>0</v>
      </c>
      <c r="M1425" s="1278">
        <v>0</v>
      </c>
      <c r="N1425" s="1268">
        <v>0</v>
      </c>
      <c r="O1425" s="1268">
        <v>945</v>
      </c>
      <c r="P1425" s="1268">
        <v>2381205.14</v>
      </c>
      <c r="Q1425" s="1268">
        <v>0</v>
      </c>
      <c r="R1425" s="1268">
        <v>0</v>
      </c>
      <c r="S1425" s="1268">
        <v>0</v>
      </c>
      <c r="T1425" s="1268">
        <v>0</v>
      </c>
      <c r="U1425" s="1268">
        <v>0</v>
      </c>
      <c r="V1425" s="1268">
        <v>0</v>
      </c>
      <c r="W1425" s="1268">
        <v>0</v>
      </c>
      <c r="X1425" s="1268">
        <v>186505.2</v>
      </c>
      <c r="Y1425" s="1268">
        <v>0</v>
      </c>
    </row>
    <row r="1426" spans="1:25" s="1277" customFormat="1" ht="113.4">
      <c r="A1426" s="1396"/>
      <c r="B1426" s="1277" t="s">
        <v>1190</v>
      </c>
      <c r="C1426" s="1268">
        <v>1167688</v>
      </c>
      <c r="D1426" s="1268">
        <v>0</v>
      </c>
      <c r="E1426" s="1268">
        <v>0</v>
      </c>
      <c r="F1426" s="1268">
        <v>0</v>
      </c>
      <c r="G1426" s="1268">
        <v>0</v>
      </c>
      <c r="H1426" s="1268">
        <v>0</v>
      </c>
      <c r="I1426" s="1268">
        <v>0</v>
      </c>
      <c r="J1426" s="1268">
        <v>0</v>
      </c>
      <c r="K1426" s="1278">
        <v>0</v>
      </c>
      <c r="L1426" s="1268">
        <v>0</v>
      </c>
      <c r="M1426" s="1278">
        <v>0</v>
      </c>
      <c r="N1426" s="1268">
        <v>0</v>
      </c>
      <c r="O1426" s="1268">
        <v>345</v>
      </c>
      <c r="P1426" s="1268">
        <v>1082873.1824950064</v>
      </c>
      <c r="Q1426" s="1268">
        <v>0</v>
      </c>
      <c r="R1426" s="1268">
        <v>0</v>
      </c>
      <c r="S1426" s="1268">
        <v>0</v>
      </c>
      <c r="T1426" s="1268">
        <v>0</v>
      </c>
      <c r="U1426" s="1268">
        <v>0</v>
      </c>
      <c r="V1426" s="1268">
        <v>0</v>
      </c>
      <c r="W1426" s="1268">
        <v>0</v>
      </c>
      <c r="X1426" s="1268">
        <v>84814.81750499364</v>
      </c>
      <c r="Y1426" s="1268">
        <v>0</v>
      </c>
    </row>
    <row r="1427" spans="1:25" s="1277" customFormat="1" ht="75.599999999999994">
      <c r="A1427" s="1396">
        <v>502</v>
      </c>
      <c r="B1427" s="1277" t="s">
        <v>1608</v>
      </c>
      <c r="C1427" s="1268">
        <v>1167688</v>
      </c>
      <c r="D1427" s="1268">
        <v>0</v>
      </c>
      <c r="E1427" s="1268">
        <v>0</v>
      </c>
      <c r="F1427" s="1268">
        <v>0</v>
      </c>
      <c r="G1427" s="1268">
        <v>0</v>
      </c>
      <c r="H1427" s="1268">
        <v>0</v>
      </c>
      <c r="I1427" s="1268">
        <v>0</v>
      </c>
      <c r="J1427" s="1268">
        <v>0</v>
      </c>
      <c r="K1427" s="1278">
        <v>0</v>
      </c>
      <c r="L1427" s="1268">
        <v>0</v>
      </c>
      <c r="M1427" s="1278">
        <v>0</v>
      </c>
      <c r="N1427" s="1268">
        <v>0</v>
      </c>
      <c r="O1427" s="1268">
        <v>345</v>
      </c>
      <c r="P1427" s="1268">
        <v>1082873.1824950064</v>
      </c>
      <c r="Q1427" s="1268">
        <v>0</v>
      </c>
      <c r="R1427" s="1268">
        <v>0</v>
      </c>
      <c r="S1427" s="1268">
        <v>0</v>
      </c>
      <c r="T1427" s="1268">
        <v>0</v>
      </c>
      <c r="U1427" s="1268">
        <v>0</v>
      </c>
      <c r="V1427" s="1268">
        <v>0</v>
      </c>
      <c r="W1427" s="1268">
        <v>0</v>
      </c>
      <c r="X1427" s="1268">
        <v>84814.81750499364</v>
      </c>
      <c r="Y1427" s="1268">
        <v>0</v>
      </c>
    </row>
    <row r="1428" spans="1:25" s="1277" customFormat="1" ht="113.4">
      <c r="A1428" s="1396"/>
      <c r="B1428" s="1277" t="s">
        <v>1181</v>
      </c>
      <c r="C1428" s="1268">
        <f t="shared" ref="C1428:J1428" si="575">SUM(C1429:C1430)</f>
        <v>1811368</v>
      </c>
      <c r="D1428" s="1268">
        <f t="shared" si="575"/>
        <v>554644</v>
      </c>
      <c r="E1428" s="1268">
        <f t="shared" si="575"/>
        <v>554644</v>
      </c>
      <c r="F1428" s="1268">
        <f t="shared" si="575"/>
        <v>0</v>
      </c>
      <c r="G1428" s="1268">
        <f t="shared" si="575"/>
        <v>0</v>
      </c>
      <c r="H1428" s="1268">
        <f t="shared" si="575"/>
        <v>0</v>
      </c>
      <c r="I1428" s="1268">
        <f t="shared" si="575"/>
        <v>0</v>
      </c>
      <c r="J1428" s="1268">
        <f t="shared" si="575"/>
        <v>0</v>
      </c>
      <c r="K1428" s="1278">
        <v>0</v>
      </c>
      <c r="L1428" s="1268">
        <v>0</v>
      </c>
      <c r="M1428" s="1278">
        <f t="shared" ref="M1428:Y1428" si="576">SUM(M1429:M1430)</f>
        <v>0</v>
      </c>
      <c r="N1428" s="1268">
        <f t="shared" si="576"/>
        <v>0</v>
      </c>
      <c r="O1428" s="1268">
        <f t="shared" si="576"/>
        <v>378</v>
      </c>
      <c r="P1428" s="1268">
        <f t="shared" si="576"/>
        <v>1125155</v>
      </c>
      <c r="Q1428" s="1268">
        <f t="shared" si="576"/>
        <v>0</v>
      </c>
      <c r="R1428" s="1268">
        <f t="shared" si="576"/>
        <v>0</v>
      </c>
      <c r="S1428" s="1268">
        <f t="shared" si="576"/>
        <v>0</v>
      </c>
      <c r="T1428" s="1268">
        <f t="shared" si="576"/>
        <v>0</v>
      </c>
      <c r="U1428" s="1268">
        <f t="shared" si="576"/>
        <v>0</v>
      </c>
      <c r="V1428" s="1268">
        <f t="shared" si="576"/>
        <v>0</v>
      </c>
      <c r="W1428" s="1268">
        <v>0</v>
      </c>
      <c r="X1428" s="1268">
        <f t="shared" si="576"/>
        <v>131569</v>
      </c>
      <c r="Y1428" s="1268">
        <f t="shared" si="576"/>
        <v>0</v>
      </c>
    </row>
    <row r="1429" spans="1:25" s="1277" customFormat="1" ht="75.599999999999994">
      <c r="A1429" s="1396">
        <v>503</v>
      </c>
      <c r="B1429" s="1267" t="s">
        <v>2571</v>
      </c>
      <c r="C1429" s="1268">
        <f>P1429+X1429</f>
        <v>1213282</v>
      </c>
      <c r="D1429" s="1268">
        <v>0</v>
      </c>
      <c r="E1429" s="1268">
        <v>0</v>
      </c>
      <c r="F1429" s="1268">
        <v>0</v>
      </c>
      <c r="G1429" s="1268">
        <v>0</v>
      </c>
      <c r="H1429" s="1268">
        <v>0</v>
      </c>
      <c r="I1429" s="1268">
        <v>0</v>
      </c>
      <c r="J1429" s="1268">
        <v>0</v>
      </c>
      <c r="K1429" s="1278">
        <v>0</v>
      </c>
      <c r="L1429" s="1268">
        <v>0</v>
      </c>
      <c r="M1429" s="1278">
        <v>0</v>
      </c>
      <c r="N1429" s="1268">
        <v>0</v>
      </c>
      <c r="O1429" s="1268">
        <v>378</v>
      </c>
      <c r="P1429" s="1268">
        <v>1125155</v>
      </c>
      <c r="Q1429" s="1268">
        <v>0</v>
      </c>
      <c r="R1429" s="1268">
        <v>0</v>
      </c>
      <c r="S1429" s="1268">
        <v>0</v>
      </c>
      <c r="T1429" s="1268">
        <v>0</v>
      </c>
      <c r="U1429" s="1268">
        <v>0</v>
      </c>
      <c r="V1429" s="1268">
        <v>0</v>
      </c>
      <c r="W1429" s="1268">
        <v>0</v>
      </c>
      <c r="X1429" s="1268">
        <v>88127</v>
      </c>
      <c r="Y1429" s="1268">
        <v>0</v>
      </c>
    </row>
    <row r="1430" spans="1:25" s="1277" customFormat="1" ht="75.599999999999994">
      <c r="A1430" s="1396">
        <v>504</v>
      </c>
      <c r="B1430" s="1267" t="s">
        <v>2572</v>
      </c>
      <c r="C1430" s="1268">
        <f>D1430+X1430</f>
        <v>598086</v>
      </c>
      <c r="D1430" s="1268">
        <f>E1430+F1430+G1430+H1430+I1430+J1430</f>
        <v>554644</v>
      </c>
      <c r="E1430" s="1268">
        <v>554644</v>
      </c>
      <c r="F1430" s="1268">
        <v>0</v>
      </c>
      <c r="G1430" s="1268">
        <v>0</v>
      </c>
      <c r="H1430" s="1268">
        <v>0</v>
      </c>
      <c r="I1430" s="1268">
        <v>0</v>
      </c>
      <c r="J1430" s="1268">
        <v>0</v>
      </c>
      <c r="K1430" s="1278">
        <v>0</v>
      </c>
      <c r="L1430" s="1268">
        <v>0</v>
      </c>
      <c r="M1430" s="1278">
        <v>0</v>
      </c>
      <c r="N1430" s="1268">
        <v>0</v>
      </c>
      <c r="O1430" s="1268">
        <v>0</v>
      </c>
      <c r="P1430" s="1268">
        <v>0</v>
      </c>
      <c r="Q1430" s="1268">
        <v>0</v>
      </c>
      <c r="R1430" s="1268">
        <v>0</v>
      </c>
      <c r="S1430" s="1268">
        <v>0</v>
      </c>
      <c r="T1430" s="1268">
        <v>0</v>
      </c>
      <c r="U1430" s="1268">
        <v>0</v>
      </c>
      <c r="V1430" s="1268">
        <v>0</v>
      </c>
      <c r="W1430" s="1268">
        <v>0</v>
      </c>
      <c r="X1430" s="1268">
        <v>43442</v>
      </c>
      <c r="Y1430" s="1268">
        <v>0</v>
      </c>
    </row>
    <row r="1431" spans="1:25" s="1277" customFormat="1" ht="113.4">
      <c r="A1431" s="1396"/>
      <c r="B1431" s="1277" t="s">
        <v>1563</v>
      </c>
      <c r="C1431" s="1268">
        <f>C1432</f>
        <v>1401226</v>
      </c>
      <c r="D1431" s="1268">
        <f t="shared" ref="D1431:Y1431" si="577">D1432</f>
        <v>0</v>
      </c>
      <c r="E1431" s="1268">
        <f t="shared" si="577"/>
        <v>0</v>
      </c>
      <c r="F1431" s="1268">
        <f t="shared" si="577"/>
        <v>0</v>
      </c>
      <c r="G1431" s="1268">
        <f t="shared" si="577"/>
        <v>0</v>
      </c>
      <c r="H1431" s="1268">
        <f t="shared" si="577"/>
        <v>0</v>
      </c>
      <c r="I1431" s="1268">
        <f t="shared" si="577"/>
        <v>0</v>
      </c>
      <c r="J1431" s="1268">
        <f t="shared" si="577"/>
        <v>0</v>
      </c>
      <c r="K1431" s="1278">
        <f t="shared" si="577"/>
        <v>0</v>
      </c>
      <c r="L1431" s="1268">
        <f t="shared" si="577"/>
        <v>0</v>
      </c>
      <c r="M1431" s="1278">
        <f t="shared" si="577"/>
        <v>0</v>
      </c>
      <c r="N1431" s="1268">
        <f t="shared" si="577"/>
        <v>0</v>
      </c>
      <c r="O1431" s="1268">
        <f t="shared" si="577"/>
        <v>414</v>
      </c>
      <c r="P1431" s="1268">
        <f t="shared" si="577"/>
        <v>1299448</v>
      </c>
      <c r="Q1431" s="1268">
        <f t="shared" si="577"/>
        <v>0</v>
      </c>
      <c r="R1431" s="1268">
        <f t="shared" si="577"/>
        <v>0</v>
      </c>
      <c r="S1431" s="1268">
        <f t="shared" si="577"/>
        <v>0</v>
      </c>
      <c r="T1431" s="1268">
        <f t="shared" si="577"/>
        <v>0</v>
      </c>
      <c r="U1431" s="1268">
        <f t="shared" si="577"/>
        <v>0</v>
      </c>
      <c r="V1431" s="1268">
        <f t="shared" si="577"/>
        <v>0</v>
      </c>
      <c r="W1431" s="1268">
        <v>0</v>
      </c>
      <c r="X1431" s="1268">
        <f t="shared" si="577"/>
        <v>101778</v>
      </c>
      <c r="Y1431" s="1268">
        <f t="shared" si="577"/>
        <v>0</v>
      </c>
    </row>
    <row r="1432" spans="1:25" s="1277" customFormat="1">
      <c r="A1432" s="1396">
        <v>505</v>
      </c>
      <c r="B1432" s="1267" t="s">
        <v>1566</v>
      </c>
      <c r="C1432" s="1268">
        <f t="shared" ref="C1432" si="578">D1432+N1432+P1432+R1432+T1432+V1432+X1432</f>
        <v>1401226</v>
      </c>
      <c r="D1432" s="1268">
        <f t="shared" ref="D1432" si="579">SUM(E1432:J1432)</f>
        <v>0</v>
      </c>
      <c r="E1432" s="1268">
        <v>0</v>
      </c>
      <c r="F1432" s="1268">
        <v>0</v>
      </c>
      <c r="G1432" s="1268">
        <v>0</v>
      </c>
      <c r="H1432" s="1268">
        <v>0</v>
      </c>
      <c r="I1432" s="1268">
        <v>0</v>
      </c>
      <c r="J1432" s="1268">
        <v>0</v>
      </c>
      <c r="K1432" s="1278">
        <v>0</v>
      </c>
      <c r="L1432" s="1268">
        <v>0</v>
      </c>
      <c r="M1432" s="1278">
        <v>0</v>
      </c>
      <c r="N1432" s="1268">
        <v>0</v>
      </c>
      <c r="O1432" s="1268">
        <v>414</v>
      </c>
      <c r="P1432" s="1268">
        <v>1299448</v>
      </c>
      <c r="Q1432" s="1268">
        <v>0</v>
      </c>
      <c r="R1432" s="1268">
        <v>0</v>
      </c>
      <c r="S1432" s="1268">
        <v>0</v>
      </c>
      <c r="T1432" s="1268">
        <v>0</v>
      </c>
      <c r="U1432" s="1268">
        <v>0</v>
      </c>
      <c r="V1432" s="1268">
        <v>0</v>
      </c>
      <c r="W1432" s="1268">
        <v>0</v>
      </c>
      <c r="X1432" s="1268">
        <v>101778</v>
      </c>
      <c r="Y1432" s="1268">
        <v>0</v>
      </c>
    </row>
    <row r="1433" spans="1:25" s="1277" customFormat="1" ht="75.599999999999994">
      <c r="A1433" s="1396"/>
      <c r="B1433" s="1267" t="s">
        <v>1079</v>
      </c>
      <c r="C1433" s="1268">
        <f>C1434</f>
        <v>2064607.3399999999</v>
      </c>
      <c r="D1433" s="1268">
        <f t="shared" ref="D1433:Y1433" si="580">D1434</f>
        <v>0</v>
      </c>
      <c r="E1433" s="1268">
        <f t="shared" si="580"/>
        <v>0</v>
      </c>
      <c r="F1433" s="1268">
        <f t="shared" si="580"/>
        <v>0</v>
      </c>
      <c r="G1433" s="1268">
        <f t="shared" si="580"/>
        <v>0</v>
      </c>
      <c r="H1433" s="1268">
        <f t="shared" si="580"/>
        <v>0</v>
      </c>
      <c r="I1433" s="1268">
        <f t="shared" si="580"/>
        <v>0</v>
      </c>
      <c r="J1433" s="1268">
        <f t="shared" si="580"/>
        <v>0</v>
      </c>
      <c r="K1433" s="1278">
        <f t="shared" si="580"/>
        <v>0</v>
      </c>
      <c r="L1433" s="1268">
        <f t="shared" si="580"/>
        <v>0</v>
      </c>
      <c r="M1433" s="1278">
        <f t="shared" si="580"/>
        <v>0</v>
      </c>
      <c r="N1433" s="1268">
        <f t="shared" si="580"/>
        <v>0</v>
      </c>
      <c r="O1433" s="1268">
        <f t="shared" si="580"/>
        <v>610</v>
      </c>
      <c r="P1433" s="1268">
        <f t="shared" si="580"/>
        <v>1914644.94</v>
      </c>
      <c r="Q1433" s="1268">
        <f t="shared" si="580"/>
        <v>0</v>
      </c>
      <c r="R1433" s="1268">
        <f t="shared" si="580"/>
        <v>0</v>
      </c>
      <c r="S1433" s="1268">
        <f t="shared" si="580"/>
        <v>0</v>
      </c>
      <c r="T1433" s="1268">
        <f t="shared" si="580"/>
        <v>0</v>
      </c>
      <c r="U1433" s="1268">
        <f t="shared" si="580"/>
        <v>0</v>
      </c>
      <c r="V1433" s="1268">
        <f t="shared" si="580"/>
        <v>0</v>
      </c>
      <c r="W1433" s="1268">
        <v>0</v>
      </c>
      <c r="X1433" s="1268">
        <f t="shared" si="580"/>
        <v>149962.4</v>
      </c>
      <c r="Y1433" s="1268">
        <f t="shared" si="580"/>
        <v>0</v>
      </c>
    </row>
    <row r="1434" spans="1:25" s="1277" customFormat="1" ht="75.599999999999994">
      <c r="A1434" s="1396">
        <v>506</v>
      </c>
      <c r="B1434" s="1267" t="s">
        <v>1667</v>
      </c>
      <c r="C1434" s="1268">
        <f t="shared" ref="C1434" si="581">D1434+N1434+P1434+R1434+T1434+V1434+X1434</f>
        <v>2064607.3399999999</v>
      </c>
      <c r="D1434" s="1268">
        <f t="shared" ref="D1434" si="582">SUM(E1434:J1434)</f>
        <v>0</v>
      </c>
      <c r="E1434" s="1268">
        <v>0</v>
      </c>
      <c r="F1434" s="1268">
        <v>0</v>
      </c>
      <c r="G1434" s="1268">
        <v>0</v>
      </c>
      <c r="H1434" s="1268">
        <v>0</v>
      </c>
      <c r="I1434" s="1268">
        <v>0</v>
      </c>
      <c r="J1434" s="1268">
        <v>0</v>
      </c>
      <c r="K1434" s="1278">
        <v>0</v>
      </c>
      <c r="L1434" s="1268">
        <v>0</v>
      </c>
      <c r="M1434" s="1278">
        <v>0</v>
      </c>
      <c r="N1434" s="1268">
        <v>0</v>
      </c>
      <c r="O1434" s="1268">
        <v>610</v>
      </c>
      <c r="P1434" s="1268">
        <v>1914644.94</v>
      </c>
      <c r="Q1434" s="1268">
        <v>0</v>
      </c>
      <c r="R1434" s="1268">
        <v>0</v>
      </c>
      <c r="S1434" s="1268">
        <v>0</v>
      </c>
      <c r="T1434" s="1268">
        <v>0</v>
      </c>
      <c r="U1434" s="1268">
        <v>0</v>
      </c>
      <c r="V1434" s="1268">
        <v>0</v>
      </c>
      <c r="W1434" s="1268">
        <v>0</v>
      </c>
      <c r="X1434" s="1268">
        <v>149962.4</v>
      </c>
      <c r="Y1434" s="1268">
        <v>0</v>
      </c>
    </row>
    <row r="1435" spans="1:25" s="1277" customFormat="1" ht="113.4">
      <c r="A1435" s="1396"/>
      <c r="B1435" s="1267" t="s">
        <v>1168</v>
      </c>
      <c r="C1435" s="1268">
        <f>SUM(C1436:C1437)</f>
        <v>2631643</v>
      </c>
      <c r="D1435" s="1268">
        <f t="shared" ref="D1435:Y1435" si="583">SUM(D1436:D1437)</f>
        <v>0</v>
      </c>
      <c r="E1435" s="1268">
        <f t="shared" si="583"/>
        <v>0</v>
      </c>
      <c r="F1435" s="1268">
        <f t="shared" si="583"/>
        <v>0</v>
      </c>
      <c r="G1435" s="1268">
        <f t="shared" si="583"/>
        <v>0</v>
      </c>
      <c r="H1435" s="1268">
        <f t="shared" si="583"/>
        <v>0</v>
      </c>
      <c r="I1435" s="1268">
        <f t="shared" si="583"/>
        <v>0</v>
      </c>
      <c r="J1435" s="1268">
        <f t="shared" si="583"/>
        <v>0</v>
      </c>
      <c r="K1435" s="1278">
        <v>0</v>
      </c>
      <c r="L1435" s="1268">
        <v>0</v>
      </c>
      <c r="M1435" s="1278">
        <f t="shared" si="583"/>
        <v>0</v>
      </c>
      <c r="N1435" s="1268">
        <f t="shared" si="583"/>
        <v>0</v>
      </c>
      <c r="O1435" s="1268">
        <f t="shared" si="583"/>
        <v>799</v>
      </c>
      <c r="P1435" s="1268">
        <f t="shared" si="583"/>
        <v>2535274</v>
      </c>
      <c r="Q1435" s="1268">
        <f t="shared" si="583"/>
        <v>0</v>
      </c>
      <c r="R1435" s="1268">
        <f t="shared" si="583"/>
        <v>0</v>
      </c>
      <c r="S1435" s="1268">
        <f t="shared" si="583"/>
        <v>0</v>
      </c>
      <c r="T1435" s="1268">
        <f t="shared" si="583"/>
        <v>0</v>
      </c>
      <c r="U1435" s="1268">
        <f t="shared" si="583"/>
        <v>0</v>
      </c>
      <c r="V1435" s="1268">
        <f t="shared" si="583"/>
        <v>0</v>
      </c>
      <c r="W1435" s="1268">
        <v>0</v>
      </c>
      <c r="X1435" s="1268">
        <f t="shared" si="583"/>
        <v>96369</v>
      </c>
      <c r="Y1435" s="1268">
        <f t="shared" si="583"/>
        <v>0</v>
      </c>
    </row>
    <row r="1436" spans="1:25" s="1277" customFormat="1" ht="75.599999999999994">
      <c r="A1436" s="1396">
        <v>507</v>
      </c>
      <c r="B1436" s="1277" t="s">
        <v>2573</v>
      </c>
      <c r="C1436" s="1268">
        <f t="shared" ref="C1436:C1437" si="584">D1436+N1436+P1436+R1436+T1436+V1436+X1436</f>
        <v>1326764</v>
      </c>
      <c r="D1436" s="1268">
        <f t="shared" ref="D1436:D1437" si="585">SUM(E1436:J1436)</f>
        <v>0</v>
      </c>
      <c r="E1436" s="1268">
        <v>0</v>
      </c>
      <c r="F1436" s="1268">
        <v>0</v>
      </c>
      <c r="G1436" s="1268">
        <v>0</v>
      </c>
      <c r="H1436" s="1268">
        <v>0</v>
      </c>
      <c r="I1436" s="1268">
        <v>0</v>
      </c>
      <c r="J1436" s="1268">
        <v>0</v>
      </c>
      <c r="K1436" s="1278">
        <v>0</v>
      </c>
      <c r="L1436" s="1268">
        <v>0</v>
      </c>
      <c r="M1436" s="1278">
        <v>0</v>
      </c>
      <c r="N1436" s="1268">
        <v>0</v>
      </c>
      <c r="O1436" s="1268">
        <v>392</v>
      </c>
      <c r="P1436" s="1268">
        <v>1230395</v>
      </c>
      <c r="Q1436" s="1268">
        <v>0</v>
      </c>
      <c r="R1436" s="1268">
        <v>0</v>
      </c>
      <c r="S1436" s="1268">
        <v>0</v>
      </c>
      <c r="T1436" s="1268">
        <v>0</v>
      </c>
      <c r="U1436" s="1268">
        <v>0</v>
      </c>
      <c r="V1436" s="1268">
        <v>0</v>
      </c>
      <c r="W1436" s="1268">
        <v>0</v>
      </c>
      <c r="X1436" s="1268">
        <v>96369</v>
      </c>
      <c r="Y1436" s="1268">
        <v>0</v>
      </c>
    </row>
    <row r="1437" spans="1:25" s="1277" customFormat="1">
      <c r="A1437" s="1396">
        <v>508</v>
      </c>
      <c r="B1437" s="1277" t="s">
        <v>1169</v>
      </c>
      <c r="C1437" s="1268">
        <f t="shared" si="584"/>
        <v>1304879</v>
      </c>
      <c r="D1437" s="1268">
        <f t="shared" si="585"/>
        <v>0</v>
      </c>
      <c r="E1437" s="1268">
        <v>0</v>
      </c>
      <c r="F1437" s="1268">
        <v>0</v>
      </c>
      <c r="G1437" s="1268">
        <v>0</v>
      </c>
      <c r="H1437" s="1268">
        <v>0</v>
      </c>
      <c r="I1437" s="1268">
        <v>0</v>
      </c>
      <c r="J1437" s="1268">
        <v>0</v>
      </c>
      <c r="K1437" s="1278">
        <v>0</v>
      </c>
      <c r="L1437" s="1268">
        <v>0</v>
      </c>
      <c r="M1437" s="1278">
        <v>0</v>
      </c>
      <c r="N1437" s="1268">
        <v>0</v>
      </c>
      <c r="O1437" s="1268">
        <v>407</v>
      </c>
      <c r="P1437" s="1268">
        <v>1304879</v>
      </c>
      <c r="Q1437" s="1268">
        <v>0</v>
      </c>
      <c r="R1437" s="1268">
        <v>0</v>
      </c>
      <c r="S1437" s="1268">
        <v>0</v>
      </c>
      <c r="T1437" s="1268">
        <v>0</v>
      </c>
      <c r="U1437" s="1268">
        <v>0</v>
      </c>
      <c r="V1437" s="1268">
        <v>0</v>
      </c>
      <c r="W1437" s="1268">
        <v>0</v>
      </c>
      <c r="X1437" s="1268">
        <v>0</v>
      </c>
      <c r="Y1437" s="1268">
        <v>0</v>
      </c>
    </row>
    <row r="1438" spans="1:25" s="1277" customFormat="1">
      <c r="A1438" s="1396"/>
      <c r="B1438" s="1277" t="s">
        <v>50</v>
      </c>
      <c r="C1438" s="1268">
        <f>C1439</f>
        <v>6107767.9199999999</v>
      </c>
      <c r="D1438" s="1268">
        <f t="shared" ref="D1438:Y1438" si="586">D1439</f>
        <v>0</v>
      </c>
      <c r="E1438" s="1268">
        <f t="shared" si="586"/>
        <v>0</v>
      </c>
      <c r="F1438" s="1268">
        <f t="shared" si="586"/>
        <v>0</v>
      </c>
      <c r="G1438" s="1268">
        <f t="shared" si="586"/>
        <v>0</v>
      </c>
      <c r="H1438" s="1268">
        <f t="shared" si="586"/>
        <v>0</v>
      </c>
      <c r="I1438" s="1268">
        <f t="shared" si="586"/>
        <v>0</v>
      </c>
      <c r="J1438" s="1268">
        <f t="shared" si="586"/>
        <v>0</v>
      </c>
      <c r="K1438" s="1278">
        <f t="shared" si="586"/>
        <v>0</v>
      </c>
      <c r="L1438" s="1268">
        <f t="shared" si="586"/>
        <v>0</v>
      </c>
      <c r="M1438" s="1278">
        <f t="shared" si="586"/>
        <v>0</v>
      </c>
      <c r="N1438" s="1268">
        <f t="shared" si="586"/>
        <v>0</v>
      </c>
      <c r="O1438" s="1268">
        <f t="shared" si="586"/>
        <v>1867</v>
      </c>
      <c r="P1438" s="1268">
        <f t="shared" si="586"/>
        <v>5757333.4399999995</v>
      </c>
      <c r="Q1438" s="1268">
        <f t="shared" si="586"/>
        <v>0</v>
      </c>
      <c r="R1438" s="1268">
        <f t="shared" si="586"/>
        <v>0</v>
      </c>
      <c r="S1438" s="1268">
        <f t="shared" si="586"/>
        <v>0</v>
      </c>
      <c r="T1438" s="1268">
        <f t="shared" si="586"/>
        <v>0</v>
      </c>
      <c r="U1438" s="1268">
        <f t="shared" si="586"/>
        <v>0</v>
      </c>
      <c r="V1438" s="1268">
        <f t="shared" si="586"/>
        <v>0</v>
      </c>
      <c r="W1438" s="1268">
        <v>0</v>
      </c>
      <c r="X1438" s="1268">
        <f t="shared" si="586"/>
        <v>350434.48</v>
      </c>
      <c r="Y1438" s="1268">
        <f t="shared" si="586"/>
        <v>0</v>
      </c>
    </row>
    <row r="1439" spans="1:25" s="1277" customFormat="1" ht="113.4">
      <c r="A1439" s="1396"/>
      <c r="B1439" s="1277" t="s">
        <v>1081</v>
      </c>
      <c r="C1439" s="1268">
        <f t="shared" ref="C1439:J1439" si="587">SUM(C1440:C1443)</f>
        <v>6107767.9199999999</v>
      </c>
      <c r="D1439" s="1268">
        <f t="shared" si="587"/>
        <v>0</v>
      </c>
      <c r="E1439" s="1268">
        <f t="shared" si="587"/>
        <v>0</v>
      </c>
      <c r="F1439" s="1268">
        <f t="shared" si="587"/>
        <v>0</v>
      </c>
      <c r="G1439" s="1268">
        <f t="shared" si="587"/>
        <v>0</v>
      </c>
      <c r="H1439" s="1268">
        <f t="shared" si="587"/>
        <v>0</v>
      </c>
      <c r="I1439" s="1268">
        <f t="shared" si="587"/>
        <v>0</v>
      </c>
      <c r="J1439" s="1268">
        <f t="shared" si="587"/>
        <v>0</v>
      </c>
      <c r="K1439" s="1278">
        <v>0</v>
      </c>
      <c r="L1439" s="1268">
        <v>0</v>
      </c>
      <c r="M1439" s="1278">
        <f t="shared" ref="M1439:Y1439" si="588">SUM(M1440:M1443)</f>
        <v>0</v>
      </c>
      <c r="N1439" s="1268">
        <f t="shared" si="588"/>
        <v>0</v>
      </c>
      <c r="O1439" s="1268">
        <f t="shared" si="588"/>
        <v>1867</v>
      </c>
      <c r="P1439" s="1268">
        <f t="shared" si="588"/>
        <v>5757333.4399999995</v>
      </c>
      <c r="Q1439" s="1268">
        <f t="shared" si="588"/>
        <v>0</v>
      </c>
      <c r="R1439" s="1268">
        <f t="shared" si="588"/>
        <v>0</v>
      </c>
      <c r="S1439" s="1268">
        <f t="shared" si="588"/>
        <v>0</v>
      </c>
      <c r="T1439" s="1268">
        <f t="shared" si="588"/>
        <v>0</v>
      </c>
      <c r="U1439" s="1268">
        <f t="shared" si="588"/>
        <v>0</v>
      </c>
      <c r="V1439" s="1268">
        <f t="shared" si="588"/>
        <v>0</v>
      </c>
      <c r="W1439" s="1268">
        <v>0</v>
      </c>
      <c r="X1439" s="1268">
        <f t="shared" si="588"/>
        <v>350434.48</v>
      </c>
      <c r="Y1439" s="1268">
        <f t="shared" si="588"/>
        <v>0</v>
      </c>
    </row>
    <row r="1440" spans="1:25" s="1277" customFormat="1">
      <c r="A1440" s="1396">
        <v>509</v>
      </c>
      <c r="B1440" s="1267" t="s">
        <v>1383</v>
      </c>
      <c r="C1440" s="1268">
        <f t="shared" ref="C1440" si="589">D1440+N1440+P1440+R1440+T1440+V1440+X1440</f>
        <v>1292918</v>
      </c>
      <c r="D1440" s="1268">
        <f t="shared" ref="D1440" si="590">SUM(E1440:J1440)</f>
        <v>0</v>
      </c>
      <c r="E1440" s="1268">
        <v>0</v>
      </c>
      <c r="F1440" s="1268">
        <v>0</v>
      </c>
      <c r="G1440" s="1268">
        <v>0</v>
      </c>
      <c r="H1440" s="1268">
        <v>0</v>
      </c>
      <c r="I1440" s="1268">
        <v>0</v>
      </c>
      <c r="J1440" s="1268">
        <v>0</v>
      </c>
      <c r="K1440" s="1278">
        <v>0</v>
      </c>
      <c r="L1440" s="1268">
        <v>0</v>
      </c>
      <c r="M1440" s="1278">
        <v>0</v>
      </c>
      <c r="N1440" s="1268">
        <v>0</v>
      </c>
      <c r="O1440" s="1351">
        <v>382</v>
      </c>
      <c r="P1440" s="1268">
        <v>1199007</v>
      </c>
      <c r="Q1440" s="1268">
        <v>0</v>
      </c>
      <c r="R1440" s="1268">
        <v>0</v>
      </c>
      <c r="S1440" s="1268">
        <v>0</v>
      </c>
      <c r="T1440" s="1268">
        <v>0</v>
      </c>
      <c r="U1440" s="1268">
        <v>0</v>
      </c>
      <c r="V1440" s="1268">
        <v>0</v>
      </c>
      <c r="W1440" s="1268">
        <v>0</v>
      </c>
      <c r="X1440" s="1268">
        <v>93911</v>
      </c>
      <c r="Y1440" s="1268">
        <v>0</v>
      </c>
    </row>
    <row r="1441" spans="1:25" s="1277" customFormat="1">
      <c r="A1441" s="1396">
        <v>510</v>
      </c>
      <c r="B1441" s="1402" t="s">
        <v>413</v>
      </c>
      <c r="C1441" s="1268">
        <f t="shared" ref="C1441:C1443" si="591">D1441+N1441+P1441+R1441+T1441+V1441+X1441</f>
        <v>1714462.62</v>
      </c>
      <c r="D1441" s="1268">
        <f t="shared" ref="D1441:D1443" si="592">SUM(E1441:J1441)</f>
        <v>0</v>
      </c>
      <c r="E1441" s="1268">
        <v>0</v>
      </c>
      <c r="F1441" s="1268">
        <v>0</v>
      </c>
      <c r="G1441" s="1268">
        <v>0</v>
      </c>
      <c r="H1441" s="1268">
        <v>0</v>
      </c>
      <c r="I1441" s="1268">
        <v>0</v>
      </c>
      <c r="J1441" s="1268">
        <v>0</v>
      </c>
      <c r="K1441" s="1278">
        <v>0</v>
      </c>
      <c r="L1441" s="1268">
        <v>0</v>
      </c>
      <c r="M1441" s="1278">
        <v>0</v>
      </c>
      <c r="N1441" s="1268">
        <v>0</v>
      </c>
      <c r="O1441" s="1351">
        <v>522</v>
      </c>
      <c r="P1441" s="1268">
        <v>1638434</v>
      </c>
      <c r="Q1441" s="1268">
        <v>0</v>
      </c>
      <c r="R1441" s="1268">
        <v>0</v>
      </c>
      <c r="S1441" s="1268">
        <v>0</v>
      </c>
      <c r="T1441" s="1268">
        <v>0</v>
      </c>
      <c r="U1441" s="1268">
        <v>0</v>
      </c>
      <c r="V1441" s="1268">
        <v>0</v>
      </c>
      <c r="W1441" s="1268">
        <v>0</v>
      </c>
      <c r="X1441" s="1268">
        <v>76028.62</v>
      </c>
      <c r="Y1441" s="1268">
        <v>0</v>
      </c>
    </row>
    <row r="1442" spans="1:25" s="1277" customFormat="1">
      <c r="A1442" s="1396">
        <v>511</v>
      </c>
      <c r="B1442" s="1402" t="s">
        <v>845</v>
      </c>
      <c r="C1442" s="1268">
        <f t="shared" si="591"/>
        <v>1513827</v>
      </c>
      <c r="D1442" s="1268">
        <f t="shared" si="592"/>
        <v>0</v>
      </c>
      <c r="E1442" s="1268">
        <v>0</v>
      </c>
      <c r="F1442" s="1268">
        <v>0</v>
      </c>
      <c r="G1442" s="1268">
        <v>0</v>
      </c>
      <c r="H1442" s="1268">
        <v>0</v>
      </c>
      <c r="I1442" s="1268">
        <v>0</v>
      </c>
      <c r="J1442" s="1268">
        <v>0</v>
      </c>
      <c r="K1442" s="1278">
        <v>0</v>
      </c>
      <c r="L1442" s="1268">
        <v>0</v>
      </c>
      <c r="M1442" s="1278">
        <v>0</v>
      </c>
      <c r="N1442" s="1268">
        <v>0</v>
      </c>
      <c r="O1442" s="1351">
        <v>480</v>
      </c>
      <c r="P1442" s="1268">
        <v>1403870.44</v>
      </c>
      <c r="Q1442" s="1268">
        <v>0</v>
      </c>
      <c r="R1442" s="1268">
        <v>0</v>
      </c>
      <c r="S1442" s="1268">
        <v>0</v>
      </c>
      <c r="T1442" s="1268">
        <v>0</v>
      </c>
      <c r="U1442" s="1268">
        <v>0</v>
      </c>
      <c r="V1442" s="1268">
        <v>0</v>
      </c>
      <c r="W1442" s="1268">
        <v>0</v>
      </c>
      <c r="X1442" s="1268">
        <v>109956.56</v>
      </c>
      <c r="Y1442" s="1268">
        <v>0</v>
      </c>
    </row>
    <row r="1443" spans="1:25" s="1277" customFormat="1">
      <c r="A1443" s="1396">
        <v>512</v>
      </c>
      <c r="B1443" s="1402" t="s">
        <v>1143</v>
      </c>
      <c r="C1443" s="1268">
        <f t="shared" si="591"/>
        <v>1586560.3</v>
      </c>
      <c r="D1443" s="1268">
        <f t="shared" si="592"/>
        <v>0</v>
      </c>
      <c r="E1443" s="1268">
        <v>0</v>
      </c>
      <c r="F1443" s="1268">
        <v>0</v>
      </c>
      <c r="G1443" s="1268">
        <v>0</v>
      </c>
      <c r="H1443" s="1268">
        <v>0</v>
      </c>
      <c r="I1443" s="1268">
        <v>0</v>
      </c>
      <c r="J1443" s="1268">
        <v>0</v>
      </c>
      <c r="K1443" s="1278">
        <v>0</v>
      </c>
      <c r="L1443" s="1268">
        <v>0</v>
      </c>
      <c r="M1443" s="1278">
        <v>0</v>
      </c>
      <c r="N1443" s="1268">
        <v>0</v>
      </c>
      <c r="O1443" s="1351">
        <v>483</v>
      </c>
      <c r="P1443" s="1268">
        <v>1516022</v>
      </c>
      <c r="Q1443" s="1268">
        <v>0</v>
      </c>
      <c r="R1443" s="1268">
        <v>0</v>
      </c>
      <c r="S1443" s="1268">
        <v>0</v>
      </c>
      <c r="T1443" s="1268">
        <v>0</v>
      </c>
      <c r="U1443" s="1268">
        <v>0</v>
      </c>
      <c r="V1443" s="1268">
        <v>0</v>
      </c>
      <c r="W1443" s="1268">
        <v>0</v>
      </c>
      <c r="X1443" s="1268">
        <v>70538.3</v>
      </c>
      <c r="Y1443" s="1268">
        <v>0</v>
      </c>
    </row>
    <row r="1444" spans="1:25" s="1277" customFormat="1" ht="125.4" customHeight="1">
      <c r="A1444" s="1396"/>
      <c r="B1444" s="1277" t="s">
        <v>1221</v>
      </c>
      <c r="C1444" s="1268">
        <f>SUM(C1445:C1459)</f>
        <v>15732939.850000001</v>
      </c>
      <c r="D1444" s="1268">
        <f t="shared" ref="D1444:Y1444" si="593">SUM(D1445:D1459)</f>
        <v>863446.86816778639</v>
      </c>
      <c r="E1444" s="1268">
        <f t="shared" si="593"/>
        <v>863446.86816778639</v>
      </c>
      <c r="F1444" s="1268">
        <f t="shared" si="593"/>
        <v>0</v>
      </c>
      <c r="G1444" s="1268">
        <f t="shared" si="593"/>
        <v>0</v>
      </c>
      <c r="H1444" s="1268">
        <f t="shared" si="593"/>
        <v>0</v>
      </c>
      <c r="I1444" s="1268">
        <f t="shared" si="593"/>
        <v>0</v>
      </c>
      <c r="J1444" s="1268">
        <f t="shared" si="593"/>
        <v>0</v>
      </c>
      <c r="K1444" s="1278">
        <f t="shared" si="593"/>
        <v>0</v>
      </c>
      <c r="L1444" s="1268">
        <f t="shared" si="593"/>
        <v>0</v>
      </c>
      <c r="M1444" s="1278">
        <f t="shared" si="593"/>
        <v>0</v>
      </c>
      <c r="N1444" s="1268">
        <f t="shared" si="593"/>
        <v>0</v>
      </c>
      <c r="O1444" s="1268">
        <f t="shared" si="593"/>
        <v>3612.1</v>
      </c>
      <c r="P1444" s="1268">
        <f t="shared" si="593"/>
        <v>10316198.459999999</v>
      </c>
      <c r="Q1444" s="1268">
        <f t="shared" si="593"/>
        <v>0</v>
      </c>
      <c r="R1444" s="1268">
        <f t="shared" si="593"/>
        <v>0</v>
      </c>
      <c r="S1444" s="1268">
        <f t="shared" si="593"/>
        <v>1549.37</v>
      </c>
      <c r="T1444" s="1268">
        <f t="shared" si="593"/>
        <v>3545521</v>
      </c>
      <c r="U1444" s="1268">
        <f t="shared" si="593"/>
        <v>0</v>
      </c>
      <c r="V1444" s="1268">
        <f t="shared" si="593"/>
        <v>0</v>
      </c>
      <c r="W1444" s="1268">
        <v>0</v>
      </c>
      <c r="X1444" s="1268">
        <f t="shared" si="593"/>
        <v>1007773.5218322134</v>
      </c>
      <c r="Y1444" s="1268">
        <f t="shared" si="593"/>
        <v>0</v>
      </c>
    </row>
    <row r="1445" spans="1:25" s="1277" customFormat="1">
      <c r="A1445" s="1396">
        <v>513</v>
      </c>
      <c r="B1445" s="1360" t="s">
        <v>1961</v>
      </c>
      <c r="C1445" s="1268">
        <f t="shared" ref="C1445" si="594">D1445+N1445+P1445+R1445+T1445+V1445+X1445</f>
        <v>222833.4</v>
      </c>
      <c r="D1445" s="1268">
        <f t="shared" ref="D1445" si="595">SUM(E1445:J1445)</f>
        <v>216306</v>
      </c>
      <c r="E1445" s="1268">
        <v>216306</v>
      </c>
      <c r="F1445" s="1268">
        <v>0</v>
      </c>
      <c r="G1445" s="1268">
        <v>0</v>
      </c>
      <c r="H1445" s="1268">
        <v>0</v>
      </c>
      <c r="I1445" s="1268">
        <v>0</v>
      </c>
      <c r="J1445" s="1268">
        <v>0</v>
      </c>
      <c r="K1445" s="1278">
        <v>0</v>
      </c>
      <c r="L1445" s="1268">
        <v>0</v>
      </c>
      <c r="M1445" s="1278">
        <v>0</v>
      </c>
      <c r="N1445" s="1268">
        <v>0</v>
      </c>
      <c r="O1445" s="1268">
        <v>0</v>
      </c>
      <c r="P1445" s="1268">
        <v>0</v>
      </c>
      <c r="Q1445" s="1268">
        <v>0</v>
      </c>
      <c r="R1445" s="1268">
        <v>0</v>
      </c>
      <c r="S1445" s="1268">
        <v>0</v>
      </c>
      <c r="T1445" s="1268">
        <v>0</v>
      </c>
      <c r="U1445" s="1268">
        <v>0</v>
      </c>
      <c r="V1445" s="1268">
        <v>0</v>
      </c>
      <c r="W1445" s="1268">
        <v>0</v>
      </c>
      <c r="X1445" s="1268">
        <v>6527.4</v>
      </c>
      <c r="Y1445" s="1268">
        <v>0</v>
      </c>
    </row>
    <row r="1446" spans="1:25" s="1277" customFormat="1">
      <c r="A1446" s="1396">
        <v>514</v>
      </c>
      <c r="B1446" s="1267" t="s">
        <v>1962</v>
      </c>
      <c r="C1446" s="1268">
        <f t="shared" ref="C1446:C1455" si="596">D1446+N1446+P1446+R1446+T1446+V1446+X1446</f>
        <v>879336.74</v>
      </c>
      <c r="D1446" s="1268">
        <f t="shared" ref="D1446:D1455" si="597">SUM(E1446:J1446)</f>
        <v>140105</v>
      </c>
      <c r="E1446" s="1268">
        <v>140105</v>
      </c>
      <c r="F1446" s="1268">
        <v>0</v>
      </c>
      <c r="G1446" s="1268">
        <v>0</v>
      </c>
      <c r="H1446" s="1268">
        <v>0</v>
      </c>
      <c r="I1446" s="1268">
        <v>0</v>
      </c>
      <c r="J1446" s="1268">
        <v>0</v>
      </c>
      <c r="K1446" s="1278">
        <v>0</v>
      </c>
      <c r="L1446" s="1268">
        <v>0</v>
      </c>
      <c r="M1446" s="1278">
        <v>0</v>
      </c>
      <c r="N1446" s="1268">
        <v>0</v>
      </c>
      <c r="O1446" s="1268">
        <v>223.5</v>
      </c>
      <c r="P1446" s="1268">
        <v>701514</v>
      </c>
      <c r="Q1446" s="1268">
        <v>0</v>
      </c>
      <c r="R1446" s="1268">
        <v>0</v>
      </c>
      <c r="S1446" s="1268">
        <v>0</v>
      </c>
      <c r="T1446" s="1268">
        <v>0</v>
      </c>
      <c r="U1446" s="1268">
        <v>0</v>
      </c>
      <c r="V1446" s="1268">
        <v>0</v>
      </c>
      <c r="W1446" s="1268">
        <v>0</v>
      </c>
      <c r="X1446" s="1268">
        <v>37717.74</v>
      </c>
      <c r="Y1446" s="1268">
        <v>0</v>
      </c>
    </row>
    <row r="1447" spans="1:25" s="1277" customFormat="1">
      <c r="A1447" s="1396">
        <v>515</v>
      </c>
      <c r="B1447" s="1267" t="s">
        <v>1963</v>
      </c>
      <c r="C1447" s="1268">
        <f t="shared" si="596"/>
        <v>1222583.81</v>
      </c>
      <c r="D1447" s="1268">
        <f t="shared" si="597"/>
        <v>0</v>
      </c>
      <c r="E1447" s="1268">
        <v>0</v>
      </c>
      <c r="F1447" s="1268">
        <v>0</v>
      </c>
      <c r="G1447" s="1268">
        <v>0</v>
      </c>
      <c r="H1447" s="1268">
        <v>0</v>
      </c>
      <c r="I1447" s="1268">
        <v>0</v>
      </c>
      <c r="J1447" s="1268">
        <v>0</v>
      </c>
      <c r="K1447" s="1278">
        <v>0</v>
      </c>
      <c r="L1447" s="1268">
        <v>0</v>
      </c>
      <c r="M1447" s="1278">
        <v>0</v>
      </c>
      <c r="N1447" s="1268">
        <v>0</v>
      </c>
      <c r="O1447" s="1268">
        <v>372.1</v>
      </c>
      <c r="P1447" s="1268">
        <v>1167933</v>
      </c>
      <c r="Q1447" s="1268">
        <v>0</v>
      </c>
      <c r="R1447" s="1268">
        <v>0</v>
      </c>
      <c r="S1447" s="1268">
        <v>0</v>
      </c>
      <c r="T1447" s="1268">
        <v>0</v>
      </c>
      <c r="U1447" s="1268">
        <v>0</v>
      </c>
      <c r="V1447" s="1268">
        <v>0</v>
      </c>
      <c r="W1447" s="1268">
        <v>0</v>
      </c>
      <c r="X1447" s="1268">
        <v>54650.81</v>
      </c>
      <c r="Y1447" s="1268">
        <v>0</v>
      </c>
    </row>
    <row r="1448" spans="1:25" s="1277" customFormat="1">
      <c r="A1448" s="1396">
        <v>516</v>
      </c>
      <c r="B1448" s="1267" t="s">
        <v>1964</v>
      </c>
      <c r="C1448" s="1268">
        <f t="shared" ref="C1448:C1449" si="598">D1448+N1448+P1448+R1448+T1448+V1448+X1448</f>
        <v>1659606.4</v>
      </c>
      <c r="D1448" s="1268">
        <f t="shared" ref="D1448:D1449" si="599">SUM(E1448:J1448)</f>
        <v>0</v>
      </c>
      <c r="E1448" s="1268">
        <v>0</v>
      </c>
      <c r="F1448" s="1268">
        <v>0</v>
      </c>
      <c r="G1448" s="1268">
        <v>0</v>
      </c>
      <c r="H1448" s="1268">
        <v>0</v>
      </c>
      <c r="I1448" s="1268">
        <v>0</v>
      </c>
      <c r="J1448" s="1268">
        <v>0</v>
      </c>
      <c r="K1448" s="1278">
        <v>0</v>
      </c>
      <c r="L1448" s="1268">
        <v>0</v>
      </c>
      <c r="M1448" s="1278">
        <v>0</v>
      </c>
      <c r="N1448" s="1268">
        <v>0</v>
      </c>
      <c r="O1448" s="1268">
        <v>505.3</v>
      </c>
      <c r="P1448" s="1268">
        <v>1586017</v>
      </c>
      <c r="Q1448" s="1268">
        <v>0</v>
      </c>
      <c r="R1448" s="1268">
        <v>0</v>
      </c>
      <c r="S1448" s="1268">
        <v>0</v>
      </c>
      <c r="T1448" s="1268">
        <v>0</v>
      </c>
      <c r="U1448" s="1268">
        <v>0</v>
      </c>
      <c r="V1448" s="1268">
        <v>0</v>
      </c>
      <c r="W1448" s="1268">
        <v>0</v>
      </c>
      <c r="X1448" s="1268">
        <v>73589.399999999994</v>
      </c>
      <c r="Y1448" s="1268">
        <v>0</v>
      </c>
    </row>
    <row r="1449" spans="1:25" s="1277" customFormat="1">
      <c r="A1449" s="1396">
        <v>517</v>
      </c>
      <c r="B1449" s="1267" t="s">
        <v>1965</v>
      </c>
      <c r="C1449" s="1268">
        <f t="shared" si="598"/>
        <v>958964.13</v>
      </c>
      <c r="D1449" s="1268">
        <f t="shared" si="599"/>
        <v>0</v>
      </c>
      <c r="E1449" s="1268">
        <v>0</v>
      </c>
      <c r="F1449" s="1268">
        <v>0</v>
      </c>
      <c r="G1449" s="1268">
        <v>0</v>
      </c>
      <c r="H1449" s="1268">
        <v>0</v>
      </c>
      <c r="I1449" s="1268">
        <v>0</v>
      </c>
      <c r="J1449" s="1268">
        <v>0</v>
      </c>
      <c r="K1449" s="1278">
        <v>0</v>
      </c>
      <c r="L1449" s="1268">
        <v>0</v>
      </c>
      <c r="M1449" s="1278">
        <v>0</v>
      </c>
      <c r="N1449" s="1268">
        <v>0</v>
      </c>
      <c r="O1449" s="1268">
        <v>360.1</v>
      </c>
      <c r="P1449" s="1268">
        <v>907378</v>
      </c>
      <c r="Q1449" s="1268">
        <v>0</v>
      </c>
      <c r="R1449" s="1268">
        <v>0</v>
      </c>
      <c r="S1449" s="1268">
        <v>0</v>
      </c>
      <c r="T1449" s="1268">
        <v>0</v>
      </c>
      <c r="U1449" s="1268">
        <v>0</v>
      </c>
      <c r="V1449" s="1268">
        <v>0</v>
      </c>
      <c r="W1449" s="1268">
        <v>0</v>
      </c>
      <c r="X1449" s="1268">
        <v>51586.13</v>
      </c>
      <c r="Y1449" s="1268">
        <v>0</v>
      </c>
    </row>
    <row r="1450" spans="1:25" s="1277" customFormat="1" ht="75.599999999999994">
      <c r="A1450" s="1396">
        <v>518</v>
      </c>
      <c r="B1450" s="1277" t="s">
        <v>2005</v>
      </c>
      <c r="C1450" s="1268">
        <f t="shared" si="596"/>
        <v>957124</v>
      </c>
      <c r="D1450" s="1268">
        <f t="shared" si="597"/>
        <v>0</v>
      </c>
      <c r="E1450" s="1268">
        <v>0</v>
      </c>
      <c r="F1450" s="1268">
        <v>0</v>
      </c>
      <c r="G1450" s="1268">
        <v>0</v>
      </c>
      <c r="H1450" s="1268">
        <v>0</v>
      </c>
      <c r="I1450" s="1268">
        <v>0</v>
      </c>
      <c r="J1450" s="1268">
        <v>0</v>
      </c>
      <c r="K1450" s="1278">
        <v>0</v>
      </c>
      <c r="L1450" s="1268">
        <v>0</v>
      </c>
      <c r="M1450" s="1278">
        <v>0</v>
      </c>
      <c r="N1450" s="1268">
        <v>0</v>
      </c>
      <c r="O1450" s="1268">
        <v>303</v>
      </c>
      <c r="P1450" s="1268">
        <v>887603.46</v>
      </c>
      <c r="Q1450" s="1268">
        <v>0</v>
      </c>
      <c r="R1450" s="1268">
        <v>0</v>
      </c>
      <c r="S1450" s="1268">
        <v>0</v>
      </c>
      <c r="T1450" s="1268">
        <v>0</v>
      </c>
      <c r="U1450" s="1268">
        <v>0</v>
      </c>
      <c r="V1450" s="1268">
        <v>0</v>
      </c>
      <c r="W1450" s="1268">
        <v>0</v>
      </c>
      <c r="X1450" s="1268">
        <v>69520.539999999994</v>
      </c>
      <c r="Y1450" s="1268">
        <v>0</v>
      </c>
    </row>
    <row r="1451" spans="1:25" s="1277" customFormat="1">
      <c r="A1451" s="1396">
        <v>519</v>
      </c>
      <c r="B1451" s="1277" t="s">
        <v>1000</v>
      </c>
      <c r="C1451" s="1268">
        <f t="shared" si="596"/>
        <v>2008170</v>
      </c>
      <c r="D1451" s="1268">
        <f t="shared" si="597"/>
        <v>0</v>
      </c>
      <c r="E1451" s="1268">
        <v>0</v>
      </c>
      <c r="F1451" s="1268">
        <v>0</v>
      </c>
      <c r="G1451" s="1268">
        <v>0</v>
      </c>
      <c r="H1451" s="1268">
        <v>0</v>
      </c>
      <c r="I1451" s="1268">
        <v>0</v>
      </c>
      <c r="J1451" s="1268">
        <v>0</v>
      </c>
      <c r="K1451" s="1278">
        <v>0</v>
      </c>
      <c r="L1451" s="1268">
        <v>0</v>
      </c>
      <c r="M1451" s="1278">
        <v>0</v>
      </c>
      <c r="N1451" s="1268">
        <v>0</v>
      </c>
      <c r="O1451" s="1268">
        <v>812.7</v>
      </c>
      <c r="P1451" s="1268">
        <v>1862306.92</v>
      </c>
      <c r="Q1451" s="1268">
        <v>0</v>
      </c>
      <c r="R1451" s="1268">
        <v>0</v>
      </c>
      <c r="S1451" s="1268">
        <v>0</v>
      </c>
      <c r="T1451" s="1268">
        <v>0</v>
      </c>
      <c r="U1451" s="1268">
        <v>0</v>
      </c>
      <c r="V1451" s="1268">
        <v>0</v>
      </c>
      <c r="W1451" s="1268">
        <v>0</v>
      </c>
      <c r="X1451" s="1268">
        <v>145863.07999999999</v>
      </c>
      <c r="Y1451" s="1268">
        <v>0</v>
      </c>
    </row>
    <row r="1452" spans="1:25" s="1277" customFormat="1">
      <c r="A1452" s="1396">
        <v>520</v>
      </c>
      <c r="B1452" s="1267" t="s">
        <v>1007</v>
      </c>
      <c r="C1452" s="1268">
        <f t="shared" si="596"/>
        <v>539997</v>
      </c>
      <c r="D1452" s="1268">
        <f t="shared" si="597"/>
        <v>0</v>
      </c>
      <c r="E1452" s="1268">
        <v>0</v>
      </c>
      <c r="F1452" s="1268">
        <v>0</v>
      </c>
      <c r="G1452" s="1268">
        <v>0</v>
      </c>
      <c r="H1452" s="1268">
        <v>0</v>
      </c>
      <c r="I1452" s="1268">
        <v>0</v>
      </c>
      <c r="J1452" s="1268">
        <v>0</v>
      </c>
      <c r="K1452" s="1278">
        <v>0</v>
      </c>
      <c r="L1452" s="1268">
        <v>0</v>
      </c>
      <c r="M1452" s="1278">
        <v>0</v>
      </c>
      <c r="N1452" s="1268">
        <v>0</v>
      </c>
      <c r="O1452" s="1268">
        <v>164.1</v>
      </c>
      <c r="P1452" s="1268">
        <v>500774.41</v>
      </c>
      <c r="Q1452" s="1268">
        <v>0</v>
      </c>
      <c r="R1452" s="1268">
        <v>0</v>
      </c>
      <c r="S1452" s="1268">
        <v>0</v>
      </c>
      <c r="T1452" s="1268">
        <v>0</v>
      </c>
      <c r="U1452" s="1268">
        <v>0</v>
      </c>
      <c r="V1452" s="1268">
        <v>0</v>
      </c>
      <c r="W1452" s="1268">
        <v>0</v>
      </c>
      <c r="X1452" s="1268">
        <v>39222.589999999997</v>
      </c>
      <c r="Y1452" s="1268">
        <v>0</v>
      </c>
    </row>
    <row r="1453" spans="1:25" s="1277" customFormat="1">
      <c r="A1453" s="1396">
        <v>521</v>
      </c>
      <c r="B1453" s="1267" t="s">
        <v>2006</v>
      </c>
      <c r="C1453" s="1268">
        <f t="shared" si="596"/>
        <v>798979</v>
      </c>
      <c r="D1453" s="1268">
        <f t="shared" si="597"/>
        <v>0</v>
      </c>
      <c r="E1453" s="1268">
        <v>0</v>
      </c>
      <c r="F1453" s="1268">
        <v>0</v>
      </c>
      <c r="G1453" s="1268">
        <v>0</v>
      </c>
      <c r="H1453" s="1268">
        <v>0</v>
      </c>
      <c r="I1453" s="1268">
        <v>0</v>
      </c>
      <c r="J1453" s="1268">
        <v>0</v>
      </c>
      <c r="K1453" s="1278">
        <v>0</v>
      </c>
      <c r="L1453" s="1268">
        <v>0</v>
      </c>
      <c r="M1453" s="1278">
        <v>0</v>
      </c>
      <c r="N1453" s="1268">
        <v>0</v>
      </c>
      <c r="O1453" s="1268">
        <v>246.3</v>
      </c>
      <c r="P1453" s="1268">
        <v>740945.3</v>
      </c>
      <c r="Q1453" s="1268">
        <v>0</v>
      </c>
      <c r="R1453" s="1268">
        <v>0</v>
      </c>
      <c r="S1453" s="1268">
        <v>0</v>
      </c>
      <c r="T1453" s="1268">
        <v>0</v>
      </c>
      <c r="U1453" s="1268">
        <v>0</v>
      </c>
      <c r="V1453" s="1268">
        <v>0</v>
      </c>
      <c r="W1453" s="1268">
        <v>0</v>
      </c>
      <c r="X1453" s="1268">
        <v>58033.7</v>
      </c>
      <c r="Y1453" s="1268">
        <v>0</v>
      </c>
    </row>
    <row r="1454" spans="1:25" s="1277" customFormat="1" ht="75.599999999999994">
      <c r="A1454" s="1396">
        <v>522</v>
      </c>
      <c r="B1454" s="1361" t="s">
        <v>1966</v>
      </c>
      <c r="C1454" s="1268">
        <f t="shared" si="596"/>
        <v>1282061</v>
      </c>
      <c r="D1454" s="1268">
        <f t="shared" si="597"/>
        <v>0</v>
      </c>
      <c r="E1454" s="1268">
        <v>0</v>
      </c>
      <c r="F1454" s="1268">
        <v>0</v>
      </c>
      <c r="G1454" s="1268">
        <v>0</v>
      </c>
      <c r="H1454" s="1268">
        <v>0</v>
      </c>
      <c r="I1454" s="1268">
        <v>0</v>
      </c>
      <c r="J1454" s="1268">
        <v>0</v>
      </c>
      <c r="K1454" s="1278">
        <v>0</v>
      </c>
      <c r="L1454" s="1268">
        <v>0</v>
      </c>
      <c r="M1454" s="1278">
        <v>0</v>
      </c>
      <c r="N1454" s="1268">
        <v>0</v>
      </c>
      <c r="O1454" s="1268">
        <v>0</v>
      </c>
      <c r="P1454" s="1268">
        <v>0</v>
      </c>
      <c r="Q1454" s="1268">
        <v>0</v>
      </c>
      <c r="R1454" s="1268">
        <v>0</v>
      </c>
      <c r="S1454" s="1268">
        <v>520.79999999999995</v>
      </c>
      <c r="T1454" s="1268">
        <v>1188939</v>
      </c>
      <c r="U1454" s="1268">
        <v>0</v>
      </c>
      <c r="V1454" s="1268">
        <v>0</v>
      </c>
      <c r="W1454" s="1268">
        <v>0</v>
      </c>
      <c r="X1454" s="1268">
        <v>93122</v>
      </c>
      <c r="Y1454" s="1268">
        <v>0</v>
      </c>
    </row>
    <row r="1455" spans="1:25" s="1277" customFormat="1" ht="75.599999999999994">
      <c r="A1455" s="1396">
        <v>523</v>
      </c>
      <c r="B1455" s="1361" t="s">
        <v>1967</v>
      </c>
      <c r="C1455" s="1268">
        <f t="shared" si="596"/>
        <v>1183605</v>
      </c>
      <c r="D1455" s="1268">
        <f t="shared" si="597"/>
        <v>0</v>
      </c>
      <c r="E1455" s="1268">
        <v>0</v>
      </c>
      <c r="F1455" s="1268">
        <v>0</v>
      </c>
      <c r="G1455" s="1268">
        <v>0</v>
      </c>
      <c r="H1455" s="1268">
        <v>0</v>
      </c>
      <c r="I1455" s="1268">
        <v>0</v>
      </c>
      <c r="J1455" s="1268">
        <v>0</v>
      </c>
      <c r="K1455" s="1278">
        <v>0</v>
      </c>
      <c r="L1455" s="1268">
        <v>0</v>
      </c>
      <c r="M1455" s="1278">
        <v>0</v>
      </c>
      <c r="N1455" s="1268">
        <v>0</v>
      </c>
      <c r="O1455" s="1268">
        <v>0</v>
      </c>
      <c r="P1455" s="1268">
        <v>0</v>
      </c>
      <c r="Q1455" s="1268">
        <v>0</v>
      </c>
      <c r="R1455" s="1268">
        <v>0</v>
      </c>
      <c r="S1455" s="1268">
        <v>518.4</v>
      </c>
      <c r="T1455" s="1268">
        <v>1097634</v>
      </c>
      <c r="U1455" s="1268">
        <v>0</v>
      </c>
      <c r="V1455" s="1268">
        <v>0</v>
      </c>
      <c r="W1455" s="1268">
        <v>0</v>
      </c>
      <c r="X1455" s="1268">
        <v>85971</v>
      </c>
      <c r="Y1455" s="1268">
        <v>0</v>
      </c>
    </row>
    <row r="1456" spans="1:25" s="1277" customFormat="1">
      <c r="A1456" s="1396">
        <v>524</v>
      </c>
      <c r="B1456" s="1267" t="s">
        <v>1968</v>
      </c>
      <c r="C1456" s="1268">
        <f t="shared" ref="C1456:C1459" si="600">D1456+N1456+P1456+R1456+T1456+V1456+X1456</f>
        <v>1387686.9</v>
      </c>
      <c r="D1456" s="1268">
        <f t="shared" ref="D1456:D1459" si="601">SUM(E1456:J1456)</f>
        <v>0</v>
      </c>
      <c r="E1456" s="1268">
        <v>0</v>
      </c>
      <c r="F1456" s="1268">
        <v>0</v>
      </c>
      <c r="G1456" s="1268">
        <v>0</v>
      </c>
      <c r="H1456" s="1268">
        <v>0</v>
      </c>
      <c r="I1456" s="1268">
        <v>0</v>
      </c>
      <c r="J1456" s="1268">
        <v>0</v>
      </c>
      <c r="K1456" s="1278">
        <v>0</v>
      </c>
      <c r="L1456" s="1268">
        <v>0</v>
      </c>
      <c r="M1456" s="1278">
        <v>0</v>
      </c>
      <c r="N1456" s="1268">
        <v>0</v>
      </c>
      <c r="O1456" s="1268">
        <v>410</v>
      </c>
      <c r="P1456" s="1268">
        <v>1286892.5</v>
      </c>
      <c r="Q1456" s="1268">
        <v>0</v>
      </c>
      <c r="R1456" s="1268">
        <v>0</v>
      </c>
      <c r="S1456" s="1268">
        <v>0</v>
      </c>
      <c r="T1456" s="1268">
        <v>0</v>
      </c>
      <c r="U1456" s="1268">
        <v>0</v>
      </c>
      <c r="V1456" s="1268">
        <v>0</v>
      </c>
      <c r="W1456" s="1268">
        <v>0</v>
      </c>
      <c r="X1456" s="1268">
        <v>100794.4</v>
      </c>
      <c r="Y1456" s="1268">
        <v>0</v>
      </c>
    </row>
    <row r="1457" spans="1:25" s="1277" customFormat="1">
      <c r="A1457" s="1396">
        <v>525</v>
      </c>
      <c r="B1457" s="1360" t="s">
        <v>610</v>
      </c>
      <c r="C1457" s="1268">
        <f t="shared" ref="C1457" si="602">D1457+N1457+P1457+R1457+T1457+V1457+X1457</f>
        <v>727689.47</v>
      </c>
      <c r="D1457" s="1268">
        <f t="shared" ref="D1457" si="603">SUM(E1457:J1457)</f>
        <v>0</v>
      </c>
      <c r="E1457" s="1268">
        <v>0</v>
      </c>
      <c r="F1457" s="1268">
        <v>0</v>
      </c>
      <c r="G1457" s="1268">
        <v>0</v>
      </c>
      <c r="H1457" s="1268">
        <v>0</v>
      </c>
      <c r="I1457" s="1268">
        <v>0</v>
      </c>
      <c r="J1457" s="1268">
        <v>0</v>
      </c>
      <c r="K1457" s="1278">
        <v>0</v>
      </c>
      <c r="L1457" s="1268">
        <v>0</v>
      </c>
      <c r="M1457" s="1278">
        <v>0</v>
      </c>
      <c r="N1457" s="1268">
        <v>0</v>
      </c>
      <c r="O1457" s="1268">
        <v>215</v>
      </c>
      <c r="P1457" s="1268">
        <v>674833.87</v>
      </c>
      <c r="Q1457" s="1268">
        <v>0</v>
      </c>
      <c r="R1457" s="1268">
        <v>0</v>
      </c>
      <c r="S1457" s="1268">
        <v>0</v>
      </c>
      <c r="T1457" s="1268">
        <v>0</v>
      </c>
      <c r="U1457" s="1268">
        <v>0</v>
      </c>
      <c r="V1457" s="1268">
        <v>0</v>
      </c>
      <c r="W1457" s="1268">
        <v>0</v>
      </c>
      <c r="X1457" s="1268">
        <v>52855.6</v>
      </c>
      <c r="Y1457" s="1268">
        <v>0</v>
      </c>
    </row>
    <row r="1458" spans="1:25" s="1277" customFormat="1">
      <c r="A1458" s="1396">
        <v>526</v>
      </c>
      <c r="B1458" s="1277" t="s">
        <v>885</v>
      </c>
      <c r="C1458" s="1268">
        <f t="shared" ref="C1458" si="604">D1458+N1458+P1458+R1458+T1458+V1458+X1458</f>
        <v>247569</v>
      </c>
      <c r="D1458" s="1268">
        <f t="shared" ref="D1458" si="605">SUM(E1458:J1458)</f>
        <v>229586.86816778645</v>
      </c>
      <c r="E1458" s="1268">
        <v>229586.86816778645</v>
      </c>
      <c r="F1458" s="1268">
        <v>0</v>
      </c>
      <c r="G1458" s="1268">
        <v>0</v>
      </c>
      <c r="H1458" s="1268">
        <v>0</v>
      </c>
      <c r="I1458" s="1268">
        <v>0</v>
      </c>
      <c r="J1458" s="1268">
        <v>0</v>
      </c>
      <c r="K1458" s="1278">
        <v>0</v>
      </c>
      <c r="L1458" s="1268">
        <v>0</v>
      </c>
      <c r="M1458" s="1278">
        <v>0</v>
      </c>
      <c r="N1458" s="1268">
        <v>0</v>
      </c>
      <c r="O1458" s="1268">
        <v>0</v>
      </c>
      <c r="P1458" s="1268">
        <v>0</v>
      </c>
      <c r="Q1458" s="1268">
        <v>0</v>
      </c>
      <c r="R1458" s="1268">
        <v>0</v>
      </c>
      <c r="S1458" s="1268">
        <v>0</v>
      </c>
      <c r="T1458" s="1268">
        <v>0</v>
      </c>
      <c r="U1458" s="1268">
        <v>0</v>
      </c>
      <c r="V1458" s="1268">
        <v>0</v>
      </c>
      <c r="W1458" s="1268">
        <v>0</v>
      </c>
      <c r="X1458" s="1268">
        <v>17982.131832213545</v>
      </c>
      <c r="Y1458" s="1268">
        <v>0</v>
      </c>
    </row>
    <row r="1459" spans="1:25" s="1277" customFormat="1">
      <c r="A1459" s="1396">
        <v>527</v>
      </c>
      <c r="B1459" s="1277" t="s">
        <v>884</v>
      </c>
      <c r="C1459" s="1268">
        <f t="shared" si="600"/>
        <v>1656734</v>
      </c>
      <c r="D1459" s="1268">
        <f t="shared" si="601"/>
        <v>277449</v>
      </c>
      <c r="E1459" s="1268">
        <v>277449</v>
      </c>
      <c r="F1459" s="1268">
        <v>0</v>
      </c>
      <c r="G1459" s="1268">
        <v>0</v>
      </c>
      <c r="H1459" s="1268">
        <v>0</v>
      </c>
      <c r="I1459" s="1268">
        <v>0</v>
      </c>
      <c r="J1459" s="1268">
        <v>0</v>
      </c>
      <c r="K1459" s="1278">
        <v>0</v>
      </c>
      <c r="L1459" s="1268">
        <v>0</v>
      </c>
      <c r="M1459" s="1278">
        <v>0</v>
      </c>
      <c r="N1459" s="1268">
        <v>0</v>
      </c>
      <c r="O1459" s="1268">
        <v>0</v>
      </c>
      <c r="P1459" s="1268">
        <v>0</v>
      </c>
      <c r="Q1459" s="1268">
        <v>0</v>
      </c>
      <c r="R1459" s="1268">
        <v>0</v>
      </c>
      <c r="S1459" s="1268">
        <v>510.17</v>
      </c>
      <c r="T1459" s="1268">
        <v>1258948</v>
      </c>
      <c r="U1459" s="1268">
        <v>0</v>
      </c>
      <c r="V1459" s="1268">
        <v>0</v>
      </c>
      <c r="W1459" s="1268">
        <v>0</v>
      </c>
      <c r="X1459" s="1268">
        <v>120337</v>
      </c>
      <c r="Y1459" s="1268">
        <v>0</v>
      </c>
    </row>
    <row r="1460" spans="1:25" s="1277" customFormat="1">
      <c r="A1460" s="1396"/>
      <c r="B1460" s="1277" t="s">
        <v>52</v>
      </c>
      <c r="C1460" s="1268">
        <f>C1461+C1464+C1466+C1468</f>
        <v>6003881.5609406214</v>
      </c>
      <c r="D1460" s="1268">
        <f t="shared" ref="D1460:Y1460" si="606">D1461+D1464+D1466+D1468</f>
        <v>255789</v>
      </c>
      <c r="E1460" s="1268">
        <f t="shared" si="606"/>
        <v>0</v>
      </c>
      <c r="F1460" s="1268">
        <f t="shared" si="606"/>
        <v>0</v>
      </c>
      <c r="G1460" s="1268">
        <f t="shared" si="606"/>
        <v>0</v>
      </c>
      <c r="H1460" s="1268">
        <f t="shared" si="606"/>
        <v>0</v>
      </c>
      <c r="I1460" s="1268">
        <f t="shared" si="606"/>
        <v>0</v>
      </c>
      <c r="J1460" s="1268">
        <f t="shared" si="606"/>
        <v>255789</v>
      </c>
      <c r="K1460" s="1278">
        <f t="shared" si="606"/>
        <v>0</v>
      </c>
      <c r="L1460" s="1268">
        <f t="shared" si="606"/>
        <v>0</v>
      </c>
      <c r="M1460" s="1278">
        <f t="shared" si="606"/>
        <v>0</v>
      </c>
      <c r="N1460" s="1268">
        <f t="shared" si="606"/>
        <v>0</v>
      </c>
      <c r="O1460" s="1268">
        <f t="shared" si="606"/>
        <v>680</v>
      </c>
      <c r="P1460" s="1268">
        <f t="shared" si="606"/>
        <v>2134358.2999999998</v>
      </c>
      <c r="Q1460" s="1268">
        <f t="shared" si="606"/>
        <v>0</v>
      </c>
      <c r="R1460" s="1268">
        <f t="shared" si="606"/>
        <v>0</v>
      </c>
      <c r="S1460" s="1268">
        <f t="shared" si="606"/>
        <v>1300.8</v>
      </c>
      <c r="T1460" s="1268">
        <f t="shared" si="606"/>
        <v>3208753</v>
      </c>
      <c r="U1460" s="1268">
        <f t="shared" si="606"/>
        <v>0</v>
      </c>
      <c r="V1460" s="1268">
        <f t="shared" si="606"/>
        <v>0</v>
      </c>
      <c r="W1460" s="1268">
        <v>0</v>
      </c>
      <c r="X1460" s="1268">
        <f t="shared" si="606"/>
        <v>404981.26094062102</v>
      </c>
      <c r="Y1460" s="1268">
        <f t="shared" si="606"/>
        <v>0</v>
      </c>
    </row>
    <row r="1461" spans="1:25" s="1277" customFormat="1" ht="113.4">
      <c r="A1461" s="1396"/>
      <c r="B1461" s="1277" t="s">
        <v>1082</v>
      </c>
      <c r="C1461" s="1268">
        <f>C1462+C1463</f>
        <v>3460075</v>
      </c>
      <c r="D1461" s="1268">
        <f t="shared" ref="D1461:Y1461" si="607">D1462+D1463</f>
        <v>0</v>
      </c>
      <c r="E1461" s="1268">
        <f t="shared" si="607"/>
        <v>0</v>
      </c>
      <c r="F1461" s="1268">
        <f t="shared" si="607"/>
        <v>0</v>
      </c>
      <c r="G1461" s="1268">
        <f t="shared" si="607"/>
        <v>0</v>
      </c>
      <c r="H1461" s="1268">
        <f t="shared" si="607"/>
        <v>0</v>
      </c>
      <c r="I1461" s="1268">
        <f t="shared" si="607"/>
        <v>0</v>
      </c>
      <c r="J1461" s="1268">
        <f t="shared" si="607"/>
        <v>0</v>
      </c>
      <c r="K1461" s="1278">
        <f t="shared" si="607"/>
        <v>0</v>
      </c>
      <c r="L1461" s="1268">
        <f t="shared" si="607"/>
        <v>0</v>
      </c>
      <c r="M1461" s="1278">
        <f t="shared" si="607"/>
        <v>0</v>
      </c>
      <c r="N1461" s="1268">
        <f t="shared" si="607"/>
        <v>0</v>
      </c>
      <c r="O1461" s="1268">
        <f t="shared" si="607"/>
        <v>0</v>
      </c>
      <c r="P1461" s="1268">
        <f t="shared" si="607"/>
        <v>0</v>
      </c>
      <c r="Q1461" s="1268">
        <f t="shared" si="607"/>
        <v>0</v>
      </c>
      <c r="R1461" s="1268">
        <f t="shared" si="607"/>
        <v>0</v>
      </c>
      <c r="S1461" s="1268">
        <f t="shared" si="607"/>
        <v>1300.8</v>
      </c>
      <c r="T1461" s="1268">
        <f t="shared" si="607"/>
        <v>3208753</v>
      </c>
      <c r="U1461" s="1268">
        <f t="shared" si="607"/>
        <v>0</v>
      </c>
      <c r="V1461" s="1268">
        <f t="shared" si="607"/>
        <v>0</v>
      </c>
      <c r="W1461" s="1268">
        <v>0</v>
      </c>
      <c r="X1461" s="1268">
        <f t="shared" si="607"/>
        <v>251322</v>
      </c>
      <c r="Y1461" s="1268">
        <f t="shared" si="607"/>
        <v>0</v>
      </c>
    </row>
    <row r="1462" spans="1:25" s="1277" customFormat="1">
      <c r="A1462" s="1396">
        <v>528</v>
      </c>
      <c r="B1462" s="1277" t="s">
        <v>1609</v>
      </c>
      <c r="C1462" s="1268">
        <v>1652470</v>
      </c>
      <c r="D1462" s="1268">
        <v>0</v>
      </c>
      <c r="E1462" s="1268">
        <v>0</v>
      </c>
      <c r="F1462" s="1268">
        <v>0</v>
      </c>
      <c r="G1462" s="1268">
        <v>0</v>
      </c>
      <c r="H1462" s="1268">
        <v>0</v>
      </c>
      <c r="I1462" s="1268">
        <v>0</v>
      </c>
      <c r="J1462" s="1268">
        <v>0</v>
      </c>
      <c r="K1462" s="1278">
        <v>0</v>
      </c>
      <c r="L1462" s="1268">
        <v>0</v>
      </c>
      <c r="M1462" s="1278">
        <v>0</v>
      </c>
      <c r="N1462" s="1268">
        <v>0</v>
      </c>
      <c r="O1462" s="1268">
        <v>0</v>
      </c>
      <c r="P1462" s="1268">
        <v>0</v>
      </c>
      <c r="Q1462" s="1268">
        <v>0</v>
      </c>
      <c r="R1462" s="1268">
        <v>0</v>
      </c>
      <c r="S1462" s="1268">
        <v>621.5</v>
      </c>
      <c r="T1462" s="1268">
        <v>1532443</v>
      </c>
      <c r="U1462" s="1268">
        <v>0</v>
      </c>
      <c r="V1462" s="1268">
        <v>0</v>
      </c>
      <c r="W1462" s="1268">
        <v>0</v>
      </c>
      <c r="X1462" s="1268">
        <v>120027</v>
      </c>
      <c r="Y1462" s="1268">
        <v>0</v>
      </c>
    </row>
    <row r="1463" spans="1:25" s="1277" customFormat="1">
      <c r="A1463" s="1396">
        <v>529</v>
      </c>
      <c r="B1463" s="1277" t="s">
        <v>1610</v>
      </c>
      <c r="C1463" s="1268">
        <v>1807605</v>
      </c>
      <c r="D1463" s="1268">
        <v>0</v>
      </c>
      <c r="E1463" s="1268">
        <v>0</v>
      </c>
      <c r="F1463" s="1268">
        <v>0</v>
      </c>
      <c r="G1463" s="1268">
        <v>0</v>
      </c>
      <c r="H1463" s="1268">
        <v>0</v>
      </c>
      <c r="I1463" s="1268">
        <v>0</v>
      </c>
      <c r="J1463" s="1268">
        <v>0</v>
      </c>
      <c r="K1463" s="1278">
        <v>0</v>
      </c>
      <c r="L1463" s="1268">
        <v>0</v>
      </c>
      <c r="M1463" s="1278">
        <v>0</v>
      </c>
      <c r="N1463" s="1268">
        <v>0</v>
      </c>
      <c r="O1463" s="1268">
        <v>0</v>
      </c>
      <c r="P1463" s="1268">
        <v>0</v>
      </c>
      <c r="Q1463" s="1268">
        <v>0</v>
      </c>
      <c r="R1463" s="1268">
        <v>0</v>
      </c>
      <c r="S1463" s="1268">
        <v>679.3</v>
      </c>
      <c r="T1463" s="1268">
        <v>1676310</v>
      </c>
      <c r="U1463" s="1268">
        <v>0</v>
      </c>
      <c r="V1463" s="1268">
        <v>0</v>
      </c>
      <c r="W1463" s="1268">
        <v>0</v>
      </c>
      <c r="X1463" s="1268">
        <v>131295</v>
      </c>
      <c r="Y1463" s="1268">
        <v>0</v>
      </c>
    </row>
    <row r="1464" spans="1:25" s="1277" customFormat="1" ht="113.4">
      <c r="A1464" s="1396"/>
      <c r="B1464" s="1277" t="s">
        <v>1611</v>
      </c>
      <c r="C1464" s="1268">
        <v>275823</v>
      </c>
      <c r="D1464" s="1268">
        <v>255789</v>
      </c>
      <c r="E1464" s="1268">
        <v>0</v>
      </c>
      <c r="F1464" s="1268">
        <v>0</v>
      </c>
      <c r="G1464" s="1268">
        <v>0</v>
      </c>
      <c r="H1464" s="1268">
        <v>0</v>
      </c>
      <c r="I1464" s="1268">
        <v>0</v>
      </c>
      <c r="J1464" s="1268">
        <v>255789</v>
      </c>
      <c r="K1464" s="1278">
        <v>0</v>
      </c>
      <c r="L1464" s="1268">
        <v>0</v>
      </c>
      <c r="M1464" s="1278">
        <v>0</v>
      </c>
      <c r="N1464" s="1268">
        <v>0</v>
      </c>
      <c r="O1464" s="1268">
        <v>0</v>
      </c>
      <c r="P1464" s="1268">
        <v>0</v>
      </c>
      <c r="Q1464" s="1268">
        <v>0</v>
      </c>
      <c r="R1464" s="1268">
        <v>0</v>
      </c>
      <c r="S1464" s="1268">
        <v>0</v>
      </c>
      <c r="T1464" s="1268">
        <v>0</v>
      </c>
      <c r="U1464" s="1268">
        <v>0</v>
      </c>
      <c r="V1464" s="1268">
        <v>0</v>
      </c>
      <c r="W1464" s="1268">
        <v>0</v>
      </c>
      <c r="X1464" s="1268">
        <v>20034</v>
      </c>
      <c r="Y1464" s="1268">
        <v>0</v>
      </c>
    </row>
    <row r="1465" spans="1:25" s="1277" customFormat="1" ht="75.599999999999994">
      <c r="A1465" s="1396">
        <v>530</v>
      </c>
      <c r="B1465" s="1277" t="s">
        <v>2594</v>
      </c>
      <c r="C1465" s="1268">
        <v>275823</v>
      </c>
      <c r="D1465" s="1268">
        <v>255789</v>
      </c>
      <c r="E1465" s="1268">
        <v>0</v>
      </c>
      <c r="F1465" s="1268">
        <v>0</v>
      </c>
      <c r="G1465" s="1268">
        <v>0</v>
      </c>
      <c r="H1465" s="1268">
        <v>0</v>
      </c>
      <c r="I1465" s="1268">
        <v>0</v>
      </c>
      <c r="J1465" s="1268">
        <v>255789</v>
      </c>
      <c r="K1465" s="1278">
        <v>0</v>
      </c>
      <c r="L1465" s="1268">
        <v>0</v>
      </c>
      <c r="M1465" s="1278">
        <v>0</v>
      </c>
      <c r="N1465" s="1268">
        <v>0</v>
      </c>
      <c r="O1465" s="1268">
        <v>0</v>
      </c>
      <c r="P1465" s="1268">
        <v>0</v>
      </c>
      <c r="Q1465" s="1268">
        <v>0</v>
      </c>
      <c r="R1465" s="1268">
        <v>0</v>
      </c>
      <c r="S1465" s="1268">
        <v>0</v>
      </c>
      <c r="T1465" s="1268">
        <v>0</v>
      </c>
      <c r="U1465" s="1268">
        <v>0</v>
      </c>
      <c r="V1465" s="1268">
        <v>0</v>
      </c>
      <c r="W1465" s="1268">
        <v>0</v>
      </c>
      <c r="X1465" s="1268">
        <v>20034</v>
      </c>
      <c r="Y1465" s="1268">
        <v>0</v>
      </c>
    </row>
    <row r="1466" spans="1:25" s="1277" customFormat="1" ht="113.4">
      <c r="A1466" s="1396"/>
      <c r="B1466" s="1277" t="s">
        <v>1611</v>
      </c>
      <c r="C1466" s="1268">
        <v>20216</v>
      </c>
      <c r="D1466" s="1268">
        <v>0</v>
      </c>
      <c r="E1466" s="1268">
        <v>0</v>
      </c>
      <c r="F1466" s="1268">
        <v>0</v>
      </c>
      <c r="G1466" s="1268">
        <v>0</v>
      </c>
      <c r="H1466" s="1268">
        <v>0</v>
      </c>
      <c r="I1466" s="1268">
        <v>0</v>
      </c>
      <c r="J1466" s="1268">
        <v>0</v>
      </c>
      <c r="K1466" s="1278">
        <v>0</v>
      </c>
      <c r="L1466" s="1268">
        <v>0</v>
      </c>
      <c r="M1466" s="1278">
        <v>0</v>
      </c>
      <c r="N1466" s="1268">
        <v>0</v>
      </c>
      <c r="O1466" s="1268">
        <v>0</v>
      </c>
      <c r="P1466" s="1268">
        <v>0</v>
      </c>
      <c r="Q1466" s="1268">
        <v>0</v>
      </c>
      <c r="R1466" s="1268">
        <v>0</v>
      </c>
      <c r="S1466" s="1268">
        <v>0</v>
      </c>
      <c r="T1466" s="1268">
        <v>0</v>
      </c>
      <c r="U1466" s="1268">
        <v>0</v>
      </c>
      <c r="V1466" s="1268">
        <v>0</v>
      </c>
      <c r="W1466" s="1268">
        <v>0</v>
      </c>
      <c r="X1466" s="1268">
        <v>20216</v>
      </c>
      <c r="Y1466" s="1268">
        <v>0</v>
      </c>
    </row>
    <row r="1467" spans="1:25" s="1277" customFormat="1" ht="113.4">
      <c r="A1467" s="1396">
        <v>531</v>
      </c>
      <c r="B1467" s="1277" t="s">
        <v>2574</v>
      </c>
      <c r="C1467" s="1268">
        <v>20216</v>
      </c>
      <c r="D1467" s="1268">
        <v>0</v>
      </c>
      <c r="E1467" s="1268">
        <v>0</v>
      </c>
      <c r="F1467" s="1268">
        <v>0</v>
      </c>
      <c r="G1467" s="1268">
        <v>0</v>
      </c>
      <c r="H1467" s="1268">
        <v>0</v>
      </c>
      <c r="I1467" s="1268">
        <v>0</v>
      </c>
      <c r="J1467" s="1268">
        <v>0</v>
      </c>
      <c r="K1467" s="1278">
        <v>0</v>
      </c>
      <c r="L1467" s="1268">
        <v>0</v>
      </c>
      <c r="M1467" s="1278">
        <v>0</v>
      </c>
      <c r="N1467" s="1268">
        <v>0</v>
      </c>
      <c r="O1467" s="1268">
        <v>0</v>
      </c>
      <c r="P1467" s="1268">
        <v>0</v>
      </c>
      <c r="Q1467" s="1268">
        <v>0</v>
      </c>
      <c r="R1467" s="1268">
        <v>0</v>
      </c>
      <c r="S1467" s="1268">
        <v>0</v>
      </c>
      <c r="T1467" s="1268">
        <v>0</v>
      </c>
      <c r="U1467" s="1268">
        <v>0</v>
      </c>
      <c r="V1467" s="1268">
        <v>0</v>
      </c>
      <c r="W1467" s="1268">
        <v>0</v>
      </c>
      <c r="X1467" s="1268">
        <v>20216</v>
      </c>
      <c r="Y1467" s="1268">
        <v>0</v>
      </c>
    </row>
    <row r="1468" spans="1:25" s="1277" customFormat="1" ht="113.4">
      <c r="A1468" s="1396"/>
      <c r="B1468" s="1277" t="s">
        <v>1104</v>
      </c>
      <c r="C1468" s="1268">
        <f>C1469</f>
        <v>2247767.560940621</v>
      </c>
      <c r="D1468" s="1268">
        <f t="shared" ref="D1468:Y1468" si="608">D1469</f>
        <v>0</v>
      </c>
      <c r="E1468" s="1268">
        <f t="shared" si="608"/>
        <v>0</v>
      </c>
      <c r="F1468" s="1268">
        <f t="shared" si="608"/>
        <v>0</v>
      </c>
      <c r="G1468" s="1268">
        <f t="shared" si="608"/>
        <v>0</v>
      </c>
      <c r="H1468" s="1268">
        <f t="shared" si="608"/>
        <v>0</v>
      </c>
      <c r="I1468" s="1268">
        <f t="shared" si="608"/>
        <v>0</v>
      </c>
      <c r="J1468" s="1268">
        <f t="shared" si="608"/>
        <v>0</v>
      </c>
      <c r="K1468" s="1278">
        <f t="shared" si="608"/>
        <v>0</v>
      </c>
      <c r="L1468" s="1268">
        <f t="shared" si="608"/>
        <v>0</v>
      </c>
      <c r="M1468" s="1278">
        <f t="shared" si="608"/>
        <v>0</v>
      </c>
      <c r="N1468" s="1268">
        <f t="shared" si="608"/>
        <v>0</v>
      </c>
      <c r="O1468" s="1268">
        <f t="shared" si="608"/>
        <v>680</v>
      </c>
      <c r="P1468" s="1268">
        <f t="shared" si="608"/>
        <v>2134358.2999999998</v>
      </c>
      <c r="Q1468" s="1268">
        <f t="shared" si="608"/>
        <v>0</v>
      </c>
      <c r="R1468" s="1268">
        <f t="shared" si="608"/>
        <v>0</v>
      </c>
      <c r="S1468" s="1268">
        <f t="shared" si="608"/>
        <v>0</v>
      </c>
      <c r="T1468" s="1268">
        <f t="shared" si="608"/>
        <v>0</v>
      </c>
      <c r="U1468" s="1268">
        <f t="shared" si="608"/>
        <v>0</v>
      </c>
      <c r="V1468" s="1268">
        <f t="shared" si="608"/>
        <v>0</v>
      </c>
      <c r="W1468" s="1268">
        <v>0</v>
      </c>
      <c r="X1468" s="1268">
        <f t="shared" si="608"/>
        <v>113409.26094062102</v>
      </c>
      <c r="Y1468" s="1268">
        <f t="shared" si="608"/>
        <v>0</v>
      </c>
    </row>
    <row r="1469" spans="1:25" s="1277" customFormat="1" ht="75.599999999999994">
      <c r="A1469" s="1396">
        <v>532</v>
      </c>
      <c r="B1469" s="1267" t="s">
        <v>1617</v>
      </c>
      <c r="C1469" s="1289">
        <f t="shared" ref="C1469" si="609">D1469+N1469+P1469+R1469+T1469+V1469+X1469</f>
        <v>2247767.560940621</v>
      </c>
      <c r="D1469" s="1289">
        <f t="shared" ref="D1469" si="610">SUM(E1469:J1469)</f>
        <v>0</v>
      </c>
      <c r="E1469" s="1268">
        <v>0</v>
      </c>
      <c r="F1469" s="1268">
        <v>0</v>
      </c>
      <c r="G1469" s="1268">
        <v>0</v>
      </c>
      <c r="H1469" s="1268">
        <v>0</v>
      </c>
      <c r="I1469" s="1268">
        <v>0</v>
      </c>
      <c r="J1469" s="1268">
        <v>0</v>
      </c>
      <c r="K1469" s="1278">
        <v>0</v>
      </c>
      <c r="L1469" s="1268">
        <v>0</v>
      </c>
      <c r="M1469" s="1278">
        <v>0</v>
      </c>
      <c r="N1469" s="1268">
        <v>0</v>
      </c>
      <c r="O1469" s="1268">
        <v>680</v>
      </c>
      <c r="P1469" s="1268">
        <v>2134358.2999999998</v>
      </c>
      <c r="Q1469" s="1268">
        <v>0</v>
      </c>
      <c r="R1469" s="1268">
        <v>0</v>
      </c>
      <c r="S1469" s="1268">
        <v>0</v>
      </c>
      <c r="T1469" s="1268">
        <v>0</v>
      </c>
      <c r="U1469" s="1268">
        <v>0</v>
      </c>
      <c r="V1469" s="1268">
        <v>0</v>
      </c>
      <c r="W1469" s="1268">
        <v>0</v>
      </c>
      <c r="X1469" s="1268">
        <v>113409.26094062102</v>
      </c>
      <c r="Y1469" s="1268">
        <v>0</v>
      </c>
    </row>
    <row r="1470" spans="1:25" s="1277" customFormat="1">
      <c r="A1470" s="1396"/>
      <c r="B1470" s="1277" t="s">
        <v>53</v>
      </c>
      <c r="C1470" s="1268">
        <f>C1471+C1488+C1496+C1492+C1509+C1484+C1505</f>
        <v>102105960.72708371</v>
      </c>
      <c r="D1470" s="1268">
        <f t="shared" ref="D1470:Y1470" si="611">D1471+D1488+D1496+D1492+D1509+D1484+D1505</f>
        <v>28722581.039999999</v>
      </c>
      <c r="E1470" s="1268">
        <f t="shared" si="611"/>
        <v>4229591.04</v>
      </c>
      <c r="F1470" s="1268">
        <f t="shared" si="611"/>
        <v>7242614</v>
      </c>
      <c r="G1470" s="1268">
        <f t="shared" si="611"/>
        <v>0</v>
      </c>
      <c r="H1470" s="1268">
        <f t="shared" si="611"/>
        <v>7412177</v>
      </c>
      <c r="I1470" s="1268">
        <f t="shared" si="611"/>
        <v>7026362</v>
      </c>
      <c r="J1470" s="1268">
        <f t="shared" si="611"/>
        <v>2811837</v>
      </c>
      <c r="K1470" s="1278">
        <f t="shared" si="611"/>
        <v>0</v>
      </c>
      <c r="L1470" s="1268">
        <f t="shared" si="611"/>
        <v>0</v>
      </c>
      <c r="M1470" s="1278">
        <f t="shared" si="611"/>
        <v>0</v>
      </c>
      <c r="N1470" s="1268">
        <f t="shared" si="611"/>
        <v>0</v>
      </c>
      <c r="O1470" s="1268">
        <f t="shared" si="611"/>
        <v>21111.800000000003</v>
      </c>
      <c r="P1470" s="1268">
        <f t="shared" si="611"/>
        <v>58752815.640000001</v>
      </c>
      <c r="Q1470" s="1268">
        <f t="shared" si="611"/>
        <v>0</v>
      </c>
      <c r="R1470" s="1268">
        <f t="shared" si="611"/>
        <v>0</v>
      </c>
      <c r="S1470" s="1268">
        <f t="shared" si="611"/>
        <v>2866.21</v>
      </c>
      <c r="T1470" s="1268">
        <f t="shared" si="611"/>
        <v>4429204.4128672592</v>
      </c>
      <c r="U1470" s="1268">
        <f t="shared" si="611"/>
        <v>0</v>
      </c>
      <c r="V1470" s="1268">
        <f t="shared" si="611"/>
        <v>0</v>
      </c>
      <c r="W1470" s="1268">
        <v>0</v>
      </c>
      <c r="X1470" s="1268">
        <f t="shared" si="611"/>
        <v>6863952.1742164511</v>
      </c>
      <c r="Y1470" s="1268">
        <f t="shared" si="611"/>
        <v>91820</v>
      </c>
    </row>
    <row r="1471" spans="1:25" s="1277" customFormat="1" ht="113.4">
      <c r="A1471" s="1396"/>
      <c r="B1471" s="1277" t="s">
        <v>1083</v>
      </c>
      <c r="C1471" s="1268">
        <f>SUM(C1472:C1483)</f>
        <v>60851108.969999999</v>
      </c>
      <c r="D1471" s="1268">
        <f t="shared" ref="D1471:Y1471" si="612">SUM(D1472:D1483)</f>
        <v>27132652.039999999</v>
      </c>
      <c r="E1471" s="1268">
        <f t="shared" si="612"/>
        <v>3897836.04</v>
      </c>
      <c r="F1471" s="1268">
        <f t="shared" si="612"/>
        <v>6614219</v>
      </c>
      <c r="G1471" s="1268">
        <f t="shared" si="612"/>
        <v>0</v>
      </c>
      <c r="H1471" s="1268">
        <f t="shared" si="612"/>
        <v>7026362</v>
      </c>
      <c r="I1471" s="1268">
        <f t="shared" si="612"/>
        <v>7026362</v>
      </c>
      <c r="J1471" s="1268">
        <f t="shared" si="612"/>
        <v>2567873</v>
      </c>
      <c r="K1471" s="1278">
        <f t="shared" si="612"/>
        <v>0</v>
      </c>
      <c r="L1471" s="1268">
        <f t="shared" si="612"/>
        <v>0</v>
      </c>
      <c r="M1471" s="1278">
        <f t="shared" si="612"/>
        <v>0</v>
      </c>
      <c r="N1471" s="1268">
        <f t="shared" si="612"/>
        <v>0</v>
      </c>
      <c r="O1471" s="1268">
        <f t="shared" si="612"/>
        <v>11432.400000000001</v>
      </c>
      <c r="P1471" s="1268">
        <f t="shared" si="612"/>
        <v>29401499</v>
      </c>
      <c r="Q1471" s="1268">
        <f t="shared" si="612"/>
        <v>0</v>
      </c>
      <c r="R1471" s="1268">
        <f t="shared" si="612"/>
        <v>0</v>
      </c>
      <c r="S1471" s="1268">
        <f t="shared" si="612"/>
        <v>0</v>
      </c>
      <c r="T1471" s="1268">
        <f t="shared" si="612"/>
        <v>0</v>
      </c>
      <c r="U1471" s="1268">
        <f t="shared" si="612"/>
        <v>0</v>
      </c>
      <c r="V1471" s="1268">
        <f t="shared" si="612"/>
        <v>0</v>
      </c>
      <c r="W1471" s="1268">
        <v>0</v>
      </c>
      <c r="X1471" s="1268">
        <f t="shared" si="612"/>
        <v>4316957.93</v>
      </c>
      <c r="Y1471" s="1268">
        <f t="shared" si="612"/>
        <v>0</v>
      </c>
    </row>
    <row r="1472" spans="1:25" s="1277" customFormat="1">
      <c r="A1472" s="1396">
        <v>533</v>
      </c>
      <c r="B1472" s="1341" t="s">
        <v>1459</v>
      </c>
      <c r="C1472" s="1289">
        <f t="shared" ref="C1472" si="613">D1472+N1472+P1472+R1472+T1472+V1472+X1472</f>
        <v>6341528</v>
      </c>
      <c r="D1472" s="1289">
        <f t="shared" ref="D1472" si="614">SUM(E1472:J1472)</f>
        <v>5930852</v>
      </c>
      <c r="E1472" s="1289">
        <v>0</v>
      </c>
      <c r="F1472" s="1289">
        <v>0</v>
      </c>
      <c r="G1472" s="1289">
        <v>0</v>
      </c>
      <c r="H1472" s="1289">
        <v>2965426</v>
      </c>
      <c r="I1472" s="1289">
        <v>2965426</v>
      </c>
      <c r="J1472" s="1289">
        <v>0</v>
      </c>
      <c r="K1472" s="1278">
        <v>0</v>
      </c>
      <c r="L1472" s="1289">
        <v>0</v>
      </c>
      <c r="M1472" s="1278">
        <v>0</v>
      </c>
      <c r="N1472" s="1289">
        <v>0</v>
      </c>
      <c r="O1472" s="1289">
        <v>0</v>
      </c>
      <c r="P1472" s="1289">
        <v>0</v>
      </c>
      <c r="Q1472" s="1289">
        <v>0</v>
      </c>
      <c r="R1472" s="1289">
        <v>0</v>
      </c>
      <c r="S1472" s="1289">
        <v>0</v>
      </c>
      <c r="T1472" s="1289">
        <v>0</v>
      </c>
      <c r="U1472" s="1289">
        <v>0</v>
      </c>
      <c r="V1472" s="1289">
        <v>0</v>
      </c>
      <c r="W1472" s="1268">
        <v>0</v>
      </c>
      <c r="X1472" s="1289">
        <f>205338*2</f>
        <v>410676</v>
      </c>
      <c r="Y1472" s="1289">
        <v>0</v>
      </c>
    </row>
    <row r="1473" spans="1:25" s="1277" customFormat="1">
      <c r="A1473" s="1396">
        <v>534</v>
      </c>
      <c r="B1473" s="1341" t="s">
        <v>1452</v>
      </c>
      <c r="C1473" s="1289">
        <f t="shared" ref="C1473:C1485" si="615">D1473+N1473+P1473+R1473+T1473+V1473+X1473</f>
        <v>2822982.89</v>
      </c>
      <c r="D1473" s="1289">
        <f t="shared" ref="D1473:D1483" si="616">SUM(E1473:J1473)</f>
        <v>0</v>
      </c>
      <c r="E1473" s="1289">
        <v>0</v>
      </c>
      <c r="F1473" s="1289">
        <v>0</v>
      </c>
      <c r="G1473" s="1289">
        <v>0</v>
      </c>
      <c r="H1473" s="1289">
        <v>0</v>
      </c>
      <c r="I1473" s="1289">
        <v>0</v>
      </c>
      <c r="J1473" s="1289">
        <v>0</v>
      </c>
      <c r="K1473" s="1278">
        <v>0</v>
      </c>
      <c r="L1473" s="1289">
        <v>0</v>
      </c>
      <c r="M1473" s="1278">
        <v>0</v>
      </c>
      <c r="N1473" s="1289">
        <v>0</v>
      </c>
      <c r="O1473" s="1403">
        <v>1060</v>
      </c>
      <c r="P1473" s="1289">
        <v>2670981</v>
      </c>
      <c r="Q1473" s="1289">
        <v>0</v>
      </c>
      <c r="R1473" s="1289">
        <v>0</v>
      </c>
      <c r="S1473" s="1289">
        <v>0</v>
      </c>
      <c r="T1473" s="1289">
        <v>0</v>
      </c>
      <c r="U1473" s="1289">
        <v>0</v>
      </c>
      <c r="V1473" s="1289">
        <v>0</v>
      </c>
      <c r="W1473" s="1268">
        <v>0</v>
      </c>
      <c r="X1473" s="1289">
        <v>152001.89000000001</v>
      </c>
      <c r="Y1473" s="1289">
        <v>0</v>
      </c>
    </row>
    <row r="1474" spans="1:25" s="1277" customFormat="1">
      <c r="A1474" s="1396">
        <v>535</v>
      </c>
      <c r="B1474" s="1363" t="s">
        <v>1453</v>
      </c>
      <c r="C1474" s="1289">
        <f t="shared" si="615"/>
        <v>3387204</v>
      </c>
      <c r="D1474" s="1289">
        <f t="shared" si="616"/>
        <v>0</v>
      </c>
      <c r="E1474" s="1289">
        <v>0</v>
      </c>
      <c r="F1474" s="1289">
        <v>0</v>
      </c>
      <c r="G1474" s="1289">
        <v>0</v>
      </c>
      <c r="H1474" s="1289">
        <v>0</v>
      </c>
      <c r="I1474" s="1289">
        <v>0</v>
      </c>
      <c r="J1474" s="1289">
        <v>0</v>
      </c>
      <c r="K1474" s="1278">
        <v>0</v>
      </c>
      <c r="L1474" s="1289">
        <v>0</v>
      </c>
      <c r="M1474" s="1278">
        <v>0</v>
      </c>
      <c r="N1474" s="1289">
        <v>0</v>
      </c>
      <c r="O1474" s="1362">
        <v>1246.5999999999999</v>
      </c>
      <c r="P1474" s="1289">
        <v>3141175</v>
      </c>
      <c r="Q1474" s="1289">
        <v>0</v>
      </c>
      <c r="R1474" s="1289">
        <v>0</v>
      </c>
      <c r="S1474" s="1289">
        <v>0</v>
      </c>
      <c r="T1474" s="1289">
        <v>0</v>
      </c>
      <c r="U1474" s="1289">
        <v>0</v>
      </c>
      <c r="V1474" s="1289">
        <v>0</v>
      </c>
      <c r="W1474" s="1268">
        <v>0</v>
      </c>
      <c r="X1474" s="1289">
        <f>246029</f>
        <v>246029</v>
      </c>
      <c r="Y1474" s="1289">
        <v>0</v>
      </c>
    </row>
    <row r="1475" spans="1:25" s="1277" customFormat="1">
      <c r="A1475" s="1396">
        <v>536</v>
      </c>
      <c r="B1475" s="1363" t="s">
        <v>1454</v>
      </c>
      <c r="C1475" s="1289">
        <f t="shared" si="615"/>
        <v>1630292</v>
      </c>
      <c r="D1475" s="1289">
        <f t="shared" si="616"/>
        <v>0</v>
      </c>
      <c r="E1475" s="1289">
        <v>0</v>
      </c>
      <c r="F1475" s="1289">
        <v>0</v>
      </c>
      <c r="G1475" s="1289">
        <v>0</v>
      </c>
      <c r="H1475" s="1289">
        <v>0</v>
      </c>
      <c r="I1475" s="1289">
        <v>0</v>
      </c>
      <c r="J1475" s="1289">
        <v>0</v>
      </c>
      <c r="K1475" s="1278">
        <v>0</v>
      </c>
      <c r="L1475" s="1289">
        <v>0</v>
      </c>
      <c r="M1475" s="1278">
        <v>0</v>
      </c>
      <c r="N1475" s="1289">
        <v>0</v>
      </c>
      <c r="O1475" s="1362">
        <v>600</v>
      </c>
      <c r="P1475" s="1289">
        <v>1511876</v>
      </c>
      <c r="Q1475" s="1289">
        <v>0</v>
      </c>
      <c r="R1475" s="1289">
        <v>0</v>
      </c>
      <c r="S1475" s="1289">
        <v>0</v>
      </c>
      <c r="T1475" s="1289">
        <v>0</v>
      </c>
      <c r="U1475" s="1289">
        <v>0</v>
      </c>
      <c r="V1475" s="1289">
        <v>0</v>
      </c>
      <c r="W1475" s="1268">
        <v>0</v>
      </c>
      <c r="X1475" s="1289">
        <v>118416</v>
      </c>
      <c r="Y1475" s="1289">
        <v>0</v>
      </c>
    </row>
    <row r="1476" spans="1:25" s="1277" customFormat="1">
      <c r="A1476" s="1396">
        <v>537</v>
      </c>
      <c r="B1476" s="1363" t="s">
        <v>1455</v>
      </c>
      <c r="C1476" s="1289">
        <f t="shared" si="615"/>
        <v>2880183</v>
      </c>
      <c r="D1476" s="1289">
        <f t="shared" si="616"/>
        <v>0</v>
      </c>
      <c r="E1476" s="1289">
        <v>0</v>
      </c>
      <c r="F1476" s="1289">
        <v>0</v>
      </c>
      <c r="G1476" s="1289">
        <v>0</v>
      </c>
      <c r="H1476" s="1289">
        <v>0</v>
      </c>
      <c r="I1476" s="1289">
        <v>0</v>
      </c>
      <c r="J1476" s="1289">
        <v>0</v>
      </c>
      <c r="K1476" s="1278">
        <v>0</v>
      </c>
      <c r="L1476" s="1289">
        <v>0</v>
      </c>
      <c r="M1476" s="1278">
        <v>0</v>
      </c>
      <c r="N1476" s="1289">
        <v>0</v>
      </c>
      <c r="O1476" s="1362">
        <v>1060</v>
      </c>
      <c r="P1476" s="1289">
        <v>2670981</v>
      </c>
      <c r="Q1476" s="1289">
        <v>0</v>
      </c>
      <c r="R1476" s="1289">
        <v>0</v>
      </c>
      <c r="S1476" s="1289">
        <v>0</v>
      </c>
      <c r="T1476" s="1289">
        <v>0</v>
      </c>
      <c r="U1476" s="1289">
        <v>0</v>
      </c>
      <c r="V1476" s="1289">
        <v>0</v>
      </c>
      <c r="W1476" s="1268">
        <v>0</v>
      </c>
      <c r="X1476" s="1289">
        <v>209202</v>
      </c>
      <c r="Y1476" s="1289">
        <v>0</v>
      </c>
    </row>
    <row r="1477" spans="1:25" s="1277" customFormat="1">
      <c r="A1477" s="1396">
        <v>538</v>
      </c>
      <c r="B1477" s="1363" t="s">
        <v>1460</v>
      </c>
      <c r="C1477" s="1289">
        <f t="shared" si="615"/>
        <v>2880183</v>
      </c>
      <c r="D1477" s="1289">
        <f t="shared" si="616"/>
        <v>0</v>
      </c>
      <c r="E1477" s="1289">
        <v>0</v>
      </c>
      <c r="F1477" s="1289">
        <v>0</v>
      </c>
      <c r="G1477" s="1289">
        <v>0</v>
      </c>
      <c r="H1477" s="1289">
        <v>0</v>
      </c>
      <c r="I1477" s="1289">
        <v>0</v>
      </c>
      <c r="J1477" s="1289">
        <v>0</v>
      </c>
      <c r="K1477" s="1278">
        <v>0</v>
      </c>
      <c r="L1477" s="1289">
        <v>0</v>
      </c>
      <c r="M1477" s="1278">
        <v>0</v>
      </c>
      <c r="N1477" s="1289">
        <v>0</v>
      </c>
      <c r="O1477" s="1362">
        <v>1060</v>
      </c>
      <c r="P1477" s="1289">
        <v>2670981</v>
      </c>
      <c r="Q1477" s="1289">
        <v>0</v>
      </c>
      <c r="R1477" s="1289">
        <v>0</v>
      </c>
      <c r="S1477" s="1289">
        <v>0</v>
      </c>
      <c r="T1477" s="1289">
        <v>0</v>
      </c>
      <c r="U1477" s="1289">
        <v>0</v>
      </c>
      <c r="V1477" s="1289">
        <v>0</v>
      </c>
      <c r="W1477" s="1268">
        <v>0</v>
      </c>
      <c r="X1477" s="1289">
        <v>209202</v>
      </c>
      <c r="Y1477" s="1289">
        <v>0</v>
      </c>
    </row>
    <row r="1478" spans="1:25" s="1277" customFormat="1" ht="50.4" customHeight="1">
      <c r="A1478" s="1396">
        <v>539</v>
      </c>
      <c r="B1478" s="1363" t="s">
        <v>2322</v>
      </c>
      <c r="C1478" s="1289">
        <f t="shared" si="615"/>
        <v>3208416</v>
      </c>
      <c r="D1478" s="1289">
        <f t="shared" si="616"/>
        <v>0</v>
      </c>
      <c r="E1478" s="1289">
        <v>0</v>
      </c>
      <c r="F1478" s="1289">
        <v>0</v>
      </c>
      <c r="G1478" s="1289">
        <v>0</v>
      </c>
      <c r="H1478" s="1289">
        <v>0</v>
      </c>
      <c r="I1478" s="1289">
        <v>0</v>
      </c>
      <c r="J1478" s="1289">
        <v>0</v>
      </c>
      <c r="K1478" s="1278">
        <v>0</v>
      </c>
      <c r="L1478" s="1289">
        <v>0</v>
      </c>
      <c r="M1478" s="1278">
        <v>0</v>
      </c>
      <c r="N1478" s="1289">
        <v>0</v>
      </c>
      <c r="O1478" s="1362">
        <v>1180.8</v>
      </c>
      <c r="P1478" s="1289">
        <v>2975373</v>
      </c>
      <c r="Q1478" s="1289">
        <v>0</v>
      </c>
      <c r="R1478" s="1289">
        <v>0</v>
      </c>
      <c r="S1478" s="1289">
        <v>0</v>
      </c>
      <c r="T1478" s="1289">
        <v>0</v>
      </c>
      <c r="U1478" s="1289">
        <v>0</v>
      </c>
      <c r="V1478" s="1289">
        <v>0</v>
      </c>
      <c r="W1478" s="1268">
        <v>0</v>
      </c>
      <c r="X1478" s="1289">
        <v>233043</v>
      </c>
      <c r="Y1478" s="1289">
        <v>0</v>
      </c>
    </row>
    <row r="1479" spans="1:25" s="1277" customFormat="1" ht="47.4" customHeight="1">
      <c r="A1479" s="1396">
        <v>540</v>
      </c>
      <c r="B1479" s="1363" t="s">
        <v>2323</v>
      </c>
      <c r="C1479" s="1289">
        <f t="shared" si="615"/>
        <v>3102990</v>
      </c>
      <c r="D1479" s="1289">
        <f t="shared" si="616"/>
        <v>0</v>
      </c>
      <c r="E1479" s="1289">
        <v>0</v>
      </c>
      <c r="F1479" s="1289">
        <v>0</v>
      </c>
      <c r="G1479" s="1289">
        <v>0</v>
      </c>
      <c r="H1479" s="1289">
        <v>0</v>
      </c>
      <c r="I1479" s="1289">
        <v>0</v>
      </c>
      <c r="J1479" s="1289">
        <v>0</v>
      </c>
      <c r="K1479" s="1278">
        <v>0</v>
      </c>
      <c r="L1479" s="1289">
        <v>0</v>
      </c>
      <c r="M1479" s="1278">
        <v>0</v>
      </c>
      <c r="N1479" s="1289">
        <v>0</v>
      </c>
      <c r="O1479" s="1362">
        <v>1142</v>
      </c>
      <c r="P1479" s="1289">
        <v>2877605</v>
      </c>
      <c r="Q1479" s="1289">
        <v>0</v>
      </c>
      <c r="R1479" s="1289">
        <v>0</v>
      </c>
      <c r="S1479" s="1289">
        <v>0</v>
      </c>
      <c r="T1479" s="1289">
        <v>0</v>
      </c>
      <c r="U1479" s="1289">
        <v>0</v>
      </c>
      <c r="V1479" s="1289">
        <v>0</v>
      </c>
      <c r="W1479" s="1268">
        <v>0</v>
      </c>
      <c r="X1479" s="1289">
        <v>225385</v>
      </c>
      <c r="Y1479" s="1289">
        <v>0</v>
      </c>
    </row>
    <row r="1480" spans="1:25" s="1277" customFormat="1">
      <c r="A1480" s="1396">
        <v>541</v>
      </c>
      <c r="B1480" s="1363" t="s">
        <v>763</v>
      </c>
      <c r="C1480" s="1289">
        <f t="shared" si="615"/>
        <v>2880183</v>
      </c>
      <c r="D1480" s="1289">
        <f t="shared" si="616"/>
        <v>0</v>
      </c>
      <c r="E1480" s="1289">
        <v>0</v>
      </c>
      <c r="F1480" s="1289">
        <v>0</v>
      </c>
      <c r="G1480" s="1289">
        <v>0</v>
      </c>
      <c r="H1480" s="1289">
        <v>0</v>
      </c>
      <c r="I1480" s="1289">
        <v>0</v>
      </c>
      <c r="J1480" s="1289">
        <v>0</v>
      </c>
      <c r="K1480" s="1278">
        <v>0</v>
      </c>
      <c r="L1480" s="1289">
        <v>0</v>
      </c>
      <c r="M1480" s="1278">
        <v>0</v>
      </c>
      <c r="N1480" s="1289">
        <v>0</v>
      </c>
      <c r="O1480" s="1362">
        <v>1060</v>
      </c>
      <c r="P1480" s="1289">
        <v>2670981</v>
      </c>
      <c r="Q1480" s="1289">
        <v>0</v>
      </c>
      <c r="R1480" s="1289">
        <v>0</v>
      </c>
      <c r="S1480" s="1289">
        <v>0</v>
      </c>
      <c r="T1480" s="1289">
        <v>0</v>
      </c>
      <c r="U1480" s="1289">
        <v>0</v>
      </c>
      <c r="V1480" s="1289">
        <v>0</v>
      </c>
      <c r="W1480" s="1268">
        <v>0</v>
      </c>
      <c r="X1480" s="1289">
        <v>209202</v>
      </c>
      <c r="Y1480" s="1289">
        <v>0</v>
      </c>
    </row>
    <row r="1481" spans="1:25" s="1277" customFormat="1">
      <c r="A1481" s="1396">
        <v>542</v>
      </c>
      <c r="B1481" s="1363" t="s">
        <v>1461</v>
      </c>
      <c r="C1481" s="1289">
        <f t="shared" si="615"/>
        <v>2880183</v>
      </c>
      <c r="D1481" s="1289">
        <f t="shared" si="616"/>
        <v>0</v>
      </c>
      <c r="E1481" s="1289">
        <v>0</v>
      </c>
      <c r="F1481" s="1289">
        <v>0</v>
      </c>
      <c r="G1481" s="1289">
        <v>0</v>
      </c>
      <c r="H1481" s="1289">
        <v>0</v>
      </c>
      <c r="I1481" s="1289">
        <v>0</v>
      </c>
      <c r="J1481" s="1289">
        <v>0</v>
      </c>
      <c r="K1481" s="1278">
        <v>0</v>
      </c>
      <c r="L1481" s="1289">
        <v>0</v>
      </c>
      <c r="M1481" s="1278">
        <v>0</v>
      </c>
      <c r="N1481" s="1289">
        <v>0</v>
      </c>
      <c r="O1481" s="1362">
        <v>1060</v>
      </c>
      <c r="P1481" s="1289">
        <v>2670981</v>
      </c>
      <c r="Q1481" s="1289">
        <v>0</v>
      </c>
      <c r="R1481" s="1289">
        <v>0</v>
      </c>
      <c r="S1481" s="1289">
        <v>0</v>
      </c>
      <c r="T1481" s="1289">
        <v>0</v>
      </c>
      <c r="U1481" s="1289">
        <v>0</v>
      </c>
      <c r="V1481" s="1289">
        <v>0</v>
      </c>
      <c r="W1481" s="1268">
        <v>0</v>
      </c>
      <c r="X1481" s="1289">
        <v>209202</v>
      </c>
      <c r="Y1481" s="1289">
        <v>0</v>
      </c>
    </row>
    <row r="1482" spans="1:25" s="1277" customFormat="1">
      <c r="A1482" s="1396">
        <v>543</v>
      </c>
      <c r="B1482" s="1363" t="s">
        <v>1462</v>
      </c>
      <c r="C1482" s="1289">
        <f t="shared" si="615"/>
        <v>13670859</v>
      </c>
      <c r="D1482" s="1289">
        <f t="shared" si="616"/>
        <v>9664635</v>
      </c>
      <c r="E1482" s="1289">
        <v>0</v>
      </c>
      <c r="F1482" s="1289">
        <v>3694183</v>
      </c>
      <c r="G1482" s="1289">
        <v>0</v>
      </c>
      <c r="H1482" s="1289">
        <v>2268120</v>
      </c>
      <c r="I1482" s="1289">
        <v>2268120</v>
      </c>
      <c r="J1482" s="1289">
        <v>1434212</v>
      </c>
      <c r="K1482" s="1278">
        <v>0</v>
      </c>
      <c r="L1482" s="1289">
        <v>0</v>
      </c>
      <c r="M1482" s="1278">
        <v>0</v>
      </c>
      <c r="N1482" s="1289">
        <v>0</v>
      </c>
      <c r="O1482" s="1362">
        <v>960</v>
      </c>
      <c r="P1482" s="1289">
        <v>3013212</v>
      </c>
      <c r="Q1482" s="1289">
        <v>0</v>
      </c>
      <c r="R1482" s="1289">
        <v>0</v>
      </c>
      <c r="S1482" s="1289">
        <v>0</v>
      </c>
      <c r="T1482" s="1289">
        <v>0</v>
      </c>
      <c r="U1482" s="1289">
        <v>0</v>
      </c>
      <c r="V1482" s="1289">
        <v>0</v>
      </c>
      <c r="W1482" s="1268">
        <v>0</v>
      </c>
      <c r="X1482" s="1289">
        <f>1099193-189465+236006-152722</f>
        <v>993012</v>
      </c>
      <c r="Y1482" s="1289">
        <v>0</v>
      </c>
    </row>
    <row r="1483" spans="1:25" s="1277" customFormat="1">
      <c r="A1483" s="1396">
        <v>544</v>
      </c>
      <c r="B1483" s="1363" t="s">
        <v>1463</v>
      </c>
      <c r="C1483" s="1289">
        <f t="shared" si="615"/>
        <v>15166105.079999998</v>
      </c>
      <c r="D1483" s="1289">
        <f t="shared" si="616"/>
        <v>11537165.039999999</v>
      </c>
      <c r="E1483" s="1289">
        <v>3897836.04</v>
      </c>
      <c r="F1483" s="1289">
        <v>2920036</v>
      </c>
      <c r="G1483" s="1289">
        <v>0</v>
      </c>
      <c r="H1483" s="1289">
        <v>1792816</v>
      </c>
      <c r="I1483" s="1289">
        <v>1792816</v>
      </c>
      <c r="J1483" s="1289">
        <v>1133661</v>
      </c>
      <c r="K1483" s="1278">
        <v>0</v>
      </c>
      <c r="L1483" s="1289">
        <v>0</v>
      </c>
      <c r="M1483" s="1278">
        <v>0</v>
      </c>
      <c r="N1483" s="1289">
        <v>0</v>
      </c>
      <c r="O1483" s="1362">
        <v>1003</v>
      </c>
      <c r="P1483" s="1289">
        <v>2527353</v>
      </c>
      <c r="Q1483" s="1289">
        <v>0</v>
      </c>
      <c r="R1483" s="1289">
        <v>0</v>
      </c>
      <c r="S1483" s="1289">
        <v>0</v>
      </c>
      <c r="T1483" s="1289">
        <v>0</v>
      </c>
      <c r="U1483" s="1289">
        <v>0</v>
      </c>
      <c r="V1483" s="1289">
        <v>0</v>
      </c>
      <c r="W1483" s="1268">
        <v>0</v>
      </c>
      <c r="X1483" s="1289">
        <v>1101587.04</v>
      </c>
      <c r="Y1483" s="1289">
        <v>0</v>
      </c>
    </row>
    <row r="1484" spans="1:25" s="1277" customFormat="1" ht="127.8" customHeight="1">
      <c r="A1484" s="1396"/>
      <c r="B1484" s="1277" t="s">
        <v>1089</v>
      </c>
      <c r="C1484" s="1268">
        <f>C1485+C1486+C1487</f>
        <v>2880188.6399999997</v>
      </c>
      <c r="D1484" s="1268">
        <f t="shared" ref="D1484:Y1484" si="617">D1485+D1486+D1487</f>
        <v>0</v>
      </c>
      <c r="E1484" s="1268">
        <f t="shared" si="617"/>
        <v>0</v>
      </c>
      <c r="F1484" s="1268">
        <f t="shared" si="617"/>
        <v>0</v>
      </c>
      <c r="G1484" s="1268">
        <f t="shared" si="617"/>
        <v>0</v>
      </c>
      <c r="H1484" s="1268">
        <f t="shared" si="617"/>
        <v>0</v>
      </c>
      <c r="I1484" s="1268">
        <f t="shared" si="617"/>
        <v>0</v>
      </c>
      <c r="J1484" s="1268">
        <f t="shared" si="617"/>
        <v>0</v>
      </c>
      <c r="K1484" s="1268">
        <f t="shared" si="617"/>
        <v>0</v>
      </c>
      <c r="L1484" s="1268">
        <f t="shared" si="617"/>
        <v>0</v>
      </c>
      <c r="M1484" s="1268">
        <f t="shared" si="617"/>
        <v>0</v>
      </c>
      <c r="N1484" s="1268">
        <f t="shared" si="617"/>
        <v>0</v>
      </c>
      <c r="O1484" s="1268">
        <f t="shared" si="617"/>
        <v>625.9</v>
      </c>
      <c r="P1484" s="1268">
        <f t="shared" si="617"/>
        <v>1781062.64</v>
      </c>
      <c r="Q1484" s="1268">
        <f t="shared" si="617"/>
        <v>0</v>
      </c>
      <c r="R1484" s="1268">
        <f t="shared" si="617"/>
        <v>0</v>
      </c>
      <c r="S1484" s="1268">
        <f t="shared" si="617"/>
        <v>371</v>
      </c>
      <c r="T1484" s="1268">
        <f t="shared" si="617"/>
        <v>915518</v>
      </c>
      <c r="U1484" s="1268">
        <f t="shared" si="617"/>
        <v>0</v>
      </c>
      <c r="V1484" s="1268">
        <f t="shared" si="617"/>
        <v>0</v>
      </c>
      <c r="W1484" s="1268">
        <f t="shared" si="617"/>
        <v>0</v>
      </c>
      <c r="X1484" s="1268">
        <f t="shared" si="617"/>
        <v>183608</v>
      </c>
      <c r="Y1484" s="1268">
        <f t="shared" si="617"/>
        <v>0</v>
      </c>
    </row>
    <row r="1485" spans="1:25" s="1277" customFormat="1" ht="75.599999999999994">
      <c r="A1485" s="1396">
        <v>545</v>
      </c>
      <c r="B1485" s="1277" t="s">
        <v>1069</v>
      </c>
      <c r="C1485" s="1289">
        <f t="shared" si="615"/>
        <v>1892964.64</v>
      </c>
      <c r="D1485" s="1268">
        <v>0</v>
      </c>
      <c r="E1485" s="1268">
        <v>0</v>
      </c>
      <c r="F1485" s="1268">
        <v>0</v>
      </c>
      <c r="G1485" s="1268">
        <v>0</v>
      </c>
      <c r="H1485" s="1268">
        <v>0</v>
      </c>
      <c r="I1485" s="1268">
        <v>0</v>
      </c>
      <c r="J1485" s="1268">
        <v>0</v>
      </c>
      <c r="K1485" s="1278">
        <v>0</v>
      </c>
      <c r="L1485" s="1268">
        <v>0</v>
      </c>
      <c r="M1485" s="1278">
        <v>0</v>
      </c>
      <c r="N1485" s="1268">
        <v>0</v>
      </c>
      <c r="O1485" s="1268">
        <v>625.9</v>
      </c>
      <c r="P1485" s="1268">
        <v>1781062.64</v>
      </c>
      <c r="Q1485" s="1268">
        <v>0</v>
      </c>
      <c r="R1485" s="1268">
        <v>0</v>
      </c>
      <c r="S1485" s="1268">
        <v>0</v>
      </c>
      <c r="T1485" s="1268">
        <v>0</v>
      </c>
      <c r="U1485" s="1268">
        <v>0</v>
      </c>
      <c r="V1485" s="1268">
        <v>0</v>
      </c>
      <c r="W1485" s="1268">
        <v>0</v>
      </c>
      <c r="X1485" s="1268">
        <v>111902</v>
      </c>
      <c r="Y1485" s="1268">
        <v>0</v>
      </c>
    </row>
    <row r="1486" spans="1:25" s="1277" customFormat="1">
      <c r="A1486" s="1396">
        <v>546</v>
      </c>
      <c r="B1486" s="1277" t="s">
        <v>996</v>
      </c>
      <c r="C1486" s="1268">
        <v>493612</v>
      </c>
      <c r="D1486" s="1268">
        <v>0</v>
      </c>
      <c r="E1486" s="1268">
        <v>0</v>
      </c>
      <c r="F1486" s="1268">
        <v>0</v>
      </c>
      <c r="G1486" s="1268">
        <v>0</v>
      </c>
      <c r="H1486" s="1268">
        <v>0</v>
      </c>
      <c r="I1486" s="1268">
        <v>0</v>
      </c>
      <c r="J1486" s="1268">
        <v>0</v>
      </c>
      <c r="K1486" s="1278">
        <v>0</v>
      </c>
      <c r="L1486" s="1268">
        <v>0</v>
      </c>
      <c r="M1486" s="1278">
        <v>0</v>
      </c>
      <c r="N1486" s="1268">
        <v>0</v>
      </c>
      <c r="O1486" s="1268">
        <v>0</v>
      </c>
      <c r="P1486" s="1268">
        <v>0</v>
      </c>
      <c r="Q1486" s="1268">
        <v>0</v>
      </c>
      <c r="R1486" s="1268">
        <v>0</v>
      </c>
      <c r="S1486" s="1268">
        <v>185.5</v>
      </c>
      <c r="T1486" s="1268">
        <v>457759</v>
      </c>
      <c r="U1486" s="1268">
        <v>0</v>
      </c>
      <c r="V1486" s="1268">
        <v>0</v>
      </c>
      <c r="W1486" s="1268">
        <v>0</v>
      </c>
      <c r="X1486" s="1268">
        <v>35853</v>
      </c>
      <c r="Y1486" s="1268">
        <v>0</v>
      </c>
    </row>
    <row r="1487" spans="1:25" s="1277" customFormat="1">
      <c r="A1487" s="1396">
        <v>547</v>
      </c>
      <c r="B1487" s="1277" t="s">
        <v>997</v>
      </c>
      <c r="C1487" s="1268">
        <v>493612</v>
      </c>
      <c r="D1487" s="1268">
        <v>0</v>
      </c>
      <c r="E1487" s="1268">
        <v>0</v>
      </c>
      <c r="F1487" s="1268">
        <v>0</v>
      </c>
      <c r="G1487" s="1268">
        <v>0</v>
      </c>
      <c r="H1487" s="1268">
        <v>0</v>
      </c>
      <c r="I1487" s="1268">
        <v>0</v>
      </c>
      <c r="J1487" s="1268">
        <v>0</v>
      </c>
      <c r="K1487" s="1278">
        <v>0</v>
      </c>
      <c r="L1487" s="1268">
        <v>0</v>
      </c>
      <c r="M1487" s="1278">
        <v>0</v>
      </c>
      <c r="N1487" s="1268">
        <v>0</v>
      </c>
      <c r="O1487" s="1268">
        <v>0</v>
      </c>
      <c r="P1487" s="1268">
        <v>0</v>
      </c>
      <c r="Q1487" s="1268">
        <v>0</v>
      </c>
      <c r="R1487" s="1268">
        <v>0</v>
      </c>
      <c r="S1487" s="1268">
        <v>185.5</v>
      </c>
      <c r="T1487" s="1268">
        <v>457759</v>
      </c>
      <c r="U1487" s="1268">
        <v>0</v>
      </c>
      <c r="V1487" s="1268">
        <v>0</v>
      </c>
      <c r="W1487" s="1268">
        <v>0</v>
      </c>
      <c r="X1487" s="1268">
        <v>35853</v>
      </c>
      <c r="Y1487" s="1268">
        <v>0</v>
      </c>
    </row>
    <row r="1488" spans="1:25" s="1277" customFormat="1" ht="75.599999999999994">
      <c r="A1488" s="1396"/>
      <c r="B1488" s="1363" t="s">
        <v>1084</v>
      </c>
      <c r="C1488" s="1268">
        <f>SUM(C1489:C1491)</f>
        <v>4176411</v>
      </c>
      <c r="D1488" s="1268">
        <f t="shared" ref="D1488:Y1488" si="618">SUM(D1489:D1491)</f>
        <v>0</v>
      </c>
      <c r="E1488" s="1268">
        <f t="shared" si="618"/>
        <v>0</v>
      </c>
      <c r="F1488" s="1268">
        <f t="shared" si="618"/>
        <v>0</v>
      </c>
      <c r="G1488" s="1268">
        <f t="shared" si="618"/>
        <v>0</v>
      </c>
      <c r="H1488" s="1268">
        <f t="shared" si="618"/>
        <v>0</v>
      </c>
      <c r="I1488" s="1268">
        <f t="shared" si="618"/>
        <v>0</v>
      </c>
      <c r="J1488" s="1268">
        <f t="shared" si="618"/>
        <v>0</v>
      </c>
      <c r="K1488" s="1278">
        <f t="shared" si="618"/>
        <v>0</v>
      </c>
      <c r="L1488" s="1268">
        <f t="shared" si="618"/>
        <v>0</v>
      </c>
      <c r="M1488" s="1278">
        <f t="shared" si="618"/>
        <v>0</v>
      </c>
      <c r="N1488" s="1268">
        <f t="shared" si="618"/>
        <v>0</v>
      </c>
      <c r="O1488" s="1268">
        <f t="shared" si="618"/>
        <v>522.70000000000005</v>
      </c>
      <c r="P1488" s="1268">
        <f t="shared" si="618"/>
        <v>1640631</v>
      </c>
      <c r="Q1488" s="1268">
        <f t="shared" si="618"/>
        <v>0</v>
      </c>
      <c r="R1488" s="1268">
        <f t="shared" si="618"/>
        <v>0</v>
      </c>
      <c r="S1488" s="1268">
        <f t="shared" si="618"/>
        <v>1523.5</v>
      </c>
      <c r="T1488" s="1268">
        <f t="shared" si="618"/>
        <v>2147276.0328672598</v>
      </c>
      <c r="U1488" s="1268">
        <f t="shared" si="618"/>
        <v>0</v>
      </c>
      <c r="V1488" s="1268">
        <f t="shared" si="618"/>
        <v>0</v>
      </c>
      <c r="W1488" s="1268">
        <v>0</v>
      </c>
      <c r="X1488" s="1268">
        <f t="shared" si="618"/>
        <v>296683.96713274019</v>
      </c>
      <c r="Y1488" s="1268">
        <f t="shared" si="618"/>
        <v>91820</v>
      </c>
    </row>
    <row r="1489" spans="1:25" s="1277" customFormat="1" ht="75.599999999999994">
      <c r="A1489" s="1396">
        <v>548</v>
      </c>
      <c r="B1489" s="1267" t="s">
        <v>2575</v>
      </c>
      <c r="C1489" s="1268">
        <f>T1489+Y1489+X1489</f>
        <v>1256949</v>
      </c>
      <c r="D1489" s="1268">
        <v>0</v>
      </c>
      <c r="E1489" s="1268">
        <v>0</v>
      </c>
      <c r="F1489" s="1268">
        <v>0</v>
      </c>
      <c r="G1489" s="1268">
        <v>0</v>
      </c>
      <c r="H1489" s="1268">
        <v>0</v>
      </c>
      <c r="I1489" s="1268">
        <v>0</v>
      </c>
      <c r="J1489" s="1268">
        <v>0</v>
      </c>
      <c r="K1489" s="1278">
        <v>0</v>
      </c>
      <c r="L1489" s="1268">
        <v>0</v>
      </c>
      <c r="M1489" s="1278">
        <v>0</v>
      </c>
      <c r="N1489" s="1268">
        <v>0</v>
      </c>
      <c r="O1489" s="1268">
        <v>0</v>
      </c>
      <c r="P1489" s="1268">
        <v>0</v>
      </c>
      <c r="Q1489" s="1268">
        <v>0</v>
      </c>
      <c r="R1489" s="1268">
        <v>0</v>
      </c>
      <c r="S1489" s="1268">
        <v>797.3</v>
      </c>
      <c r="T1489" s="1268">
        <v>1120105.9667695661</v>
      </c>
      <c r="U1489" s="1268">
        <v>0</v>
      </c>
      <c r="V1489" s="1268">
        <v>0</v>
      </c>
      <c r="W1489" s="1268">
        <v>0</v>
      </c>
      <c r="X1489" s="1268">
        <v>87731.033230433997</v>
      </c>
      <c r="Y1489" s="1268">
        <v>49112</v>
      </c>
    </row>
    <row r="1490" spans="1:25" s="1277" customFormat="1" ht="113.4">
      <c r="A1490" s="1396">
        <v>549</v>
      </c>
      <c r="B1490" s="1277" t="s">
        <v>2577</v>
      </c>
      <c r="C1490" s="1268">
        <f>T1490+Y1490+X1490</f>
        <v>1150330.0000000002</v>
      </c>
      <c r="D1490" s="1268">
        <v>0</v>
      </c>
      <c r="E1490" s="1268">
        <v>0</v>
      </c>
      <c r="F1490" s="1268">
        <v>0</v>
      </c>
      <c r="G1490" s="1268">
        <v>0</v>
      </c>
      <c r="H1490" s="1268">
        <v>0</v>
      </c>
      <c r="I1490" s="1268">
        <v>0</v>
      </c>
      <c r="J1490" s="1268">
        <v>0</v>
      </c>
      <c r="K1490" s="1278">
        <v>0</v>
      </c>
      <c r="L1490" s="1268">
        <v>0</v>
      </c>
      <c r="M1490" s="1278">
        <v>0</v>
      </c>
      <c r="N1490" s="1268">
        <v>0</v>
      </c>
      <c r="O1490" s="1268">
        <v>0</v>
      </c>
      <c r="P1490" s="1268">
        <v>0</v>
      </c>
      <c r="Q1490" s="1268">
        <v>0</v>
      </c>
      <c r="R1490" s="1268">
        <v>0</v>
      </c>
      <c r="S1490" s="1268">
        <v>726.2</v>
      </c>
      <c r="T1490" s="1268">
        <v>1027170.0660976939</v>
      </c>
      <c r="U1490" s="1268">
        <v>0</v>
      </c>
      <c r="V1490" s="1268">
        <v>0</v>
      </c>
      <c r="W1490" s="1268">
        <v>0</v>
      </c>
      <c r="X1490" s="1268">
        <v>80451.933902306162</v>
      </c>
      <c r="Y1490" s="1268">
        <v>42708</v>
      </c>
    </row>
    <row r="1491" spans="1:25" s="1277" customFormat="1" ht="75.599999999999994">
      <c r="A1491" s="1396">
        <v>550</v>
      </c>
      <c r="B1491" s="1277" t="s">
        <v>2576</v>
      </c>
      <c r="C1491" s="1268">
        <f>P1491+X1491</f>
        <v>1769132</v>
      </c>
      <c r="D1491" s="1268">
        <v>0</v>
      </c>
      <c r="E1491" s="1268">
        <v>0</v>
      </c>
      <c r="F1491" s="1268">
        <v>0</v>
      </c>
      <c r="G1491" s="1268">
        <v>0</v>
      </c>
      <c r="H1491" s="1268">
        <v>0</v>
      </c>
      <c r="I1491" s="1268">
        <v>0</v>
      </c>
      <c r="J1491" s="1268">
        <v>0</v>
      </c>
      <c r="K1491" s="1278">
        <v>0</v>
      </c>
      <c r="L1491" s="1268">
        <v>0</v>
      </c>
      <c r="M1491" s="1278">
        <v>0</v>
      </c>
      <c r="N1491" s="1268">
        <v>0</v>
      </c>
      <c r="O1491" s="1268">
        <v>522.70000000000005</v>
      </c>
      <c r="P1491" s="1268">
        <v>1640631</v>
      </c>
      <c r="Q1491" s="1268">
        <v>0</v>
      </c>
      <c r="R1491" s="1268">
        <v>0</v>
      </c>
      <c r="S1491" s="1268">
        <v>0</v>
      </c>
      <c r="T1491" s="1268">
        <v>0</v>
      </c>
      <c r="U1491" s="1268">
        <v>0</v>
      </c>
      <c r="V1491" s="1268">
        <v>0</v>
      </c>
      <c r="W1491" s="1268">
        <v>0</v>
      </c>
      <c r="X1491" s="1268">
        <v>128501</v>
      </c>
      <c r="Y1491" s="1268">
        <v>0</v>
      </c>
    </row>
    <row r="1492" spans="1:25" s="1277" customFormat="1" ht="75.599999999999994">
      <c r="A1492" s="1396"/>
      <c r="B1492" s="1277" t="s">
        <v>1086</v>
      </c>
      <c r="C1492" s="1268">
        <f>SUM(C1493:C1495)</f>
        <v>7085490.0770837115</v>
      </c>
      <c r="D1492" s="1268">
        <f t="shared" ref="D1492:Y1492" si="619">SUM(D1493:D1495)</f>
        <v>0</v>
      </c>
      <c r="E1492" s="1268">
        <f t="shared" si="619"/>
        <v>0</v>
      </c>
      <c r="F1492" s="1268">
        <f t="shared" si="619"/>
        <v>0</v>
      </c>
      <c r="G1492" s="1268">
        <f t="shared" si="619"/>
        <v>0</v>
      </c>
      <c r="H1492" s="1268">
        <f t="shared" si="619"/>
        <v>0</v>
      </c>
      <c r="I1492" s="1268">
        <f t="shared" si="619"/>
        <v>0</v>
      </c>
      <c r="J1492" s="1268">
        <f t="shared" si="619"/>
        <v>0</v>
      </c>
      <c r="K1492" s="1278">
        <f t="shared" si="619"/>
        <v>0</v>
      </c>
      <c r="L1492" s="1268">
        <f t="shared" si="619"/>
        <v>0</v>
      </c>
      <c r="M1492" s="1278">
        <f t="shared" si="619"/>
        <v>0</v>
      </c>
      <c r="N1492" s="1268">
        <f t="shared" si="619"/>
        <v>0</v>
      </c>
      <c r="O1492" s="1268">
        <f t="shared" si="619"/>
        <v>2057.9</v>
      </c>
      <c r="P1492" s="1268">
        <f t="shared" si="619"/>
        <v>6740491.8200000003</v>
      </c>
      <c r="Q1492" s="1268">
        <f t="shared" si="619"/>
        <v>0</v>
      </c>
      <c r="R1492" s="1268">
        <f t="shared" si="619"/>
        <v>0</v>
      </c>
      <c r="S1492" s="1268">
        <f t="shared" si="619"/>
        <v>0</v>
      </c>
      <c r="T1492" s="1268">
        <f t="shared" si="619"/>
        <v>0</v>
      </c>
      <c r="U1492" s="1268">
        <f t="shared" si="619"/>
        <v>0</v>
      </c>
      <c r="V1492" s="1268">
        <f t="shared" si="619"/>
        <v>0</v>
      </c>
      <c r="W1492" s="1268">
        <v>0</v>
      </c>
      <c r="X1492" s="1268">
        <f t="shared" si="619"/>
        <v>344998.25708371162</v>
      </c>
      <c r="Y1492" s="1268">
        <f t="shared" si="619"/>
        <v>0</v>
      </c>
    </row>
    <row r="1493" spans="1:25" s="1277" customFormat="1">
      <c r="A1493" s="1396">
        <v>551</v>
      </c>
      <c r="B1493" s="1267" t="s">
        <v>1223</v>
      </c>
      <c r="C1493" s="1289">
        <f t="shared" ref="C1493:C1495" si="620">D1493+N1493+P1493+R1493+T1493+V1493+X1493</f>
        <v>1984061.2875049936</v>
      </c>
      <c r="D1493" s="1268">
        <v>0</v>
      </c>
      <c r="E1493" s="1268">
        <v>0</v>
      </c>
      <c r="F1493" s="1268">
        <v>0</v>
      </c>
      <c r="G1493" s="1268">
        <v>0</v>
      </c>
      <c r="H1493" s="1268">
        <v>0</v>
      </c>
      <c r="I1493" s="1268">
        <v>0</v>
      </c>
      <c r="J1493" s="1268">
        <v>0</v>
      </c>
      <c r="K1493" s="1278">
        <v>0</v>
      </c>
      <c r="L1493" s="1268">
        <v>0</v>
      </c>
      <c r="M1493" s="1278">
        <v>0</v>
      </c>
      <c r="N1493" s="1268">
        <v>0</v>
      </c>
      <c r="O1493" s="1268">
        <v>602</v>
      </c>
      <c r="P1493" s="1268">
        <v>1920922.47</v>
      </c>
      <c r="Q1493" s="1268">
        <v>0</v>
      </c>
      <c r="R1493" s="1268">
        <v>0</v>
      </c>
      <c r="S1493" s="1268">
        <v>0</v>
      </c>
      <c r="T1493" s="1268">
        <v>0</v>
      </c>
      <c r="U1493" s="1268">
        <v>0</v>
      </c>
      <c r="V1493" s="1268">
        <v>0</v>
      </c>
      <c r="W1493" s="1268">
        <v>0</v>
      </c>
      <c r="X1493" s="1268">
        <v>63138.817504993647</v>
      </c>
      <c r="Y1493" s="1268">
        <v>0</v>
      </c>
    </row>
    <row r="1494" spans="1:25" s="1277" customFormat="1">
      <c r="A1494" s="1396">
        <v>552</v>
      </c>
      <c r="B1494" s="1267" t="s">
        <v>1224</v>
      </c>
      <c r="C1494" s="1289">
        <f t="shared" si="620"/>
        <v>2217747.7195787178</v>
      </c>
      <c r="D1494" s="1268">
        <v>0</v>
      </c>
      <c r="E1494" s="1268">
        <v>0</v>
      </c>
      <c r="F1494" s="1268">
        <v>0</v>
      </c>
      <c r="G1494" s="1268">
        <v>0</v>
      </c>
      <c r="H1494" s="1268">
        <v>0</v>
      </c>
      <c r="I1494" s="1268">
        <v>0</v>
      </c>
      <c r="J1494" s="1268">
        <v>0</v>
      </c>
      <c r="K1494" s="1278">
        <v>0</v>
      </c>
      <c r="L1494" s="1268">
        <v>0</v>
      </c>
      <c r="M1494" s="1278">
        <v>0</v>
      </c>
      <c r="N1494" s="1268">
        <v>0</v>
      </c>
      <c r="O1494" s="1268">
        <v>603.9</v>
      </c>
      <c r="P1494" s="1268">
        <v>2145343.96</v>
      </c>
      <c r="Q1494" s="1268">
        <v>0</v>
      </c>
      <c r="R1494" s="1268">
        <v>0</v>
      </c>
      <c r="S1494" s="1268">
        <v>0</v>
      </c>
      <c r="T1494" s="1268">
        <v>0</v>
      </c>
      <c r="U1494" s="1268">
        <v>0</v>
      </c>
      <c r="V1494" s="1268">
        <v>0</v>
      </c>
      <c r="W1494" s="1268">
        <v>0</v>
      </c>
      <c r="X1494" s="1268">
        <v>72403.759578717989</v>
      </c>
      <c r="Y1494" s="1268">
        <v>0</v>
      </c>
    </row>
    <row r="1495" spans="1:25" s="1277" customFormat="1">
      <c r="A1495" s="1396">
        <v>553</v>
      </c>
      <c r="B1495" s="1267" t="s">
        <v>477</v>
      </c>
      <c r="C1495" s="1289">
        <f t="shared" si="620"/>
        <v>2883681.0700000003</v>
      </c>
      <c r="D1495" s="1289">
        <f t="shared" ref="D1495" si="621">SUM(E1495:J1495)</f>
        <v>0</v>
      </c>
      <c r="E1495" s="1268">
        <v>0</v>
      </c>
      <c r="F1495" s="1268">
        <v>0</v>
      </c>
      <c r="G1495" s="1268">
        <v>0</v>
      </c>
      <c r="H1495" s="1268">
        <v>0</v>
      </c>
      <c r="I1495" s="1268">
        <v>0</v>
      </c>
      <c r="J1495" s="1268">
        <v>0</v>
      </c>
      <c r="K1495" s="1278">
        <v>0</v>
      </c>
      <c r="L1495" s="1268">
        <v>0</v>
      </c>
      <c r="M1495" s="1278">
        <v>0</v>
      </c>
      <c r="N1495" s="1268">
        <v>0</v>
      </c>
      <c r="O1495" s="1268">
        <v>852</v>
      </c>
      <c r="P1495" s="1268">
        <v>2674225.39</v>
      </c>
      <c r="Q1495" s="1268">
        <v>0</v>
      </c>
      <c r="R1495" s="1268">
        <v>0</v>
      </c>
      <c r="S1495" s="1268">
        <v>0</v>
      </c>
      <c r="T1495" s="1268">
        <v>0</v>
      </c>
      <c r="U1495" s="1268">
        <v>0</v>
      </c>
      <c r="V1495" s="1268">
        <v>0</v>
      </c>
      <c r="W1495" s="1268">
        <v>0</v>
      </c>
      <c r="X1495" s="1268">
        <v>209455.68</v>
      </c>
      <c r="Y1495" s="1268">
        <v>0</v>
      </c>
    </row>
    <row r="1496" spans="1:25" s="1277" customFormat="1" ht="75.599999999999994">
      <c r="A1496" s="1396"/>
      <c r="B1496" s="1277" t="s">
        <v>1145</v>
      </c>
      <c r="C1496" s="1268">
        <f>SUM(C1497:C1504)</f>
        <v>12123443.59</v>
      </c>
      <c r="D1496" s="1268">
        <f t="shared" ref="D1496:Y1496" si="622">SUM(D1497:D1502)</f>
        <v>0</v>
      </c>
      <c r="E1496" s="1268">
        <f t="shared" si="622"/>
        <v>0</v>
      </c>
      <c r="F1496" s="1268">
        <f t="shared" si="622"/>
        <v>0</v>
      </c>
      <c r="G1496" s="1268">
        <f t="shared" si="622"/>
        <v>0</v>
      </c>
      <c r="H1496" s="1268">
        <f t="shared" si="622"/>
        <v>0</v>
      </c>
      <c r="I1496" s="1268">
        <f t="shared" si="622"/>
        <v>0</v>
      </c>
      <c r="J1496" s="1268">
        <f t="shared" si="622"/>
        <v>0</v>
      </c>
      <c r="K1496" s="1278">
        <v>0</v>
      </c>
      <c r="L1496" s="1268">
        <v>0</v>
      </c>
      <c r="M1496" s="1278">
        <f t="shared" si="622"/>
        <v>0</v>
      </c>
      <c r="N1496" s="1268">
        <f t="shared" si="622"/>
        <v>0</v>
      </c>
      <c r="O1496" s="1268">
        <f t="shared" si="622"/>
        <v>1468.8000000000002</v>
      </c>
      <c r="P1496" s="1268">
        <f t="shared" si="622"/>
        <v>6866604.1799999997</v>
      </c>
      <c r="Q1496" s="1268">
        <f t="shared" si="622"/>
        <v>0</v>
      </c>
      <c r="R1496" s="1268">
        <f t="shared" si="622"/>
        <v>0</v>
      </c>
      <c r="S1496" s="1268">
        <f t="shared" si="622"/>
        <v>971.71</v>
      </c>
      <c r="T1496" s="1268">
        <f t="shared" si="622"/>
        <v>1366410.38</v>
      </c>
      <c r="U1496" s="1268">
        <f t="shared" si="622"/>
        <v>0</v>
      </c>
      <c r="V1496" s="1268">
        <f t="shared" si="622"/>
        <v>0</v>
      </c>
      <c r="W1496" s="1268">
        <v>0</v>
      </c>
      <c r="X1496" s="1268">
        <f t="shared" si="622"/>
        <v>644841.56999999995</v>
      </c>
      <c r="Y1496" s="1268">
        <f t="shared" si="622"/>
        <v>0</v>
      </c>
    </row>
    <row r="1497" spans="1:25" s="1277" customFormat="1" ht="113.4">
      <c r="A1497" s="1396">
        <v>554</v>
      </c>
      <c r="B1497" s="1277" t="s">
        <v>2578</v>
      </c>
      <c r="C1497" s="1289">
        <f t="shared" ref="C1497:C1498" si="623">D1497+N1497+P1497+R1497+T1497+V1497+X1497</f>
        <v>1840183.3199999998</v>
      </c>
      <c r="D1497" s="1289">
        <f t="shared" ref="D1497:D1498" si="624">SUM(E1497:J1497)</f>
        <v>0</v>
      </c>
      <c r="E1497" s="1268">
        <v>0</v>
      </c>
      <c r="F1497" s="1268">
        <v>0</v>
      </c>
      <c r="G1497" s="1268">
        <v>0</v>
      </c>
      <c r="H1497" s="1268">
        <v>0</v>
      </c>
      <c r="I1497" s="1268">
        <v>0</v>
      </c>
      <c r="J1497" s="1268">
        <v>0</v>
      </c>
      <c r="K1497" s="1278">
        <v>0</v>
      </c>
      <c r="L1497" s="1268">
        <v>0</v>
      </c>
      <c r="M1497" s="1278">
        <v>0</v>
      </c>
      <c r="N1497" s="1268">
        <v>0</v>
      </c>
      <c r="O1497" s="1268">
        <v>488.6</v>
      </c>
      <c r="P1497" s="1268">
        <v>1706521.92</v>
      </c>
      <c r="Q1497" s="1268">
        <v>0</v>
      </c>
      <c r="R1497" s="1268">
        <v>0</v>
      </c>
      <c r="S1497" s="1268">
        <v>0</v>
      </c>
      <c r="T1497" s="1268">
        <v>0</v>
      </c>
      <c r="U1497" s="1268">
        <v>0</v>
      </c>
      <c r="V1497" s="1268">
        <v>0</v>
      </c>
      <c r="W1497" s="1268">
        <v>0</v>
      </c>
      <c r="X1497" s="1268">
        <v>133661.4</v>
      </c>
      <c r="Y1497" s="1268">
        <v>0</v>
      </c>
    </row>
    <row r="1498" spans="1:25" s="1277" customFormat="1" ht="113.4">
      <c r="A1498" s="1396">
        <v>555</v>
      </c>
      <c r="B1498" s="1277" t="s">
        <v>2580</v>
      </c>
      <c r="C1498" s="1289">
        <f t="shared" si="623"/>
        <v>1840183.3199999998</v>
      </c>
      <c r="D1498" s="1289">
        <f t="shared" si="624"/>
        <v>0</v>
      </c>
      <c r="E1498" s="1268">
        <v>0</v>
      </c>
      <c r="F1498" s="1268">
        <v>0</v>
      </c>
      <c r="G1498" s="1268">
        <v>0</v>
      </c>
      <c r="H1498" s="1268">
        <v>0</v>
      </c>
      <c r="I1498" s="1268">
        <v>0</v>
      </c>
      <c r="J1498" s="1268">
        <v>0</v>
      </c>
      <c r="K1498" s="1278">
        <v>0</v>
      </c>
      <c r="L1498" s="1268">
        <v>0</v>
      </c>
      <c r="M1498" s="1278">
        <v>0</v>
      </c>
      <c r="N1498" s="1268">
        <v>0</v>
      </c>
      <c r="O1498" s="1268">
        <v>489.8</v>
      </c>
      <c r="P1498" s="1268">
        <v>1706521.92</v>
      </c>
      <c r="Q1498" s="1268">
        <v>0</v>
      </c>
      <c r="R1498" s="1268">
        <v>0</v>
      </c>
      <c r="S1498" s="1268">
        <v>0</v>
      </c>
      <c r="T1498" s="1268">
        <v>0</v>
      </c>
      <c r="U1498" s="1268">
        <v>0</v>
      </c>
      <c r="V1498" s="1268">
        <v>0</v>
      </c>
      <c r="W1498" s="1268">
        <v>0</v>
      </c>
      <c r="X1498" s="1268">
        <v>133661.4</v>
      </c>
      <c r="Y1498" s="1268">
        <v>0</v>
      </c>
    </row>
    <row r="1499" spans="1:25" s="1277" customFormat="1" ht="113.4">
      <c r="A1499" s="1396">
        <v>556</v>
      </c>
      <c r="B1499" s="1277" t="s">
        <v>2579</v>
      </c>
      <c r="C1499" s="1289">
        <f t="shared" ref="C1499:C1504" si="625">D1499+N1499+P1499+R1499+T1499+V1499+X1499</f>
        <v>1866925.32</v>
      </c>
      <c r="D1499" s="1289">
        <f t="shared" ref="D1499:D1504" si="626">SUM(E1499:J1499)</f>
        <v>0</v>
      </c>
      <c r="E1499" s="1268">
        <v>0</v>
      </c>
      <c r="F1499" s="1268">
        <v>0</v>
      </c>
      <c r="G1499" s="1268">
        <v>0</v>
      </c>
      <c r="H1499" s="1268">
        <v>0</v>
      </c>
      <c r="I1499" s="1268">
        <v>0</v>
      </c>
      <c r="J1499" s="1268">
        <v>0</v>
      </c>
      <c r="K1499" s="1278">
        <v>0</v>
      </c>
      <c r="L1499" s="1268">
        <v>0</v>
      </c>
      <c r="M1499" s="1278">
        <v>0</v>
      </c>
      <c r="N1499" s="1268">
        <v>0</v>
      </c>
      <c r="O1499" s="1268">
        <v>490.4</v>
      </c>
      <c r="P1499" s="1268">
        <v>1731321.52</v>
      </c>
      <c r="Q1499" s="1268">
        <v>0</v>
      </c>
      <c r="R1499" s="1268">
        <v>0</v>
      </c>
      <c r="S1499" s="1268">
        <v>0</v>
      </c>
      <c r="T1499" s="1268">
        <v>0</v>
      </c>
      <c r="U1499" s="1268">
        <v>0</v>
      </c>
      <c r="V1499" s="1268">
        <v>0</v>
      </c>
      <c r="W1499" s="1268">
        <v>0</v>
      </c>
      <c r="X1499" s="1268">
        <v>135603.79999999999</v>
      </c>
      <c r="Y1499" s="1268">
        <v>0</v>
      </c>
    </row>
    <row r="1500" spans="1:25" s="1277" customFormat="1" ht="75.599999999999994">
      <c r="A1500" s="1396">
        <v>557</v>
      </c>
      <c r="B1500" s="1277" t="s">
        <v>2581</v>
      </c>
      <c r="C1500" s="1289">
        <f t="shared" si="625"/>
        <v>734707</v>
      </c>
      <c r="D1500" s="1289">
        <f t="shared" si="626"/>
        <v>0</v>
      </c>
      <c r="E1500" s="1268">
        <v>0</v>
      </c>
      <c r="F1500" s="1268">
        <v>0</v>
      </c>
      <c r="G1500" s="1268">
        <v>0</v>
      </c>
      <c r="H1500" s="1268">
        <v>0</v>
      </c>
      <c r="I1500" s="1268">
        <v>0</v>
      </c>
      <c r="J1500" s="1268">
        <v>0</v>
      </c>
      <c r="K1500" s="1278">
        <v>0</v>
      </c>
      <c r="L1500" s="1268">
        <v>0</v>
      </c>
      <c r="M1500" s="1278">
        <v>0</v>
      </c>
      <c r="N1500" s="1268">
        <v>0</v>
      </c>
      <c r="O1500" s="1268">
        <v>0</v>
      </c>
      <c r="P1500" s="1268">
        <v>0</v>
      </c>
      <c r="Q1500" s="1293">
        <v>0</v>
      </c>
      <c r="R1500" s="1268">
        <v>0</v>
      </c>
      <c r="S1500" s="1268">
        <v>484.51</v>
      </c>
      <c r="T1500" s="1268">
        <v>681341.68</v>
      </c>
      <c r="U1500" s="1293">
        <v>0</v>
      </c>
      <c r="V1500" s="1268">
        <v>0</v>
      </c>
      <c r="W1500" s="1268">
        <v>0</v>
      </c>
      <c r="X1500" s="1268">
        <v>53365.32</v>
      </c>
      <c r="Y1500" s="1268">
        <v>0</v>
      </c>
    </row>
    <row r="1501" spans="1:25" s="1277" customFormat="1" ht="75.599999999999994">
      <c r="A1501" s="1396">
        <v>558</v>
      </c>
      <c r="B1501" s="1277" t="s">
        <v>2582</v>
      </c>
      <c r="C1501" s="1289">
        <f t="shared" si="625"/>
        <v>738725.94</v>
      </c>
      <c r="D1501" s="1289">
        <f t="shared" si="626"/>
        <v>0</v>
      </c>
      <c r="E1501" s="1268">
        <v>0</v>
      </c>
      <c r="F1501" s="1268">
        <v>0</v>
      </c>
      <c r="G1501" s="1268">
        <v>0</v>
      </c>
      <c r="H1501" s="1268">
        <v>0</v>
      </c>
      <c r="I1501" s="1268">
        <v>0</v>
      </c>
      <c r="J1501" s="1268">
        <v>0</v>
      </c>
      <c r="K1501" s="1278">
        <v>0</v>
      </c>
      <c r="L1501" s="1268">
        <v>0</v>
      </c>
      <c r="M1501" s="1278">
        <v>0</v>
      </c>
      <c r="N1501" s="1268">
        <v>0</v>
      </c>
      <c r="O1501" s="1268">
        <v>0</v>
      </c>
      <c r="P1501" s="1268">
        <v>0</v>
      </c>
      <c r="Q1501" s="1293">
        <v>0</v>
      </c>
      <c r="R1501" s="1268">
        <v>0</v>
      </c>
      <c r="S1501" s="1268">
        <v>487.2</v>
      </c>
      <c r="T1501" s="1268">
        <v>685068.7</v>
      </c>
      <c r="U1501" s="1293">
        <v>0</v>
      </c>
      <c r="V1501" s="1268">
        <v>0</v>
      </c>
      <c r="W1501" s="1268">
        <v>0</v>
      </c>
      <c r="X1501" s="1268">
        <v>53657.24</v>
      </c>
      <c r="Y1501" s="1268">
        <v>0</v>
      </c>
    </row>
    <row r="1502" spans="1:25" s="1277" customFormat="1" ht="75.599999999999994">
      <c r="A1502" s="1396">
        <v>559</v>
      </c>
      <c r="B1502" s="1277" t="s">
        <v>2584</v>
      </c>
      <c r="C1502" s="1289">
        <f t="shared" si="625"/>
        <v>1857131.23</v>
      </c>
      <c r="D1502" s="1289">
        <f t="shared" si="626"/>
        <v>0</v>
      </c>
      <c r="E1502" s="1268">
        <v>0</v>
      </c>
      <c r="F1502" s="1268">
        <v>0</v>
      </c>
      <c r="G1502" s="1268">
        <v>0</v>
      </c>
      <c r="H1502" s="1268">
        <v>0</v>
      </c>
      <c r="I1502" s="1268">
        <v>0</v>
      </c>
      <c r="J1502" s="1268">
        <v>0</v>
      </c>
      <c r="K1502" s="1278">
        <v>0</v>
      </c>
      <c r="L1502" s="1268">
        <v>0</v>
      </c>
      <c r="M1502" s="1278">
        <v>0</v>
      </c>
      <c r="N1502" s="1268">
        <v>0</v>
      </c>
      <c r="O1502" s="1268">
        <v>0</v>
      </c>
      <c r="P1502" s="1268">
        <v>1722238.82</v>
      </c>
      <c r="Q1502" s="1293">
        <v>0</v>
      </c>
      <c r="R1502" s="1268">
        <v>0</v>
      </c>
      <c r="S1502" s="1268">
        <v>0</v>
      </c>
      <c r="T1502" s="1268">
        <v>0</v>
      </c>
      <c r="U1502" s="1293">
        <v>0</v>
      </c>
      <c r="V1502" s="1268">
        <v>0</v>
      </c>
      <c r="W1502" s="1268">
        <v>0</v>
      </c>
      <c r="X1502" s="1268">
        <v>134892.41</v>
      </c>
      <c r="Y1502" s="1268">
        <v>0</v>
      </c>
    </row>
    <row r="1503" spans="1:25" s="1277" customFormat="1" ht="75.599999999999994">
      <c r="A1503" s="1396">
        <v>560</v>
      </c>
      <c r="B1503" s="1277" t="s">
        <v>2583</v>
      </c>
      <c r="C1503" s="1289">
        <f t="shared" si="625"/>
        <v>1936330.9100000001</v>
      </c>
      <c r="D1503" s="1289">
        <f t="shared" si="626"/>
        <v>0</v>
      </c>
      <c r="E1503" s="1268">
        <v>0</v>
      </c>
      <c r="F1503" s="1268">
        <v>0</v>
      </c>
      <c r="G1503" s="1268">
        <v>0</v>
      </c>
      <c r="H1503" s="1268">
        <v>0</v>
      </c>
      <c r="I1503" s="1268">
        <v>0</v>
      </c>
      <c r="J1503" s="1268">
        <v>0</v>
      </c>
      <c r="K1503" s="1278">
        <v>0</v>
      </c>
      <c r="L1503" s="1268">
        <v>0</v>
      </c>
      <c r="M1503" s="1278">
        <v>0</v>
      </c>
      <c r="N1503" s="1268">
        <v>0</v>
      </c>
      <c r="O1503" s="1268">
        <v>491.7</v>
      </c>
      <c r="P1503" s="1268">
        <v>1795685.85</v>
      </c>
      <c r="Q1503" s="1293">
        <v>0</v>
      </c>
      <c r="R1503" s="1268">
        <v>0</v>
      </c>
      <c r="S1503" s="1268">
        <v>0</v>
      </c>
      <c r="T1503" s="1268">
        <v>0</v>
      </c>
      <c r="U1503" s="1293">
        <v>0</v>
      </c>
      <c r="V1503" s="1268">
        <v>0</v>
      </c>
      <c r="W1503" s="1268">
        <v>0</v>
      </c>
      <c r="X1503" s="1268">
        <v>140645.06</v>
      </c>
      <c r="Y1503" s="1268">
        <v>0</v>
      </c>
    </row>
    <row r="1504" spans="1:25" s="1277" customFormat="1" ht="75.599999999999994">
      <c r="A1504" s="1396">
        <v>561</v>
      </c>
      <c r="B1504" s="1277" t="s">
        <v>2585</v>
      </c>
      <c r="C1504" s="1289">
        <f t="shared" si="625"/>
        <v>1309256.5499999998</v>
      </c>
      <c r="D1504" s="1289">
        <f t="shared" si="626"/>
        <v>0</v>
      </c>
      <c r="E1504" s="1268">
        <v>0</v>
      </c>
      <c r="F1504" s="1268">
        <v>0</v>
      </c>
      <c r="G1504" s="1268">
        <v>0</v>
      </c>
      <c r="H1504" s="1268">
        <v>0</v>
      </c>
      <c r="I1504" s="1268">
        <v>0</v>
      </c>
      <c r="J1504" s="1268">
        <v>0</v>
      </c>
      <c r="K1504" s="1278">
        <v>0</v>
      </c>
      <c r="L1504" s="1268">
        <v>0</v>
      </c>
      <c r="M1504" s="1278">
        <v>0</v>
      </c>
      <c r="N1504" s="1268">
        <v>0</v>
      </c>
      <c r="O1504" s="1268">
        <v>0</v>
      </c>
      <c r="P1504" s="1268">
        <v>0</v>
      </c>
      <c r="Q1504" s="1293">
        <v>0</v>
      </c>
      <c r="R1504" s="1268">
        <v>0</v>
      </c>
      <c r="S1504" s="1268">
        <v>492.02</v>
      </c>
      <c r="T1504" s="1268">
        <v>1214158.93</v>
      </c>
      <c r="U1504" s="1293">
        <v>0</v>
      </c>
      <c r="V1504" s="1268">
        <v>0</v>
      </c>
      <c r="W1504" s="1268">
        <v>0</v>
      </c>
      <c r="X1504" s="1268">
        <v>95097.62</v>
      </c>
      <c r="Y1504" s="1268">
        <v>0</v>
      </c>
    </row>
    <row r="1505" spans="1:25" s="1277" customFormat="1" ht="113.4">
      <c r="A1505" s="1396"/>
      <c r="B1505" s="1277" t="s">
        <v>1085</v>
      </c>
      <c r="C1505" s="1289">
        <f>C1506+C1507+C1508</f>
        <v>5883319.4500000002</v>
      </c>
      <c r="D1505" s="1289">
        <f t="shared" ref="D1505:Y1505" si="627">D1506+D1507+D1508</f>
        <v>1589929</v>
      </c>
      <c r="E1505" s="1289">
        <f t="shared" si="627"/>
        <v>331755</v>
      </c>
      <c r="F1505" s="1289">
        <f t="shared" si="627"/>
        <v>628395</v>
      </c>
      <c r="G1505" s="1289">
        <f t="shared" si="627"/>
        <v>0</v>
      </c>
      <c r="H1505" s="1289">
        <f t="shared" si="627"/>
        <v>385815</v>
      </c>
      <c r="I1505" s="1289">
        <f t="shared" si="627"/>
        <v>0</v>
      </c>
      <c r="J1505" s="1289">
        <f t="shared" si="627"/>
        <v>243964</v>
      </c>
      <c r="K1505" s="1278">
        <f t="shared" si="627"/>
        <v>0</v>
      </c>
      <c r="L1505" s="1289">
        <f t="shared" si="627"/>
        <v>0</v>
      </c>
      <c r="M1505" s="1278">
        <f t="shared" si="627"/>
        <v>0</v>
      </c>
      <c r="N1505" s="1289">
        <f t="shared" si="627"/>
        <v>0</v>
      </c>
      <c r="O1505" s="1289">
        <f t="shared" si="627"/>
        <v>1652.8</v>
      </c>
      <c r="P1505" s="1289">
        <f t="shared" si="627"/>
        <v>3877941</v>
      </c>
      <c r="Q1505" s="1289">
        <f t="shared" si="627"/>
        <v>0</v>
      </c>
      <c r="R1505" s="1289">
        <f t="shared" si="627"/>
        <v>0</v>
      </c>
      <c r="S1505" s="1289">
        <f t="shared" si="627"/>
        <v>0</v>
      </c>
      <c r="T1505" s="1289">
        <f t="shared" si="627"/>
        <v>0</v>
      </c>
      <c r="U1505" s="1289">
        <f t="shared" si="627"/>
        <v>0</v>
      </c>
      <c r="V1505" s="1289">
        <f t="shared" si="627"/>
        <v>0</v>
      </c>
      <c r="W1505" s="1268">
        <v>0</v>
      </c>
      <c r="X1505" s="1289">
        <f t="shared" si="627"/>
        <v>415449.45</v>
      </c>
      <c r="Y1505" s="1289">
        <f t="shared" si="627"/>
        <v>0</v>
      </c>
    </row>
    <row r="1506" spans="1:25" s="1277" customFormat="1">
      <c r="A1506" s="1396">
        <v>562</v>
      </c>
      <c r="B1506" s="1277" t="s">
        <v>594</v>
      </c>
      <c r="C1506" s="1289">
        <f t="shared" ref="C1506" si="628">D1506+N1506+P1506+R1506+T1506+V1506+X1506</f>
        <v>2641818.4500000002</v>
      </c>
      <c r="D1506" s="1289">
        <f t="shared" ref="D1506" si="629">SUM(E1506:J1506)</f>
        <v>0</v>
      </c>
      <c r="E1506" s="1268">
        <v>0</v>
      </c>
      <c r="F1506" s="1268">
        <v>0</v>
      </c>
      <c r="G1506" s="1268">
        <v>0</v>
      </c>
      <c r="H1506" s="1268">
        <v>0</v>
      </c>
      <c r="I1506" s="1268">
        <v>0</v>
      </c>
      <c r="J1506" s="1268">
        <v>0</v>
      </c>
      <c r="K1506" s="1278">
        <v>0</v>
      </c>
      <c r="L1506" s="1268">
        <v>0</v>
      </c>
      <c r="M1506" s="1278">
        <v>0</v>
      </c>
      <c r="N1506" s="1268">
        <v>0</v>
      </c>
      <c r="O1506" s="1268">
        <v>1201.5999999999999</v>
      </c>
      <c r="P1506" s="1268">
        <v>2461731</v>
      </c>
      <c r="Q1506" s="1293">
        <v>0</v>
      </c>
      <c r="R1506" s="1268">
        <v>0</v>
      </c>
      <c r="S1506" s="1268">
        <v>0</v>
      </c>
      <c r="T1506" s="1268">
        <v>0</v>
      </c>
      <c r="U1506" s="1293">
        <v>0</v>
      </c>
      <c r="V1506" s="1268">
        <v>0</v>
      </c>
      <c r="W1506" s="1268">
        <v>0</v>
      </c>
      <c r="X1506" s="1268">
        <v>180087.45</v>
      </c>
      <c r="Y1506" s="1268">
        <v>0</v>
      </c>
    </row>
    <row r="1507" spans="1:25" s="1277" customFormat="1">
      <c r="A1507" s="1396">
        <v>563</v>
      </c>
      <c r="B1507" s="1277" t="s">
        <v>1042</v>
      </c>
      <c r="C1507" s="1289">
        <f t="shared" ref="C1507:C1508" si="630">D1507+N1507+P1507+R1507+T1507+V1507+X1507</f>
        <v>1527133</v>
      </c>
      <c r="D1507" s="1289">
        <f t="shared" ref="D1507:D1508" si="631">SUM(E1507:J1507)</f>
        <v>0</v>
      </c>
      <c r="E1507" s="1268">
        <v>0</v>
      </c>
      <c r="F1507" s="1268">
        <v>0</v>
      </c>
      <c r="G1507" s="1268">
        <v>0</v>
      </c>
      <c r="H1507" s="1268">
        <v>0</v>
      </c>
      <c r="I1507" s="1268">
        <v>0</v>
      </c>
      <c r="J1507" s="1268">
        <v>0</v>
      </c>
      <c r="K1507" s="1278">
        <v>0</v>
      </c>
      <c r="L1507" s="1268">
        <v>0</v>
      </c>
      <c r="M1507" s="1278">
        <v>0</v>
      </c>
      <c r="N1507" s="1268">
        <v>0</v>
      </c>
      <c r="O1507" s="1268">
        <v>451.2</v>
      </c>
      <c r="P1507" s="1268">
        <v>1416210</v>
      </c>
      <c r="Q1507" s="1293">
        <v>0</v>
      </c>
      <c r="R1507" s="1268">
        <v>0</v>
      </c>
      <c r="S1507" s="1268">
        <v>0</v>
      </c>
      <c r="T1507" s="1268">
        <v>0</v>
      </c>
      <c r="U1507" s="1293">
        <v>0</v>
      </c>
      <c r="V1507" s="1268">
        <v>0</v>
      </c>
      <c r="W1507" s="1268">
        <v>0</v>
      </c>
      <c r="X1507" s="1268">
        <v>110923</v>
      </c>
      <c r="Y1507" s="1268">
        <v>0</v>
      </c>
    </row>
    <row r="1508" spans="1:25" s="1277" customFormat="1">
      <c r="A1508" s="1396">
        <v>564</v>
      </c>
      <c r="B1508" s="1277" t="s">
        <v>1043</v>
      </c>
      <c r="C1508" s="1289">
        <f t="shared" si="630"/>
        <v>1714368</v>
      </c>
      <c r="D1508" s="1289">
        <f t="shared" si="631"/>
        <v>1589929</v>
      </c>
      <c r="E1508" s="1268">
        <v>331755</v>
      </c>
      <c r="F1508" s="1268">
        <v>628395</v>
      </c>
      <c r="G1508" s="1268">
        <v>0</v>
      </c>
      <c r="H1508" s="1268">
        <v>385815</v>
      </c>
      <c r="I1508" s="1268">
        <v>0</v>
      </c>
      <c r="J1508" s="1268">
        <v>243964</v>
      </c>
      <c r="K1508" s="1278">
        <v>0</v>
      </c>
      <c r="L1508" s="1268">
        <v>0</v>
      </c>
      <c r="M1508" s="1278">
        <v>0</v>
      </c>
      <c r="N1508" s="1268">
        <v>0</v>
      </c>
      <c r="O1508" s="1268">
        <v>0</v>
      </c>
      <c r="P1508" s="1268">
        <v>0</v>
      </c>
      <c r="Q1508" s="1293">
        <v>0</v>
      </c>
      <c r="R1508" s="1268">
        <v>0</v>
      </c>
      <c r="S1508" s="1268">
        <v>0</v>
      </c>
      <c r="T1508" s="1268">
        <v>0</v>
      </c>
      <c r="U1508" s="1293">
        <v>0</v>
      </c>
      <c r="V1508" s="1268">
        <v>0</v>
      </c>
      <c r="W1508" s="1268">
        <v>0</v>
      </c>
      <c r="X1508" s="1268">
        <v>124439</v>
      </c>
      <c r="Y1508" s="1268">
        <v>0</v>
      </c>
    </row>
    <row r="1509" spans="1:25" s="1277" customFormat="1" ht="75.599999999999994">
      <c r="A1509" s="1396"/>
      <c r="B1509" s="1277" t="s">
        <v>1087</v>
      </c>
      <c r="C1509" s="1289">
        <f>C1510+C1511+C1512</f>
        <v>9105999</v>
      </c>
      <c r="D1509" s="1289">
        <f t="shared" ref="D1509:Y1509" si="632">D1510+D1511+D1512</f>
        <v>0</v>
      </c>
      <c r="E1509" s="1289">
        <f t="shared" si="632"/>
        <v>0</v>
      </c>
      <c r="F1509" s="1289">
        <f t="shared" si="632"/>
        <v>0</v>
      </c>
      <c r="G1509" s="1289">
        <f t="shared" si="632"/>
        <v>0</v>
      </c>
      <c r="H1509" s="1289">
        <f t="shared" si="632"/>
        <v>0</v>
      </c>
      <c r="I1509" s="1289">
        <f t="shared" si="632"/>
        <v>0</v>
      </c>
      <c r="J1509" s="1289">
        <f t="shared" si="632"/>
        <v>0</v>
      </c>
      <c r="K1509" s="1278">
        <f t="shared" si="632"/>
        <v>0</v>
      </c>
      <c r="L1509" s="1289">
        <f t="shared" si="632"/>
        <v>0</v>
      </c>
      <c r="M1509" s="1278">
        <f t="shared" si="632"/>
        <v>0</v>
      </c>
      <c r="N1509" s="1289">
        <f t="shared" si="632"/>
        <v>0</v>
      </c>
      <c r="O1509" s="1289">
        <f t="shared" si="632"/>
        <v>3351.3</v>
      </c>
      <c r="P1509" s="1289">
        <f t="shared" si="632"/>
        <v>8444586</v>
      </c>
      <c r="Q1509" s="1289">
        <f t="shared" si="632"/>
        <v>0</v>
      </c>
      <c r="R1509" s="1289">
        <f t="shared" si="632"/>
        <v>0</v>
      </c>
      <c r="S1509" s="1289">
        <f t="shared" si="632"/>
        <v>0</v>
      </c>
      <c r="T1509" s="1289">
        <f t="shared" si="632"/>
        <v>0</v>
      </c>
      <c r="U1509" s="1289">
        <f t="shared" si="632"/>
        <v>0</v>
      </c>
      <c r="V1509" s="1289">
        <f t="shared" si="632"/>
        <v>0</v>
      </c>
      <c r="W1509" s="1268">
        <v>0</v>
      </c>
      <c r="X1509" s="1289">
        <f t="shared" si="632"/>
        <v>661413</v>
      </c>
      <c r="Y1509" s="1289">
        <f t="shared" si="632"/>
        <v>0</v>
      </c>
    </row>
    <row r="1510" spans="1:25" s="1277" customFormat="1" ht="58.8" customHeight="1">
      <c r="A1510" s="1396">
        <v>565</v>
      </c>
      <c r="B1510" s="1277" t="s">
        <v>721</v>
      </c>
      <c r="C1510" s="1289">
        <f t="shared" ref="C1510" si="633">D1510+N1510+P1510+R1510+T1510+V1510+X1510</f>
        <v>2203612</v>
      </c>
      <c r="D1510" s="1289">
        <f t="shared" ref="D1510" si="634">SUM(E1510:J1510)</f>
        <v>0</v>
      </c>
      <c r="E1510" s="1268">
        <v>0</v>
      </c>
      <c r="F1510" s="1268">
        <v>0</v>
      </c>
      <c r="G1510" s="1268">
        <v>0</v>
      </c>
      <c r="H1510" s="1268">
        <v>0</v>
      </c>
      <c r="I1510" s="1268">
        <v>0</v>
      </c>
      <c r="J1510" s="1268">
        <v>0</v>
      </c>
      <c r="K1510" s="1278">
        <v>0</v>
      </c>
      <c r="L1510" s="1268">
        <v>0</v>
      </c>
      <c r="M1510" s="1278">
        <v>0</v>
      </c>
      <c r="N1510" s="1268">
        <v>0</v>
      </c>
      <c r="O1510" s="1268">
        <v>811</v>
      </c>
      <c r="P1510" s="1268">
        <v>2043553</v>
      </c>
      <c r="Q1510" s="1293">
        <v>0</v>
      </c>
      <c r="R1510" s="1268">
        <v>0</v>
      </c>
      <c r="S1510" s="1268">
        <v>0</v>
      </c>
      <c r="T1510" s="1268">
        <v>0</v>
      </c>
      <c r="U1510" s="1293">
        <v>0</v>
      </c>
      <c r="V1510" s="1268">
        <v>0</v>
      </c>
      <c r="W1510" s="1268">
        <v>0</v>
      </c>
      <c r="X1510" s="1268">
        <v>160059</v>
      </c>
      <c r="Y1510" s="1268">
        <v>0</v>
      </c>
    </row>
    <row r="1511" spans="1:25" s="1277" customFormat="1">
      <c r="A1511" s="1396">
        <v>566</v>
      </c>
      <c r="B1511" s="1277" t="s">
        <v>723</v>
      </c>
      <c r="C1511" s="1289">
        <f t="shared" ref="C1511:C1512" si="635">D1511+N1511+P1511+R1511+T1511+V1511+X1511</f>
        <v>4707741</v>
      </c>
      <c r="D1511" s="1289">
        <f t="shared" ref="D1511:D1512" si="636">SUM(E1511:J1511)</f>
        <v>0</v>
      </c>
      <c r="E1511" s="1268">
        <v>0</v>
      </c>
      <c r="F1511" s="1268">
        <v>0</v>
      </c>
      <c r="G1511" s="1268">
        <v>0</v>
      </c>
      <c r="H1511" s="1268">
        <v>0</v>
      </c>
      <c r="I1511" s="1268">
        <v>0</v>
      </c>
      <c r="J1511" s="1268">
        <v>0</v>
      </c>
      <c r="K1511" s="1278">
        <v>0</v>
      </c>
      <c r="L1511" s="1268">
        <v>0</v>
      </c>
      <c r="M1511" s="1278">
        <v>0</v>
      </c>
      <c r="N1511" s="1268">
        <v>0</v>
      </c>
      <c r="O1511" s="1268">
        <v>1732.6</v>
      </c>
      <c r="P1511" s="1268">
        <v>4365795</v>
      </c>
      <c r="Q1511" s="1293">
        <v>0</v>
      </c>
      <c r="R1511" s="1268">
        <v>0</v>
      </c>
      <c r="S1511" s="1268">
        <v>0</v>
      </c>
      <c r="T1511" s="1268">
        <v>0</v>
      </c>
      <c r="U1511" s="1293">
        <v>0</v>
      </c>
      <c r="V1511" s="1268">
        <v>0</v>
      </c>
      <c r="W1511" s="1268">
        <v>0</v>
      </c>
      <c r="X1511" s="1268">
        <v>341946</v>
      </c>
      <c r="Y1511" s="1268">
        <v>0</v>
      </c>
    </row>
    <row r="1512" spans="1:25" s="1277" customFormat="1">
      <c r="A1512" s="1396">
        <v>567</v>
      </c>
      <c r="B1512" s="1277" t="s">
        <v>1586</v>
      </c>
      <c r="C1512" s="1289">
        <f t="shared" si="635"/>
        <v>2194646</v>
      </c>
      <c r="D1512" s="1289">
        <f t="shared" si="636"/>
        <v>0</v>
      </c>
      <c r="E1512" s="1268">
        <v>0</v>
      </c>
      <c r="F1512" s="1268">
        <v>0</v>
      </c>
      <c r="G1512" s="1268">
        <v>0</v>
      </c>
      <c r="H1512" s="1268">
        <v>0</v>
      </c>
      <c r="I1512" s="1268">
        <v>0</v>
      </c>
      <c r="J1512" s="1268">
        <v>0</v>
      </c>
      <c r="K1512" s="1278">
        <v>0</v>
      </c>
      <c r="L1512" s="1268">
        <v>0</v>
      </c>
      <c r="M1512" s="1278">
        <v>0</v>
      </c>
      <c r="N1512" s="1268">
        <v>0</v>
      </c>
      <c r="O1512" s="1268">
        <v>807.7</v>
      </c>
      <c r="P1512" s="1268">
        <v>2035238</v>
      </c>
      <c r="Q1512" s="1293">
        <v>0</v>
      </c>
      <c r="R1512" s="1268">
        <v>0</v>
      </c>
      <c r="S1512" s="1268">
        <v>0</v>
      </c>
      <c r="T1512" s="1268">
        <v>0</v>
      </c>
      <c r="U1512" s="1293">
        <v>0</v>
      </c>
      <c r="V1512" s="1268">
        <v>0</v>
      </c>
      <c r="W1512" s="1268">
        <v>0</v>
      </c>
      <c r="X1512" s="1268">
        <v>159408</v>
      </c>
      <c r="Y1512" s="1268">
        <v>0</v>
      </c>
    </row>
    <row r="1513" spans="1:25" s="1277" customFormat="1" ht="75.599999999999994">
      <c r="A1513" s="1396"/>
      <c r="B1513" s="1277" t="s">
        <v>2015</v>
      </c>
      <c r="C1513" s="1268">
        <f>C1514+C1515</f>
        <v>4485601.8057526778</v>
      </c>
      <c r="D1513" s="1268">
        <f t="shared" ref="D1513:Y1513" si="637">D1514+D1515</f>
        <v>0</v>
      </c>
      <c r="E1513" s="1268">
        <f t="shared" si="637"/>
        <v>0</v>
      </c>
      <c r="F1513" s="1268">
        <f t="shared" si="637"/>
        <v>0</v>
      </c>
      <c r="G1513" s="1268">
        <f t="shared" si="637"/>
        <v>0</v>
      </c>
      <c r="H1513" s="1268">
        <f t="shared" si="637"/>
        <v>0</v>
      </c>
      <c r="I1513" s="1268">
        <f t="shared" si="637"/>
        <v>0</v>
      </c>
      <c r="J1513" s="1268">
        <f t="shared" si="637"/>
        <v>0</v>
      </c>
      <c r="K1513" s="1278">
        <f t="shared" si="637"/>
        <v>0</v>
      </c>
      <c r="L1513" s="1268">
        <f t="shared" si="637"/>
        <v>0</v>
      </c>
      <c r="M1513" s="1278">
        <f t="shared" si="637"/>
        <v>0</v>
      </c>
      <c r="N1513" s="1268">
        <f t="shared" si="637"/>
        <v>0</v>
      </c>
      <c r="O1513" s="1268">
        <f t="shared" si="637"/>
        <v>1160.9000000000001</v>
      </c>
      <c r="P1513" s="1268">
        <f t="shared" si="637"/>
        <v>4295132.04</v>
      </c>
      <c r="Q1513" s="1268">
        <f t="shared" si="637"/>
        <v>0</v>
      </c>
      <c r="R1513" s="1268">
        <f t="shared" si="637"/>
        <v>0</v>
      </c>
      <c r="S1513" s="1268">
        <f t="shared" si="637"/>
        <v>0</v>
      </c>
      <c r="T1513" s="1268">
        <f t="shared" si="637"/>
        <v>0</v>
      </c>
      <c r="U1513" s="1268">
        <f t="shared" si="637"/>
        <v>0</v>
      </c>
      <c r="V1513" s="1268">
        <f t="shared" si="637"/>
        <v>0</v>
      </c>
      <c r="W1513" s="1268">
        <v>0</v>
      </c>
      <c r="X1513" s="1268">
        <f t="shared" si="637"/>
        <v>190469.76575267839</v>
      </c>
      <c r="Y1513" s="1268">
        <f t="shared" si="637"/>
        <v>0</v>
      </c>
    </row>
    <row r="1514" spans="1:25" s="1277" customFormat="1">
      <c r="A1514" s="1396">
        <v>568</v>
      </c>
      <c r="B1514" s="1267" t="s">
        <v>1971</v>
      </c>
      <c r="C1514" s="1268">
        <f>D1514+P1514+T1514+X1514+Y1514</f>
        <v>1555703.83</v>
      </c>
      <c r="D1514" s="1268">
        <f>E1514+F1514+G1514+H1514+I1514+J1514</f>
        <v>0</v>
      </c>
      <c r="E1514" s="1268">
        <v>0</v>
      </c>
      <c r="F1514" s="1268">
        <v>0</v>
      </c>
      <c r="G1514" s="1268">
        <v>0</v>
      </c>
      <c r="H1514" s="1268">
        <v>0</v>
      </c>
      <c r="I1514" s="1268">
        <v>0</v>
      </c>
      <c r="J1514" s="1268">
        <v>0</v>
      </c>
      <c r="K1514" s="1278">
        <v>0</v>
      </c>
      <c r="L1514" s="1268">
        <v>0</v>
      </c>
      <c r="M1514" s="1278">
        <v>0</v>
      </c>
      <c r="N1514" s="1268">
        <v>0</v>
      </c>
      <c r="O1514" s="1268">
        <v>400.9</v>
      </c>
      <c r="P1514" s="1268">
        <v>1483503.83</v>
      </c>
      <c r="Q1514" s="1268">
        <v>0</v>
      </c>
      <c r="R1514" s="1268">
        <v>0</v>
      </c>
      <c r="S1514" s="1268">
        <v>0</v>
      </c>
      <c r="T1514" s="1268">
        <v>0</v>
      </c>
      <c r="U1514" s="1268">
        <v>0</v>
      </c>
      <c r="V1514" s="1268">
        <v>0</v>
      </c>
      <c r="W1514" s="1268">
        <v>0</v>
      </c>
      <c r="X1514" s="1268">
        <v>72200</v>
      </c>
      <c r="Y1514" s="1268">
        <v>0</v>
      </c>
    </row>
    <row r="1515" spans="1:25" s="1277" customFormat="1">
      <c r="A1515" s="1396">
        <v>569</v>
      </c>
      <c r="B1515" s="1267" t="s">
        <v>1972</v>
      </c>
      <c r="C1515" s="1268">
        <f>D1515+P1515+T1515+X1515+Y1515</f>
        <v>2929897.9757526782</v>
      </c>
      <c r="D1515" s="1268">
        <f>E1515+F1515+G1515+H1515+I1515+J1515</f>
        <v>0</v>
      </c>
      <c r="E1515" s="1268">
        <v>0</v>
      </c>
      <c r="F1515" s="1268">
        <v>0</v>
      </c>
      <c r="G1515" s="1268">
        <v>0</v>
      </c>
      <c r="H1515" s="1268">
        <v>0</v>
      </c>
      <c r="I1515" s="1268">
        <v>0</v>
      </c>
      <c r="J1515" s="1268">
        <v>0</v>
      </c>
      <c r="K1515" s="1278">
        <v>0</v>
      </c>
      <c r="L1515" s="1268">
        <v>0</v>
      </c>
      <c r="M1515" s="1278">
        <v>0</v>
      </c>
      <c r="N1515" s="1268">
        <v>0</v>
      </c>
      <c r="O1515" s="1268">
        <v>760</v>
      </c>
      <c r="P1515" s="1268">
        <v>2811628.21</v>
      </c>
      <c r="Q1515" s="1268">
        <v>0</v>
      </c>
      <c r="R1515" s="1268">
        <v>0</v>
      </c>
      <c r="S1515" s="1268">
        <v>0</v>
      </c>
      <c r="T1515" s="1268">
        <v>0</v>
      </c>
      <c r="U1515" s="1268">
        <v>0</v>
      </c>
      <c r="V1515" s="1268">
        <v>0</v>
      </c>
      <c r="W1515" s="1268">
        <v>0</v>
      </c>
      <c r="X1515" s="1268">
        <v>118269.7657526784</v>
      </c>
      <c r="Y1515" s="1268">
        <v>0</v>
      </c>
    </row>
    <row r="1516" spans="1:25" s="1277" customFormat="1">
      <c r="A1516" s="1396"/>
      <c r="B1516" s="1277" t="s">
        <v>55</v>
      </c>
      <c r="C1516" s="1268">
        <f>C1517</f>
        <v>6598081.0025712727</v>
      </c>
      <c r="D1516" s="1268">
        <f t="shared" ref="D1516:Y1516" si="638">D1517</f>
        <v>627208.59596876707</v>
      </c>
      <c r="E1516" s="1268">
        <f t="shared" si="638"/>
        <v>0</v>
      </c>
      <c r="F1516" s="1268">
        <f t="shared" si="638"/>
        <v>0</v>
      </c>
      <c r="G1516" s="1268">
        <f t="shared" si="638"/>
        <v>0</v>
      </c>
      <c r="H1516" s="1268">
        <f t="shared" si="638"/>
        <v>0</v>
      </c>
      <c r="I1516" s="1268">
        <f t="shared" si="638"/>
        <v>0</v>
      </c>
      <c r="J1516" s="1268">
        <f t="shared" si="638"/>
        <v>627208.59596876707</v>
      </c>
      <c r="K1516" s="1278">
        <v>0</v>
      </c>
      <c r="L1516" s="1268">
        <v>0</v>
      </c>
      <c r="M1516" s="1278">
        <f t="shared" si="638"/>
        <v>0</v>
      </c>
      <c r="N1516" s="1268">
        <f t="shared" si="638"/>
        <v>0</v>
      </c>
      <c r="O1516" s="1268">
        <f t="shared" si="638"/>
        <v>1059</v>
      </c>
      <c r="P1516" s="1268">
        <f t="shared" si="638"/>
        <v>3174478.2465952421</v>
      </c>
      <c r="Q1516" s="1268">
        <f t="shared" si="638"/>
        <v>0</v>
      </c>
      <c r="R1516" s="1268">
        <f t="shared" si="638"/>
        <v>0</v>
      </c>
      <c r="S1516" s="1268">
        <f t="shared" si="638"/>
        <v>962</v>
      </c>
      <c r="T1516" s="1268">
        <f t="shared" si="638"/>
        <v>2373929</v>
      </c>
      <c r="U1516" s="1268">
        <f t="shared" si="638"/>
        <v>0</v>
      </c>
      <c r="V1516" s="1268">
        <f t="shared" si="638"/>
        <v>0</v>
      </c>
      <c r="W1516" s="1268">
        <v>0</v>
      </c>
      <c r="X1516" s="1268">
        <f t="shared" si="638"/>
        <v>422465.16000726353</v>
      </c>
      <c r="Y1516" s="1268">
        <f t="shared" si="638"/>
        <v>0</v>
      </c>
    </row>
    <row r="1517" spans="1:25" s="1277" customFormat="1" ht="113.4">
      <c r="A1517" s="1396"/>
      <c r="B1517" s="1277" t="s">
        <v>1090</v>
      </c>
      <c r="C1517" s="1268">
        <f>SUM(C1518:C1522)</f>
        <v>6598081.0025712727</v>
      </c>
      <c r="D1517" s="1268">
        <f t="shared" ref="D1517:Y1517" si="639">SUM(D1518:D1522)</f>
        <v>627208.59596876707</v>
      </c>
      <c r="E1517" s="1268">
        <f t="shared" si="639"/>
        <v>0</v>
      </c>
      <c r="F1517" s="1268">
        <f t="shared" si="639"/>
        <v>0</v>
      </c>
      <c r="G1517" s="1268">
        <f t="shared" si="639"/>
        <v>0</v>
      </c>
      <c r="H1517" s="1268">
        <f t="shared" si="639"/>
        <v>0</v>
      </c>
      <c r="I1517" s="1268">
        <f t="shared" si="639"/>
        <v>0</v>
      </c>
      <c r="J1517" s="1268">
        <f t="shared" si="639"/>
        <v>627208.59596876707</v>
      </c>
      <c r="K1517" s="1278">
        <f t="shared" si="639"/>
        <v>0</v>
      </c>
      <c r="L1517" s="1268">
        <f t="shared" si="639"/>
        <v>0</v>
      </c>
      <c r="M1517" s="1278">
        <f t="shared" si="639"/>
        <v>0</v>
      </c>
      <c r="N1517" s="1268">
        <f t="shared" si="639"/>
        <v>0</v>
      </c>
      <c r="O1517" s="1268">
        <f t="shared" si="639"/>
        <v>1059</v>
      </c>
      <c r="P1517" s="1268">
        <f t="shared" si="639"/>
        <v>3174478.2465952421</v>
      </c>
      <c r="Q1517" s="1268">
        <f t="shared" si="639"/>
        <v>0</v>
      </c>
      <c r="R1517" s="1268">
        <f t="shared" si="639"/>
        <v>0</v>
      </c>
      <c r="S1517" s="1268">
        <f t="shared" si="639"/>
        <v>962</v>
      </c>
      <c r="T1517" s="1268">
        <f t="shared" si="639"/>
        <v>2373929</v>
      </c>
      <c r="U1517" s="1268">
        <f t="shared" si="639"/>
        <v>0</v>
      </c>
      <c r="V1517" s="1268">
        <f t="shared" si="639"/>
        <v>0</v>
      </c>
      <c r="W1517" s="1268">
        <v>0</v>
      </c>
      <c r="X1517" s="1268">
        <f t="shared" si="639"/>
        <v>422465.16000726353</v>
      </c>
      <c r="Y1517" s="1268">
        <f t="shared" si="639"/>
        <v>0</v>
      </c>
    </row>
    <row r="1518" spans="1:25" s="1277" customFormat="1">
      <c r="A1518" s="1396">
        <v>570</v>
      </c>
      <c r="B1518" s="1277" t="s">
        <v>1147</v>
      </c>
      <c r="C1518" s="1289">
        <f t="shared" ref="C1518" si="640">D1518+N1518+P1518+R1518+T1518+V1518+X1518</f>
        <v>1620385.19</v>
      </c>
      <c r="D1518" s="1289">
        <f t="shared" ref="D1518" si="641">SUM(E1518:J1518)</f>
        <v>0</v>
      </c>
      <c r="E1518" s="1268">
        <v>0</v>
      </c>
      <c r="F1518" s="1268">
        <v>0</v>
      </c>
      <c r="G1518" s="1268">
        <v>0</v>
      </c>
      <c r="H1518" s="1268">
        <v>0</v>
      </c>
      <c r="I1518" s="1268">
        <v>0</v>
      </c>
      <c r="J1518" s="1268">
        <v>0</v>
      </c>
      <c r="K1518" s="1278">
        <v>0</v>
      </c>
      <c r="L1518" s="1268">
        <v>0</v>
      </c>
      <c r="M1518" s="1278">
        <v>0</v>
      </c>
      <c r="N1518" s="1268">
        <v>0</v>
      </c>
      <c r="O1518" s="1268">
        <v>0</v>
      </c>
      <c r="P1518" s="1268">
        <v>0</v>
      </c>
      <c r="Q1518" s="1293">
        <v>0</v>
      </c>
      <c r="R1518" s="1268">
        <v>0</v>
      </c>
      <c r="S1518" s="1268">
        <v>617</v>
      </c>
      <c r="T1518" s="1268">
        <v>1522572</v>
      </c>
      <c r="U1518" s="1293">
        <v>0</v>
      </c>
      <c r="V1518" s="1268">
        <v>0</v>
      </c>
      <c r="W1518" s="1268">
        <v>0</v>
      </c>
      <c r="X1518" s="1268">
        <v>97813.19</v>
      </c>
      <c r="Y1518" s="1268">
        <v>0</v>
      </c>
    </row>
    <row r="1519" spans="1:25" s="1277" customFormat="1">
      <c r="A1519" s="1396">
        <v>571</v>
      </c>
      <c r="B1519" s="1277" t="s">
        <v>1149</v>
      </c>
      <c r="C1519" s="1289">
        <f t="shared" ref="C1519:C1522" si="642">D1519+N1519+P1519+R1519+T1519+V1519+X1519</f>
        <v>1892894.8140548393</v>
      </c>
      <c r="D1519" s="1289">
        <f t="shared" ref="D1519:D1522" si="643">SUM(E1519:J1519)</f>
        <v>0</v>
      </c>
      <c r="E1519" s="1268">
        <v>0</v>
      </c>
      <c r="F1519" s="1268">
        <v>0</v>
      </c>
      <c r="G1519" s="1268">
        <v>0</v>
      </c>
      <c r="H1519" s="1268">
        <v>0</v>
      </c>
      <c r="I1519" s="1268">
        <v>0</v>
      </c>
      <c r="J1519" s="1268">
        <v>0</v>
      </c>
      <c r="K1519" s="1278">
        <v>0</v>
      </c>
      <c r="L1519" s="1268">
        <v>0</v>
      </c>
      <c r="M1519" s="1278">
        <v>0</v>
      </c>
      <c r="N1519" s="1268">
        <v>0</v>
      </c>
      <c r="O1519" s="1268">
        <v>302</v>
      </c>
      <c r="P1519" s="1268">
        <v>947906</v>
      </c>
      <c r="Q1519" s="1293">
        <v>0</v>
      </c>
      <c r="R1519" s="1268">
        <v>0</v>
      </c>
      <c r="S1519" s="1268">
        <v>345</v>
      </c>
      <c r="T1519" s="1268">
        <v>851357</v>
      </c>
      <c r="U1519" s="1293">
        <v>0</v>
      </c>
      <c r="V1519" s="1268">
        <v>0</v>
      </c>
      <c r="W1519" s="1268">
        <v>0</v>
      </c>
      <c r="X1519" s="1268">
        <v>93631.814054839298</v>
      </c>
      <c r="Y1519" s="1268">
        <v>0</v>
      </c>
    </row>
    <row r="1520" spans="1:25" s="1277" customFormat="1">
      <c r="A1520" s="1396">
        <v>572</v>
      </c>
      <c r="B1520" s="1277" t="s">
        <v>598</v>
      </c>
      <c r="C1520" s="1289">
        <f t="shared" si="642"/>
        <v>1550741</v>
      </c>
      <c r="D1520" s="1289">
        <f t="shared" si="643"/>
        <v>233574.53840566552</v>
      </c>
      <c r="E1520" s="1268">
        <v>0</v>
      </c>
      <c r="F1520" s="1268">
        <v>0</v>
      </c>
      <c r="G1520" s="1268">
        <v>0</v>
      </c>
      <c r="H1520" s="1268">
        <v>0</v>
      </c>
      <c r="I1520" s="1268">
        <v>0</v>
      </c>
      <c r="J1520" s="1268">
        <v>233574.53840566552</v>
      </c>
      <c r="K1520" s="1278">
        <v>0</v>
      </c>
      <c r="L1520" s="1268">
        <v>0</v>
      </c>
      <c r="M1520" s="1278">
        <v>0</v>
      </c>
      <c r="N1520" s="1268">
        <v>0</v>
      </c>
      <c r="O1520" s="1268">
        <v>410</v>
      </c>
      <c r="P1520" s="1268">
        <v>1204528.6551661522</v>
      </c>
      <c r="Q1520" s="1268">
        <v>0</v>
      </c>
      <c r="R1520" s="1268">
        <v>0</v>
      </c>
      <c r="S1520" s="1268">
        <v>0</v>
      </c>
      <c r="T1520" s="1268">
        <v>0</v>
      </c>
      <c r="U1520" s="1268">
        <v>0</v>
      </c>
      <c r="V1520" s="1268">
        <v>0</v>
      </c>
      <c r="W1520" s="1268">
        <v>0</v>
      </c>
      <c r="X1520" s="1268">
        <v>112637.80642818232</v>
      </c>
      <c r="Y1520" s="1268">
        <v>0</v>
      </c>
    </row>
    <row r="1521" spans="1:25" s="1277" customFormat="1">
      <c r="A1521" s="1396">
        <v>573</v>
      </c>
      <c r="B1521" s="1277" t="s">
        <v>599</v>
      </c>
      <c r="C1521" s="1289">
        <f t="shared" si="642"/>
        <v>1258689</v>
      </c>
      <c r="D1521" s="1289">
        <f t="shared" si="643"/>
        <v>145220.74904666789</v>
      </c>
      <c r="E1521" s="1268">
        <v>0</v>
      </c>
      <c r="F1521" s="1268">
        <v>0</v>
      </c>
      <c r="G1521" s="1268">
        <v>0</v>
      </c>
      <c r="H1521" s="1268">
        <v>0</v>
      </c>
      <c r="I1521" s="1268">
        <v>0</v>
      </c>
      <c r="J1521" s="1268">
        <v>145220.74904666789</v>
      </c>
      <c r="K1521" s="1278">
        <v>0</v>
      </c>
      <c r="L1521" s="1268">
        <v>0</v>
      </c>
      <c r="M1521" s="1278">
        <v>0</v>
      </c>
      <c r="N1521" s="1268">
        <v>0</v>
      </c>
      <c r="O1521" s="1268">
        <v>347</v>
      </c>
      <c r="P1521" s="1268">
        <v>1022043.5914290902</v>
      </c>
      <c r="Q1521" s="1268">
        <v>0</v>
      </c>
      <c r="R1521" s="1268">
        <v>0</v>
      </c>
      <c r="S1521" s="1268">
        <v>0</v>
      </c>
      <c r="T1521" s="1268">
        <v>0</v>
      </c>
      <c r="U1521" s="1268">
        <v>0</v>
      </c>
      <c r="V1521" s="1268">
        <v>0</v>
      </c>
      <c r="W1521" s="1268">
        <v>0</v>
      </c>
      <c r="X1521" s="1268">
        <v>91424.65952424187</v>
      </c>
      <c r="Y1521" s="1268">
        <v>0</v>
      </c>
    </row>
    <row r="1522" spans="1:25" s="1277" customFormat="1">
      <c r="A1522" s="1396">
        <v>574</v>
      </c>
      <c r="B1522" s="1277" t="s">
        <v>602</v>
      </c>
      <c r="C1522" s="1289">
        <f t="shared" si="642"/>
        <v>275370.99851643364</v>
      </c>
      <c r="D1522" s="1289">
        <f t="shared" si="643"/>
        <v>248413.30851643364</v>
      </c>
      <c r="E1522" s="1268">
        <v>0</v>
      </c>
      <c r="F1522" s="1268">
        <v>0</v>
      </c>
      <c r="G1522" s="1268">
        <v>0</v>
      </c>
      <c r="H1522" s="1268">
        <v>0</v>
      </c>
      <c r="I1522" s="1268">
        <v>0</v>
      </c>
      <c r="J1522" s="1268">
        <v>248413.30851643364</v>
      </c>
      <c r="K1522" s="1278">
        <v>0</v>
      </c>
      <c r="L1522" s="1268">
        <v>0</v>
      </c>
      <c r="M1522" s="1278">
        <v>0</v>
      </c>
      <c r="N1522" s="1268">
        <v>0</v>
      </c>
      <c r="O1522" s="1268">
        <v>0</v>
      </c>
      <c r="P1522" s="1268">
        <v>0</v>
      </c>
      <c r="Q1522" s="1268">
        <v>0</v>
      </c>
      <c r="R1522" s="1268">
        <v>0</v>
      </c>
      <c r="S1522" s="1268">
        <v>0</v>
      </c>
      <c r="T1522" s="1268">
        <v>0</v>
      </c>
      <c r="U1522" s="1268">
        <v>0</v>
      </c>
      <c r="V1522" s="1268">
        <v>0</v>
      </c>
      <c r="W1522" s="1268">
        <v>0</v>
      </c>
      <c r="X1522" s="1268">
        <v>26957.69</v>
      </c>
      <c r="Y1522" s="1268">
        <v>0</v>
      </c>
    </row>
    <row r="1523" spans="1:25" s="1277" customFormat="1">
      <c r="A1523" s="1396"/>
      <c r="B1523" s="1277" t="s">
        <v>56</v>
      </c>
      <c r="C1523" s="1268">
        <f>C1524+C1536+C1542</f>
        <v>22743396.890000001</v>
      </c>
      <c r="D1523" s="1268">
        <f t="shared" ref="D1523:Y1523" si="644">D1524+D1536+D1542</f>
        <v>9900333.5700000003</v>
      </c>
      <c r="E1523" s="1268">
        <f t="shared" si="644"/>
        <v>752625.77</v>
      </c>
      <c r="F1523" s="1268">
        <f t="shared" si="644"/>
        <v>0</v>
      </c>
      <c r="G1523" s="1268">
        <f t="shared" si="644"/>
        <v>525307.85</v>
      </c>
      <c r="H1523" s="1268">
        <f t="shared" si="644"/>
        <v>1408745.79</v>
      </c>
      <c r="I1523" s="1268">
        <f t="shared" si="644"/>
        <v>3864605.5300000003</v>
      </c>
      <c r="J1523" s="1268">
        <f t="shared" si="644"/>
        <v>3349048.6300000004</v>
      </c>
      <c r="K1523" s="1278">
        <f t="shared" si="644"/>
        <v>0</v>
      </c>
      <c r="L1523" s="1268">
        <f t="shared" si="644"/>
        <v>0</v>
      </c>
      <c r="M1523" s="1278">
        <f t="shared" si="644"/>
        <v>0</v>
      </c>
      <c r="N1523" s="1268">
        <f t="shared" si="644"/>
        <v>0</v>
      </c>
      <c r="O1523" s="1268">
        <f t="shared" si="644"/>
        <v>2774.8</v>
      </c>
      <c r="P1523" s="1268">
        <f t="shared" si="644"/>
        <v>7482643</v>
      </c>
      <c r="Q1523" s="1268">
        <f t="shared" si="644"/>
        <v>0</v>
      </c>
      <c r="R1523" s="1268">
        <f t="shared" si="644"/>
        <v>0</v>
      </c>
      <c r="S1523" s="1268">
        <f t="shared" si="644"/>
        <v>1416.92</v>
      </c>
      <c r="T1523" s="1268">
        <f t="shared" si="644"/>
        <v>3652273.3600000003</v>
      </c>
      <c r="U1523" s="1268">
        <f t="shared" si="644"/>
        <v>0</v>
      </c>
      <c r="V1523" s="1268">
        <f t="shared" si="644"/>
        <v>0</v>
      </c>
      <c r="W1523" s="1268">
        <v>0</v>
      </c>
      <c r="X1523" s="1268">
        <f t="shared" si="644"/>
        <v>1613618.96</v>
      </c>
      <c r="Y1523" s="1268">
        <f t="shared" si="644"/>
        <v>94528</v>
      </c>
    </row>
    <row r="1524" spans="1:25" s="1277" customFormat="1" ht="113.4">
      <c r="A1524" s="1396"/>
      <c r="B1524" s="1277" t="s">
        <v>1091</v>
      </c>
      <c r="C1524" s="1268">
        <f>SUM(C1525:C1535)</f>
        <v>14567303.83</v>
      </c>
      <c r="D1524" s="1268">
        <f t="shared" ref="D1524:Y1524" si="645">SUM(D1525:D1535)</f>
        <v>8047197.25</v>
      </c>
      <c r="E1524" s="1268">
        <f t="shared" si="645"/>
        <v>752625.77</v>
      </c>
      <c r="F1524" s="1268">
        <f t="shared" si="645"/>
        <v>0</v>
      </c>
      <c r="G1524" s="1268">
        <f t="shared" si="645"/>
        <v>525307.85</v>
      </c>
      <c r="H1524" s="1268">
        <f t="shared" si="645"/>
        <v>1005191.79</v>
      </c>
      <c r="I1524" s="1268">
        <f t="shared" si="645"/>
        <v>3864605.5300000003</v>
      </c>
      <c r="J1524" s="1268">
        <f t="shared" si="645"/>
        <v>1899466.3100000003</v>
      </c>
      <c r="K1524" s="1278">
        <f t="shared" si="645"/>
        <v>0</v>
      </c>
      <c r="L1524" s="1268">
        <f t="shared" si="645"/>
        <v>0</v>
      </c>
      <c r="M1524" s="1278">
        <f t="shared" si="645"/>
        <v>0</v>
      </c>
      <c r="N1524" s="1268">
        <f t="shared" si="645"/>
        <v>0</v>
      </c>
      <c r="O1524" s="1268">
        <f t="shared" si="645"/>
        <v>1950.6</v>
      </c>
      <c r="P1524" s="1268">
        <f t="shared" si="645"/>
        <v>5405829</v>
      </c>
      <c r="Q1524" s="1268">
        <f t="shared" si="645"/>
        <v>0</v>
      </c>
      <c r="R1524" s="1268">
        <f t="shared" si="645"/>
        <v>0</v>
      </c>
      <c r="S1524" s="1268">
        <f t="shared" si="645"/>
        <v>0</v>
      </c>
      <c r="T1524" s="1268">
        <f t="shared" si="645"/>
        <v>0</v>
      </c>
      <c r="U1524" s="1268">
        <f t="shared" si="645"/>
        <v>0</v>
      </c>
      <c r="V1524" s="1268">
        <f t="shared" si="645"/>
        <v>0</v>
      </c>
      <c r="W1524" s="1268">
        <v>0</v>
      </c>
      <c r="X1524" s="1268">
        <f t="shared" si="645"/>
        <v>1019749.5800000001</v>
      </c>
      <c r="Y1524" s="1268">
        <f t="shared" si="645"/>
        <v>94528</v>
      </c>
    </row>
    <row r="1525" spans="1:25" s="1277" customFormat="1">
      <c r="A1525" s="1396">
        <v>575</v>
      </c>
      <c r="B1525" s="1277" t="s">
        <v>1164</v>
      </c>
      <c r="C1525" s="1268">
        <f>D1525+P1525+T1525+X1525+Y1525</f>
        <v>1345298.9</v>
      </c>
      <c r="D1525" s="1268">
        <f>E1525+F1525+G1525+H1525+I1525+J1525</f>
        <v>0</v>
      </c>
      <c r="E1525" s="1268">
        <v>0</v>
      </c>
      <c r="F1525" s="1268">
        <v>0</v>
      </c>
      <c r="G1525" s="1268">
        <v>0</v>
      </c>
      <c r="H1525" s="1268">
        <v>0</v>
      </c>
      <c r="I1525" s="1268">
        <v>0</v>
      </c>
      <c r="J1525" s="1268">
        <v>0</v>
      </c>
      <c r="K1525" s="1278">
        <v>0</v>
      </c>
      <c r="L1525" s="1268">
        <v>0</v>
      </c>
      <c r="M1525" s="1278">
        <v>0</v>
      </c>
      <c r="N1525" s="1268">
        <v>0</v>
      </c>
      <c r="O1525" s="1396">
        <v>408.2</v>
      </c>
      <c r="P1525" s="1355">
        <v>1281243</v>
      </c>
      <c r="Q1525" s="1268">
        <v>0</v>
      </c>
      <c r="R1525" s="1268">
        <v>0</v>
      </c>
      <c r="S1525" s="1268">
        <v>0</v>
      </c>
      <c r="T1525" s="1268">
        <v>0</v>
      </c>
      <c r="U1525" s="1268">
        <v>0</v>
      </c>
      <c r="V1525" s="1268">
        <v>0</v>
      </c>
      <c r="W1525" s="1268">
        <v>0</v>
      </c>
      <c r="X1525" s="1355">
        <v>64055.9</v>
      </c>
      <c r="Y1525" s="1268">
        <v>0</v>
      </c>
    </row>
    <row r="1526" spans="1:25" s="1277" customFormat="1">
      <c r="A1526" s="1396">
        <v>576</v>
      </c>
      <c r="B1526" s="1277" t="s">
        <v>704</v>
      </c>
      <c r="C1526" s="1268">
        <f>D1526+P1526+T1526+X1526+Y1526</f>
        <v>2335879.88</v>
      </c>
      <c r="D1526" s="1268">
        <f>E1526+F1526+G1526+H1526+I1526+J1526</f>
        <v>2166213.56</v>
      </c>
      <c r="E1526" s="1268">
        <v>0</v>
      </c>
      <c r="F1526" s="1268">
        <v>0</v>
      </c>
      <c r="G1526" s="1268">
        <v>0</v>
      </c>
      <c r="H1526" s="1268">
        <v>0</v>
      </c>
      <c r="I1526" s="1268">
        <v>1327064</v>
      </c>
      <c r="J1526" s="1268">
        <v>839149.56</v>
      </c>
      <c r="K1526" s="1278">
        <v>0</v>
      </c>
      <c r="L1526" s="1268">
        <v>0</v>
      </c>
      <c r="M1526" s="1278">
        <v>0</v>
      </c>
      <c r="N1526" s="1268">
        <v>0</v>
      </c>
      <c r="O1526" s="1268">
        <v>0</v>
      </c>
      <c r="P1526" s="1268">
        <v>0</v>
      </c>
      <c r="Q1526" s="1268">
        <v>0</v>
      </c>
      <c r="R1526" s="1268">
        <v>0</v>
      </c>
      <c r="S1526" s="1268">
        <v>0</v>
      </c>
      <c r="T1526" s="1268">
        <v>0</v>
      </c>
      <c r="U1526" s="1268">
        <v>0</v>
      </c>
      <c r="V1526" s="1268">
        <v>0</v>
      </c>
      <c r="W1526" s="1268">
        <v>0</v>
      </c>
      <c r="X1526" s="1268">
        <v>169666.32</v>
      </c>
      <c r="Y1526" s="1268">
        <v>0</v>
      </c>
    </row>
    <row r="1527" spans="1:25" s="1277" customFormat="1" ht="75.599999999999994">
      <c r="A1527" s="1396">
        <v>577</v>
      </c>
      <c r="B1527" s="1277" t="s">
        <v>2586</v>
      </c>
      <c r="C1527" s="1268">
        <f>D1527+P1527+T1527+X1527+Y1527</f>
        <v>266344.95</v>
      </c>
      <c r="D1527" s="1268">
        <f t="shared" ref="D1527:D1528" si="646">E1527+F1527+G1527+H1527+I1527+J1527</f>
        <v>246999.03</v>
      </c>
      <c r="E1527" s="1268">
        <v>0</v>
      </c>
      <c r="F1527" s="1268">
        <v>0</v>
      </c>
      <c r="G1527" s="1268">
        <v>0</v>
      </c>
      <c r="H1527" s="1268">
        <v>0</v>
      </c>
      <c r="I1527" s="1268">
        <v>0</v>
      </c>
      <c r="J1527" s="1268">
        <v>246999.03</v>
      </c>
      <c r="K1527" s="1278">
        <v>0</v>
      </c>
      <c r="L1527" s="1268">
        <v>0</v>
      </c>
      <c r="M1527" s="1278">
        <v>0</v>
      </c>
      <c r="N1527" s="1268">
        <v>0</v>
      </c>
      <c r="O1527" s="1268">
        <v>0</v>
      </c>
      <c r="P1527" s="1268">
        <v>0</v>
      </c>
      <c r="Q1527" s="1268">
        <v>0</v>
      </c>
      <c r="R1527" s="1268">
        <v>0</v>
      </c>
      <c r="S1527" s="1268">
        <v>0</v>
      </c>
      <c r="T1527" s="1268">
        <v>0</v>
      </c>
      <c r="U1527" s="1268">
        <v>0</v>
      </c>
      <c r="V1527" s="1268">
        <v>0</v>
      </c>
      <c r="W1527" s="1268">
        <v>0</v>
      </c>
      <c r="X1527" s="1268">
        <v>19345.919999999998</v>
      </c>
      <c r="Y1527" s="1268">
        <v>0</v>
      </c>
    </row>
    <row r="1528" spans="1:25" s="1277" customFormat="1">
      <c r="A1528" s="1396">
        <v>578</v>
      </c>
      <c r="B1528" s="1277" t="s">
        <v>707</v>
      </c>
      <c r="C1528" s="1268">
        <f t="shared" ref="C1528" si="647">D1528+P1528+T1528+X1528+Y1528</f>
        <v>1887048</v>
      </c>
      <c r="D1528" s="1268">
        <f t="shared" si="646"/>
        <v>455152.67</v>
      </c>
      <c r="E1528" s="1268">
        <v>249096.77</v>
      </c>
      <c r="F1528" s="1268">
        <v>0</v>
      </c>
      <c r="G1528" s="1268">
        <v>206055.9</v>
      </c>
      <c r="H1528" s="1268">
        <v>0</v>
      </c>
      <c r="I1528" s="1268">
        <v>0</v>
      </c>
      <c r="J1528" s="1268">
        <v>0</v>
      </c>
      <c r="K1528" s="1278">
        <v>0</v>
      </c>
      <c r="L1528" s="1268">
        <v>0</v>
      </c>
      <c r="M1528" s="1278">
        <v>0</v>
      </c>
      <c r="N1528" s="1268">
        <v>0</v>
      </c>
      <c r="O1528" s="1268">
        <v>384.6</v>
      </c>
      <c r="P1528" s="1268">
        <v>1207168</v>
      </c>
      <c r="Q1528" s="1268">
        <v>0</v>
      </c>
      <c r="R1528" s="1268">
        <v>0</v>
      </c>
      <c r="S1528" s="1268">
        <v>0</v>
      </c>
      <c r="T1528" s="1268">
        <v>0</v>
      </c>
      <c r="U1528" s="1268">
        <v>0</v>
      </c>
      <c r="V1528" s="1268">
        <v>0</v>
      </c>
      <c r="W1528" s="1268">
        <v>0</v>
      </c>
      <c r="X1528" s="1268">
        <v>130199.33</v>
      </c>
      <c r="Y1528" s="1268">
        <v>94528</v>
      </c>
    </row>
    <row r="1529" spans="1:25" s="1277" customFormat="1">
      <c r="A1529" s="1396">
        <v>579</v>
      </c>
      <c r="B1529" s="1277" t="s">
        <v>708</v>
      </c>
      <c r="C1529" s="1268">
        <f>D1529+P1529+T1529+X1529</f>
        <v>500762.18</v>
      </c>
      <c r="D1529" s="1268">
        <f>E1529+F1529+G1529+H1529+I1529+J1529</f>
        <v>464389.41</v>
      </c>
      <c r="E1529" s="1268">
        <v>0</v>
      </c>
      <c r="F1529" s="1268">
        <v>0</v>
      </c>
      <c r="G1529" s="1268">
        <v>128876.87</v>
      </c>
      <c r="H1529" s="1268">
        <v>205541.43</v>
      </c>
      <c r="I1529" s="1268">
        <v>0</v>
      </c>
      <c r="J1529" s="1268">
        <v>129971.11</v>
      </c>
      <c r="K1529" s="1278">
        <v>0</v>
      </c>
      <c r="L1529" s="1268">
        <v>0</v>
      </c>
      <c r="M1529" s="1278">
        <v>0</v>
      </c>
      <c r="N1529" s="1268">
        <v>0</v>
      </c>
      <c r="O1529" s="1268">
        <v>0</v>
      </c>
      <c r="P1529" s="1268">
        <v>0</v>
      </c>
      <c r="Q1529" s="1268">
        <v>0</v>
      </c>
      <c r="R1529" s="1268">
        <v>0</v>
      </c>
      <c r="S1529" s="1268">
        <v>0</v>
      </c>
      <c r="T1529" s="1268">
        <v>0</v>
      </c>
      <c r="U1529" s="1268">
        <v>0</v>
      </c>
      <c r="V1529" s="1268">
        <v>0</v>
      </c>
      <c r="W1529" s="1268">
        <v>0</v>
      </c>
      <c r="X1529" s="1268">
        <v>36372.769999999997</v>
      </c>
      <c r="Y1529" s="1268">
        <v>0</v>
      </c>
    </row>
    <row r="1530" spans="1:25" s="1277" customFormat="1" ht="75.599999999999994">
      <c r="A1530" s="1396">
        <v>580</v>
      </c>
      <c r="B1530" s="1277" t="s">
        <v>2587</v>
      </c>
      <c r="C1530" s="1268">
        <f t="shared" ref="C1530:C1535" si="648">D1530+P1530+T1530+X1530</f>
        <v>742068.39</v>
      </c>
      <c r="D1530" s="1268">
        <f t="shared" ref="D1530:D1535" si="649">E1530+F1530+G1530+H1530+I1530+J1530</f>
        <v>685986.96</v>
      </c>
      <c r="E1530" s="1268">
        <v>0</v>
      </c>
      <c r="F1530" s="1268">
        <v>0</v>
      </c>
      <c r="G1530" s="1268">
        <v>190375.08</v>
      </c>
      <c r="H1530" s="1268">
        <v>303621.36</v>
      </c>
      <c r="I1530" s="1268">
        <v>0</v>
      </c>
      <c r="J1530" s="1268">
        <v>191990.52</v>
      </c>
      <c r="K1530" s="1278">
        <v>0</v>
      </c>
      <c r="L1530" s="1268">
        <v>0</v>
      </c>
      <c r="M1530" s="1278">
        <v>0</v>
      </c>
      <c r="N1530" s="1268">
        <v>0</v>
      </c>
      <c r="O1530" s="1268">
        <v>0</v>
      </c>
      <c r="P1530" s="1268">
        <v>0</v>
      </c>
      <c r="Q1530" s="1268">
        <v>0</v>
      </c>
      <c r="R1530" s="1268">
        <v>0</v>
      </c>
      <c r="S1530" s="1268">
        <v>0</v>
      </c>
      <c r="T1530" s="1268">
        <v>0</v>
      </c>
      <c r="U1530" s="1268">
        <v>0</v>
      </c>
      <c r="V1530" s="1268">
        <v>0</v>
      </c>
      <c r="W1530" s="1268">
        <v>0</v>
      </c>
      <c r="X1530" s="1268">
        <v>56081.43</v>
      </c>
      <c r="Y1530" s="1268">
        <v>0</v>
      </c>
    </row>
    <row r="1531" spans="1:25" s="1277" customFormat="1">
      <c r="A1531" s="1396">
        <v>581</v>
      </c>
      <c r="B1531" s="1277" t="s">
        <v>713</v>
      </c>
      <c r="C1531" s="1268">
        <f t="shared" si="648"/>
        <v>2201411.69</v>
      </c>
      <c r="D1531" s="1268">
        <f t="shared" si="649"/>
        <v>2041512.53</v>
      </c>
      <c r="E1531" s="1268">
        <v>0</v>
      </c>
      <c r="F1531" s="1268">
        <v>0</v>
      </c>
      <c r="G1531" s="1268">
        <v>0</v>
      </c>
      <c r="H1531" s="1268">
        <v>0</v>
      </c>
      <c r="I1531" s="1268">
        <v>2041512.53</v>
      </c>
      <c r="J1531" s="1268">
        <v>0</v>
      </c>
      <c r="K1531" s="1278">
        <v>0</v>
      </c>
      <c r="L1531" s="1268">
        <v>0</v>
      </c>
      <c r="M1531" s="1278">
        <v>0</v>
      </c>
      <c r="N1531" s="1268">
        <v>0</v>
      </c>
      <c r="O1531" s="1268">
        <v>0</v>
      </c>
      <c r="P1531" s="1268">
        <v>0</v>
      </c>
      <c r="Q1531" s="1268">
        <v>0</v>
      </c>
      <c r="R1531" s="1268">
        <v>0</v>
      </c>
      <c r="S1531" s="1268">
        <v>0</v>
      </c>
      <c r="T1531" s="1268">
        <v>0</v>
      </c>
      <c r="U1531" s="1268">
        <v>0</v>
      </c>
      <c r="V1531" s="1268">
        <v>0</v>
      </c>
      <c r="W1531" s="1268">
        <v>0</v>
      </c>
      <c r="X1531" s="1268">
        <v>159899.16</v>
      </c>
      <c r="Y1531" s="1268">
        <v>0</v>
      </c>
    </row>
    <row r="1532" spans="1:25" s="1277" customFormat="1">
      <c r="A1532" s="1396">
        <v>582</v>
      </c>
      <c r="B1532" s="1277" t="s">
        <v>2010</v>
      </c>
      <c r="C1532" s="1268">
        <f t="shared" si="648"/>
        <v>191617.16999999998</v>
      </c>
      <c r="D1532" s="1268">
        <f t="shared" si="649"/>
        <v>177699.09</v>
      </c>
      <c r="E1532" s="1268">
        <v>0</v>
      </c>
      <c r="F1532" s="1268">
        <v>0</v>
      </c>
      <c r="G1532" s="1268">
        <v>0</v>
      </c>
      <c r="H1532" s="1268">
        <v>0</v>
      </c>
      <c r="I1532" s="1268">
        <v>0</v>
      </c>
      <c r="J1532" s="1268">
        <v>177699.09</v>
      </c>
      <c r="K1532" s="1278">
        <v>0</v>
      </c>
      <c r="L1532" s="1268">
        <v>0</v>
      </c>
      <c r="M1532" s="1278">
        <v>0</v>
      </c>
      <c r="N1532" s="1268">
        <v>0</v>
      </c>
      <c r="O1532" s="1268">
        <v>0</v>
      </c>
      <c r="P1532" s="1268">
        <v>0</v>
      </c>
      <c r="Q1532" s="1268">
        <v>0</v>
      </c>
      <c r="R1532" s="1268">
        <v>0</v>
      </c>
      <c r="S1532" s="1268">
        <v>0</v>
      </c>
      <c r="T1532" s="1268">
        <v>0</v>
      </c>
      <c r="U1532" s="1268">
        <v>0</v>
      </c>
      <c r="V1532" s="1268">
        <v>0</v>
      </c>
      <c r="W1532" s="1268">
        <v>0</v>
      </c>
      <c r="X1532" s="1268">
        <v>13918.08</v>
      </c>
      <c r="Y1532" s="1268">
        <v>0</v>
      </c>
    </row>
    <row r="1533" spans="1:25" s="1277" customFormat="1">
      <c r="A1533" s="1396">
        <v>583</v>
      </c>
      <c r="B1533" s="1277" t="s">
        <v>2011</v>
      </c>
      <c r="C1533" s="1268">
        <f t="shared" si="648"/>
        <v>2148805.02</v>
      </c>
      <c r="D1533" s="1268">
        <f t="shared" si="649"/>
        <v>503529</v>
      </c>
      <c r="E1533" s="1268">
        <v>503529</v>
      </c>
      <c r="F1533" s="1268">
        <v>0</v>
      </c>
      <c r="G1533" s="1268">
        <v>0</v>
      </c>
      <c r="H1533" s="1268">
        <v>0</v>
      </c>
      <c r="I1533" s="1268">
        <v>0</v>
      </c>
      <c r="J1533" s="1268">
        <v>0</v>
      </c>
      <c r="K1533" s="1278">
        <v>0</v>
      </c>
      <c r="L1533" s="1268">
        <v>0</v>
      </c>
      <c r="M1533" s="1278">
        <v>0</v>
      </c>
      <c r="N1533" s="1268">
        <v>0</v>
      </c>
      <c r="O1533" s="1268">
        <v>591</v>
      </c>
      <c r="P1533" s="1268">
        <v>1489198</v>
      </c>
      <c r="Q1533" s="1268">
        <v>0</v>
      </c>
      <c r="R1533" s="1268">
        <v>0</v>
      </c>
      <c r="S1533" s="1268">
        <v>0</v>
      </c>
      <c r="T1533" s="1268">
        <v>0</v>
      </c>
      <c r="U1533" s="1268">
        <v>0</v>
      </c>
      <c r="V1533" s="1268">
        <v>0</v>
      </c>
      <c r="W1533" s="1268">
        <v>0</v>
      </c>
      <c r="X1533" s="1268">
        <v>156078.01999999999</v>
      </c>
      <c r="Y1533" s="1268">
        <v>0</v>
      </c>
    </row>
    <row r="1534" spans="1:25" s="1277" customFormat="1" ht="50.4" customHeight="1">
      <c r="A1534" s="1396">
        <v>584</v>
      </c>
      <c r="B1534" s="1277" t="s">
        <v>719</v>
      </c>
      <c r="C1534" s="1268">
        <f t="shared" si="648"/>
        <v>1540084</v>
      </c>
      <c r="D1534" s="1268">
        <f t="shared" si="649"/>
        <v>0</v>
      </c>
      <c r="E1534" s="1268">
        <v>0</v>
      </c>
      <c r="F1534" s="1268">
        <v>0</v>
      </c>
      <c r="G1534" s="1268">
        <v>0</v>
      </c>
      <c r="H1534" s="1268">
        <v>0</v>
      </c>
      <c r="I1534" s="1268">
        <v>0</v>
      </c>
      <c r="J1534" s="1268">
        <v>0</v>
      </c>
      <c r="K1534" s="1278">
        <v>0</v>
      </c>
      <c r="L1534" s="1268">
        <v>0</v>
      </c>
      <c r="M1534" s="1278">
        <v>0</v>
      </c>
      <c r="N1534" s="1268">
        <v>0</v>
      </c>
      <c r="O1534" s="1268">
        <v>566.79999999999995</v>
      </c>
      <c r="P1534" s="1268">
        <v>1428220</v>
      </c>
      <c r="Q1534" s="1268">
        <v>0</v>
      </c>
      <c r="R1534" s="1268">
        <v>0</v>
      </c>
      <c r="S1534" s="1268">
        <v>0</v>
      </c>
      <c r="T1534" s="1268">
        <v>0</v>
      </c>
      <c r="U1534" s="1268">
        <v>0</v>
      </c>
      <c r="V1534" s="1268">
        <v>0</v>
      </c>
      <c r="W1534" s="1268">
        <v>0</v>
      </c>
      <c r="X1534" s="1268">
        <v>111864</v>
      </c>
      <c r="Y1534" s="1268">
        <v>0</v>
      </c>
    </row>
    <row r="1535" spans="1:25" s="1277" customFormat="1" ht="62.4" customHeight="1">
      <c r="A1535" s="1396">
        <v>585</v>
      </c>
      <c r="B1535" s="1277" t="s">
        <v>1677</v>
      </c>
      <c r="C1535" s="1268">
        <f t="shared" si="648"/>
        <v>1407983.65</v>
      </c>
      <c r="D1535" s="1268">
        <f t="shared" si="649"/>
        <v>1305715</v>
      </c>
      <c r="E1535" s="1268">
        <v>0</v>
      </c>
      <c r="F1535" s="1268">
        <v>0</v>
      </c>
      <c r="G1535" s="1268">
        <v>0</v>
      </c>
      <c r="H1535" s="1268">
        <v>496029</v>
      </c>
      <c r="I1535" s="1268">
        <v>496029</v>
      </c>
      <c r="J1535" s="1268">
        <v>313657</v>
      </c>
      <c r="K1535" s="1278">
        <v>0</v>
      </c>
      <c r="L1535" s="1268">
        <v>0</v>
      </c>
      <c r="M1535" s="1278">
        <v>0</v>
      </c>
      <c r="N1535" s="1268">
        <v>0</v>
      </c>
      <c r="O1535" s="1268">
        <v>0</v>
      </c>
      <c r="P1535" s="1268">
        <v>0</v>
      </c>
      <c r="Q1535" s="1268">
        <v>0</v>
      </c>
      <c r="R1535" s="1268">
        <v>0</v>
      </c>
      <c r="S1535" s="1268">
        <v>0</v>
      </c>
      <c r="T1535" s="1268">
        <v>0</v>
      </c>
      <c r="U1535" s="1268">
        <v>0</v>
      </c>
      <c r="V1535" s="1268">
        <v>0</v>
      </c>
      <c r="W1535" s="1268">
        <v>0</v>
      </c>
      <c r="X1535" s="1268">
        <v>102268.65</v>
      </c>
      <c r="Y1535" s="1268">
        <v>0</v>
      </c>
    </row>
    <row r="1536" spans="1:25" s="1277" customFormat="1" ht="113.4">
      <c r="A1536" s="1396"/>
      <c r="B1536" s="1277" t="s">
        <v>2595</v>
      </c>
      <c r="C1536" s="1268">
        <f>SUM(C1537:C1541)</f>
        <v>7740931.0599999996</v>
      </c>
      <c r="D1536" s="1268">
        <f t="shared" ref="D1536:Y1536" si="650">SUM(D1537:D1541)</f>
        <v>1449582.32</v>
      </c>
      <c r="E1536" s="1268">
        <f t="shared" si="650"/>
        <v>0</v>
      </c>
      <c r="F1536" s="1268">
        <f t="shared" si="650"/>
        <v>0</v>
      </c>
      <c r="G1536" s="1268">
        <f t="shared" si="650"/>
        <v>0</v>
      </c>
      <c r="H1536" s="1268">
        <f t="shared" si="650"/>
        <v>0</v>
      </c>
      <c r="I1536" s="1268">
        <f t="shared" si="650"/>
        <v>0</v>
      </c>
      <c r="J1536" s="1268">
        <f t="shared" si="650"/>
        <v>1449582.32</v>
      </c>
      <c r="K1536" s="1278">
        <f t="shared" si="650"/>
        <v>0</v>
      </c>
      <c r="L1536" s="1268">
        <f t="shared" si="650"/>
        <v>0</v>
      </c>
      <c r="M1536" s="1278">
        <f t="shared" si="650"/>
        <v>0</v>
      </c>
      <c r="N1536" s="1268">
        <f t="shared" si="650"/>
        <v>0</v>
      </c>
      <c r="O1536" s="1268">
        <f t="shared" si="650"/>
        <v>824.2</v>
      </c>
      <c r="P1536" s="1268">
        <f t="shared" si="650"/>
        <v>2076814</v>
      </c>
      <c r="Q1536" s="1268">
        <f t="shared" si="650"/>
        <v>0</v>
      </c>
      <c r="R1536" s="1268">
        <f t="shared" si="650"/>
        <v>0</v>
      </c>
      <c r="S1536" s="1268">
        <f t="shared" si="650"/>
        <v>1416.92</v>
      </c>
      <c r="T1536" s="1268">
        <f t="shared" si="650"/>
        <v>3652273.3600000003</v>
      </c>
      <c r="U1536" s="1268">
        <f t="shared" si="650"/>
        <v>0</v>
      </c>
      <c r="V1536" s="1268">
        <f t="shared" si="650"/>
        <v>0</v>
      </c>
      <c r="W1536" s="1268">
        <v>0</v>
      </c>
      <c r="X1536" s="1268">
        <f t="shared" si="650"/>
        <v>562261.38</v>
      </c>
      <c r="Y1536" s="1268">
        <f t="shared" si="650"/>
        <v>0</v>
      </c>
    </row>
    <row r="1537" spans="1:25" s="1277" customFormat="1">
      <c r="A1537" s="1396">
        <v>586</v>
      </c>
      <c r="B1537" s="1277" t="s">
        <v>990</v>
      </c>
      <c r="C1537" s="1268">
        <f>D1537+P1537+T1537+X1537+Y1537</f>
        <v>1268038</v>
      </c>
      <c r="D1537" s="1268">
        <f>E1537+F1537+G1537+H1537+I1537+J1537</f>
        <v>0</v>
      </c>
      <c r="E1537" s="1268">
        <v>0</v>
      </c>
      <c r="F1537" s="1268">
        <v>0</v>
      </c>
      <c r="G1537" s="1268">
        <v>0</v>
      </c>
      <c r="H1537" s="1268">
        <v>0</v>
      </c>
      <c r="I1537" s="1268">
        <v>0</v>
      </c>
      <c r="J1537" s="1268">
        <v>0</v>
      </c>
      <c r="K1537" s="1278">
        <v>0</v>
      </c>
      <c r="L1537" s="1268">
        <v>0</v>
      </c>
      <c r="M1537" s="1278">
        <v>0</v>
      </c>
      <c r="N1537" s="1268">
        <v>0</v>
      </c>
      <c r="O1537" s="1268">
        <v>0</v>
      </c>
      <c r="P1537" s="1268">
        <v>0</v>
      </c>
      <c r="Q1537" s="1268">
        <v>0</v>
      </c>
      <c r="R1537" s="1268">
        <v>0</v>
      </c>
      <c r="S1537" s="1268">
        <v>413.42</v>
      </c>
      <c r="T1537" s="1268">
        <v>1175934</v>
      </c>
      <c r="U1537" s="1268">
        <v>0</v>
      </c>
      <c r="V1537" s="1268">
        <v>0</v>
      </c>
      <c r="W1537" s="1268">
        <v>0</v>
      </c>
      <c r="X1537" s="1268">
        <v>92104</v>
      </c>
      <c r="Y1537" s="1268">
        <v>0</v>
      </c>
    </row>
    <row r="1538" spans="1:25" s="1277" customFormat="1">
      <c r="A1538" s="1396">
        <v>587</v>
      </c>
      <c r="B1538" s="1277" t="s">
        <v>1225</v>
      </c>
      <c r="C1538" s="1268">
        <f t="shared" ref="C1538:C1540" si="651">D1538+P1538+T1538+X1538+Y1538</f>
        <v>1318782.8800000001</v>
      </c>
      <c r="D1538" s="1268">
        <f t="shared" ref="D1538:D1540" si="652">E1538+F1538+G1538+H1538+I1538+J1538</f>
        <v>0</v>
      </c>
      <c r="E1538" s="1268">
        <v>0</v>
      </c>
      <c r="F1538" s="1268">
        <v>0</v>
      </c>
      <c r="G1538" s="1268">
        <v>0</v>
      </c>
      <c r="H1538" s="1268">
        <v>0</v>
      </c>
      <c r="I1538" s="1268">
        <v>0</v>
      </c>
      <c r="J1538" s="1268">
        <v>0</v>
      </c>
      <c r="K1538" s="1278">
        <v>0</v>
      </c>
      <c r="L1538" s="1268">
        <v>0</v>
      </c>
      <c r="M1538" s="1278">
        <v>0</v>
      </c>
      <c r="N1538" s="1268">
        <v>0</v>
      </c>
      <c r="O1538" s="1268">
        <v>0</v>
      </c>
      <c r="P1538" s="1268">
        <v>0</v>
      </c>
      <c r="Q1538" s="1268">
        <v>0</v>
      </c>
      <c r="R1538" s="1268">
        <v>0</v>
      </c>
      <c r="S1538" s="1268">
        <v>495.6</v>
      </c>
      <c r="T1538" s="1268">
        <v>1222993.31</v>
      </c>
      <c r="U1538" s="1268">
        <v>0</v>
      </c>
      <c r="V1538" s="1268">
        <v>0</v>
      </c>
      <c r="W1538" s="1268">
        <v>0</v>
      </c>
      <c r="X1538" s="1268">
        <v>95789.57</v>
      </c>
      <c r="Y1538" s="1268">
        <v>0</v>
      </c>
    </row>
    <row r="1539" spans="1:25" s="1277" customFormat="1">
      <c r="A1539" s="1396">
        <v>588</v>
      </c>
      <c r="B1539" s="1277" t="s">
        <v>992</v>
      </c>
      <c r="C1539" s="1268">
        <f t="shared" si="651"/>
        <v>1351512.96</v>
      </c>
      <c r="D1539" s="1268">
        <f t="shared" si="652"/>
        <v>0</v>
      </c>
      <c r="E1539" s="1268">
        <v>0</v>
      </c>
      <c r="F1539" s="1268">
        <v>0</v>
      </c>
      <c r="G1539" s="1268">
        <v>0</v>
      </c>
      <c r="H1539" s="1268">
        <v>0</v>
      </c>
      <c r="I1539" s="1268">
        <v>0</v>
      </c>
      <c r="J1539" s="1268">
        <v>0</v>
      </c>
      <c r="K1539" s="1278">
        <v>0</v>
      </c>
      <c r="L1539" s="1268">
        <v>0</v>
      </c>
      <c r="M1539" s="1278">
        <v>0</v>
      </c>
      <c r="N1539" s="1268">
        <v>0</v>
      </c>
      <c r="O1539" s="1268">
        <v>0</v>
      </c>
      <c r="P1539" s="1268">
        <v>0</v>
      </c>
      <c r="Q1539" s="1268">
        <v>0</v>
      </c>
      <c r="R1539" s="1268">
        <v>0</v>
      </c>
      <c r="S1539" s="1268">
        <v>507.9</v>
      </c>
      <c r="T1539" s="1268">
        <v>1253346.05</v>
      </c>
      <c r="U1539" s="1268">
        <v>0</v>
      </c>
      <c r="V1539" s="1268">
        <v>0</v>
      </c>
      <c r="W1539" s="1268">
        <v>0</v>
      </c>
      <c r="X1539" s="1268">
        <v>98166.91</v>
      </c>
      <c r="Y1539" s="1268">
        <v>0</v>
      </c>
    </row>
    <row r="1540" spans="1:25" s="1277" customFormat="1">
      <c r="A1540" s="1396">
        <v>589</v>
      </c>
      <c r="B1540" s="1277" t="s">
        <v>1171</v>
      </c>
      <c r="C1540" s="1268">
        <f t="shared" si="651"/>
        <v>1563119.22</v>
      </c>
      <c r="D1540" s="1268">
        <f t="shared" si="652"/>
        <v>1449582.32</v>
      </c>
      <c r="E1540" s="1268">
        <v>0</v>
      </c>
      <c r="F1540" s="1268">
        <v>0</v>
      </c>
      <c r="G1540" s="1268">
        <v>0</v>
      </c>
      <c r="H1540" s="1268">
        <v>0</v>
      </c>
      <c r="I1540" s="1268">
        <v>0</v>
      </c>
      <c r="J1540" s="1268">
        <v>1449582.32</v>
      </c>
      <c r="K1540" s="1278">
        <v>0</v>
      </c>
      <c r="L1540" s="1268">
        <v>0</v>
      </c>
      <c r="M1540" s="1278">
        <v>0</v>
      </c>
      <c r="N1540" s="1268">
        <v>0</v>
      </c>
      <c r="O1540" s="1268">
        <v>0</v>
      </c>
      <c r="P1540" s="1268">
        <v>0</v>
      </c>
      <c r="Q1540" s="1268">
        <v>0</v>
      </c>
      <c r="R1540" s="1268">
        <v>0</v>
      </c>
      <c r="S1540" s="1268">
        <v>0</v>
      </c>
      <c r="T1540" s="1268">
        <v>0</v>
      </c>
      <c r="U1540" s="1268">
        <v>0</v>
      </c>
      <c r="V1540" s="1268">
        <v>0</v>
      </c>
      <c r="W1540" s="1268">
        <v>0</v>
      </c>
      <c r="X1540" s="1268">
        <v>113536.9</v>
      </c>
      <c r="Y1540" s="1268">
        <v>0</v>
      </c>
    </row>
    <row r="1541" spans="1:25" s="1277" customFormat="1">
      <c r="A1541" s="1396">
        <v>590</v>
      </c>
      <c r="B1541" s="1277" t="s">
        <v>993</v>
      </c>
      <c r="C1541" s="1268">
        <f t="shared" ref="C1541" si="653">D1541+P1541+T1541+X1541+Y1541</f>
        <v>2239478</v>
      </c>
      <c r="D1541" s="1268">
        <f t="shared" ref="D1541" si="654">E1541+F1541+G1541+H1541+I1541+J1541</f>
        <v>0</v>
      </c>
      <c r="E1541" s="1268">
        <v>0</v>
      </c>
      <c r="F1541" s="1268">
        <v>0</v>
      </c>
      <c r="G1541" s="1268">
        <v>0</v>
      </c>
      <c r="H1541" s="1268">
        <v>0</v>
      </c>
      <c r="I1541" s="1268">
        <v>0</v>
      </c>
      <c r="J1541" s="1268">
        <v>0</v>
      </c>
      <c r="K1541" s="1278">
        <v>0</v>
      </c>
      <c r="L1541" s="1268">
        <v>0</v>
      </c>
      <c r="M1541" s="1278">
        <v>0</v>
      </c>
      <c r="N1541" s="1268">
        <v>0</v>
      </c>
      <c r="O1541" s="1268">
        <v>824.2</v>
      </c>
      <c r="P1541" s="1268">
        <v>2076814</v>
      </c>
      <c r="Q1541" s="1268">
        <v>0</v>
      </c>
      <c r="R1541" s="1268">
        <v>0</v>
      </c>
      <c r="S1541" s="1268">
        <v>0</v>
      </c>
      <c r="T1541" s="1268">
        <v>0</v>
      </c>
      <c r="U1541" s="1268">
        <v>0</v>
      </c>
      <c r="V1541" s="1268">
        <v>0</v>
      </c>
      <c r="W1541" s="1268">
        <v>0</v>
      </c>
      <c r="X1541" s="1268">
        <v>162664</v>
      </c>
      <c r="Y1541" s="1268">
        <v>0</v>
      </c>
    </row>
    <row r="1542" spans="1:25" s="1277" customFormat="1" ht="115.8" customHeight="1">
      <c r="A1542" s="1396"/>
      <c r="B1542" s="1277" t="s">
        <v>1093</v>
      </c>
      <c r="C1542" s="1268">
        <f>C1543</f>
        <v>435162</v>
      </c>
      <c r="D1542" s="1268">
        <f t="shared" ref="D1542:Y1542" si="655">D1543</f>
        <v>403554</v>
      </c>
      <c r="E1542" s="1268">
        <f t="shared" si="655"/>
        <v>0</v>
      </c>
      <c r="F1542" s="1268">
        <f t="shared" si="655"/>
        <v>0</v>
      </c>
      <c r="G1542" s="1268">
        <f t="shared" si="655"/>
        <v>0</v>
      </c>
      <c r="H1542" s="1268">
        <f t="shared" si="655"/>
        <v>403554</v>
      </c>
      <c r="I1542" s="1268">
        <f t="shared" si="655"/>
        <v>0</v>
      </c>
      <c r="J1542" s="1268">
        <f t="shared" si="655"/>
        <v>0</v>
      </c>
      <c r="K1542" s="1278">
        <f t="shared" si="655"/>
        <v>0</v>
      </c>
      <c r="L1542" s="1268">
        <f t="shared" si="655"/>
        <v>0</v>
      </c>
      <c r="M1542" s="1278">
        <f t="shared" si="655"/>
        <v>0</v>
      </c>
      <c r="N1542" s="1268">
        <f t="shared" si="655"/>
        <v>0</v>
      </c>
      <c r="O1542" s="1268">
        <f t="shared" si="655"/>
        <v>0</v>
      </c>
      <c r="P1542" s="1268">
        <f t="shared" si="655"/>
        <v>0</v>
      </c>
      <c r="Q1542" s="1268">
        <f t="shared" si="655"/>
        <v>0</v>
      </c>
      <c r="R1542" s="1268">
        <f t="shared" si="655"/>
        <v>0</v>
      </c>
      <c r="S1542" s="1268">
        <f t="shared" si="655"/>
        <v>0</v>
      </c>
      <c r="T1542" s="1268">
        <f t="shared" si="655"/>
        <v>0</v>
      </c>
      <c r="U1542" s="1268">
        <f t="shared" si="655"/>
        <v>0</v>
      </c>
      <c r="V1542" s="1268">
        <f t="shared" si="655"/>
        <v>0</v>
      </c>
      <c r="W1542" s="1268">
        <v>0</v>
      </c>
      <c r="X1542" s="1268">
        <f t="shared" si="655"/>
        <v>31608</v>
      </c>
      <c r="Y1542" s="1268">
        <f t="shared" si="655"/>
        <v>0</v>
      </c>
    </row>
    <row r="1543" spans="1:25" s="1277" customFormat="1" ht="75.599999999999994">
      <c r="A1543" s="1396">
        <v>591</v>
      </c>
      <c r="B1543" s="1277" t="s">
        <v>445</v>
      </c>
      <c r="C1543" s="1268">
        <v>435162</v>
      </c>
      <c r="D1543" s="1268">
        <v>403554</v>
      </c>
      <c r="E1543" s="1268">
        <v>0</v>
      </c>
      <c r="F1543" s="1268">
        <v>0</v>
      </c>
      <c r="G1543" s="1268">
        <v>0</v>
      </c>
      <c r="H1543" s="1268">
        <v>403554</v>
      </c>
      <c r="I1543" s="1268">
        <v>0</v>
      </c>
      <c r="J1543" s="1268">
        <v>0</v>
      </c>
      <c r="K1543" s="1278">
        <v>0</v>
      </c>
      <c r="L1543" s="1268">
        <v>0</v>
      </c>
      <c r="M1543" s="1278">
        <v>0</v>
      </c>
      <c r="N1543" s="1268">
        <v>0</v>
      </c>
      <c r="O1543" s="1268">
        <v>0</v>
      </c>
      <c r="P1543" s="1268">
        <v>0</v>
      </c>
      <c r="Q1543" s="1268">
        <v>0</v>
      </c>
      <c r="R1543" s="1268">
        <v>0</v>
      </c>
      <c r="S1543" s="1268">
        <v>0</v>
      </c>
      <c r="T1543" s="1268">
        <v>0</v>
      </c>
      <c r="U1543" s="1268">
        <v>0</v>
      </c>
      <c r="V1543" s="1268">
        <v>0</v>
      </c>
      <c r="W1543" s="1268">
        <v>0</v>
      </c>
      <c r="X1543" s="1268">
        <v>31608</v>
      </c>
      <c r="Y1543" s="1268">
        <v>0</v>
      </c>
    </row>
    <row r="1544" spans="1:25" s="1277" customFormat="1">
      <c r="A1544" s="1396"/>
      <c r="B1544" s="1277" t="s">
        <v>57</v>
      </c>
      <c r="C1544" s="1268">
        <f>C1545</f>
        <v>6354008.9000000004</v>
      </c>
      <c r="D1544" s="1268">
        <f t="shared" ref="D1544:Y1544" si="656">D1545</f>
        <v>5848230.9000000004</v>
      </c>
      <c r="E1544" s="1268">
        <f t="shared" si="656"/>
        <v>1107985</v>
      </c>
      <c r="F1544" s="1268">
        <f t="shared" si="656"/>
        <v>0</v>
      </c>
      <c r="G1544" s="1268">
        <f t="shared" si="656"/>
        <v>0</v>
      </c>
      <c r="H1544" s="1268">
        <f t="shared" si="656"/>
        <v>4740245.9000000004</v>
      </c>
      <c r="I1544" s="1268">
        <f t="shared" si="656"/>
        <v>0</v>
      </c>
      <c r="J1544" s="1268">
        <f t="shared" si="656"/>
        <v>0</v>
      </c>
      <c r="K1544" s="1278">
        <v>0</v>
      </c>
      <c r="L1544" s="1268">
        <v>0</v>
      </c>
      <c r="M1544" s="1278">
        <f t="shared" si="656"/>
        <v>0</v>
      </c>
      <c r="N1544" s="1268">
        <f t="shared" si="656"/>
        <v>0</v>
      </c>
      <c r="O1544" s="1268">
        <f t="shared" si="656"/>
        <v>0</v>
      </c>
      <c r="P1544" s="1268">
        <f t="shared" si="656"/>
        <v>0</v>
      </c>
      <c r="Q1544" s="1268">
        <f t="shared" si="656"/>
        <v>0</v>
      </c>
      <c r="R1544" s="1268">
        <f t="shared" si="656"/>
        <v>0</v>
      </c>
      <c r="S1544" s="1268">
        <f t="shared" si="656"/>
        <v>0</v>
      </c>
      <c r="T1544" s="1268">
        <f t="shared" si="656"/>
        <v>0</v>
      </c>
      <c r="U1544" s="1268">
        <f t="shared" si="656"/>
        <v>0</v>
      </c>
      <c r="V1544" s="1268">
        <f t="shared" si="656"/>
        <v>0</v>
      </c>
      <c r="W1544" s="1268">
        <v>0</v>
      </c>
      <c r="X1544" s="1268">
        <f t="shared" si="656"/>
        <v>505778</v>
      </c>
      <c r="Y1544" s="1268">
        <f t="shared" si="656"/>
        <v>0</v>
      </c>
    </row>
    <row r="1545" spans="1:25" s="1277" customFormat="1" ht="113.4">
      <c r="A1545" s="1396"/>
      <c r="B1545" s="1277" t="s">
        <v>1094</v>
      </c>
      <c r="C1545" s="1268">
        <f>SUM(C1546:C1547)</f>
        <v>6354008.9000000004</v>
      </c>
      <c r="D1545" s="1268">
        <f t="shared" ref="D1545:Y1545" si="657">SUM(D1546:D1547)</f>
        <v>5848230.9000000004</v>
      </c>
      <c r="E1545" s="1268">
        <f t="shared" si="657"/>
        <v>1107985</v>
      </c>
      <c r="F1545" s="1268">
        <f t="shared" si="657"/>
        <v>0</v>
      </c>
      <c r="G1545" s="1268">
        <f t="shared" si="657"/>
        <v>0</v>
      </c>
      <c r="H1545" s="1268">
        <f t="shared" si="657"/>
        <v>4740245.9000000004</v>
      </c>
      <c r="I1545" s="1268">
        <f t="shared" si="657"/>
        <v>0</v>
      </c>
      <c r="J1545" s="1268">
        <f t="shared" si="657"/>
        <v>0</v>
      </c>
      <c r="K1545" s="1278">
        <f t="shared" si="657"/>
        <v>0</v>
      </c>
      <c r="L1545" s="1268">
        <f t="shared" si="657"/>
        <v>0</v>
      </c>
      <c r="M1545" s="1278">
        <f t="shared" si="657"/>
        <v>0</v>
      </c>
      <c r="N1545" s="1268">
        <f t="shared" si="657"/>
        <v>0</v>
      </c>
      <c r="O1545" s="1268">
        <f t="shared" si="657"/>
        <v>0</v>
      </c>
      <c r="P1545" s="1268">
        <f t="shared" si="657"/>
        <v>0</v>
      </c>
      <c r="Q1545" s="1268">
        <f t="shared" si="657"/>
        <v>0</v>
      </c>
      <c r="R1545" s="1268">
        <f t="shared" si="657"/>
        <v>0</v>
      </c>
      <c r="S1545" s="1268">
        <f t="shared" si="657"/>
        <v>0</v>
      </c>
      <c r="T1545" s="1268">
        <f t="shared" si="657"/>
        <v>0</v>
      </c>
      <c r="U1545" s="1268">
        <f t="shared" si="657"/>
        <v>0</v>
      </c>
      <c r="V1545" s="1268">
        <f t="shared" si="657"/>
        <v>0</v>
      </c>
      <c r="W1545" s="1268">
        <v>0</v>
      </c>
      <c r="X1545" s="1268">
        <f t="shared" si="657"/>
        <v>505778</v>
      </c>
      <c r="Y1545" s="1268">
        <f t="shared" si="657"/>
        <v>0</v>
      </c>
    </row>
    <row r="1546" spans="1:25" s="1277" customFormat="1">
      <c r="A1546" s="1396">
        <v>592</v>
      </c>
      <c r="B1546" s="1277" t="s">
        <v>981</v>
      </c>
      <c r="C1546" s="1268">
        <f t="shared" ref="C1546" si="658">D1546+N1546+P1546+R1546+T1546+V1546+X1546</f>
        <v>1194767</v>
      </c>
      <c r="D1546" s="1268">
        <f t="shared" ref="D1546" si="659">SUM(E1546:J1546)</f>
        <v>1107985</v>
      </c>
      <c r="E1546" s="1268">
        <v>1107985</v>
      </c>
      <c r="F1546" s="1268">
        <v>0</v>
      </c>
      <c r="G1546" s="1268">
        <v>0</v>
      </c>
      <c r="H1546" s="1268">
        <v>0</v>
      </c>
      <c r="I1546" s="1268">
        <v>0</v>
      </c>
      <c r="J1546" s="1268">
        <v>0</v>
      </c>
      <c r="K1546" s="1278">
        <v>0</v>
      </c>
      <c r="L1546" s="1268">
        <v>0</v>
      </c>
      <c r="M1546" s="1278">
        <v>0</v>
      </c>
      <c r="N1546" s="1268">
        <v>0</v>
      </c>
      <c r="O1546" s="1268">
        <v>0</v>
      </c>
      <c r="P1546" s="1268">
        <v>0</v>
      </c>
      <c r="Q1546" s="1268">
        <v>0</v>
      </c>
      <c r="R1546" s="1268">
        <v>0</v>
      </c>
      <c r="S1546" s="1268">
        <v>0</v>
      </c>
      <c r="T1546" s="1268">
        <v>0</v>
      </c>
      <c r="U1546" s="1268">
        <v>0</v>
      </c>
      <c r="V1546" s="1268">
        <v>0</v>
      </c>
      <c r="W1546" s="1268">
        <v>0</v>
      </c>
      <c r="X1546" s="1268">
        <v>86782</v>
      </c>
      <c r="Y1546" s="1268">
        <v>0</v>
      </c>
    </row>
    <row r="1547" spans="1:25" s="1277" customFormat="1">
      <c r="A1547" s="1396">
        <v>593</v>
      </c>
      <c r="B1547" s="1277" t="s">
        <v>980</v>
      </c>
      <c r="C1547" s="1268">
        <f t="shared" ref="C1547" si="660">D1547+N1547+P1547+R1547+T1547+V1547+X1547</f>
        <v>5159241.9000000004</v>
      </c>
      <c r="D1547" s="1268">
        <f t="shared" ref="D1547" si="661">SUM(E1547:J1547)</f>
        <v>4740245.9000000004</v>
      </c>
      <c r="E1547" s="1268">
        <v>0</v>
      </c>
      <c r="F1547" s="1268">
        <v>0</v>
      </c>
      <c r="G1547" s="1268">
        <v>0</v>
      </c>
      <c r="H1547" s="1268">
        <v>4740245.9000000004</v>
      </c>
      <c r="I1547" s="1268">
        <v>0</v>
      </c>
      <c r="J1547" s="1268">
        <v>0</v>
      </c>
      <c r="K1547" s="1278">
        <v>0</v>
      </c>
      <c r="L1547" s="1268">
        <v>0</v>
      </c>
      <c r="M1547" s="1278">
        <v>0</v>
      </c>
      <c r="N1547" s="1268">
        <v>0</v>
      </c>
      <c r="O1547" s="1268">
        <v>0</v>
      </c>
      <c r="P1547" s="1268">
        <v>0</v>
      </c>
      <c r="Q1547" s="1268">
        <v>0</v>
      </c>
      <c r="R1547" s="1268">
        <v>0</v>
      </c>
      <c r="S1547" s="1268">
        <v>0</v>
      </c>
      <c r="T1547" s="1268">
        <v>0</v>
      </c>
      <c r="U1547" s="1268">
        <v>0</v>
      </c>
      <c r="V1547" s="1268">
        <v>0</v>
      </c>
      <c r="W1547" s="1268">
        <v>0</v>
      </c>
      <c r="X1547" s="1268">
        <v>418996</v>
      </c>
      <c r="Y1547" s="1268">
        <v>0</v>
      </c>
    </row>
    <row r="1548" spans="1:25" s="1277" customFormat="1" ht="113.4">
      <c r="A1548" s="1396"/>
      <c r="B1548" s="1277" t="s">
        <v>1220</v>
      </c>
      <c r="C1548" s="1268">
        <f>SUM(C1549:C1554)</f>
        <v>11757861</v>
      </c>
      <c r="D1548" s="1268">
        <f t="shared" ref="D1548:Y1548" si="662">SUM(D1549:D1554)</f>
        <v>778593</v>
      </c>
      <c r="E1548" s="1268">
        <f t="shared" si="662"/>
        <v>0</v>
      </c>
      <c r="F1548" s="1268">
        <f t="shared" si="662"/>
        <v>778593</v>
      </c>
      <c r="G1548" s="1268">
        <f t="shared" si="662"/>
        <v>0</v>
      </c>
      <c r="H1548" s="1268">
        <f t="shared" si="662"/>
        <v>0</v>
      </c>
      <c r="I1548" s="1268">
        <f t="shared" si="662"/>
        <v>0</v>
      </c>
      <c r="J1548" s="1268">
        <f t="shared" si="662"/>
        <v>0</v>
      </c>
      <c r="K1548" s="1278">
        <f t="shared" si="662"/>
        <v>0</v>
      </c>
      <c r="L1548" s="1268">
        <f t="shared" si="662"/>
        <v>0</v>
      </c>
      <c r="M1548" s="1278">
        <f t="shared" si="662"/>
        <v>0</v>
      </c>
      <c r="N1548" s="1268">
        <f t="shared" si="662"/>
        <v>0</v>
      </c>
      <c r="O1548" s="1268">
        <f t="shared" si="662"/>
        <v>2473.1</v>
      </c>
      <c r="P1548" s="1268">
        <f t="shared" si="662"/>
        <v>7587453.1677864539</v>
      </c>
      <c r="Q1548" s="1268">
        <f t="shared" si="662"/>
        <v>0</v>
      </c>
      <c r="R1548" s="1268">
        <f t="shared" si="662"/>
        <v>0</v>
      </c>
      <c r="S1548" s="1268">
        <f t="shared" si="662"/>
        <v>1028.4000000000001</v>
      </c>
      <c r="T1548" s="1268">
        <f t="shared" si="662"/>
        <v>2537785</v>
      </c>
      <c r="U1548" s="1268">
        <f t="shared" si="662"/>
        <v>0</v>
      </c>
      <c r="V1548" s="1268">
        <f t="shared" si="662"/>
        <v>0</v>
      </c>
      <c r="W1548" s="1268">
        <v>0</v>
      </c>
      <c r="X1548" s="1268">
        <f t="shared" si="662"/>
        <v>854029.83221354638</v>
      </c>
      <c r="Y1548" s="1268">
        <f t="shared" si="662"/>
        <v>0</v>
      </c>
    </row>
    <row r="1549" spans="1:25" s="1277" customFormat="1">
      <c r="A1549" s="1396">
        <v>594</v>
      </c>
      <c r="B1549" s="1277" t="s">
        <v>1974</v>
      </c>
      <c r="C1549" s="1268">
        <f t="shared" ref="C1549" si="663">D1549+N1549+P1549+R1549+T1549+V1549+X1549</f>
        <v>2101771</v>
      </c>
      <c r="D1549" s="1268">
        <f t="shared" ref="D1549" si="664">SUM(E1549:J1549)</f>
        <v>0</v>
      </c>
      <c r="E1549" s="1268">
        <v>0</v>
      </c>
      <c r="F1549" s="1268">
        <v>0</v>
      </c>
      <c r="G1549" s="1268">
        <v>0</v>
      </c>
      <c r="H1549" s="1268">
        <v>0</v>
      </c>
      <c r="I1549" s="1268">
        <v>0</v>
      </c>
      <c r="J1549" s="1268">
        <v>0</v>
      </c>
      <c r="K1549" s="1278">
        <v>0</v>
      </c>
      <c r="L1549" s="1268">
        <v>0</v>
      </c>
      <c r="M1549" s="1278">
        <v>0</v>
      </c>
      <c r="N1549" s="1268">
        <v>0</v>
      </c>
      <c r="O1549" s="1268">
        <v>660</v>
      </c>
      <c r="P1549" s="1268">
        <v>1949109.2240784457</v>
      </c>
      <c r="Q1549" s="1293">
        <v>0</v>
      </c>
      <c r="R1549" s="1268">
        <v>0</v>
      </c>
      <c r="S1549" s="1268">
        <v>0</v>
      </c>
      <c r="T1549" s="1268">
        <v>0</v>
      </c>
      <c r="U1549" s="1293">
        <v>0</v>
      </c>
      <c r="V1549" s="1268">
        <v>0</v>
      </c>
      <c r="W1549" s="1268">
        <v>0</v>
      </c>
      <c r="X1549" s="1268">
        <v>152661.77592155439</v>
      </c>
      <c r="Y1549" s="1268">
        <v>0</v>
      </c>
    </row>
    <row r="1550" spans="1:25" s="1277" customFormat="1" ht="75.599999999999994">
      <c r="A1550" s="1396">
        <v>595</v>
      </c>
      <c r="B1550" s="1277" t="s">
        <v>1037</v>
      </c>
      <c r="C1550" s="1268">
        <f t="shared" ref="C1550:C1554" si="665">D1550+N1550+P1550+R1550+T1550+V1550+X1550</f>
        <v>1094104</v>
      </c>
      <c r="D1550" s="1268">
        <f t="shared" ref="D1550:D1554" si="666">SUM(E1550:J1550)</f>
        <v>0</v>
      </c>
      <c r="E1550" s="1268">
        <v>0</v>
      </c>
      <c r="F1550" s="1268">
        <v>0</v>
      </c>
      <c r="G1550" s="1268">
        <v>0</v>
      </c>
      <c r="H1550" s="1268">
        <v>0</v>
      </c>
      <c r="I1550" s="1268">
        <v>0</v>
      </c>
      <c r="J1550" s="1268">
        <v>0</v>
      </c>
      <c r="K1550" s="1278">
        <v>0</v>
      </c>
      <c r="L1550" s="1268">
        <v>0</v>
      </c>
      <c r="M1550" s="1278">
        <v>0</v>
      </c>
      <c r="N1550" s="1268">
        <v>0</v>
      </c>
      <c r="O1550" s="1268">
        <v>340</v>
      </c>
      <c r="P1550" s="1268">
        <v>1014633.943708008</v>
      </c>
      <c r="Q1550" s="1268">
        <v>0</v>
      </c>
      <c r="R1550" s="1268">
        <v>0</v>
      </c>
      <c r="S1550" s="1268">
        <v>0</v>
      </c>
      <c r="T1550" s="1268">
        <v>0</v>
      </c>
      <c r="U1550" s="1268">
        <v>0</v>
      </c>
      <c r="V1550" s="1268">
        <v>0</v>
      </c>
      <c r="W1550" s="1268">
        <v>0</v>
      </c>
      <c r="X1550" s="1268">
        <v>79470.056291992005</v>
      </c>
      <c r="Y1550" s="1268">
        <v>0</v>
      </c>
    </row>
    <row r="1551" spans="1:25" s="1277" customFormat="1" ht="47.4" customHeight="1">
      <c r="A1551" s="1396">
        <v>596</v>
      </c>
      <c r="B1551" s="1277" t="s">
        <v>1975</v>
      </c>
      <c r="C1551" s="1268">
        <f t="shared" si="665"/>
        <v>2736554</v>
      </c>
      <c r="D1551" s="1268">
        <f t="shared" si="666"/>
        <v>0</v>
      </c>
      <c r="E1551" s="1268">
        <v>0</v>
      </c>
      <c r="F1551" s="1268">
        <v>0</v>
      </c>
      <c r="G1551" s="1268">
        <v>0</v>
      </c>
      <c r="H1551" s="1268">
        <v>0</v>
      </c>
      <c r="I1551" s="1268">
        <v>0</v>
      </c>
      <c r="J1551" s="1268">
        <v>0</v>
      </c>
      <c r="K1551" s="1278">
        <v>0</v>
      </c>
      <c r="L1551" s="1268">
        <v>0</v>
      </c>
      <c r="M1551" s="1278">
        <v>0</v>
      </c>
      <c r="N1551" s="1268">
        <v>0</v>
      </c>
      <c r="O1551" s="1268">
        <v>0</v>
      </c>
      <c r="P1551" s="1268">
        <v>0</v>
      </c>
      <c r="Q1551" s="1268">
        <v>0</v>
      </c>
      <c r="R1551" s="1268">
        <v>0</v>
      </c>
      <c r="S1551" s="1268">
        <v>1028.4000000000001</v>
      </c>
      <c r="T1551" s="1268">
        <v>2537785</v>
      </c>
      <c r="U1551" s="1268">
        <v>0</v>
      </c>
      <c r="V1551" s="1268">
        <v>0</v>
      </c>
      <c r="W1551" s="1268">
        <v>0</v>
      </c>
      <c r="X1551" s="1268">
        <v>198769</v>
      </c>
      <c r="Y1551" s="1268">
        <v>0</v>
      </c>
    </row>
    <row r="1552" spans="1:25" s="1277" customFormat="1">
      <c r="A1552" s="1396">
        <v>597</v>
      </c>
      <c r="B1552" s="1277" t="s">
        <v>890</v>
      </c>
      <c r="C1552" s="1268">
        <f t="shared" si="665"/>
        <v>4102476</v>
      </c>
      <c r="D1552" s="1268">
        <f t="shared" si="666"/>
        <v>0</v>
      </c>
      <c r="E1552" s="1268">
        <v>0</v>
      </c>
      <c r="F1552" s="1268">
        <v>0</v>
      </c>
      <c r="G1552" s="1268">
        <v>0</v>
      </c>
      <c r="H1552" s="1268">
        <v>0</v>
      </c>
      <c r="I1552" s="1268">
        <v>0</v>
      </c>
      <c r="J1552" s="1268">
        <v>0</v>
      </c>
      <c r="K1552" s="1278">
        <v>0</v>
      </c>
      <c r="L1552" s="1268">
        <v>0</v>
      </c>
      <c r="M1552" s="1278">
        <v>0</v>
      </c>
      <c r="N1552" s="1268">
        <v>0</v>
      </c>
      <c r="O1552" s="1268">
        <v>1212.0999999999999</v>
      </c>
      <c r="P1552" s="1268">
        <v>3804493</v>
      </c>
      <c r="Q1552" s="1268">
        <v>0</v>
      </c>
      <c r="R1552" s="1268">
        <v>0</v>
      </c>
      <c r="S1552" s="1268">
        <v>0</v>
      </c>
      <c r="T1552" s="1268">
        <v>0</v>
      </c>
      <c r="U1552" s="1268">
        <v>0</v>
      </c>
      <c r="V1552" s="1268">
        <v>0</v>
      </c>
      <c r="W1552" s="1268">
        <v>0</v>
      </c>
      <c r="X1552" s="1268">
        <v>297983</v>
      </c>
      <c r="Y1552" s="1268">
        <v>0</v>
      </c>
    </row>
    <row r="1553" spans="1:25" s="1277" customFormat="1">
      <c r="A1553" s="1396">
        <v>598</v>
      </c>
      <c r="B1553" s="1277" t="s">
        <v>1976</v>
      </c>
      <c r="C1553" s="1268">
        <f t="shared" si="665"/>
        <v>839575</v>
      </c>
      <c r="D1553" s="1268">
        <f t="shared" si="666"/>
        <v>778593</v>
      </c>
      <c r="E1553" s="1268">
        <v>0</v>
      </c>
      <c r="F1553" s="1268">
        <v>778593</v>
      </c>
      <c r="G1553" s="1268">
        <v>0</v>
      </c>
      <c r="H1553" s="1268">
        <v>0</v>
      </c>
      <c r="I1553" s="1268">
        <v>0</v>
      </c>
      <c r="J1553" s="1268">
        <v>0</v>
      </c>
      <c r="K1553" s="1278">
        <v>0</v>
      </c>
      <c r="L1553" s="1268">
        <v>0</v>
      </c>
      <c r="M1553" s="1278">
        <v>0</v>
      </c>
      <c r="N1553" s="1268">
        <v>0</v>
      </c>
      <c r="O1553" s="1268">
        <v>0</v>
      </c>
      <c r="P1553" s="1268">
        <v>0</v>
      </c>
      <c r="Q1553" s="1268">
        <v>0</v>
      </c>
      <c r="R1553" s="1268">
        <v>0</v>
      </c>
      <c r="S1553" s="1268">
        <v>0</v>
      </c>
      <c r="T1553" s="1268">
        <v>0</v>
      </c>
      <c r="U1553" s="1268">
        <v>0</v>
      </c>
      <c r="V1553" s="1268">
        <v>0</v>
      </c>
      <c r="W1553" s="1268">
        <v>0</v>
      </c>
      <c r="X1553" s="1268">
        <v>60982</v>
      </c>
      <c r="Y1553" s="1268">
        <v>0</v>
      </c>
    </row>
    <row r="1554" spans="1:25" s="1277" customFormat="1" ht="75.599999999999994">
      <c r="A1554" s="1396">
        <v>599</v>
      </c>
      <c r="B1554" s="1277" t="s">
        <v>2588</v>
      </c>
      <c r="C1554" s="1268">
        <f t="shared" si="665"/>
        <v>883381</v>
      </c>
      <c r="D1554" s="1268">
        <f t="shared" si="666"/>
        <v>0</v>
      </c>
      <c r="E1554" s="1268">
        <v>0</v>
      </c>
      <c r="F1554" s="1268">
        <v>0</v>
      </c>
      <c r="G1554" s="1268">
        <v>0</v>
      </c>
      <c r="H1554" s="1268">
        <v>0</v>
      </c>
      <c r="I1554" s="1268">
        <v>0</v>
      </c>
      <c r="J1554" s="1268">
        <v>0</v>
      </c>
      <c r="K1554" s="1278">
        <v>0</v>
      </c>
      <c r="L1554" s="1268">
        <v>0</v>
      </c>
      <c r="M1554" s="1278">
        <v>0</v>
      </c>
      <c r="N1554" s="1268">
        <v>0</v>
      </c>
      <c r="O1554" s="1268">
        <v>261</v>
      </c>
      <c r="P1554" s="1268">
        <v>819217</v>
      </c>
      <c r="Q1554" s="1268">
        <v>0</v>
      </c>
      <c r="R1554" s="1268">
        <v>0</v>
      </c>
      <c r="S1554" s="1268">
        <v>0</v>
      </c>
      <c r="T1554" s="1268">
        <v>0</v>
      </c>
      <c r="U1554" s="1268">
        <v>0</v>
      </c>
      <c r="V1554" s="1268">
        <v>0</v>
      </c>
      <c r="W1554" s="1268">
        <v>0</v>
      </c>
      <c r="X1554" s="1268">
        <v>64164</v>
      </c>
      <c r="Y1554" s="1268">
        <v>0</v>
      </c>
    </row>
    <row r="1555" spans="1:25" s="1277" customFormat="1" ht="120" customHeight="1">
      <c r="A1555" s="1396"/>
      <c r="B1555" s="1277" t="s">
        <v>1158</v>
      </c>
      <c r="C1555" s="1268">
        <f>SUM(C1556:C1559)</f>
        <v>27401698.199200001</v>
      </c>
      <c r="D1555" s="1268">
        <f t="shared" ref="D1555:Y1555" si="667">SUM(D1556:D1559)</f>
        <v>10980957.536</v>
      </c>
      <c r="E1555" s="1268">
        <f t="shared" si="667"/>
        <v>0</v>
      </c>
      <c r="F1555" s="1268">
        <f t="shared" si="667"/>
        <v>7513663.5360000003</v>
      </c>
      <c r="G1555" s="1268">
        <f t="shared" si="667"/>
        <v>0</v>
      </c>
      <c r="H1555" s="1268">
        <f t="shared" si="667"/>
        <v>0</v>
      </c>
      <c r="I1555" s="1268">
        <f t="shared" si="667"/>
        <v>3467294</v>
      </c>
      <c r="J1555" s="1268">
        <f t="shared" si="667"/>
        <v>0</v>
      </c>
      <c r="K1555" s="1278">
        <f t="shared" si="667"/>
        <v>1</v>
      </c>
      <c r="L1555" s="1268">
        <f t="shared" si="667"/>
        <v>794955.62320000026</v>
      </c>
      <c r="M1555" s="1278">
        <f t="shared" si="667"/>
        <v>0</v>
      </c>
      <c r="N1555" s="1268">
        <f t="shared" si="667"/>
        <v>0</v>
      </c>
      <c r="O1555" s="1268">
        <f t="shared" si="667"/>
        <v>1348.49</v>
      </c>
      <c r="P1555" s="1268">
        <f t="shared" si="667"/>
        <v>4342671</v>
      </c>
      <c r="Q1555" s="1268">
        <f t="shared" si="667"/>
        <v>0</v>
      </c>
      <c r="R1555" s="1268">
        <f t="shared" si="667"/>
        <v>0</v>
      </c>
      <c r="S1555" s="1268">
        <f t="shared" si="667"/>
        <v>3787.69</v>
      </c>
      <c r="T1555" s="1268">
        <f t="shared" si="667"/>
        <v>9346892</v>
      </c>
      <c r="U1555" s="1268">
        <f t="shared" si="667"/>
        <v>0</v>
      </c>
      <c r="V1555" s="1268">
        <f t="shared" si="667"/>
        <v>0</v>
      </c>
      <c r="W1555" s="1268">
        <v>0</v>
      </c>
      <c r="X1555" s="1268">
        <f t="shared" si="667"/>
        <v>1936222.04</v>
      </c>
      <c r="Y1555" s="1268">
        <f t="shared" si="667"/>
        <v>0</v>
      </c>
    </row>
    <row r="1556" spans="1:25" s="1277" customFormat="1" ht="64.2" customHeight="1">
      <c r="A1556" s="1396">
        <v>600</v>
      </c>
      <c r="B1556" s="1267" t="s">
        <v>888</v>
      </c>
      <c r="C1556" s="1268">
        <v>10078977</v>
      </c>
      <c r="D1556" s="1268">
        <v>0</v>
      </c>
      <c r="E1556" s="1268">
        <v>0</v>
      </c>
      <c r="F1556" s="1268">
        <v>0</v>
      </c>
      <c r="G1556" s="1268">
        <v>0</v>
      </c>
      <c r="H1556" s="1268">
        <v>0</v>
      </c>
      <c r="I1556" s="1268">
        <v>0</v>
      </c>
      <c r="J1556" s="1268">
        <v>0</v>
      </c>
      <c r="K1556" s="1278">
        <v>0</v>
      </c>
      <c r="L1556" s="1268">
        <v>0</v>
      </c>
      <c r="M1556" s="1278">
        <v>0</v>
      </c>
      <c r="N1556" s="1268">
        <v>0</v>
      </c>
      <c r="O1556" s="1268">
        <v>0</v>
      </c>
      <c r="P1556" s="1268">
        <v>0</v>
      </c>
      <c r="Q1556" s="1268">
        <v>0</v>
      </c>
      <c r="R1556" s="1268">
        <v>0</v>
      </c>
      <c r="S1556" s="1268">
        <v>3787.69</v>
      </c>
      <c r="T1556" s="1268">
        <v>9346892</v>
      </c>
      <c r="U1556" s="1268">
        <v>0</v>
      </c>
      <c r="V1556" s="1268">
        <v>0</v>
      </c>
      <c r="W1556" s="1268">
        <v>0</v>
      </c>
      <c r="X1556" s="1268">
        <v>732085</v>
      </c>
      <c r="Y1556" s="1268">
        <v>0</v>
      </c>
    </row>
    <row r="1557" spans="1:25" s="1277" customFormat="1">
      <c r="A1557" s="1396">
        <v>601</v>
      </c>
      <c r="B1557" s="1267" t="s">
        <v>889</v>
      </c>
      <c r="C1557" s="1268">
        <v>2386993</v>
      </c>
      <c r="D1557" s="1268">
        <v>0</v>
      </c>
      <c r="E1557" s="1268">
        <v>0</v>
      </c>
      <c r="F1557" s="1268">
        <v>0</v>
      </c>
      <c r="G1557" s="1268">
        <v>0</v>
      </c>
      <c r="H1557" s="1268">
        <v>0</v>
      </c>
      <c r="I1557" s="1268">
        <v>0</v>
      </c>
      <c r="J1557" s="1268">
        <v>0</v>
      </c>
      <c r="K1557" s="1278">
        <v>0</v>
      </c>
      <c r="L1557" s="1268">
        <v>0</v>
      </c>
      <c r="M1557" s="1278">
        <v>0</v>
      </c>
      <c r="N1557" s="1268">
        <v>0</v>
      </c>
      <c r="O1557" s="1268">
        <v>878.49</v>
      </c>
      <c r="P1557" s="1268">
        <v>2213614</v>
      </c>
      <c r="Q1557" s="1268">
        <v>0</v>
      </c>
      <c r="R1557" s="1268">
        <v>0</v>
      </c>
      <c r="S1557" s="1268">
        <v>0</v>
      </c>
      <c r="T1557" s="1268">
        <v>0</v>
      </c>
      <c r="U1557" s="1268">
        <v>0</v>
      </c>
      <c r="V1557" s="1268">
        <v>0</v>
      </c>
      <c r="W1557" s="1268">
        <v>0</v>
      </c>
      <c r="X1557" s="1268">
        <v>173379</v>
      </c>
      <c r="Y1557" s="1268">
        <v>0</v>
      </c>
    </row>
    <row r="1558" spans="1:25" s="1277" customFormat="1">
      <c r="A1558" s="1396">
        <v>602</v>
      </c>
      <c r="B1558" s="1277" t="s">
        <v>1607</v>
      </c>
      <c r="C1558" s="1268">
        <f>D1558+N1558+P1558+R1558+T1558+V1558+X1558+L1558</f>
        <v>12697564.319200002</v>
      </c>
      <c r="D1558" s="1268">
        <f t="shared" ref="D1558" si="668">SUM(E1558:J1558)</f>
        <v>10980957.536</v>
      </c>
      <c r="E1558" s="1268"/>
      <c r="F1558" s="1268">
        <v>7513663.5360000003</v>
      </c>
      <c r="G1558" s="1268">
        <v>0</v>
      </c>
      <c r="H1558" s="1268">
        <v>0</v>
      </c>
      <c r="I1558" s="1268">
        <v>3467294</v>
      </c>
      <c r="J1558" s="1268">
        <v>0</v>
      </c>
      <c r="K1558" s="1278">
        <v>1</v>
      </c>
      <c r="L1558" s="1268">
        <v>794955.62320000026</v>
      </c>
      <c r="M1558" s="1278">
        <v>0</v>
      </c>
      <c r="N1558" s="1268">
        <v>0</v>
      </c>
      <c r="O1558" s="1268">
        <v>0</v>
      </c>
      <c r="P1558" s="1268">
        <v>0</v>
      </c>
      <c r="Q1558" s="1268">
        <v>0</v>
      </c>
      <c r="R1558" s="1268">
        <v>0</v>
      </c>
      <c r="S1558" s="1268">
        <v>0</v>
      </c>
      <c r="T1558" s="1268">
        <v>0</v>
      </c>
      <c r="U1558" s="1268">
        <v>0</v>
      </c>
      <c r="V1558" s="1268">
        <v>0</v>
      </c>
      <c r="W1558" s="1268">
        <v>0</v>
      </c>
      <c r="X1558" s="1268">
        <v>921651.16</v>
      </c>
      <c r="Y1558" s="1268">
        <v>0</v>
      </c>
    </row>
    <row r="1559" spans="1:25" s="1277" customFormat="1">
      <c r="A1559" s="1396">
        <v>603</v>
      </c>
      <c r="B1559" s="1267" t="s">
        <v>1605</v>
      </c>
      <c r="C1559" s="1268">
        <f t="shared" ref="C1559" si="669">D1559+N1559+P1559+R1559+T1559+V1559+X1559</f>
        <v>2238163.88</v>
      </c>
      <c r="D1559" s="1268">
        <f t="shared" ref="D1559" si="670">SUM(E1559:J1559)</f>
        <v>0</v>
      </c>
      <c r="E1559" s="1268">
        <v>0</v>
      </c>
      <c r="F1559" s="1268">
        <v>0</v>
      </c>
      <c r="G1559" s="1268">
        <v>0</v>
      </c>
      <c r="H1559" s="1268">
        <v>0</v>
      </c>
      <c r="I1559" s="1268">
        <v>0</v>
      </c>
      <c r="J1559" s="1268">
        <v>0</v>
      </c>
      <c r="K1559" s="1278">
        <v>0</v>
      </c>
      <c r="L1559" s="1268">
        <v>0</v>
      </c>
      <c r="M1559" s="1278">
        <v>0</v>
      </c>
      <c r="N1559" s="1268">
        <v>0</v>
      </c>
      <c r="O1559" s="1268">
        <v>470</v>
      </c>
      <c r="P1559" s="1268">
        <v>2129057</v>
      </c>
      <c r="Q1559" s="1268">
        <v>0</v>
      </c>
      <c r="R1559" s="1268">
        <v>0</v>
      </c>
      <c r="S1559" s="1268">
        <v>0</v>
      </c>
      <c r="T1559" s="1268">
        <v>0</v>
      </c>
      <c r="U1559" s="1268">
        <v>0</v>
      </c>
      <c r="V1559" s="1268">
        <v>0</v>
      </c>
      <c r="W1559" s="1268">
        <v>0</v>
      </c>
      <c r="X1559" s="1268">
        <v>109106.88</v>
      </c>
      <c r="Y1559" s="1268">
        <v>0</v>
      </c>
    </row>
    <row r="1560" spans="1:25" s="1277" customFormat="1" ht="75.599999999999994">
      <c r="A1560" s="1396"/>
      <c r="B1560" s="1277" t="s">
        <v>2013</v>
      </c>
      <c r="C1560" s="1268">
        <f>C1561+C1562+C1563</f>
        <v>2552797.102</v>
      </c>
      <c r="D1560" s="1268">
        <f t="shared" ref="D1560:Y1560" si="671">D1561+D1562+D1563</f>
        <v>132829.39000000001</v>
      </c>
      <c r="E1560" s="1268">
        <f t="shared" si="671"/>
        <v>0</v>
      </c>
      <c r="F1560" s="1268">
        <f t="shared" si="671"/>
        <v>0</v>
      </c>
      <c r="G1560" s="1268">
        <f t="shared" si="671"/>
        <v>0</v>
      </c>
      <c r="H1560" s="1268">
        <f t="shared" si="671"/>
        <v>0</v>
      </c>
      <c r="I1560" s="1268">
        <f t="shared" si="671"/>
        <v>0</v>
      </c>
      <c r="J1560" s="1268">
        <f t="shared" si="671"/>
        <v>132829.39000000001</v>
      </c>
      <c r="K1560" s="1278">
        <f t="shared" si="671"/>
        <v>0</v>
      </c>
      <c r="L1560" s="1268">
        <f t="shared" si="671"/>
        <v>0</v>
      </c>
      <c r="M1560" s="1278">
        <f t="shared" si="671"/>
        <v>0</v>
      </c>
      <c r="N1560" s="1268">
        <f t="shared" si="671"/>
        <v>0</v>
      </c>
      <c r="O1560" s="1268">
        <f t="shared" si="671"/>
        <v>760</v>
      </c>
      <c r="P1560" s="1268">
        <f t="shared" si="671"/>
        <v>2234545.7400000002</v>
      </c>
      <c r="Q1560" s="1268">
        <f t="shared" si="671"/>
        <v>0</v>
      </c>
      <c r="R1560" s="1268">
        <f t="shared" si="671"/>
        <v>0</v>
      </c>
      <c r="S1560" s="1268">
        <f t="shared" si="671"/>
        <v>0</v>
      </c>
      <c r="T1560" s="1268">
        <f t="shared" si="671"/>
        <v>0</v>
      </c>
      <c r="U1560" s="1268">
        <f t="shared" si="671"/>
        <v>0</v>
      </c>
      <c r="V1560" s="1268">
        <f t="shared" si="671"/>
        <v>0</v>
      </c>
      <c r="W1560" s="1268">
        <v>0</v>
      </c>
      <c r="X1560" s="1268">
        <f t="shared" si="671"/>
        <v>185421.97200000001</v>
      </c>
      <c r="Y1560" s="1268">
        <f t="shared" si="671"/>
        <v>0</v>
      </c>
    </row>
    <row r="1561" spans="1:25" s="1277" customFormat="1" ht="75.599999999999994">
      <c r="A1561" s="1396">
        <v>604</v>
      </c>
      <c r="B1561" s="1267" t="s">
        <v>2589</v>
      </c>
      <c r="C1561" s="1268">
        <f t="shared" ref="C1561" si="672">D1561+N1561+P1561+R1561+T1561+V1561+X1561</f>
        <v>1167102</v>
      </c>
      <c r="D1561" s="1268">
        <f t="shared" ref="D1561" si="673">SUM(E1561:J1561)</f>
        <v>0</v>
      </c>
      <c r="E1561" s="1268">
        <v>0</v>
      </c>
      <c r="F1561" s="1268">
        <v>0</v>
      </c>
      <c r="G1561" s="1268">
        <v>0</v>
      </c>
      <c r="H1561" s="1268">
        <v>0</v>
      </c>
      <c r="I1561" s="1268">
        <v>0</v>
      </c>
      <c r="J1561" s="1268">
        <v>0</v>
      </c>
      <c r="K1561" s="1278">
        <v>0</v>
      </c>
      <c r="L1561" s="1268">
        <v>0</v>
      </c>
      <c r="M1561" s="1278">
        <v>0</v>
      </c>
      <c r="N1561" s="1268">
        <v>0</v>
      </c>
      <c r="O1561" s="1268">
        <v>368</v>
      </c>
      <c r="P1561" s="1268">
        <v>1082329.75</v>
      </c>
      <c r="Q1561" s="1268">
        <v>0</v>
      </c>
      <c r="R1561" s="1268">
        <v>0</v>
      </c>
      <c r="S1561" s="1268">
        <v>0</v>
      </c>
      <c r="T1561" s="1268">
        <v>0</v>
      </c>
      <c r="U1561" s="1268">
        <v>0</v>
      </c>
      <c r="V1561" s="1268">
        <v>0</v>
      </c>
      <c r="W1561" s="1268">
        <v>0</v>
      </c>
      <c r="X1561" s="1268">
        <v>84772.25</v>
      </c>
      <c r="Y1561" s="1268">
        <v>0</v>
      </c>
    </row>
    <row r="1562" spans="1:25" s="1277" customFormat="1">
      <c r="A1562" s="1396">
        <v>605</v>
      </c>
      <c r="B1562" s="1267" t="s">
        <v>1053</v>
      </c>
      <c r="C1562" s="1268">
        <f t="shared" ref="C1562:C1563" si="674">D1562+N1562+P1562+R1562+T1562+V1562+X1562</f>
        <v>1242462</v>
      </c>
      <c r="D1562" s="1268">
        <f t="shared" ref="D1562:D1563" si="675">SUM(E1562:J1562)</f>
        <v>0</v>
      </c>
      <c r="E1562" s="1268">
        <v>0</v>
      </c>
      <c r="F1562" s="1268">
        <v>0</v>
      </c>
      <c r="G1562" s="1268">
        <v>0</v>
      </c>
      <c r="H1562" s="1268">
        <v>0</v>
      </c>
      <c r="I1562" s="1268">
        <v>0</v>
      </c>
      <c r="J1562" s="1268">
        <v>0</v>
      </c>
      <c r="K1562" s="1278">
        <v>0</v>
      </c>
      <c r="L1562" s="1268">
        <v>0</v>
      </c>
      <c r="M1562" s="1278">
        <v>0</v>
      </c>
      <c r="N1562" s="1268">
        <v>0</v>
      </c>
      <c r="O1562" s="1268">
        <v>392</v>
      </c>
      <c r="P1562" s="1268">
        <v>1152215.99</v>
      </c>
      <c r="Q1562" s="1268">
        <v>0</v>
      </c>
      <c r="R1562" s="1268">
        <v>0</v>
      </c>
      <c r="S1562" s="1268">
        <v>0</v>
      </c>
      <c r="T1562" s="1268">
        <v>0</v>
      </c>
      <c r="U1562" s="1268">
        <v>0</v>
      </c>
      <c r="V1562" s="1268">
        <v>0</v>
      </c>
      <c r="W1562" s="1268">
        <v>0</v>
      </c>
      <c r="X1562" s="1268">
        <v>90246.01</v>
      </c>
      <c r="Y1562" s="1268">
        <v>0</v>
      </c>
    </row>
    <row r="1563" spans="1:25" s="1277" customFormat="1" ht="75.599999999999994">
      <c r="A1563" s="1396">
        <v>606</v>
      </c>
      <c r="B1563" s="1277" t="s">
        <v>2590</v>
      </c>
      <c r="C1563" s="1268">
        <f t="shared" si="674"/>
        <v>143233.10200000001</v>
      </c>
      <c r="D1563" s="1268">
        <f t="shared" si="675"/>
        <v>132829.39000000001</v>
      </c>
      <c r="E1563" s="1268">
        <v>0</v>
      </c>
      <c r="F1563" s="1268">
        <v>0</v>
      </c>
      <c r="G1563" s="1268">
        <v>0</v>
      </c>
      <c r="H1563" s="1268">
        <v>0</v>
      </c>
      <c r="I1563" s="1268">
        <v>0</v>
      </c>
      <c r="J1563" s="1268">
        <v>132829.39000000001</v>
      </c>
      <c r="K1563" s="1278">
        <v>0</v>
      </c>
      <c r="L1563" s="1268">
        <v>0</v>
      </c>
      <c r="M1563" s="1278">
        <v>0</v>
      </c>
      <c r="N1563" s="1268">
        <v>0</v>
      </c>
      <c r="O1563" s="1268">
        <v>0</v>
      </c>
      <c r="P1563" s="1268">
        <v>0</v>
      </c>
      <c r="Q1563" s="1268">
        <v>0</v>
      </c>
      <c r="R1563" s="1268">
        <v>0</v>
      </c>
      <c r="S1563" s="1268">
        <v>0</v>
      </c>
      <c r="T1563" s="1268">
        <v>0</v>
      </c>
      <c r="U1563" s="1268">
        <v>0</v>
      </c>
      <c r="V1563" s="1268">
        <v>0</v>
      </c>
      <c r="W1563" s="1268">
        <v>0</v>
      </c>
      <c r="X1563" s="1268">
        <v>10403.712000000001</v>
      </c>
      <c r="Y1563" s="1268">
        <v>0</v>
      </c>
    </row>
    <row r="1564" spans="1:25" s="1277" customFormat="1">
      <c r="A1564" s="1396"/>
      <c r="B1564" s="1277" t="s">
        <v>61</v>
      </c>
      <c r="C1564" s="1268">
        <f>C1565+C1568</f>
        <v>3015777</v>
      </c>
      <c r="D1564" s="1268">
        <f t="shared" ref="D1564:Y1564" si="676">D1565+D1568</f>
        <v>653851</v>
      </c>
      <c r="E1564" s="1268">
        <f t="shared" si="676"/>
        <v>0</v>
      </c>
      <c r="F1564" s="1268">
        <f t="shared" si="676"/>
        <v>653851</v>
      </c>
      <c r="G1564" s="1268">
        <f t="shared" si="676"/>
        <v>0</v>
      </c>
      <c r="H1564" s="1268">
        <f t="shared" si="676"/>
        <v>0</v>
      </c>
      <c r="I1564" s="1268">
        <f t="shared" si="676"/>
        <v>0</v>
      </c>
      <c r="J1564" s="1268">
        <f t="shared" si="676"/>
        <v>0</v>
      </c>
      <c r="K1564" s="1278">
        <f t="shared" si="676"/>
        <v>0</v>
      </c>
      <c r="L1564" s="1268">
        <f t="shared" si="676"/>
        <v>0</v>
      </c>
      <c r="M1564" s="1278">
        <f t="shared" si="676"/>
        <v>0</v>
      </c>
      <c r="N1564" s="1268">
        <f t="shared" si="676"/>
        <v>0</v>
      </c>
      <c r="O1564" s="1268">
        <f t="shared" si="676"/>
        <v>719.52</v>
      </c>
      <c r="P1564" s="1268">
        <f t="shared" si="676"/>
        <v>2142875.6851280187</v>
      </c>
      <c r="Q1564" s="1268">
        <f t="shared" si="676"/>
        <v>0</v>
      </c>
      <c r="R1564" s="1268">
        <f t="shared" si="676"/>
        <v>0</v>
      </c>
      <c r="S1564" s="1268">
        <f t="shared" si="676"/>
        <v>0</v>
      </c>
      <c r="T1564" s="1268">
        <f t="shared" si="676"/>
        <v>0</v>
      </c>
      <c r="U1564" s="1268">
        <f t="shared" si="676"/>
        <v>0</v>
      </c>
      <c r="V1564" s="1268">
        <f t="shared" si="676"/>
        <v>0</v>
      </c>
      <c r="W1564" s="1268">
        <v>0</v>
      </c>
      <c r="X1564" s="1268">
        <f t="shared" si="676"/>
        <v>219050.31487198113</v>
      </c>
      <c r="Y1564" s="1268">
        <f t="shared" si="676"/>
        <v>0</v>
      </c>
    </row>
    <row r="1565" spans="1:25" s="1277" customFormat="1" ht="96.6" customHeight="1">
      <c r="A1565" s="1396"/>
      <c r="B1565" s="1277" t="s">
        <v>1095</v>
      </c>
      <c r="C1565" s="1268">
        <f>C1566+C1567</f>
        <v>2310714</v>
      </c>
      <c r="D1565" s="1268">
        <f t="shared" ref="D1565:Y1565" si="677">D1566+D1567</f>
        <v>0</v>
      </c>
      <c r="E1565" s="1268">
        <f t="shared" si="677"/>
        <v>0</v>
      </c>
      <c r="F1565" s="1268">
        <f t="shared" si="677"/>
        <v>0</v>
      </c>
      <c r="G1565" s="1268">
        <f t="shared" si="677"/>
        <v>0</v>
      </c>
      <c r="H1565" s="1268">
        <f t="shared" si="677"/>
        <v>0</v>
      </c>
      <c r="I1565" s="1268">
        <f t="shared" si="677"/>
        <v>0</v>
      </c>
      <c r="J1565" s="1268">
        <f t="shared" si="677"/>
        <v>0</v>
      </c>
      <c r="K1565" s="1278">
        <f t="shared" si="677"/>
        <v>0</v>
      </c>
      <c r="L1565" s="1268">
        <f t="shared" si="677"/>
        <v>0</v>
      </c>
      <c r="M1565" s="1278">
        <f t="shared" si="677"/>
        <v>0</v>
      </c>
      <c r="N1565" s="1268">
        <f t="shared" si="677"/>
        <v>0</v>
      </c>
      <c r="O1565" s="1268">
        <f t="shared" si="677"/>
        <v>719.52</v>
      </c>
      <c r="P1565" s="1268">
        <f t="shared" si="677"/>
        <v>2142875.6851280187</v>
      </c>
      <c r="Q1565" s="1268">
        <f t="shared" si="677"/>
        <v>0</v>
      </c>
      <c r="R1565" s="1268">
        <f t="shared" si="677"/>
        <v>0</v>
      </c>
      <c r="S1565" s="1268">
        <f t="shared" si="677"/>
        <v>0</v>
      </c>
      <c r="T1565" s="1268">
        <f t="shared" si="677"/>
        <v>0</v>
      </c>
      <c r="U1565" s="1268">
        <f t="shared" si="677"/>
        <v>0</v>
      </c>
      <c r="V1565" s="1268">
        <f t="shared" si="677"/>
        <v>0</v>
      </c>
      <c r="W1565" s="1268">
        <v>0</v>
      </c>
      <c r="X1565" s="1268">
        <f t="shared" si="677"/>
        <v>167838.31487198113</v>
      </c>
      <c r="Y1565" s="1268">
        <f t="shared" si="677"/>
        <v>0</v>
      </c>
    </row>
    <row r="1566" spans="1:25" s="1277" customFormat="1">
      <c r="A1566" s="1396">
        <v>607</v>
      </c>
      <c r="B1566" s="1277" t="s">
        <v>492</v>
      </c>
      <c r="C1566" s="1268">
        <v>1449272</v>
      </c>
      <c r="D1566" s="1268">
        <v>0</v>
      </c>
      <c r="E1566" s="1268">
        <v>0</v>
      </c>
      <c r="F1566" s="1268">
        <v>0</v>
      </c>
      <c r="G1566" s="1268">
        <v>0</v>
      </c>
      <c r="H1566" s="1268">
        <v>0</v>
      </c>
      <c r="I1566" s="1268">
        <v>0</v>
      </c>
      <c r="J1566" s="1268">
        <v>0</v>
      </c>
      <c r="K1566" s="1278">
        <v>0</v>
      </c>
      <c r="L1566" s="1268">
        <v>0</v>
      </c>
      <c r="M1566" s="1278">
        <v>0</v>
      </c>
      <c r="N1566" s="1268">
        <v>0</v>
      </c>
      <c r="O1566" s="1268">
        <v>453.12</v>
      </c>
      <c r="P1566" s="1268">
        <v>1344004.3769747594</v>
      </c>
      <c r="Q1566" s="1268">
        <v>0</v>
      </c>
      <c r="R1566" s="1268">
        <v>0</v>
      </c>
      <c r="S1566" s="1268">
        <v>0</v>
      </c>
      <c r="T1566" s="1268">
        <v>0</v>
      </c>
      <c r="U1566" s="1268">
        <v>0</v>
      </c>
      <c r="V1566" s="1268">
        <v>0</v>
      </c>
      <c r="W1566" s="1268">
        <v>0</v>
      </c>
      <c r="X1566" s="1268">
        <v>105267.62302524061</v>
      </c>
      <c r="Y1566" s="1268">
        <v>0</v>
      </c>
    </row>
    <row r="1567" spans="1:25" s="1277" customFormat="1">
      <c r="A1567" s="1396">
        <v>608</v>
      </c>
      <c r="B1567" s="1277" t="s">
        <v>494</v>
      </c>
      <c r="C1567" s="1268">
        <v>861442</v>
      </c>
      <c r="D1567" s="1268">
        <v>0</v>
      </c>
      <c r="E1567" s="1268">
        <v>0</v>
      </c>
      <c r="F1567" s="1268">
        <v>0</v>
      </c>
      <c r="G1567" s="1268">
        <v>0</v>
      </c>
      <c r="H1567" s="1268">
        <v>0</v>
      </c>
      <c r="I1567" s="1268">
        <v>0</v>
      </c>
      <c r="J1567" s="1268">
        <v>0</v>
      </c>
      <c r="K1567" s="1278">
        <v>0</v>
      </c>
      <c r="L1567" s="1268">
        <v>0</v>
      </c>
      <c r="M1567" s="1278">
        <v>0</v>
      </c>
      <c r="N1567" s="1268">
        <v>0</v>
      </c>
      <c r="O1567" s="1268">
        <v>266.39999999999998</v>
      </c>
      <c r="P1567" s="1268">
        <v>798871.30815325945</v>
      </c>
      <c r="Q1567" s="1268">
        <v>0</v>
      </c>
      <c r="R1567" s="1268">
        <v>0</v>
      </c>
      <c r="S1567" s="1268">
        <v>0</v>
      </c>
      <c r="T1567" s="1268">
        <v>0</v>
      </c>
      <c r="U1567" s="1268">
        <v>0</v>
      </c>
      <c r="V1567" s="1268">
        <v>0</v>
      </c>
      <c r="W1567" s="1268">
        <v>0</v>
      </c>
      <c r="X1567" s="1268">
        <v>62570.691846740512</v>
      </c>
      <c r="Y1567" s="1268">
        <v>0</v>
      </c>
    </row>
    <row r="1568" spans="1:25" s="1277" customFormat="1" ht="75.599999999999994">
      <c r="A1568" s="1396"/>
      <c r="B1568" s="1277" t="s">
        <v>1182</v>
      </c>
      <c r="C1568" s="1268">
        <f>C1569</f>
        <v>705063</v>
      </c>
      <c r="D1568" s="1268">
        <f t="shared" ref="D1568:Y1568" si="678">D1569</f>
        <v>653851</v>
      </c>
      <c r="E1568" s="1268">
        <f t="shared" si="678"/>
        <v>0</v>
      </c>
      <c r="F1568" s="1268">
        <f t="shared" si="678"/>
        <v>653851</v>
      </c>
      <c r="G1568" s="1268">
        <f t="shared" si="678"/>
        <v>0</v>
      </c>
      <c r="H1568" s="1268">
        <f t="shared" si="678"/>
        <v>0</v>
      </c>
      <c r="I1568" s="1268">
        <f t="shared" si="678"/>
        <v>0</v>
      </c>
      <c r="J1568" s="1268">
        <f t="shared" si="678"/>
        <v>0</v>
      </c>
      <c r="K1568" s="1278">
        <f t="shared" si="678"/>
        <v>0</v>
      </c>
      <c r="L1568" s="1268">
        <f t="shared" si="678"/>
        <v>0</v>
      </c>
      <c r="M1568" s="1278">
        <f t="shared" si="678"/>
        <v>0</v>
      </c>
      <c r="N1568" s="1268">
        <f t="shared" si="678"/>
        <v>0</v>
      </c>
      <c r="O1568" s="1268">
        <f t="shared" si="678"/>
        <v>0</v>
      </c>
      <c r="P1568" s="1268">
        <f t="shared" si="678"/>
        <v>0</v>
      </c>
      <c r="Q1568" s="1268">
        <f t="shared" si="678"/>
        <v>0</v>
      </c>
      <c r="R1568" s="1268">
        <f t="shared" si="678"/>
        <v>0</v>
      </c>
      <c r="S1568" s="1268">
        <f t="shared" si="678"/>
        <v>0</v>
      </c>
      <c r="T1568" s="1268">
        <f t="shared" si="678"/>
        <v>0</v>
      </c>
      <c r="U1568" s="1268">
        <f t="shared" si="678"/>
        <v>0</v>
      </c>
      <c r="V1568" s="1268">
        <f t="shared" si="678"/>
        <v>0</v>
      </c>
      <c r="W1568" s="1268">
        <v>0</v>
      </c>
      <c r="X1568" s="1268">
        <f t="shared" si="678"/>
        <v>51212</v>
      </c>
      <c r="Y1568" s="1268">
        <f t="shared" si="678"/>
        <v>0</v>
      </c>
    </row>
    <row r="1569" spans="1:25" s="1277" customFormat="1" ht="75.599999999999994">
      <c r="A1569" s="1396">
        <v>609</v>
      </c>
      <c r="B1569" s="1277" t="s">
        <v>2591</v>
      </c>
      <c r="C1569" s="1268">
        <v>705063</v>
      </c>
      <c r="D1569" s="1268">
        <v>653851</v>
      </c>
      <c r="E1569" s="1268">
        <v>0</v>
      </c>
      <c r="F1569" s="1268">
        <v>653851</v>
      </c>
      <c r="G1569" s="1268">
        <v>0</v>
      </c>
      <c r="H1569" s="1268">
        <v>0</v>
      </c>
      <c r="I1569" s="1268">
        <v>0</v>
      </c>
      <c r="J1569" s="1268">
        <v>0</v>
      </c>
      <c r="K1569" s="1278">
        <v>0</v>
      </c>
      <c r="L1569" s="1268">
        <v>0</v>
      </c>
      <c r="M1569" s="1278">
        <v>0</v>
      </c>
      <c r="N1569" s="1268">
        <v>0</v>
      </c>
      <c r="O1569" s="1268">
        <v>0</v>
      </c>
      <c r="P1569" s="1268">
        <v>0</v>
      </c>
      <c r="Q1569" s="1268">
        <v>0</v>
      </c>
      <c r="R1569" s="1268">
        <v>0</v>
      </c>
      <c r="S1569" s="1268">
        <v>0</v>
      </c>
      <c r="T1569" s="1268">
        <v>0</v>
      </c>
      <c r="U1569" s="1268">
        <v>0</v>
      </c>
      <c r="V1569" s="1268">
        <v>0</v>
      </c>
      <c r="W1569" s="1268">
        <v>0</v>
      </c>
      <c r="X1569" s="1268">
        <v>51212</v>
      </c>
      <c r="Y1569" s="1268">
        <v>0</v>
      </c>
    </row>
    <row r="1570" spans="1:25" s="1277" customFormat="1" ht="75.599999999999994">
      <c r="A1570" s="1396"/>
      <c r="B1570" s="1277" t="s">
        <v>2014</v>
      </c>
      <c r="C1570" s="1268">
        <f>C1571+C1572</f>
        <v>3720453.97</v>
      </c>
      <c r="D1570" s="1268">
        <f t="shared" ref="D1570:Y1570" si="679">D1571+D1572</f>
        <v>2069164</v>
      </c>
      <c r="E1570" s="1268">
        <f t="shared" si="679"/>
        <v>2069164</v>
      </c>
      <c r="F1570" s="1268">
        <f t="shared" si="679"/>
        <v>0</v>
      </c>
      <c r="G1570" s="1268">
        <f t="shared" si="679"/>
        <v>0</v>
      </c>
      <c r="H1570" s="1268">
        <f t="shared" si="679"/>
        <v>0</v>
      </c>
      <c r="I1570" s="1268">
        <f t="shared" si="679"/>
        <v>0</v>
      </c>
      <c r="J1570" s="1268">
        <f t="shared" si="679"/>
        <v>0</v>
      </c>
      <c r="K1570" s="1278">
        <f t="shared" si="679"/>
        <v>0</v>
      </c>
      <c r="L1570" s="1268">
        <f t="shared" si="679"/>
        <v>0</v>
      </c>
      <c r="M1570" s="1278">
        <f t="shared" si="679"/>
        <v>0</v>
      </c>
      <c r="N1570" s="1268">
        <f t="shared" si="679"/>
        <v>0</v>
      </c>
      <c r="O1570" s="1268">
        <f t="shared" si="679"/>
        <v>440</v>
      </c>
      <c r="P1570" s="1268">
        <f t="shared" si="679"/>
        <v>1381055.37</v>
      </c>
      <c r="Q1570" s="1268">
        <f t="shared" si="679"/>
        <v>0</v>
      </c>
      <c r="R1570" s="1268">
        <f t="shared" si="679"/>
        <v>0</v>
      </c>
      <c r="S1570" s="1268">
        <f t="shared" si="679"/>
        <v>0</v>
      </c>
      <c r="T1570" s="1268">
        <f t="shared" si="679"/>
        <v>0</v>
      </c>
      <c r="U1570" s="1268">
        <f t="shared" si="679"/>
        <v>0</v>
      </c>
      <c r="V1570" s="1268">
        <f t="shared" si="679"/>
        <v>0</v>
      </c>
      <c r="W1570" s="1268">
        <v>0</v>
      </c>
      <c r="X1570" s="1268">
        <f t="shared" si="679"/>
        <v>270234.59999999998</v>
      </c>
      <c r="Y1570" s="1268">
        <f t="shared" si="679"/>
        <v>0</v>
      </c>
    </row>
    <row r="1571" spans="1:25" s="1277" customFormat="1">
      <c r="A1571" s="1396">
        <v>610</v>
      </c>
      <c r="B1571" s="1277" t="s">
        <v>487</v>
      </c>
      <c r="C1571" s="1268">
        <f t="shared" ref="C1571" si="680">D1571+N1571+P1571+R1571+T1571+V1571+X1571</f>
        <v>1489224.9700000002</v>
      </c>
      <c r="D1571" s="1268">
        <f t="shared" ref="D1571" si="681">SUM(E1571:J1571)</f>
        <v>0</v>
      </c>
      <c r="E1571" s="1268">
        <v>0</v>
      </c>
      <c r="F1571" s="1268">
        <v>0</v>
      </c>
      <c r="G1571" s="1268">
        <v>0</v>
      </c>
      <c r="H1571" s="1268">
        <v>0</v>
      </c>
      <c r="I1571" s="1268">
        <v>0</v>
      </c>
      <c r="J1571" s="1268">
        <v>0</v>
      </c>
      <c r="K1571" s="1278">
        <v>0</v>
      </c>
      <c r="L1571" s="1268">
        <v>0</v>
      </c>
      <c r="M1571" s="1278">
        <v>0</v>
      </c>
      <c r="N1571" s="1268">
        <v>0</v>
      </c>
      <c r="O1571" s="1268">
        <v>440</v>
      </c>
      <c r="P1571" s="1268">
        <v>1381055.37</v>
      </c>
      <c r="Q1571" s="1268">
        <v>0</v>
      </c>
      <c r="R1571" s="1268">
        <v>0</v>
      </c>
      <c r="S1571" s="1268">
        <v>0</v>
      </c>
      <c r="T1571" s="1268">
        <v>0</v>
      </c>
      <c r="U1571" s="1268">
        <v>0</v>
      </c>
      <c r="V1571" s="1268">
        <v>0</v>
      </c>
      <c r="W1571" s="1268">
        <v>0</v>
      </c>
      <c r="X1571" s="1268">
        <v>108169.60000000001</v>
      </c>
      <c r="Y1571" s="1268">
        <v>0</v>
      </c>
    </row>
    <row r="1572" spans="1:25" s="1277" customFormat="1">
      <c r="A1572" s="1396">
        <v>611</v>
      </c>
      <c r="B1572" s="1277" t="s">
        <v>1614</v>
      </c>
      <c r="C1572" s="1268">
        <v>2231229</v>
      </c>
      <c r="D1572" s="1268">
        <v>2069164</v>
      </c>
      <c r="E1572" s="1268">
        <v>2069164</v>
      </c>
      <c r="F1572" s="1268">
        <v>0</v>
      </c>
      <c r="G1572" s="1268">
        <v>0</v>
      </c>
      <c r="H1572" s="1268">
        <v>0</v>
      </c>
      <c r="I1572" s="1268">
        <v>0</v>
      </c>
      <c r="J1572" s="1268">
        <v>0</v>
      </c>
      <c r="K1572" s="1278">
        <v>0</v>
      </c>
      <c r="L1572" s="1268">
        <v>0</v>
      </c>
      <c r="M1572" s="1278">
        <v>0</v>
      </c>
      <c r="N1572" s="1268">
        <v>0</v>
      </c>
      <c r="O1572" s="1268">
        <v>0</v>
      </c>
      <c r="P1572" s="1268">
        <v>0</v>
      </c>
      <c r="Q1572" s="1268">
        <v>0</v>
      </c>
      <c r="R1572" s="1268">
        <v>0</v>
      </c>
      <c r="S1572" s="1268">
        <v>0</v>
      </c>
      <c r="T1572" s="1268">
        <v>0</v>
      </c>
      <c r="U1572" s="1268">
        <v>0</v>
      </c>
      <c r="V1572" s="1268">
        <v>0</v>
      </c>
      <c r="W1572" s="1268">
        <v>0</v>
      </c>
      <c r="X1572" s="1268">
        <v>162065</v>
      </c>
      <c r="Y1572" s="1268">
        <v>0</v>
      </c>
    </row>
    <row r="1573" spans="1:25" s="1277" customFormat="1" ht="75.599999999999994">
      <c r="A1573" s="1396"/>
      <c r="B1573" s="1277" t="s">
        <v>2016</v>
      </c>
      <c r="C1573" s="1268">
        <f>SUM(C1574:C1580)</f>
        <v>13336676</v>
      </c>
      <c r="D1573" s="1268">
        <f t="shared" ref="D1573:Y1573" si="682">SUM(D1574:D1580)</f>
        <v>3523611.94</v>
      </c>
      <c r="E1573" s="1268">
        <f t="shared" si="682"/>
        <v>0</v>
      </c>
      <c r="F1573" s="1268">
        <f t="shared" si="682"/>
        <v>3523611.94</v>
      </c>
      <c r="G1573" s="1268">
        <f t="shared" si="682"/>
        <v>0</v>
      </c>
      <c r="H1573" s="1268">
        <f t="shared" si="682"/>
        <v>0</v>
      </c>
      <c r="I1573" s="1268">
        <f t="shared" si="682"/>
        <v>0</v>
      </c>
      <c r="J1573" s="1268">
        <f t="shared" si="682"/>
        <v>0</v>
      </c>
      <c r="K1573" s="1278">
        <f t="shared" si="682"/>
        <v>0</v>
      </c>
      <c r="L1573" s="1268">
        <f t="shared" si="682"/>
        <v>0</v>
      </c>
      <c r="M1573" s="1278">
        <f t="shared" si="682"/>
        <v>0</v>
      </c>
      <c r="N1573" s="1268">
        <f t="shared" si="682"/>
        <v>0</v>
      </c>
      <c r="O1573" s="1268">
        <f t="shared" si="682"/>
        <v>3101.34</v>
      </c>
      <c r="P1573" s="1268">
        <f t="shared" si="682"/>
        <v>8978893</v>
      </c>
      <c r="Q1573" s="1268">
        <f t="shared" si="682"/>
        <v>0</v>
      </c>
      <c r="R1573" s="1268">
        <f t="shared" si="682"/>
        <v>0</v>
      </c>
      <c r="S1573" s="1268">
        <f t="shared" si="682"/>
        <v>0</v>
      </c>
      <c r="T1573" s="1268">
        <f t="shared" si="682"/>
        <v>0</v>
      </c>
      <c r="U1573" s="1268">
        <f t="shared" si="682"/>
        <v>0</v>
      </c>
      <c r="V1573" s="1268">
        <f t="shared" si="682"/>
        <v>0</v>
      </c>
      <c r="W1573" s="1268">
        <v>0</v>
      </c>
      <c r="X1573" s="1268">
        <f t="shared" si="682"/>
        <v>834171.06</v>
      </c>
      <c r="Y1573" s="1268">
        <f t="shared" si="682"/>
        <v>0</v>
      </c>
    </row>
    <row r="1574" spans="1:25" s="1277" customFormat="1">
      <c r="A1574" s="1396">
        <v>612</v>
      </c>
      <c r="B1574" s="1277" t="s">
        <v>675</v>
      </c>
      <c r="C1574" s="1268">
        <f>P1574+X1574</f>
        <v>2205623</v>
      </c>
      <c r="D1574" s="1268">
        <v>0</v>
      </c>
      <c r="E1574" s="1268">
        <v>0</v>
      </c>
      <c r="F1574" s="1268">
        <v>0</v>
      </c>
      <c r="G1574" s="1268">
        <v>0</v>
      </c>
      <c r="H1574" s="1268">
        <v>0</v>
      </c>
      <c r="I1574" s="1268">
        <v>0</v>
      </c>
      <c r="J1574" s="1268">
        <v>0</v>
      </c>
      <c r="K1574" s="1278">
        <v>0</v>
      </c>
      <c r="L1574" s="1268">
        <v>0</v>
      </c>
      <c r="M1574" s="1278">
        <v>0</v>
      </c>
      <c r="N1574" s="1268">
        <v>0</v>
      </c>
      <c r="O1574" s="1268">
        <v>811.74</v>
      </c>
      <c r="P1574" s="1268">
        <v>2045418</v>
      </c>
      <c r="Q1574" s="1268">
        <v>0</v>
      </c>
      <c r="R1574" s="1268">
        <v>0</v>
      </c>
      <c r="S1574" s="1268">
        <v>0</v>
      </c>
      <c r="T1574" s="1268">
        <v>0</v>
      </c>
      <c r="U1574" s="1268">
        <v>0</v>
      </c>
      <c r="V1574" s="1268">
        <v>0</v>
      </c>
      <c r="W1574" s="1268">
        <v>0</v>
      </c>
      <c r="X1574" s="1268">
        <v>160205</v>
      </c>
      <c r="Y1574" s="1268">
        <v>0</v>
      </c>
    </row>
    <row r="1575" spans="1:25" s="1277" customFormat="1">
      <c r="A1575" s="1396">
        <v>613</v>
      </c>
      <c r="B1575" s="1277" t="s">
        <v>1123</v>
      </c>
      <c r="C1575" s="1268">
        <f>P1575+X1575+D1575</f>
        <v>1083429</v>
      </c>
      <c r="D1575" s="1268">
        <v>1004734</v>
      </c>
      <c r="E1575" s="1268">
        <v>0</v>
      </c>
      <c r="F1575" s="1268">
        <v>1004734</v>
      </c>
      <c r="G1575" s="1268">
        <v>0</v>
      </c>
      <c r="H1575" s="1268">
        <v>0</v>
      </c>
      <c r="I1575" s="1268">
        <v>0</v>
      </c>
      <c r="J1575" s="1268">
        <v>0</v>
      </c>
      <c r="K1575" s="1278">
        <v>0</v>
      </c>
      <c r="L1575" s="1268">
        <v>0</v>
      </c>
      <c r="M1575" s="1278">
        <v>0</v>
      </c>
      <c r="N1575" s="1268">
        <v>0</v>
      </c>
      <c r="O1575" s="1268">
        <v>0</v>
      </c>
      <c r="P1575" s="1268">
        <v>0</v>
      </c>
      <c r="Q1575" s="1268">
        <v>0</v>
      </c>
      <c r="R1575" s="1268">
        <v>0</v>
      </c>
      <c r="S1575" s="1268">
        <v>0</v>
      </c>
      <c r="T1575" s="1268">
        <v>0</v>
      </c>
      <c r="U1575" s="1268">
        <v>0</v>
      </c>
      <c r="V1575" s="1268">
        <v>0</v>
      </c>
      <c r="W1575" s="1268">
        <v>0</v>
      </c>
      <c r="X1575" s="1268">
        <v>78695</v>
      </c>
      <c r="Y1575" s="1268">
        <v>0</v>
      </c>
    </row>
    <row r="1576" spans="1:25" s="1277" customFormat="1">
      <c r="A1576" s="1396">
        <v>614</v>
      </c>
      <c r="B1576" s="1277" t="s">
        <v>676</v>
      </c>
      <c r="C1576" s="1268">
        <f t="shared" ref="C1576:C1580" si="683">P1576+X1576+D1576</f>
        <v>1110773</v>
      </c>
      <c r="D1576" s="1268">
        <v>0</v>
      </c>
      <c r="E1576" s="1268">
        <v>0</v>
      </c>
      <c r="F1576" s="1268">
        <v>0</v>
      </c>
      <c r="G1576" s="1268">
        <v>0</v>
      </c>
      <c r="H1576" s="1268">
        <v>0</v>
      </c>
      <c r="I1576" s="1268">
        <v>0</v>
      </c>
      <c r="J1576" s="1268">
        <v>0</v>
      </c>
      <c r="K1576" s="1278">
        <v>0</v>
      </c>
      <c r="L1576" s="1268">
        <v>0</v>
      </c>
      <c r="M1576" s="1278">
        <v>0</v>
      </c>
      <c r="N1576" s="1268">
        <v>0</v>
      </c>
      <c r="O1576" s="1268">
        <v>408.8</v>
      </c>
      <c r="P1576" s="1268">
        <v>1030092</v>
      </c>
      <c r="Q1576" s="1268">
        <v>0</v>
      </c>
      <c r="R1576" s="1268">
        <v>0</v>
      </c>
      <c r="S1576" s="1268">
        <v>0</v>
      </c>
      <c r="T1576" s="1268">
        <v>0</v>
      </c>
      <c r="U1576" s="1268">
        <v>0</v>
      </c>
      <c r="V1576" s="1268">
        <v>0</v>
      </c>
      <c r="W1576" s="1268">
        <v>0</v>
      </c>
      <c r="X1576" s="1268">
        <v>80681</v>
      </c>
      <c r="Y1576" s="1268">
        <v>0</v>
      </c>
    </row>
    <row r="1577" spans="1:25" s="1277" customFormat="1">
      <c r="A1577" s="1396">
        <v>615</v>
      </c>
      <c r="B1577" s="1277" t="s">
        <v>677</v>
      </c>
      <c r="C1577" s="1268">
        <f t="shared" si="683"/>
        <v>2359067</v>
      </c>
      <c r="D1577" s="1268">
        <v>0</v>
      </c>
      <c r="E1577" s="1268">
        <v>0</v>
      </c>
      <c r="F1577" s="1268">
        <v>0</v>
      </c>
      <c r="G1577" s="1268">
        <v>0</v>
      </c>
      <c r="H1577" s="1268">
        <v>0</v>
      </c>
      <c r="I1577" s="1268">
        <v>0</v>
      </c>
      <c r="J1577" s="1268">
        <v>0</v>
      </c>
      <c r="K1577" s="1278">
        <v>0</v>
      </c>
      <c r="L1577" s="1268">
        <v>0</v>
      </c>
      <c r="M1577" s="1278">
        <v>0</v>
      </c>
      <c r="N1577" s="1268">
        <v>0</v>
      </c>
      <c r="O1577" s="1268">
        <v>697</v>
      </c>
      <c r="P1577" s="1268">
        <v>2187717</v>
      </c>
      <c r="Q1577" s="1268">
        <v>0</v>
      </c>
      <c r="R1577" s="1268">
        <v>0</v>
      </c>
      <c r="S1577" s="1268">
        <v>0</v>
      </c>
      <c r="T1577" s="1268">
        <v>0</v>
      </c>
      <c r="U1577" s="1268">
        <v>0</v>
      </c>
      <c r="V1577" s="1268">
        <v>0</v>
      </c>
      <c r="W1577" s="1268">
        <v>0</v>
      </c>
      <c r="X1577" s="1268">
        <v>171350</v>
      </c>
      <c r="Y1577" s="1268">
        <v>0</v>
      </c>
    </row>
    <row r="1578" spans="1:25" s="1277" customFormat="1">
      <c r="A1578" s="1396">
        <v>616</v>
      </c>
      <c r="B1578" s="1277" t="s">
        <v>504</v>
      </c>
      <c r="C1578" s="1268">
        <f t="shared" si="683"/>
        <v>2301529</v>
      </c>
      <c r="D1578" s="1268">
        <v>0</v>
      </c>
      <c r="E1578" s="1268">
        <v>0</v>
      </c>
      <c r="F1578" s="1268">
        <v>0</v>
      </c>
      <c r="G1578" s="1268">
        <v>0</v>
      </c>
      <c r="H1578" s="1268">
        <v>0</v>
      </c>
      <c r="I1578" s="1268">
        <v>0</v>
      </c>
      <c r="J1578" s="1268">
        <v>0</v>
      </c>
      <c r="K1578" s="1278">
        <v>0</v>
      </c>
      <c r="L1578" s="1268">
        <v>0</v>
      </c>
      <c r="M1578" s="1278">
        <v>0</v>
      </c>
      <c r="N1578" s="1268">
        <v>0</v>
      </c>
      <c r="O1578" s="1268">
        <v>680</v>
      </c>
      <c r="P1578" s="1268">
        <v>2134358</v>
      </c>
      <c r="Q1578" s="1268">
        <v>0</v>
      </c>
      <c r="R1578" s="1268">
        <v>0</v>
      </c>
      <c r="S1578" s="1268">
        <v>0</v>
      </c>
      <c r="T1578" s="1268">
        <v>0</v>
      </c>
      <c r="U1578" s="1268">
        <v>0</v>
      </c>
      <c r="V1578" s="1268">
        <v>0</v>
      </c>
      <c r="W1578" s="1268">
        <v>0</v>
      </c>
      <c r="X1578" s="1268">
        <v>167171</v>
      </c>
      <c r="Y1578" s="1268">
        <v>0</v>
      </c>
    </row>
    <row r="1579" spans="1:25" s="1277" customFormat="1">
      <c r="A1579" s="1396">
        <v>617</v>
      </c>
      <c r="B1579" s="1277" t="s">
        <v>678</v>
      </c>
      <c r="C1579" s="1268">
        <f t="shared" si="683"/>
        <v>1705162</v>
      </c>
      <c r="D1579" s="1268">
        <v>0</v>
      </c>
      <c r="E1579" s="1268">
        <v>0</v>
      </c>
      <c r="F1579" s="1268">
        <v>0</v>
      </c>
      <c r="G1579" s="1268">
        <v>0</v>
      </c>
      <c r="H1579" s="1268">
        <v>0</v>
      </c>
      <c r="I1579" s="1268">
        <v>0</v>
      </c>
      <c r="J1579" s="1268">
        <v>0</v>
      </c>
      <c r="K1579" s="1278">
        <v>0</v>
      </c>
      <c r="L1579" s="1268">
        <v>0</v>
      </c>
      <c r="M1579" s="1278">
        <v>0</v>
      </c>
      <c r="N1579" s="1268">
        <v>0</v>
      </c>
      <c r="O1579" s="1268">
        <v>503.8</v>
      </c>
      <c r="P1579" s="1268">
        <v>1581308</v>
      </c>
      <c r="Q1579" s="1268">
        <v>0</v>
      </c>
      <c r="R1579" s="1268">
        <v>0</v>
      </c>
      <c r="S1579" s="1268">
        <v>0</v>
      </c>
      <c r="T1579" s="1268">
        <v>0</v>
      </c>
      <c r="U1579" s="1268">
        <v>0</v>
      </c>
      <c r="V1579" s="1268">
        <v>0</v>
      </c>
      <c r="W1579" s="1268">
        <v>0</v>
      </c>
      <c r="X1579" s="1268">
        <v>123854</v>
      </c>
      <c r="Y1579" s="1268">
        <v>0</v>
      </c>
    </row>
    <row r="1580" spans="1:25" s="1277" customFormat="1">
      <c r="A1580" s="1396">
        <v>618</v>
      </c>
      <c r="B1580" s="1277" t="s">
        <v>1150</v>
      </c>
      <c r="C1580" s="1268">
        <f t="shared" si="683"/>
        <v>2571093</v>
      </c>
      <c r="D1580" s="1268">
        <f>F1580</f>
        <v>2518877.94</v>
      </c>
      <c r="E1580" s="1268">
        <v>0</v>
      </c>
      <c r="F1580" s="1268">
        <v>2518877.94</v>
      </c>
      <c r="G1580" s="1268">
        <v>0</v>
      </c>
      <c r="H1580" s="1268">
        <v>0</v>
      </c>
      <c r="I1580" s="1268">
        <v>0</v>
      </c>
      <c r="J1580" s="1268">
        <v>0</v>
      </c>
      <c r="K1580" s="1278">
        <v>0</v>
      </c>
      <c r="L1580" s="1268">
        <v>0</v>
      </c>
      <c r="M1580" s="1278">
        <v>0</v>
      </c>
      <c r="N1580" s="1268">
        <v>0</v>
      </c>
      <c r="O1580" s="1268">
        <v>0</v>
      </c>
      <c r="P1580" s="1268">
        <v>0</v>
      </c>
      <c r="Q1580" s="1293">
        <v>0</v>
      </c>
      <c r="R1580" s="1268">
        <v>0</v>
      </c>
      <c r="S1580" s="1268">
        <v>0</v>
      </c>
      <c r="T1580" s="1268">
        <v>0</v>
      </c>
      <c r="U1580" s="1293">
        <v>0</v>
      </c>
      <c r="V1580" s="1268">
        <v>0</v>
      </c>
      <c r="W1580" s="1268">
        <v>0</v>
      </c>
      <c r="X1580" s="1268">
        <v>52215.06</v>
      </c>
      <c r="Y1580" s="1268">
        <v>0</v>
      </c>
    </row>
    <row r="1581" spans="1:25" s="1277" customFormat="1">
      <c r="A1581" s="1396"/>
      <c r="B1581" s="1277" t="s">
        <v>663</v>
      </c>
      <c r="C1581" s="1268">
        <f>C1582</f>
        <v>1587823</v>
      </c>
      <c r="D1581" s="1268">
        <f t="shared" ref="D1581:Y1581" si="684">D1582</f>
        <v>0</v>
      </c>
      <c r="E1581" s="1268">
        <f t="shared" si="684"/>
        <v>0</v>
      </c>
      <c r="F1581" s="1268">
        <f t="shared" si="684"/>
        <v>0</v>
      </c>
      <c r="G1581" s="1268">
        <f t="shared" si="684"/>
        <v>0</v>
      </c>
      <c r="H1581" s="1268">
        <f t="shared" si="684"/>
        <v>0</v>
      </c>
      <c r="I1581" s="1268">
        <f t="shared" si="684"/>
        <v>0</v>
      </c>
      <c r="J1581" s="1268">
        <f t="shared" si="684"/>
        <v>0</v>
      </c>
      <c r="K1581" s="1278">
        <v>0</v>
      </c>
      <c r="L1581" s="1268">
        <v>0</v>
      </c>
      <c r="M1581" s="1278">
        <f t="shared" si="684"/>
        <v>0</v>
      </c>
      <c r="N1581" s="1268">
        <f t="shared" si="684"/>
        <v>0</v>
      </c>
      <c r="O1581" s="1268">
        <f t="shared" si="684"/>
        <v>584.37</v>
      </c>
      <c r="P1581" s="1268">
        <f t="shared" si="684"/>
        <v>1472492</v>
      </c>
      <c r="Q1581" s="1268">
        <f t="shared" si="684"/>
        <v>0</v>
      </c>
      <c r="R1581" s="1268">
        <f t="shared" si="684"/>
        <v>0</v>
      </c>
      <c r="S1581" s="1268">
        <f t="shared" si="684"/>
        <v>0</v>
      </c>
      <c r="T1581" s="1268">
        <f t="shared" si="684"/>
        <v>0</v>
      </c>
      <c r="U1581" s="1268">
        <f t="shared" si="684"/>
        <v>0</v>
      </c>
      <c r="V1581" s="1268">
        <f t="shared" si="684"/>
        <v>0</v>
      </c>
      <c r="W1581" s="1268">
        <v>0</v>
      </c>
      <c r="X1581" s="1268">
        <f t="shared" si="684"/>
        <v>115331</v>
      </c>
      <c r="Y1581" s="1268">
        <f t="shared" si="684"/>
        <v>0</v>
      </c>
    </row>
    <row r="1582" spans="1:25" s="1277" customFormat="1" ht="83.4" customHeight="1">
      <c r="A1582" s="1396"/>
      <c r="B1582" s="1277" t="s">
        <v>1105</v>
      </c>
      <c r="C1582" s="1268">
        <f>SUM(C1583:C1583)</f>
        <v>1587823</v>
      </c>
      <c r="D1582" s="1268">
        <f t="shared" ref="D1582:Y1582" si="685">SUM(D1583:D1583)</f>
        <v>0</v>
      </c>
      <c r="E1582" s="1268">
        <f t="shared" si="685"/>
        <v>0</v>
      </c>
      <c r="F1582" s="1268">
        <f t="shared" si="685"/>
        <v>0</v>
      </c>
      <c r="G1582" s="1268">
        <f t="shared" si="685"/>
        <v>0</v>
      </c>
      <c r="H1582" s="1268">
        <f t="shared" si="685"/>
        <v>0</v>
      </c>
      <c r="I1582" s="1268">
        <f t="shared" si="685"/>
        <v>0</v>
      </c>
      <c r="J1582" s="1268">
        <f t="shared" si="685"/>
        <v>0</v>
      </c>
      <c r="K1582" s="1278">
        <v>0</v>
      </c>
      <c r="L1582" s="1268">
        <v>0</v>
      </c>
      <c r="M1582" s="1278">
        <f t="shared" si="685"/>
        <v>0</v>
      </c>
      <c r="N1582" s="1268">
        <f t="shared" si="685"/>
        <v>0</v>
      </c>
      <c r="O1582" s="1268">
        <f t="shared" si="685"/>
        <v>584.37</v>
      </c>
      <c r="P1582" s="1268">
        <f t="shared" si="685"/>
        <v>1472492</v>
      </c>
      <c r="Q1582" s="1268">
        <f t="shared" si="685"/>
        <v>0</v>
      </c>
      <c r="R1582" s="1268">
        <f t="shared" si="685"/>
        <v>0</v>
      </c>
      <c r="S1582" s="1268">
        <f t="shared" si="685"/>
        <v>0</v>
      </c>
      <c r="T1582" s="1268">
        <f t="shared" si="685"/>
        <v>0</v>
      </c>
      <c r="U1582" s="1268">
        <f t="shared" si="685"/>
        <v>0</v>
      </c>
      <c r="V1582" s="1268">
        <f t="shared" si="685"/>
        <v>0</v>
      </c>
      <c r="W1582" s="1268">
        <v>0</v>
      </c>
      <c r="X1582" s="1268">
        <f t="shared" si="685"/>
        <v>115331</v>
      </c>
      <c r="Y1582" s="1268">
        <f t="shared" si="685"/>
        <v>0</v>
      </c>
    </row>
    <row r="1583" spans="1:25" s="1277" customFormat="1">
      <c r="A1583" s="1396">
        <v>619</v>
      </c>
      <c r="B1583" s="1277" t="s">
        <v>1978</v>
      </c>
      <c r="C1583" s="1268">
        <f t="shared" ref="C1583" si="686">D1583+N1583+P1583+R1583+T1583+V1583+X1583</f>
        <v>1587823</v>
      </c>
      <c r="D1583" s="1268">
        <f t="shared" ref="D1583" si="687">SUM(E1583:J1583)</f>
        <v>0</v>
      </c>
      <c r="E1583" s="1268">
        <v>0</v>
      </c>
      <c r="F1583" s="1268">
        <v>0</v>
      </c>
      <c r="G1583" s="1268">
        <v>0</v>
      </c>
      <c r="H1583" s="1268">
        <v>0</v>
      </c>
      <c r="I1583" s="1268">
        <v>0</v>
      </c>
      <c r="J1583" s="1268">
        <v>0</v>
      </c>
      <c r="K1583" s="1278">
        <v>0</v>
      </c>
      <c r="L1583" s="1268">
        <v>0</v>
      </c>
      <c r="M1583" s="1278">
        <v>0</v>
      </c>
      <c r="N1583" s="1268">
        <v>0</v>
      </c>
      <c r="O1583" s="1268">
        <v>584.37</v>
      </c>
      <c r="P1583" s="1268">
        <v>1472492</v>
      </c>
      <c r="Q1583" s="1268">
        <v>0</v>
      </c>
      <c r="R1583" s="1268">
        <v>0</v>
      </c>
      <c r="S1583" s="1268">
        <v>0</v>
      </c>
      <c r="T1583" s="1268">
        <v>0</v>
      </c>
      <c r="U1583" s="1268">
        <v>0</v>
      </c>
      <c r="V1583" s="1268">
        <v>0</v>
      </c>
      <c r="W1583" s="1268">
        <v>0</v>
      </c>
      <c r="X1583" s="1268">
        <v>115331</v>
      </c>
      <c r="Y1583" s="1268">
        <v>0</v>
      </c>
    </row>
    <row r="1584" spans="1:25" s="1277" customFormat="1">
      <c r="A1584" s="1396"/>
      <c r="B1584" s="1277" t="s">
        <v>64</v>
      </c>
      <c r="C1584" s="1268">
        <f>C1585</f>
        <v>11390543.579999998</v>
      </c>
      <c r="D1584" s="1268">
        <f t="shared" ref="D1584:Y1584" si="688">D1585</f>
        <v>0</v>
      </c>
      <c r="E1584" s="1268">
        <f t="shared" si="688"/>
        <v>0</v>
      </c>
      <c r="F1584" s="1268">
        <f t="shared" si="688"/>
        <v>0</v>
      </c>
      <c r="G1584" s="1268">
        <f t="shared" si="688"/>
        <v>0</v>
      </c>
      <c r="H1584" s="1268">
        <f t="shared" si="688"/>
        <v>0</v>
      </c>
      <c r="I1584" s="1268">
        <f t="shared" si="688"/>
        <v>0</v>
      </c>
      <c r="J1584" s="1268">
        <f t="shared" si="688"/>
        <v>0</v>
      </c>
      <c r="K1584" s="1278">
        <v>0</v>
      </c>
      <c r="L1584" s="1268">
        <v>0</v>
      </c>
      <c r="M1584" s="1278">
        <f t="shared" si="688"/>
        <v>0</v>
      </c>
      <c r="N1584" s="1268">
        <f t="shared" si="688"/>
        <v>0</v>
      </c>
      <c r="O1584" s="1268">
        <f t="shared" si="688"/>
        <v>2554</v>
      </c>
      <c r="P1584" s="1268">
        <f t="shared" si="688"/>
        <v>8022675.1700000009</v>
      </c>
      <c r="Q1584" s="1268">
        <f t="shared" si="688"/>
        <v>0</v>
      </c>
      <c r="R1584" s="1268">
        <f t="shared" si="688"/>
        <v>0</v>
      </c>
      <c r="S1584" s="1268">
        <f t="shared" si="688"/>
        <v>530</v>
      </c>
      <c r="T1584" s="1268">
        <f t="shared" si="688"/>
        <v>2540518.0099999998</v>
      </c>
      <c r="U1584" s="1268">
        <f t="shared" si="688"/>
        <v>0</v>
      </c>
      <c r="V1584" s="1268">
        <f t="shared" si="688"/>
        <v>0</v>
      </c>
      <c r="W1584" s="1268">
        <v>0</v>
      </c>
      <c r="X1584" s="1268">
        <f t="shared" si="688"/>
        <v>827350.39999999991</v>
      </c>
      <c r="Y1584" s="1268">
        <f t="shared" si="688"/>
        <v>0</v>
      </c>
    </row>
    <row r="1585" spans="1:25" s="1277" customFormat="1" ht="118.2" customHeight="1">
      <c r="A1585" s="1396"/>
      <c r="B1585" s="1277" t="s">
        <v>1097</v>
      </c>
      <c r="C1585" s="1268">
        <f t="shared" ref="C1585:J1585" si="689">SUM(C1586:C1590)</f>
        <v>11390543.579999998</v>
      </c>
      <c r="D1585" s="1268">
        <f t="shared" si="689"/>
        <v>0</v>
      </c>
      <c r="E1585" s="1268">
        <f t="shared" si="689"/>
        <v>0</v>
      </c>
      <c r="F1585" s="1268">
        <f t="shared" si="689"/>
        <v>0</v>
      </c>
      <c r="G1585" s="1268">
        <f t="shared" si="689"/>
        <v>0</v>
      </c>
      <c r="H1585" s="1268">
        <f t="shared" si="689"/>
        <v>0</v>
      </c>
      <c r="I1585" s="1268">
        <f t="shared" si="689"/>
        <v>0</v>
      </c>
      <c r="J1585" s="1268">
        <f t="shared" si="689"/>
        <v>0</v>
      </c>
      <c r="K1585" s="1278">
        <v>0</v>
      </c>
      <c r="L1585" s="1268">
        <v>0</v>
      </c>
      <c r="M1585" s="1278">
        <f t="shared" ref="M1585:Y1585" si="690">SUM(M1586:M1590)</f>
        <v>0</v>
      </c>
      <c r="N1585" s="1268">
        <f t="shared" si="690"/>
        <v>0</v>
      </c>
      <c r="O1585" s="1268">
        <f t="shared" si="690"/>
        <v>2554</v>
      </c>
      <c r="P1585" s="1268">
        <f t="shared" si="690"/>
        <v>8022675.1700000009</v>
      </c>
      <c r="Q1585" s="1268">
        <f t="shared" si="690"/>
        <v>0</v>
      </c>
      <c r="R1585" s="1268">
        <f t="shared" si="690"/>
        <v>0</v>
      </c>
      <c r="S1585" s="1268">
        <f t="shared" si="690"/>
        <v>530</v>
      </c>
      <c r="T1585" s="1268">
        <f t="shared" si="690"/>
        <v>2540518.0099999998</v>
      </c>
      <c r="U1585" s="1268">
        <f t="shared" si="690"/>
        <v>0</v>
      </c>
      <c r="V1585" s="1268">
        <f t="shared" si="690"/>
        <v>0</v>
      </c>
      <c r="W1585" s="1268">
        <v>0</v>
      </c>
      <c r="X1585" s="1268">
        <f t="shared" si="690"/>
        <v>827350.39999999991</v>
      </c>
      <c r="Y1585" s="1268">
        <f t="shared" si="690"/>
        <v>0</v>
      </c>
    </row>
    <row r="1586" spans="1:25" s="1277" customFormat="1">
      <c r="A1586" s="1396">
        <v>620</v>
      </c>
      <c r="B1586" s="1277" t="s">
        <v>1222</v>
      </c>
      <c r="C1586" s="1268">
        <f t="shared" ref="C1586" si="691">D1586+N1586+P1586+R1586+T1586+V1586+X1586</f>
        <v>2585836</v>
      </c>
      <c r="D1586" s="1268">
        <f t="shared" ref="D1586" si="692">SUM(E1586:J1586)</f>
        <v>0</v>
      </c>
      <c r="E1586" s="1268">
        <v>0</v>
      </c>
      <c r="F1586" s="1268">
        <v>0</v>
      </c>
      <c r="G1586" s="1268">
        <v>0</v>
      </c>
      <c r="H1586" s="1268">
        <v>0</v>
      </c>
      <c r="I1586" s="1268">
        <v>0</v>
      </c>
      <c r="J1586" s="1268">
        <v>0</v>
      </c>
      <c r="K1586" s="1278">
        <v>0</v>
      </c>
      <c r="L1586" s="1268">
        <v>0</v>
      </c>
      <c r="M1586" s="1278">
        <v>0</v>
      </c>
      <c r="N1586" s="1268">
        <v>0</v>
      </c>
      <c r="O1586" s="1268">
        <v>764</v>
      </c>
      <c r="P1586" s="1268">
        <v>2398014</v>
      </c>
      <c r="Q1586" s="1268">
        <v>0</v>
      </c>
      <c r="R1586" s="1268">
        <v>0</v>
      </c>
      <c r="S1586" s="1268">
        <v>0</v>
      </c>
      <c r="T1586" s="1268">
        <v>0</v>
      </c>
      <c r="U1586" s="1268">
        <v>0</v>
      </c>
      <c r="V1586" s="1268">
        <v>0</v>
      </c>
      <c r="W1586" s="1268">
        <v>0</v>
      </c>
      <c r="X1586" s="1268">
        <v>187822</v>
      </c>
      <c r="Y1586" s="1268">
        <v>0</v>
      </c>
    </row>
    <row r="1587" spans="1:25" s="1277" customFormat="1" ht="52.2" customHeight="1">
      <c r="A1587" s="1396">
        <v>621</v>
      </c>
      <c r="B1587" s="1277" t="s">
        <v>1196</v>
      </c>
      <c r="C1587" s="1268">
        <f t="shared" ref="C1587:C1590" si="693">D1587+N1587+P1587+R1587+T1587+V1587+X1587</f>
        <v>964611</v>
      </c>
      <c r="D1587" s="1268">
        <f t="shared" ref="D1587:D1590" si="694">SUM(E1587:J1587)</f>
        <v>0</v>
      </c>
      <c r="E1587" s="1268">
        <v>0</v>
      </c>
      <c r="F1587" s="1268">
        <v>0</v>
      </c>
      <c r="G1587" s="1268">
        <v>0</v>
      </c>
      <c r="H1587" s="1268">
        <v>0</v>
      </c>
      <c r="I1587" s="1268">
        <v>0</v>
      </c>
      <c r="J1587" s="1268">
        <v>0</v>
      </c>
      <c r="K1587" s="1278">
        <v>0</v>
      </c>
      <c r="L1587" s="1268">
        <v>0</v>
      </c>
      <c r="M1587" s="1278">
        <v>0</v>
      </c>
      <c r="N1587" s="1268">
        <v>0</v>
      </c>
      <c r="O1587" s="1268">
        <v>283</v>
      </c>
      <c r="P1587" s="1268">
        <v>894547</v>
      </c>
      <c r="Q1587" s="1268">
        <v>0</v>
      </c>
      <c r="R1587" s="1268">
        <v>0</v>
      </c>
      <c r="S1587" s="1268">
        <v>0</v>
      </c>
      <c r="T1587" s="1268">
        <v>0</v>
      </c>
      <c r="U1587" s="1268">
        <v>0</v>
      </c>
      <c r="V1587" s="1268">
        <v>0</v>
      </c>
      <c r="W1587" s="1268">
        <v>0</v>
      </c>
      <c r="X1587" s="1268">
        <v>70064</v>
      </c>
      <c r="Y1587" s="1268">
        <v>0</v>
      </c>
    </row>
    <row r="1588" spans="1:25" s="1277" customFormat="1" ht="44.4" customHeight="1">
      <c r="A1588" s="1396">
        <v>622</v>
      </c>
      <c r="B1588" s="1277" t="s">
        <v>1979</v>
      </c>
      <c r="C1588" s="1268">
        <f t="shared" ref="C1588:C1589" si="695">D1588+N1588+P1588+R1588+T1588+V1588+X1588</f>
        <v>2098453.36</v>
      </c>
      <c r="D1588" s="1268">
        <f t="shared" ref="D1588:D1589" si="696">SUM(E1588:J1588)</f>
        <v>0</v>
      </c>
      <c r="E1588" s="1268">
        <v>0</v>
      </c>
      <c r="F1588" s="1268">
        <v>0</v>
      </c>
      <c r="G1588" s="1268">
        <v>0</v>
      </c>
      <c r="H1588" s="1268">
        <v>0</v>
      </c>
      <c r="I1588" s="1268">
        <v>0</v>
      </c>
      <c r="J1588" s="1268">
        <v>0</v>
      </c>
      <c r="K1588" s="1278">
        <v>0</v>
      </c>
      <c r="L1588" s="1268">
        <v>0</v>
      </c>
      <c r="M1588" s="1278">
        <v>0</v>
      </c>
      <c r="N1588" s="1268">
        <v>0</v>
      </c>
      <c r="O1588" s="1268">
        <v>620</v>
      </c>
      <c r="P1588" s="1268">
        <v>1946032.56</v>
      </c>
      <c r="Q1588" s="1268">
        <v>0</v>
      </c>
      <c r="R1588" s="1268">
        <v>0</v>
      </c>
      <c r="S1588" s="1268">
        <v>0</v>
      </c>
      <c r="T1588" s="1268">
        <v>0</v>
      </c>
      <c r="U1588" s="1268">
        <v>0</v>
      </c>
      <c r="V1588" s="1268">
        <v>0</v>
      </c>
      <c r="W1588" s="1268">
        <v>0</v>
      </c>
      <c r="X1588" s="1268">
        <v>152420.79999999999</v>
      </c>
      <c r="Y1588" s="1268">
        <v>0</v>
      </c>
    </row>
    <row r="1589" spans="1:25" s="1277" customFormat="1">
      <c r="A1589" s="1396">
        <v>623</v>
      </c>
      <c r="B1589" s="1277" t="s">
        <v>1618</v>
      </c>
      <c r="C1589" s="1268">
        <f t="shared" si="695"/>
        <v>4296418.22</v>
      </c>
      <c r="D1589" s="1268">
        <f t="shared" si="696"/>
        <v>0</v>
      </c>
      <c r="E1589" s="1268">
        <v>0</v>
      </c>
      <c r="F1589" s="1268">
        <v>0</v>
      </c>
      <c r="G1589" s="1268">
        <v>0</v>
      </c>
      <c r="H1589" s="1268">
        <v>0</v>
      </c>
      <c r="I1589" s="1268">
        <v>0</v>
      </c>
      <c r="J1589" s="1268">
        <v>0</v>
      </c>
      <c r="K1589" s="1278">
        <v>0</v>
      </c>
      <c r="L1589" s="1268">
        <v>0</v>
      </c>
      <c r="M1589" s="1278">
        <v>0</v>
      </c>
      <c r="N1589" s="1268">
        <v>0</v>
      </c>
      <c r="O1589" s="1268">
        <v>460</v>
      </c>
      <c r="P1589" s="1268">
        <v>1443830.61</v>
      </c>
      <c r="Q1589" s="1268">
        <v>0</v>
      </c>
      <c r="R1589" s="1268">
        <v>0</v>
      </c>
      <c r="S1589" s="1268">
        <v>530</v>
      </c>
      <c r="T1589" s="1268">
        <v>2540518.0099999998</v>
      </c>
      <c r="U1589" s="1268">
        <v>0</v>
      </c>
      <c r="V1589" s="1268">
        <v>0</v>
      </c>
      <c r="W1589" s="1268">
        <v>0</v>
      </c>
      <c r="X1589" s="1268">
        <v>312069.59999999998</v>
      </c>
      <c r="Y1589" s="1268">
        <v>0</v>
      </c>
    </row>
    <row r="1590" spans="1:25" s="1277" customFormat="1">
      <c r="A1590" s="1396">
        <v>624</v>
      </c>
      <c r="B1590" s="1277" t="s">
        <v>1195</v>
      </c>
      <c r="C1590" s="1268">
        <f t="shared" si="693"/>
        <v>1445225</v>
      </c>
      <c r="D1590" s="1268">
        <f t="shared" si="694"/>
        <v>0</v>
      </c>
      <c r="E1590" s="1268">
        <v>0</v>
      </c>
      <c r="F1590" s="1268">
        <v>0</v>
      </c>
      <c r="G1590" s="1268">
        <v>0</v>
      </c>
      <c r="H1590" s="1268">
        <v>0</v>
      </c>
      <c r="I1590" s="1268">
        <v>0</v>
      </c>
      <c r="J1590" s="1268">
        <v>0</v>
      </c>
      <c r="K1590" s="1278">
        <v>0</v>
      </c>
      <c r="L1590" s="1268">
        <v>0</v>
      </c>
      <c r="M1590" s="1278">
        <v>0</v>
      </c>
      <c r="N1590" s="1268">
        <v>0</v>
      </c>
      <c r="O1590" s="1268">
        <v>427</v>
      </c>
      <c r="P1590" s="1268">
        <v>1340251</v>
      </c>
      <c r="Q1590" s="1268">
        <v>0</v>
      </c>
      <c r="R1590" s="1268">
        <v>0</v>
      </c>
      <c r="S1590" s="1268">
        <v>0</v>
      </c>
      <c r="T1590" s="1268">
        <v>0</v>
      </c>
      <c r="U1590" s="1268">
        <v>0</v>
      </c>
      <c r="V1590" s="1268">
        <v>0</v>
      </c>
      <c r="W1590" s="1268">
        <v>0</v>
      </c>
      <c r="X1590" s="1268">
        <v>104974</v>
      </c>
      <c r="Y1590" s="1268">
        <v>0</v>
      </c>
    </row>
    <row r="1591" spans="1:25" s="1277" customFormat="1">
      <c r="A1591" s="1396"/>
      <c r="B1591" s="1277" t="s">
        <v>211</v>
      </c>
      <c r="C1591" s="1268">
        <f>C1592+C1594+C1596</f>
        <v>4149700.9720192482</v>
      </c>
      <c r="D1591" s="1268">
        <f t="shared" ref="D1591:Y1591" si="697">D1592+D1594+D1596</f>
        <v>0</v>
      </c>
      <c r="E1591" s="1268">
        <f t="shared" si="697"/>
        <v>0</v>
      </c>
      <c r="F1591" s="1268">
        <f t="shared" si="697"/>
        <v>0</v>
      </c>
      <c r="G1591" s="1268">
        <f t="shared" si="697"/>
        <v>0</v>
      </c>
      <c r="H1591" s="1268">
        <f t="shared" si="697"/>
        <v>0</v>
      </c>
      <c r="I1591" s="1268">
        <f t="shared" si="697"/>
        <v>0</v>
      </c>
      <c r="J1591" s="1268">
        <f t="shared" si="697"/>
        <v>0</v>
      </c>
      <c r="K1591" s="1278">
        <f t="shared" si="697"/>
        <v>0</v>
      </c>
      <c r="L1591" s="1268">
        <f t="shared" si="697"/>
        <v>0</v>
      </c>
      <c r="M1591" s="1278">
        <f t="shared" si="697"/>
        <v>0</v>
      </c>
      <c r="N1591" s="1268">
        <f t="shared" si="697"/>
        <v>0</v>
      </c>
      <c r="O1591" s="1268">
        <f t="shared" si="697"/>
        <v>1387.98</v>
      </c>
      <c r="P1591" s="1268">
        <f t="shared" si="697"/>
        <v>3851475.0797003815</v>
      </c>
      <c r="Q1591" s="1268">
        <f t="shared" si="697"/>
        <v>0</v>
      </c>
      <c r="R1591" s="1268">
        <f t="shared" si="697"/>
        <v>0</v>
      </c>
      <c r="S1591" s="1268">
        <f t="shared" si="697"/>
        <v>0</v>
      </c>
      <c r="T1591" s="1268">
        <f t="shared" si="697"/>
        <v>0</v>
      </c>
      <c r="U1591" s="1268">
        <f t="shared" si="697"/>
        <v>0</v>
      </c>
      <c r="V1591" s="1268">
        <f t="shared" si="697"/>
        <v>0</v>
      </c>
      <c r="W1591" s="1268">
        <v>0</v>
      </c>
      <c r="X1591" s="1268">
        <f t="shared" si="697"/>
        <v>298225.89231886691</v>
      </c>
      <c r="Y1591" s="1268">
        <f t="shared" si="697"/>
        <v>0</v>
      </c>
    </row>
    <row r="1592" spans="1:25" s="1277" customFormat="1" ht="75.599999999999994">
      <c r="A1592" s="1396"/>
      <c r="B1592" s="1277" t="s">
        <v>1208</v>
      </c>
      <c r="C1592" s="1268">
        <v>1116919</v>
      </c>
      <c r="D1592" s="1268">
        <v>0</v>
      </c>
      <c r="E1592" s="1268">
        <v>0</v>
      </c>
      <c r="F1592" s="1268">
        <v>0</v>
      </c>
      <c r="G1592" s="1268">
        <v>0</v>
      </c>
      <c r="H1592" s="1268">
        <v>0</v>
      </c>
      <c r="I1592" s="1268">
        <v>0</v>
      </c>
      <c r="J1592" s="1268">
        <v>0</v>
      </c>
      <c r="K1592" s="1278">
        <v>0</v>
      </c>
      <c r="L1592" s="1268">
        <v>0</v>
      </c>
      <c r="M1592" s="1278">
        <v>0</v>
      </c>
      <c r="N1592" s="1268">
        <v>0</v>
      </c>
      <c r="O1592" s="1268">
        <v>330</v>
      </c>
      <c r="P1592" s="1268">
        <v>1035792</v>
      </c>
      <c r="Q1592" s="1268">
        <v>0</v>
      </c>
      <c r="R1592" s="1268">
        <v>0</v>
      </c>
      <c r="S1592" s="1268">
        <v>0</v>
      </c>
      <c r="T1592" s="1268">
        <v>0</v>
      </c>
      <c r="U1592" s="1268">
        <v>0</v>
      </c>
      <c r="V1592" s="1268">
        <v>0</v>
      </c>
      <c r="W1592" s="1268">
        <v>0</v>
      </c>
      <c r="X1592" s="1268">
        <v>81127</v>
      </c>
      <c r="Y1592" s="1268">
        <v>0</v>
      </c>
    </row>
    <row r="1593" spans="1:25" s="1277" customFormat="1" ht="75.599999999999994">
      <c r="A1593" s="1396">
        <v>625</v>
      </c>
      <c r="B1593" s="1277" t="s">
        <v>2592</v>
      </c>
      <c r="C1593" s="1268">
        <v>1116919</v>
      </c>
      <c r="D1593" s="1268">
        <v>0</v>
      </c>
      <c r="E1593" s="1268">
        <v>0</v>
      </c>
      <c r="F1593" s="1268">
        <v>0</v>
      </c>
      <c r="G1593" s="1268">
        <v>0</v>
      </c>
      <c r="H1593" s="1268">
        <v>0</v>
      </c>
      <c r="I1593" s="1268">
        <v>0</v>
      </c>
      <c r="J1593" s="1268">
        <v>0</v>
      </c>
      <c r="K1593" s="1278">
        <v>0</v>
      </c>
      <c r="L1593" s="1268">
        <v>0</v>
      </c>
      <c r="M1593" s="1278">
        <v>0</v>
      </c>
      <c r="N1593" s="1268">
        <v>0</v>
      </c>
      <c r="O1593" s="1268">
        <v>330</v>
      </c>
      <c r="P1593" s="1268">
        <v>1035792</v>
      </c>
      <c r="Q1593" s="1268">
        <v>0</v>
      </c>
      <c r="R1593" s="1268">
        <v>0</v>
      </c>
      <c r="S1593" s="1268">
        <v>0</v>
      </c>
      <c r="T1593" s="1268">
        <v>0</v>
      </c>
      <c r="U1593" s="1268">
        <v>0</v>
      </c>
      <c r="V1593" s="1268">
        <v>0</v>
      </c>
      <c r="W1593" s="1268">
        <v>0</v>
      </c>
      <c r="X1593" s="1268">
        <v>81127</v>
      </c>
      <c r="Y1593" s="1268">
        <v>0</v>
      </c>
    </row>
    <row r="1594" spans="1:25" s="1277" customFormat="1" ht="113.4">
      <c r="A1594" s="1396"/>
      <c r="B1594" s="1277" t="s">
        <v>1098</v>
      </c>
      <c r="C1594" s="1268">
        <f>C1595</f>
        <v>1537679</v>
      </c>
      <c r="D1594" s="1268">
        <f t="shared" ref="D1594:Y1594" si="698">D1595</f>
        <v>0</v>
      </c>
      <c r="E1594" s="1268">
        <f t="shared" si="698"/>
        <v>0</v>
      </c>
      <c r="F1594" s="1268">
        <f t="shared" si="698"/>
        <v>0</v>
      </c>
      <c r="G1594" s="1268">
        <f t="shared" si="698"/>
        <v>0</v>
      </c>
      <c r="H1594" s="1268">
        <f t="shared" si="698"/>
        <v>0</v>
      </c>
      <c r="I1594" s="1268">
        <f t="shared" si="698"/>
        <v>0</v>
      </c>
      <c r="J1594" s="1268">
        <f t="shared" si="698"/>
        <v>0</v>
      </c>
      <c r="K1594" s="1278">
        <f t="shared" si="698"/>
        <v>0</v>
      </c>
      <c r="L1594" s="1268">
        <f t="shared" si="698"/>
        <v>0</v>
      </c>
      <c r="M1594" s="1278">
        <f t="shared" si="698"/>
        <v>0</v>
      </c>
      <c r="N1594" s="1268">
        <f t="shared" si="698"/>
        <v>0</v>
      </c>
      <c r="O1594" s="1268">
        <f t="shared" si="698"/>
        <v>487.68</v>
      </c>
      <c r="P1594" s="1268">
        <f t="shared" si="698"/>
        <v>1425989.9497003814</v>
      </c>
      <c r="Q1594" s="1268">
        <f t="shared" si="698"/>
        <v>0</v>
      </c>
      <c r="R1594" s="1268">
        <f t="shared" si="698"/>
        <v>0</v>
      </c>
      <c r="S1594" s="1268">
        <f t="shared" si="698"/>
        <v>0</v>
      </c>
      <c r="T1594" s="1268">
        <f t="shared" si="698"/>
        <v>0</v>
      </c>
      <c r="U1594" s="1268">
        <f t="shared" si="698"/>
        <v>0</v>
      </c>
      <c r="V1594" s="1268">
        <f t="shared" si="698"/>
        <v>0</v>
      </c>
      <c r="W1594" s="1268">
        <v>0</v>
      </c>
      <c r="X1594" s="1268">
        <f t="shared" si="698"/>
        <v>111689.05029961867</v>
      </c>
      <c r="Y1594" s="1268">
        <f t="shared" si="698"/>
        <v>0</v>
      </c>
    </row>
    <row r="1595" spans="1:25" s="1277" customFormat="1">
      <c r="A1595" s="1396">
        <v>626</v>
      </c>
      <c r="B1595" s="1277" t="s">
        <v>630</v>
      </c>
      <c r="C1595" s="1268">
        <f t="shared" ref="C1595" si="699">D1595+N1595+P1595+R1595+T1595+V1595+X1595</f>
        <v>1537679</v>
      </c>
      <c r="D1595" s="1268">
        <f t="shared" ref="D1595" si="700">SUM(E1595:J1595)</f>
        <v>0</v>
      </c>
      <c r="E1595" s="1268">
        <v>0</v>
      </c>
      <c r="F1595" s="1268">
        <v>0</v>
      </c>
      <c r="G1595" s="1268">
        <v>0</v>
      </c>
      <c r="H1595" s="1268">
        <v>0</v>
      </c>
      <c r="I1595" s="1268">
        <v>0</v>
      </c>
      <c r="J1595" s="1268">
        <v>0</v>
      </c>
      <c r="K1595" s="1278">
        <v>0</v>
      </c>
      <c r="L1595" s="1268">
        <v>0</v>
      </c>
      <c r="M1595" s="1278">
        <v>0</v>
      </c>
      <c r="N1595" s="1268">
        <v>0</v>
      </c>
      <c r="O1595" s="1268">
        <v>487.68</v>
      </c>
      <c r="P1595" s="1268">
        <v>1425989.9497003814</v>
      </c>
      <c r="Q1595" s="1268">
        <v>0</v>
      </c>
      <c r="R1595" s="1268">
        <v>0</v>
      </c>
      <c r="S1595" s="1268">
        <v>0</v>
      </c>
      <c r="T1595" s="1268">
        <v>0</v>
      </c>
      <c r="U1595" s="1268">
        <v>0</v>
      </c>
      <c r="V1595" s="1268">
        <v>0</v>
      </c>
      <c r="W1595" s="1268">
        <v>0</v>
      </c>
      <c r="X1595" s="1268">
        <v>111689.05029961867</v>
      </c>
      <c r="Y1595" s="1268">
        <v>0</v>
      </c>
    </row>
    <row r="1596" spans="1:25" s="1277" customFormat="1" ht="113.4">
      <c r="A1596" s="1396"/>
      <c r="B1596" s="1277" t="s">
        <v>1099</v>
      </c>
      <c r="C1596" s="1268">
        <f>C1597</f>
        <v>1495102.9720192482</v>
      </c>
      <c r="D1596" s="1268">
        <f t="shared" ref="D1596:Y1596" si="701">D1597</f>
        <v>0</v>
      </c>
      <c r="E1596" s="1268">
        <f t="shared" si="701"/>
        <v>0</v>
      </c>
      <c r="F1596" s="1268">
        <f t="shared" si="701"/>
        <v>0</v>
      </c>
      <c r="G1596" s="1268">
        <f t="shared" si="701"/>
        <v>0</v>
      </c>
      <c r="H1596" s="1268">
        <f t="shared" si="701"/>
        <v>0</v>
      </c>
      <c r="I1596" s="1268">
        <f t="shared" si="701"/>
        <v>0</v>
      </c>
      <c r="J1596" s="1268">
        <f t="shared" si="701"/>
        <v>0</v>
      </c>
      <c r="K1596" s="1278">
        <f t="shared" si="701"/>
        <v>0</v>
      </c>
      <c r="L1596" s="1268">
        <f t="shared" si="701"/>
        <v>0</v>
      </c>
      <c r="M1596" s="1278">
        <f t="shared" si="701"/>
        <v>0</v>
      </c>
      <c r="N1596" s="1268">
        <f t="shared" si="701"/>
        <v>0</v>
      </c>
      <c r="O1596" s="1268">
        <f t="shared" si="701"/>
        <v>570.29999999999995</v>
      </c>
      <c r="P1596" s="1268">
        <f t="shared" si="701"/>
        <v>1389693.13</v>
      </c>
      <c r="Q1596" s="1268">
        <f t="shared" si="701"/>
        <v>0</v>
      </c>
      <c r="R1596" s="1268">
        <f t="shared" si="701"/>
        <v>0</v>
      </c>
      <c r="S1596" s="1268">
        <f t="shared" si="701"/>
        <v>0</v>
      </c>
      <c r="T1596" s="1268">
        <f t="shared" si="701"/>
        <v>0</v>
      </c>
      <c r="U1596" s="1268">
        <f t="shared" si="701"/>
        <v>0</v>
      </c>
      <c r="V1596" s="1268">
        <f t="shared" si="701"/>
        <v>0</v>
      </c>
      <c r="W1596" s="1268">
        <v>0</v>
      </c>
      <c r="X1596" s="1268">
        <f t="shared" si="701"/>
        <v>105409.84201924823</v>
      </c>
      <c r="Y1596" s="1268">
        <f t="shared" si="701"/>
        <v>0</v>
      </c>
    </row>
    <row r="1597" spans="1:25" s="1277" customFormat="1" ht="75.599999999999994">
      <c r="A1597" s="1396">
        <v>627</v>
      </c>
      <c r="B1597" s="1277" t="s">
        <v>2593</v>
      </c>
      <c r="C1597" s="1268">
        <f t="shared" ref="C1597" si="702">D1597+N1597+P1597+R1597+T1597+V1597+X1597</f>
        <v>1495102.9720192482</v>
      </c>
      <c r="D1597" s="1268">
        <f t="shared" ref="D1597" si="703">SUM(E1597:J1597)</f>
        <v>0</v>
      </c>
      <c r="E1597" s="1268">
        <v>0</v>
      </c>
      <c r="F1597" s="1268">
        <v>0</v>
      </c>
      <c r="G1597" s="1268">
        <v>0</v>
      </c>
      <c r="H1597" s="1268">
        <v>0</v>
      </c>
      <c r="I1597" s="1268">
        <v>0</v>
      </c>
      <c r="J1597" s="1268">
        <v>0</v>
      </c>
      <c r="K1597" s="1278">
        <v>0</v>
      </c>
      <c r="L1597" s="1268">
        <v>0</v>
      </c>
      <c r="M1597" s="1278">
        <v>0</v>
      </c>
      <c r="N1597" s="1268">
        <v>0</v>
      </c>
      <c r="O1597" s="1268">
        <v>570.29999999999995</v>
      </c>
      <c r="P1597" s="1268">
        <v>1389693.13</v>
      </c>
      <c r="Q1597" s="1268">
        <v>0</v>
      </c>
      <c r="R1597" s="1268">
        <v>0</v>
      </c>
      <c r="S1597" s="1268">
        <v>0</v>
      </c>
      <c r="T1597" s="1268">
        <v>0</v>
      </c>
      <c r="U1597" s="1268">
        <v>0</v>
      </c>
      <c r="V1597" s="1268">
        <v>0</v>
      </c>
      <c r="W1597" s="1268">
        <v>0</v>
      </c>
      <c r="X1597" s="1268">
        <v>105409.84201924823</v>
      </c>
      <c r="Y1597" s="1268">
        <v>0</v>
      </c>
    </row>
    <row r="1598" spans="1:25" s="1277" customFormat="1">
      <c r="A1598" s="1396"/>
      <c r="B1598" s="1277" t="s">
        <v>66</v>
      </c>
      <c r="C1598" s="1268">
        <f>C1602+C1599</f>
        <v>2929055</v>
      </c>
      <c r="D1598" s="1268">
        <f t="shared" ref="D1598:Y1598" si="704">D1602+D1599</f>
        <v>653721.03885963315</v>
      </c>
      <c r="E1598" s="1268">
        <f t="shared" si="704"/>
        <v>0</v>
      </c>
      <c r="F1598" s="1268">
        <f t="shared" si="704"/>
        <v>0</v>
      </c>
      <c r="G1598" s="1268">
        <f t="shared" si="704"/>
        <v>0</v>
      </c>
      <c r="H1598" s="1268">
        <f t="shared" si="704"/>
        <v>0</v>
      </c>
      <c r="I1598" s="1268">
        <f t="shared" si="704"/>
        <v>0</v>
      </c>
      <c r="J1598" s="1268">
        <f t="shared" si="704"/>
        <v>653721.03885963315</v>
      </c>
      <c r="K1598" s="1278">
        <f t="shared" si="704"/>
        <v>0</v>
      </c>
      <c r="L1598" s="1268">
        <f t="shared" si="704"/>
        <v>0</v>
      </c>
      <c r="M1598" s="1278">
        <f t="shared" si="704"/>
        <v>0</v>
      </c>
      <c r="N1598" s="1268">
        <f t="shared" si="704"/>
        <v>0</v>
      </c>
      <c r="O1598" s="1268">
        <f t="shared" si="704"/>
        <v>695</v>
      </c>
      <c r="P1598" s="1268">
        <f t="shared" si="704"/>
        <v>2062582.5538405664</v>
      </c>
      <c r="Q1598" s="1268">
        <f t="shared" si="704"/>
        <v>0</v>
      </c>
      <c r="R1598" s="1268">
        <f t="shared" si="704"/>
        <v>0</v>
      </c>
      <c r="S1598" s="1268">
        <f t="shared" si="704"/>
        <v>0</v>
      </c>
      <c r="T1598" s="1268">
        <f t="shared" si="704"/>
        <v>0</v>
      </c>
      <c r="U1598" s="1268">
        <f t="shared" si="704"/>
        <v>0</v>
      </c>
      <c r="V1598" s="1268">
        <f t="shared" si="704"/>
        <v>0</v>
      </c>
      <c r="W1598" s="1268">
        <v>0</v>
      </c>
      <c r="X1598" s="1268">
        <f t="shared" si="704"/>
        <v>212751.40729980025</v>
      </c>
      <c r="Y1598" s="1268">
        <f t="shared" si="704"/>
        <v>0</v>
      </c>
    </row>
    <row r="1599" spans="1:25" s="1277" customFormat="1" ht="113.4">
      <c r="A1599" s="1396"/>
      <c r="B1599" s="1277" t="s">
        <v>1101</v>
      </c>
      <c r="C1599" s="1268">
        <f>C1600+C1601</f>
        <v>2224132</v>
      </c>
      <c r="D1599" s="1268">
        <f t="shared" ref="D1599:Y1599" si="705">D1600+D1601</f>
        <v>0</v>
      </c>
      <c r="E1599" s="1268">
        <f t="shared" si="705"/>
        <v>0</v>
      </c>
      <c r="F1599" s="1268">
        <f t="shared" si="705"/>
        <v>0</v>
      </c>
      <c r="G1599" s="1268">
        <f t="shared" si="705"/>
        <v>0</v>
      </c>
      <c r="H1599" s="1268">
        <f t="shared" si="705"/>
        <v>0</v>
      </c>
      <c r="I1599" s="1268">
        <f t="shared" si="705"/>
        <v>0</v>
      </c>
      <c r="J1599" s="1268">
        <f t="shared" si="705"/>
        <v>0</v>
      </c>
      <c r="K1599" s="1278">
        <f t="shared" si="705"/>
        <v>0</v>
      </c>
      <c r="L1599" s="1268">
        <f t="shared" si="705"/>
        <v>0</v>
      </c>
      <c r="M1599" s="1278">
        <f t="shared" si="705"/>
        <v>0</v>
      </c>
      <c r="N1599" s="1268">
        <f t="shared" si="705"/>
        <v>0</v>
      </c>
      <c r="O1599" s="1268">
        <f t="shared" si="705"/>
        <v>695</v>
      </c>
      <c r="P1599" s="1268">
        <f t="shared" si="705"/>
        <v>2062582.5538405664</v>
      </c>
      <c r="Q1599" s="1268">
        <f t="shared" si="705"/>
        <v>0</v>
      </c>
      <c r="R1599" s="1268">
        <f t="shared" si="705"/>
        <v>0</v>
      </c>
      <c r="S1599" s="1268">
        <f t="shared" si="705"/>
        <v>0</v>
      </c>
      <c r="T1599" s="1268">
        <f t="shared" si="705"/>
        <v>0</v>
      </c>
      <c r="U1599" s="1268">
        <f t="shared" si="705"/>
        <v>0</v>
      </c>
      <c r="V1599" s="1268">
        <f t="shared" si="705"/>
        <v>0</v>
      </c>
      <c r="W1599" s="1268">
        <v>0</v>
      </c>
      <c r="X1599" s="1268">
        <f t="shared" si="705"/>
        <v>161549.44615943346</v>
      </c>
      <c r="Y1599" s="1268">
        <f t="shared" si="705"/>
        <v>0</v>
      </c>
    </row>
    <row r="1600" spans="1:25" s="1277" customFormat="1">
      <c r="A1600" s="1396">
        <v>628</v>
      </c>
      <c r="B1600" s="1277" t="s">
        <v>596</v>
      </c>
      <c r="C1600" s="1268">
        <f t="shared" ref="C1600" si="706">D1600+N1600+P1600+R1600+T1600+V1600+X1600</f>
        <v>1439531</v>
      </c>
      <c r="D1600" s="1268">
        <f t="shared" ref="D1600" si="707">SUM(E1600:J1600)</f>
        <v>0</v>
      </c>
      <c r="E1600" s="1268">
        <v>0</v>
      </c>
      <c r="F1600" s="1268">
        <v>0</v>
      </c>
      <c r="G1600" s="1268">
        <v>0</v>
      </c>
      <c r="H1600" s="1268">
        <v>0</v>
      </c>
      <c r="I1600" s="1268">
        <v>0</v>
      </c>
      <c r="J1600" s="1268">
        <v>0</v>
      </c>
      <c r="K1600" s="1278">
        <v>0</v>
      </c>
      <c r="L1600" s="1268">
        <v>0</v>
      </c>
      <c r="M1600" s="1278">
        <v>0</v>
      </c>
      <c r="N1600" s="1268">
        <v>0</v>
      </c>
      <c r="O1600" s="1268">
        <v>450</v>
      </c>
      <c r="P1600" s="1268">
        <v>1334970.9128382059</v>
      </c>
      <c r="Q1600" s="1268">
        <v>0</v>
      </c>
      <c r="R1600" s="1268">
        <v>0</v>
      </c>
      <c r="S1600" s="1268">
        <v>0</v>
      </c>
      <c r="T1600" s="1268">
        <v>0</v>
      </c>
      <c r="U1600" s="1268">
        <v>0</v>
      </c>
      <c r="V1600" s="1268">
        <v>0</v>
      </c>
      <c r="W1600" s="1268">
        <v>0</v>
      </c>
      <c r="X1600" s="1268">
        <v>104560.08716179409</v>
      </c>
      <c r="Y1600" s="1268">
        <v>0</v>
      </c>
    </row>
    <row r="1601" spans="1:25" s="1277" customFormat="1">
      <c r="A1601" s="1396">
        <v>629</v>
      </c>
      <c r="B1601" s="1277" t="s">
        <v>497</v>
      </c>
      <c r="C1601" s="1268">
        <f t="shared" ref="C1601" si="708">D1601+N1601+P1601+R1601+T1601+V1601+X1601</f>
        <v>784601</v>
      </c>
      <c r="D1601" s="1268">
        <f t="shared" ref="D1601" si="709">SUM(E1601:J1601)</f>
        <v>0</v>
      </c>
      <c r="E1601" s="1268">
        <v>0</v>
      </c>
      <c r="F1601" s="1268">
        <v>0</v>
      </c>
      <c r="G1601" s="1268">
        <v>0</v>
      </c>
      <c r="H1601" s="1268">
        <v>0</v>
      </c>
      <c r="I1601" s="1268">
        <v>0</v>
      </c>
      <c r="J1601" s="1268">
        <v>0</v>
      </c>
      <c r="K1601" s="1278">
        <v>0</v>
      </c>
      <c r="L1601" s="1268">
        <v>0</v>
      </c>
      <c r="M1601" s="1278">
        <v>0</v>
      </c>
      <c r="N1601" s="1268">
        <v>0</v>
      </c>
      <c r="O1601" s="1268">
        <v>245</v>
      </c>
      <c r="P1601" s="1268">
        <v>727611.64100236061</v>
      </c>
      <c r="Q1601" s="1268">
        <v>0</v>
      </c>
      <c r="R1601" s="1268">
        <v>0</v>
      </c>
      <c r="S1601" s="1268">
        <v>0</v>
      </c>
      <c r="T1601" s="1268">
        <v>0</v>
      </c>
      <c r="U1601" s="1268">
        <v>0</v>
      </c>
      <c r="V1601" s="1268">
        <v>0</v>
      </c>
      <c r="W1601" s="1268">
        <v>0</v>
      </c>
      <c r="X1601" s="1268">
        <v>56989.358997639371</v>
      </c>
      <c r="Y1601" s="1268">
        <v>0</v>
      </c>
    </row>
    <row r="1602" spans="1:25" s="1277" customFormat="1" ht="75.599999999999994">
      <c r="A1602" s="1396"/>
      <c r="B1602" s="1277" t="s">
        <v>1100</v>
      </c>
      <c r="C1602" s="1268">
        <f>C1603+C1604</f>
        <v>704923</v>
      </c>
      <c r="D1602" s="1268">
        <f t="shared" ref="D1602:Y1602" si="710">D1603+D1604</f>
        <v>653721.03885963315</v>
      </c>
      <c r="E1602" s="1268">
        <f t="shared" si="710"/>
        <v>0</v>
      </c>
      <c r="F1602" s="1268">
        <f t="shared" si="710"/>
        <v>0</v>
      </c>
      <c r="G1602" s="1268">
        <f t="shared" si="710"/>
        <v>0</v>
      </c>
      <c r="H1602" s="1268">
        <f t="shared" si="710"/>
        <v>0</v>
      </c>
      <c r="I1602" s="1268">
        <f t="shared" si="710"/>
        <v>0</v>
      </c>
      <c r="J1602" s="1268">
        <f t="shared" si="710"/>
        <v>653721.03885963315</v>
      </c>
      <c r="K1602" s="1278">
        <f t="shared" si="710"/>
        <v>0</v>
      </c>
      <c r="L1602" s="1268">
        <f t="shared" si="710"/>
        <v>0</v>
      </c>
      <c r="M1602" s="1278">
        <f t="shared" si="710"/>
        <v>0</v>
      </c>
      <c r="N1602" s="1268">
        <f t="shared" si="710"/>
        <v>0</v>
      </c>
      <c r="O1602" s="1268">
        <f t="shared" si="710"/>
        <v>0</v>
      </c>
      <c r="P1602" s="1268">
        <f t="shared" si="710"/>
        <v>0</v>
      </c>
      <c r="Q1602" s="1268">
        <f t="shared" si="710"/>
        <v>0</v>
      </c>
      <c r="R1602" s="1268">
        <f t="shared" si="710"/>
        <v>0</v>
      </c>
      <c r="S1602" s="1268">
        <f t="shared" si="710"/>
        <v>0</v>
      </c>
      <c r="T1602" s="1268">
        <f t="shared" si="710"/>
        <v>0</v>
      </c>
      <c r="U1602" s="1268">
        <f t="shared" si="710"/>
        <v>0</v>
      </c>
      <c r="V1602" s="1268">
        <f t="shared" si="710"/>
        <v>0</v>
      </c>
      <c r="W1602" s="1268">
        <v>0</v>
      </c>
      <c r="X1602" s="1268">
        <f t="shared" si="710"/>
        <v>51201.96114036681</v>
      </c>
      <c r="Y1602" s="1268">
        <f t="shared" si="710"/>
        <v>0</v>
      </c>
    </row>
    <row r="1603" spans="1:25" s="1277" customFormat="1">
      <c r="A1603" s="1396">
        <v>630</v>
      </c>
      <c r="B1603" s="1277" t="s">
        <v>643</v>
      </c>
      <c r="C1603" s="1268">
        <f t="shared" ref="C1603:C1604" si="711">D1603+N1603+P1603+R1603+T1603+V1603+X1603</f>
        <v>357985</v>
      </c>
      <c r="D1603" s="1268">
        <f t="shared" ref="D1603:D1604" si="712">SUM(E1603:J1603)</f>
        <v>331982.82095514797</v>
      </c>
      <c r="E1603" s="1268">
        <v>0</v>
      </c>
      <c r="F1603" s="1268">
        <v>0</v>
      </c>
      <c r="G1603" s="1268">
        <v>0</v>
      </c>
      <c r="H1603" s="1268">
        <v>0</v>
      </c>
      <c r="I1603" s="1268">
        <v>0</v>
      </c>
      <c r="J1603" s="1268">
        <v>331982.82095514797</v>
      </c>
      <c r="K1603" s="1278">
        <v>0</v>
      </c>
      <c r="L1603" s="1268">
        <v>0</v>
      </c>
      <c r="M1603" s="1278">
        <v>0</v>
      </c>
      <c r="N1603" s="1268">
        <v>0</v>
      </c>
      <c r="O1603" s="1268">
        <v>0</v>
      </c>
      <c r="P1603" s="1268">
        <v>0</v>
      </c>
      <c r="Q1603" s="1268">
        <v>0</v>
      </c>
      <c r="R1603" s="1268">
        <v>0</v>
      </c>
      <c r="S1603" s="1268">
        <v>0</v>
      </c>
      <c r="T1603" s="1268">
        <v>0</v>
      </c>
      <c r="U1603" s="1268">
        <v>0</v>
      </c>
      <c r="V1603" s="1268">
        <v>0</v>
      </c>
      <c r="W1603" s="1268">
        <v>0</v>
      </c>
      <c r="X1603" s="1268">
        <v>26002.179044852008</v>
      </c>
      <c r="Y1603" s="1268">
        <v>0</v>
      </c>
    </row>
    <row r="1604" spans="1:25" s="1277" customFormat="1">
      <c r="A1604" s="1396">
        <v>631</v>
      </c>
      <c r="B1604" s="1277" t="s">
        <v>642</v>
      </c>
      <c r="C1604" s="1268">
        <f t="shared" si="711"/>
        <v>346938</v>
      </c>
      <c r="D1604" s="1268">
        <f t="shared" si="712"/>
        <v>321738.21790448518</v>
      </c>
      <c r="E1604" s="1268">
        <v>0</v>
      </c>
      <c r="F1604" s="1268">
        <v>0</v>
      </c>
      <c r="G1604" s="1268">
        <v>0</v>
      </c>
      <c r="H1604" s="1268">
        <v>0</v>
      </c>
      <c r="I1604" s="1268">
        <v>0</v>
      </c>
      <c r="J1604" s="1268">
        <v>321738.21790448518</v>
      </c>
      <c r="K1604" s="1278">
        <v>0</v>
      </c>
      <c r="L1604" s="1268">
        <v>0</v>
      </c>
      <c r="M1604" s="1278">
        <v>0</v>
      </c>
      <c r="N1604" s="1268">
        <v>0</v>
      </c>
      <c r="O1604" s="1268">
        <v>0</v>
      </c>
      <c r="P1604" s="1268">
        <v>0</v>
      </c>
      <c r="Q1604" s="1268">
        <v>0</v>
      </c>
      <c r="R1604" s="1268">
        <v>0</v>
      </c>
      <c r="S1604" s="1268">
        <v>0</v>
      </c>
      <c r="T1604" s="1268">
        <v>0</v>
      </c>
      <c r="U1604" s="1268">
        <v>0</v>
      </c>
      <c r="V1604" s="1268">
        <v>0</v>
      </c>
      <c r="W1604" s="1268">
        <v>0</v>
      </c>
      <c r="X1604" s="1268">
        <v>25199.782095514798</v>
      </c>
      <c r="Y1604" s="1268">
        <v>0</v>
      </c>
    </row>
    <row r="1605" spans="1:25" s="1277" customFormat="1" ht="130.19999999999999" customHeight="1">
      <c r="A1605" s="1396"/>
      <c r="B1605" s="1277" t="s">
        <v>1161</v>
      </c>
      <c r="C1605" s="1268">
        <f>SUM(C1606:C1606)</f>
        <v>12132544</v>
      </c>
      <c r="D1605" s="1268">
        <f t="shared" ref="D1605:Y1605" si="713">SUM(D1606:D1606)</f>
        <v>0</v>
      </c>
      <c r="E1605" s="1268">
        <f t="shared" si="713"/>
        <v>0</v>
      </c>
      <c r="F1605" s="1268">
        <f t="shared" si="713"/>
        <v>0</v>
      </c>
      <c r="G1605" s="1268">
        <f t="shared" si="713"/>
        <v>0</v>
      </c>
      <c r="H1605" s="1268">
        <f t="shared" si="713"/>
        <v>0</v>
      </c>
      <c r="I1605" s="1268">
        <f t="shared" si="713"/>
        <v>0</v>
      </c>
      <c r="J1605" s="1268">
        <f t="shared" si="713"/>
        <v>0</v>
      </c>
      <c r="K1605" s="1278">
        <f t="shared" si="713"/>
        <v>0</v>
      </c>
      <c r="L1605" s="1268">
        <f t="shared" si="713"/>
        <v>0</v>
      </c>
      <c r="M1605" s="1278">
        <f t="shared" si="713"/>
        <v>0</v>
      </c>
      <c r="N1605" s="1268">
        <f t="shared" si="713"/>
        <v>0</v>
      </c>
      <c r="O1605" s="1268">
        <f t="shared" si="713"/>
        <v>759</v>
      </c>
      <c r="P1605" s="1268">
        <f t="shared" si="713"/>
        <v>2138764.6800000002</v>
      </c>
      <c r="Q1605" s="1268">
        <f t="shared" si="713"/>
        <v>0</v>
      </c>
      <c r="R1605" s="1268">
        <f t="shared" si="713"/>
        <v>0</v>
      </c>
      <c r="S1605" s="1268">
        <f t="shared" si="713"/>
        <v>3692.72</v>
      </c>
      <c r="T1605" s="1268">
        <f t="shared" si="713"/>
        <v>9112534</v>
      </c>
      <c r="U1605" s="1268">
        <f t="shared" si="713"/>
        <v>0</v>
      </c>
      <c r="V1605" s="1268">
        <f t="shared" si="713"/>
        <v>0</v>
      </c>
      <c r="W1605" s="1268">
        <v>0</v>
      </c>
      <c r="X1605" s="1268">
        <f t="shared" si="713"/>
        <v>881245.32</v>
      </c>
      <c r="Y1605" s="1268">
        <f t="shared" si="713"/>
        <v>0</v>
      </c>
    </row>
    <row r="1606" spans="1:25" s="1277" customFormat="1">
      <c r="A1606" s="1396">
        <v>632</v>
      </c>
      <c r="B1606" s="1267" t="s">
        <v>1557</v>
      </c>
      <c r="C1606" s="1289">
        <f t="shared" ref="C1606" si="714">D1606+N1606+P1606+R1606+T1606+V1606+X1606</f>
        <v>12132544</v>
      </c>
      <c r="D1606" s="1289">
        <f t="shared" ref="D1606" si="715">SUM(E1606:J1606)</f>
        <v>0</v>
      </c>
      <c r="E1606" s="1289">
        <v>0</v>
      </c>
      <c r="F1606" s="1289">
        <v>0</v>
      </c>
      <c r="G1606" s="1289">
        <v>0</v>
      </c>
      <c r="H1606" s="1289">
        <v>0</v>
      </c>
      <c r="I1606" s="1289">
        <v>0</v>
      </c>
      <c r="J1606" s="1289"/>
      <c r="K1606" s="1278">
        <v>0</v>
      </c>
      <c r="L1606" s="1289">
        <v>0</v>
      </c>
      <c r="M1606" s="1278">
        <v>0</v>
      </c>
      <c r="N1606" s="1289">
        <v>0</v>
      </c>
      <c r="O1606" s="1289">
        <v>759</v>
      </c>
      <c r="P1606" s="1289">
        <v>2138764.6800000002</v>
      </c>
      <c r="Q1606" s="1289">
        <v>0</v>
      </c>
      <c r="R1606" s="1289">
        <v>0</v>
      </c>
      <c r="S1606" s="1289">
        <v>3692.72</v>
      </c>
      <c r="T1606" s="1289">
        <v>9112534</v>
      </c>
      <c r="U1606" s="1289">
        <v>0</v>
      </c>
      <c r="V1606" s="1289">
        <v>0</v>
      </c>
      <c r="W1606" s="1268">
        <v>0</v>
      </c>
      <c r="X1606" s="1289">
        <v>881245.32</v>
      </c>
      <c r="Y1606" s="1289">
        <v>0</v>
      </c>
    </row>
    <row r="1607" spans="1:25" s="1277" customFormat="1">
      <c r="A1607" s="1396"/>
      <c r="B1607" s="1277" t="s">
        <v>67</v>
      </c>
      <c r="C1607" s="1268">
        <f>C1610+C1613+C1608</f>
        <v>7537035</v>
      </c>
      <c r="D1607" s="1268">
        <f t="shared" ref="D1607:Y1607" si="716">D1610+D1613+D1608</f>
        <v>0</v>
      </c>
      <c r="E1607" s="1268">
        <f t="shared" si="716"/>
        <v>0</v>
      </c>
      <c r="F1607" s="1268">
        <f t="shared" si="716"/>
        <v>0</v>
      </c>
      <c r="G1607" s="1268">
        <f t="shared" si="716"/>
        <v>0</v>
      </c>
      <c r="H1607" s="1268">
        <f t="shared" si="716"/>
        <v>0</v>
      </c>
      <c r="I1607" s="1268">
        <f t="shared" si="716"/>
        <v>0</v>
      </c>
      <c r="J1607" s="1268">
        <f t="shared" si="716"/>
        <v>0</v>
      </c>
      <c r="K1607" s="1278">
        <f t="shared" si="716"/>
        <v>0</v>
      </c>
      <c r="L1607" s="1268">
        <f t="shared" si="716"/>
        <v>0</v>
      </c>
      <c r="M1607" s="1278">
        <f t="shared" si="716"/>
        <v>0</v>
      </c>
      <c r="N1607" s="1268">
        <f t="shared" si="716"/>
        <v>0</v>
      </c>
      <c r="O1607" s="1268">
        <f t="shared" si="716"/>
        <v>2576.0300000000007</v>
      </c>
      <c r="P1607" s="1268">
        <f t="shared" si="716"/>
        <v>6989584.0899999999</v>
      </c>
      <c r="Q1607" s="1268">
        <f t="shared" si="716"/>
        <v>0</v>
      </c>
      <c r="R1607" s="1268">
        <f t="shared" si="716"/>
        <v>0</v>
      </c>
      <c r="S1607" s="1268">
        <f t="shared" si="716"/>
        <v>0</v>
      </c>
      <c r="T1607" s="1268">
        <f t="shared" si="716"/>
        <v>0</v>
      </c>
      <c r="U1607" s="1268">
        <f t="shared" si="716"/>
        <v>0</v>
      </c>
      <c r="V1607" s="1268">
        <f t="shared" si="716"/>
        <v>0</v>
      </c>
      <c r="W1607" s="1268">
        <v>0</v>
      </c>
      <c r="X1607" s="1268">
        <f t="shared" si="716"/>
        <v>547450.91</v>
      </c>
      <c r="Y1607" s="1268">
        <f t="shared" si="716"/>
        <v>0</v>
      </c>
    </row>
    <row r="1608" spans="1:25" s="1277" customFormat="1" ht="127.8" customHeight="1">
      <c r="A1608" s="1396"/>
      <c r="B1608" s="1277" t="s">
        <v>1604</v>
      </c>
      <c r="C1608" s="1268">
        <f>C1609</f>
        <v>1191810</v>
      </c>
      <c r="D1608" s="1268">
        <f t="shared" ref="D1608:Y1608" si="717">D1609</f>
        <v>0</v>
      </c>
      <c r="E1608" s="1268">
        <f t="shared" si="717"/>
        <v>0</v>
      </c>
      <c r="F1608" s="1268">
        <f t="shared" si="717"/>
        <v>0</v>
      </c>
      <c r="G1608" s="1268">
        <f t="shared" si="717"/>
        <v>0</v>
      </c>
      <c r="H1608" s="1268">
        <f t="shared" si="717"/>
        <v>0</v>
      </c>
      <c r="I1608" s="1268">
        <f t="shared" si="717"/>
        <v>0</v>
      </c>
      <c r="J1608" s="1268">
        <f t="shared" si="717"/>
        <v>0</v>
      </c>
      <c r="K1608" s="1278">
        <f t="shared" si="717"/>
        <v>0</v>
      </c>
      <c r="L1608" s="1268">
        <f t="shared" si="717"/>
        <v>0</v>
      </c>
      <c r="M1608" s="1278">
        <f t="shared" si="717"/>
        <v>0</v>
      </c>
      <c r="N1608" s="1268">
        <f t="shared" si="717"/>
        <v>0</v>
      </c>
      <c r="O1608" s="1268">
        <f t="shared" si="717"/>
        <v>375.8</v>
      </c>
      <c r="P1608" s="1268">
        <f t="shared" si="717"/>
        <v>1105243.0900000001</v>
      </c>
      <c r="Q1608" s="1268">
        <f t="shared" si="717"/>
        <v>0</v>
      </c>
      <c r="R1608" s="1268">
        <f t="shared" si="717"/>
        <v>0</v>
      </c>
      <c r="S1608" s="1268">
        <f t="shared" si="717"/>
        <v>0</v>
      </c>
      <c r="T1608" s="1268">
        <f t="shared" si="717"/>
        <v>0</v>
      </c>
      <c r="U1608" s="1268">
        <f t="shared" si="717"/>
        <v>0</v>
      </c>
      <c r="V1608" s="1268">
        <f t="shared" si="717"/>
        <v>0</v>
      </c>
      <c r="W1608" s="1268">
        <v>0</v>
      </c>
      <c r="X1608" s="1268">
        <f t="shared" si="717"/>
        <v>86566.91</v>
      </c>
      <c r="Y1608" s="1268">
        <f t="shared" si="717"/>
        <v>0</v>
      </c>
    </row>
    <row r="1609" spans="1:25" s="1277" customFormat="1" ht="75.599999999999994">
      <c r="A1609" s="1396">
        <v>633</v>
      </c>
      <c r="B1609" s="1277" t="s">
        <v>1981</v>
      </c>
      <c r="C1609" s="1289">
        <f t="shared" ref="C1609" si="718">D1609+N1609+P1609+R1609+T1609+V1609+X1609</f>
        <v>1191810</v>
      </c>
      <c r="D1609" s="1289">
        <f t="shared" ref="D1609" si="719">SUM(E1609:J1609)</f>
        <v>0</v>
      </c>
      <c r="E1609" s="1268">
        <v>0</v>
      </c>
      <c r="F1609" s="1268">
        <v>0</v>
      </c>
      <c r="G1609" s="1268">
        <v>0</v>
      </c>
      <c r="H1609" s="1268">
        <v>0</v>
      </c>
      <c r="I1609" s="1268">
        <v>0</v>
      </c>
      <c r="J1609" s="1268">
        <v>0</v>
      </c>
      <c r="K1609" s="1278">
        <v>0</v>
      </c>
      <c r="L1609" s="1268">
        <v>0</v>
      </c>
      <c r="M1609" s="1278">
        <v>0</v>
      </c>
      <c r="N1609" s="1268">
        <v>0</v>
      </c>
      <c r="O1609" s="1268">
        <v>375.8</v>
      </c>
      <c r="P1609" s="1268">
        <v>1105243.0900000001</v>
      </c>
      <c r="Q1609" s="1268">
        <v>0</v>
      </c>
      <c r="R1609" s="1268">
        <v>0</v>
      </c>
      <c r="S1609" s="1268">
        <v>0</v>
      </c>
      <c r="T1609" s="1268">
        <v>0</v>
      </c>
      <c r="U1609" s="1268">
        <v>0</v>
      </c>
      <c r="V1609" s="1268">
        <v>0</v>
      </c>
      <c r="W1609" s="1268">
        <v>0</v>
      </c>
      <c r="X1609" s="1268">
        <v>86566.91</v>
      </c>
      <c r="Y1609" s="1268">
        <v>0</v>
      </c>
    </row>
    <row r="1610" spans="1:25" s="1277" customFormat="1" ht="139.80000000000001" customHeight="1">
      <c r="A1610" s="1396"/>
      <c r="B1610" s="1277" t="s">
        <v>1345</v>
      </c>
      <c r="C1610" s="1268">
        <f t="shared" ref="C1610:Y1610" si="720">C1611+C1612</f>
        <v>4719145</v>
      </c>
      <c r="D1610" s="1268">
        <f t="shared" si="720"/>
        <v>0</v>
      </c>
      <c r="E1610" s="1268">
        <f t="shared" si="720"/>
        <v>0</v>
      </c>
      <c r="F1610" s="1268">
        <f t="shared" si="720"/>
        <v>0</v>
      </c>
      <c r="G1610" s="1268">
        <f t="shared" si="720"/>
        <v>0</v>
      </c>
      <c r="H1610" s="1268">
        <f t="shared" si="720"/>
        <v>0</v>
      </c>
      <c r="I1610" s="1268">
        <f t="shared" si="720"/>
        <v>0</v>
      </c>
      <c r="J1610" s="1268">
        <f t="shared" si="720"/>
        <v>0</v>
      </c>
      <c r="K1610" s="1278">
        <f t="shared" si="720"/>
        <v>0</v>
      </c>
      <c r="L1610" s="1268">
        <f t="shared" si="720"/>
        <v>0</v>
      </c>
      <c r="M1610" s="1278">
        <f t="shared" si="720"/>
        <v>0</v>
      </c>
      <c r="N1610" s="1268">
        <f t="shared" si="720"/>
        <v>0</v>
      </c>
      <c r="O1610" s="1268">
        <f t="shared" si="720"/>
        <v>1601.7800000000002</v>
      </c>
      <c r="P1610" s="1268">
        <f t="shared" si="720"/>
        <v>4376371</v>
      </c>
      <c r="Q1610" s="1268">
        <f t="shared" si="720"/>
        <v>0</v>
      </c>
      <c r="R1610" s="1268">
        <f t="shared" si="720"/>
        <v>0</v>
      </c>
      <c r="S1610" s="1268">
        <f t="shared" si="720"/>
        <v>0</v>
      </c>
      <c r="T1610" s="1268">
        <f t="shared" si="720"/>
        <v>0</v>
      </c>
      <c r="U1610" s="1268">
        <f t="shared" si="720"/>
        <v>0</v>
      </c>
      <c r="V1610" s="1268">
        <f t="shared" si="720"/>
        <v>0</v>
      </c>
      <c r="W1610" s="1268">
        <v>0</v>
      </c>
      <c r="X1610" s="1268">
        <f t="shared" si="720"/>
        <v>342774</v>
      </c>
      <c r="Y1610" s="1268">
        <f t="shared" si="720"/>
        <v>0</v>
      </c>
    </row>
    <row r="1611" spans="1:25" s="1277" customFormat="1" ht="126.6" customHeight="1">
      <c r="A1611" s="1396">
        <v>634</v>
      </c>
      <c r="B1611" s="1277" t="s">
        <v>1982</v>
      </c>
      <c r="C1611" s="1268">
        <f>P1611+X1611</f>
        <v>2858799</v>
      </c>
      <c r="D1611" s="1268">
        <v>0</v>
      </c>
      <c r="E1611" s="1268">
        <v>0</v>
      </c>
      <c r="F1611" s="1268">
        <v>0</v>
      </c>
      <c r="G1611" s="1268">
        <v>0</v>
      </c>
      <c r="H1611" s="1268">
        <v>0</v>
      </c>
      <c r="I1611" s="1268">
        <v>0</v>
      </c>
      <c r="J1611" s="1268">
        <v>0</v>
      </c>
      <c r="K1611" s="1278">
        <v>0</v>
      </c>
      <c r="L1611" s="1268">
        <v>0</v>
      </c>
      <c r="M1611" s="1278">
        <v>0</v>
      </c>
      <c r="N1611" s="1268">
        <v>0</v>
      </c>
      <c r="O1611" s="1268">
        <v>1052.1300000000001</v>
      </c>
      <c r="P1611" s="1268">
        <v>2651151</v>
      </c>
      <c r="Q1611" s="1268">
        <v>0</v>
      </c>
      <c r="R1611" s="1268">
        <v>0</v>
      </c>
      <c r="S1611" s="1268">
        <v>0</v>
      </c>
      <c r="T1611" s="1268">
        <v>0</v>
      </c>
      <c r="U1611" s="1268">
        <v>0</v>
      </c>
      <c r="V1611" s="1268">
        <v>0</v>
      </c>
      <c r="W1611" s="1268">
        <v>0</v>
      </c>
      <c r="X1611" s="1268">
        <v>207648</v>
      </c>
      <c r="Y1611" s="1268">
        <v>0</v>
      </c>
    </row>
    <row r="1612" spans="1:25" s="1277" customFormat="1" ht="125.4" customHeight="1">
      <c r="A1612" s="1396">
        <v>635</v>
      </c>
      <c r="B1612" s="1277" t="s">
        <v>1983</v>
      </c>
      <c r="C1612" s="1268">
        <f>P1612+X1612</f>
        <v>1860346</v>
      </c>
      <c r="D1612" s="1268">
        <v>0</v>
      </c>
      <c r="E1612" s="1268">
        <v>0</v>
      </c>
      <c r="F1612" s="1268">
        <v>0</v>
      </c>
      <c r="G1612" s="1268">
        <v>0</v>
      </c>
      <c r="H1612" s="1268">
        <v>0</v>
      </c>
      <c r="I1612" s="1268">
        <v>0</v>
      </c>
      <c r="J1612" s="1268">
        <v>0</v>
      </c>
      <c r="K1612" s="1278">
        <v>0</v>
      </c>
      <c r="L1612" s="1268">
        <v>0</v>
      </c>
      <c r="M1612" s="1278">
        <v>0</v>
      </c>
      <c r="N1612" s="1268">
        <v>0</v>
      </c>
      <c r="O1612" s="1268">
        <v>549.65</v>
      </c>
      <c r="P1612" s="1268">
        <v>1725220</v>
      </c>
      <c r="Q1612" s="1268">
        <v>0</v>
      </c>
      <c r="R1612" s="1268">
        <v>0</v>
      </c>
      <c r="S1612" s="1268">
        <v>0</v>
      </c>
      <c r="T1612" s="1268">
        <v>0</v>
      </c>
      <c r="U1612" s="1268">
        <v>0</v>
      </c>
      <c r="V1612" s="1268">
        <v>0</v>
      </c>
      <c r="W1612" s="1268">
        <v>0</v>
      </c>
      <c r="X1612" s="1268">
        <v>135126</v>
      </c>
      <c r="Y1612" s="1268">
        <v>0</v>
      </c>
    </row>
    <row r="1613" spans="1:25" s="1277" customFormat="1" ht="113.4">
      <c r="A1613" s="1396"/>
      <c r="B1613" s="1277" t="s">
        <v>1219</v>
      </c>
      <c r="C1613" s="1268">
        <f>C1614</f>
        <v>1626080</v>
      </c>
      <c r="D1613" s="1268">
        <f t="shared" ref="D1613:Y1613" si="721">D1614</f>
        <v>0</v>
      </c>
      <c r="E1613" s="1268">
        <f t="shared" si="721"/>
        <v>0</v>
      </c>
      <c r="F1613" s="1268">
        <f t="shared" si="721"/>
        <v>0</v>
      </c>
      <c r="G1613" s="1268">
        <f t="shared" si="721"/>
        <v>0</v>
      </c>
      <c r="H1613" s="1268">
        <f t="shared" si="721"/>
        <v>0</v>
      </c>
      <c r="I1613" s="1268">
        <f t="shared" si="721"/>
        <v>0</v>
      </c>
      <c r="J1613" s="1268">
        <f t="shared" si="721"/>
        <v>0</v>
      </c>
      <c r="K1613" s="1278">
        <v>0</v>
      </c>
      <c r="L1613" s="1268">
        <f t="shared" si="721"/>
        <v>0</v>
      </c>
      <c r="M1613" s="1278">
        <v>0</v>
      </c>
      <c r="N1613" s="1268">
        <f t="shared" si="721"/>
        <v>0</v>
      </c>
      <c r="O1613" s="1268">
        <f t="shared" si="721"/>
        <v>598.45000000000005</v>
      </c>
      <c r="P1613" s="1268">
        <f t="shared" si="721"/>
        <v>1507970</v>
      </c>
      <c r="Q1613" s="1268">
        <f t="shared" si="721"/>
        <v>0</v>
      </c>
      <c r="R1613" s="1268">
        <f t="shared" si="721"/>
        <v>0</v>
      </c>
      <c r="S1613" s="1268">
        <f t="shared" si="721"/>
        <v>0</v>
      </c>
      <c r="T1613" s="1268">
        <f t="shared" si="721"/>
        <v>0</v>
      </c>
      <c r="U1613" s="1268">
        <f t="shared" si="721"/>
        <v>0</v>
      </c>
      <c r="V1613" s="1268">
        <f t="shared" si="721"/>
        <v>0</v>
      </c>
      <c r="W1613" s="1268">
        <v>0</v>
      </c>
      <c r="X1613" s="1268">
        <f t="shared" si="721"/>
        <v>118110</v>
      </c>
      <c r="Y1613" s="1268">
        <f t="shared" si="721"/>
        <v>0</v>
      </c>
    </row>
    <row r="1614" spans="1:25" s="1277" customFormat="1">
      <c r="A1614" s="1396">
        <v>636</v>
      </c>
      <c r="B1614" s="1277" t="s">
        <v>1389</v>
      </c>
      <c r="C1614" s="1268">
        <f>P1614+X1614</f>
        <v>1626080</v>
      </c>
      <c r="D1614" s="1268">
        <v>0</v>
      </c>
      <c r="E1614" s="1289">
        <v>0</v>
      </c>
      <c r="F1614" s="1289">
        <v>0</v>
      </c>
      <c r="G1614" s="1289">
        <v>0</v>
      </c>
      <c r="H1614" s="1289">
        <v>0</v>
      </c>
      <c r="I1614" s="1289">
        <v>0</v>
      </c>
      <c r="J1614" s="1289">
        <v>0</v>
      </c>
      <c r="K1614" s="1278">
        <v>0</v>
      </c>
      <c r="L1614" s="1289">
        <v>0</v>
      </c>
      <c r="M1614" s="1278">
        <v>0</v>
      </c>
      <c r="N1614" s="1289">
        <v>0</v>
      </c>
      <c r="O1614" s="1289">
        <v>598.45000000000005</v>
      </c>
      <c r="P1614" s="1289">
        <v>1507970</v>
      </c>
      <c r="Q1614" s="1289">
        <v>0</v>
      </c>
      <c r="R1614" s="1289">
        <v>0</v>
      </c>
      <c r="S1614" s="1289">
        <v>0</v>
      </c>
      <c r="T1614" s="1289">
        <v>0</v>
      </c>
      <c r="U1614" s="1289">
        <v>0</v>
      </c>
      <c r="V1614" s="1289">
        <v>0</v>
      </c>
      <c r="W1614" s="1268">
        <v>0</v>
      </c>
      <c r="X1614" s="1289">
        <v>118110</v>
      </c>
      <c r="Y1614" s="1289">
        <v>0</v>
      </c>
    </row>
    <row r="1615" spans="1:25" s="1364" customFormat="1" ht="38.4">
      <c r="A1615" s="1576" t="s">
        <v>2299</v>
      </c>
      <c r="B1615" s="1576"/>
      <c r="C1615" s="1576"/>
      <c r="D1615" s="1576"/>
      <c r="E1615" s="1576"/>
      <c r="F1615" s="1576"/>
      <c r="G1615" s="1576"/>
      <c r="H1615" s="1576"/>
      <c r="I1615" s="1576"/>
      <c r="J1615" s="1576"/>
      <c r="K1615" s="1576"/>
      <c r="L1615" s="1576"/>
      <c r="M1615" s="1576"/>
      <c r="N1615" s="1576"/>
      <c r="O1615" s="1576"/>
      <c r="P1615" s="1576"/>
      <c r="Q1615" s="1576"/>
      <c r="R1615" s="1576"/>
      <c r="S1615" s="1576"/>
      <c r="T1615" s="1576"/>
      <c r="U1615" s="1576"/>
      <c r="V1615" s="1576"/>
      <c r="W1615" s="1576"/>
      <c r="X1615" s="1576"/>
      <c r="Y1615" s="1576"/>
    </row>
    <row r="1616" spans="1:25" s="1364" customFormat="1" ht="38.4">
      <c r="A1616" s="1576" t="s">
        <v>2300</v>
      </c>
      <c r="B1616" s="1576"/>
      <c r="C1616" s="1576"/>
      <c r="D1616" s="1576"/>
      <c r="E1616" s="1576"/>
      <c r="F1616" s="1576"/>
      <c r="G1616" s="1576"/>
      <c r="H1616" s="1576"/>
      <c r="I1616" s="1576"/>
      <c r="J1616" s="1576"/>
      <c r="K1616" s="1576"/>
      <c r="L1616" s="1576"/>
      <c r="M1616" s="1576"/>
      <c r="N1616" s="1576"/>
      <c r="O1616" s="1576"/>
      <c r="P1616" s="1576"/>
      <c r="Q1616" s="1576"/>
      <c r="R1616" s="1576"/>
      <c r="S1616" s="1576"/>
      <c r="T1616" s="1576"/>
      <c r="U1616" s="1576"/>
      <c r="V1616" s="1576"/>
      <c r="W1616" s="1576"/>
      <c r="X1616" s="1576"/>
      <c r="Y1616" s="1576"/>
    </row>
    <row r="1617" spans="1:25" s="1364" customFormat="1" ht="45" customHeight="1">
      <c r="A1617" s="1576" t="s">
        <v>2301</v>
      </c>
      <c r="B1617" s="1576"/>
      <c r="C1617" s="1576"/>
      <c r="D1617" s="1576"/>
      <c r="E1617" s="1576"/>
      <c r="F1617" s="1576"/>
      <c r="G1617" s="1576"/>
      <c r="H1617" s="1576"/>
      <c r="I1617" s="1576"/>
      <c r="J1617" s="1576"/>
      <c r="K1617" s="1576"/>
      <c r="L1617" s="1576"/>
      <c r="M1617" s="1576"/>
      <c r="N1617" s="1576"/>
      <c r="O1617" s="1576"/>
      <c r="P1617" s="1576"/>
      <c r="Q1617" s="1576"/>
      <c r="R1617" s="1576"/>
      <c r="S1617" s="1576"/>
      <c r="T1617" s="1576"/>
      <c r="U1617" s="1576"/>
      <c r="V1617" s="1576"/>
      <c r="W1617" s="1576"/>
      <c r="X1617" s="1576"/>
      <c r="Y1617" s="1576"/>
    </row>
    <row r="1618" spans="1:25" s="1364" customFormat="1" ht="132" customHeight="1">
      <c r="A1618" s="1578" t="s">
        <v>2384</v>
      </c>
      <c r="B1618" s="1578"/>
      <c r="C1618" s="1578"/>
      <c r="D1618" s="1578"/>
      <c r="E1618" s="1578"/>
      <c r="F1618" s="1578"/>
      <c r="G1618" s="1578"/>
      <c r="H1618" s="1578"/>
      <c r="I1618" s="1578"/>
      <c r="J1618" s="1578"/>
      <c r="K1618" s="1578"/>
      <c r="L1618" s="1578"/>
      <c r="M1618" s="1578"/>
      <c r="N1618" s="1578"/>
      <c r="O1618" s="1578"/>
      <c r="P1618" s="1578"/>
      <c r="Q1618" s="1578"/>
      <c r="R1618" s="1578"/>
      <c r="S1618" s="1578"/>
      <c r="T1618" s="1578"/>
      <c r="U1618" s="1578"/>
      <c r="V1618" s="1578"/>
      <c r="W1618" s="1578"/>
      <c r="X1618" s="1578"/>
      <c r="Y1618" s="1578"/>
    </row>
    <row r="1619" spans="1:25">
      <c r="A1619" s="1579" t="s">
        <v>2387</v>
      </c>
      <c r="B1619" s="1579"/>
      <c r="C1619" s="1579"/>
      <c r="D1619" s="1579"/>
      <c r="E1619" s="1579"/>
      <c r="F1619" s="1579"/>
      <c r="G1619" s="1579"/>
      <c r="H1619" s="1579"/>
      <c r="I1619" s="1579"/>
      <c r="J1619" s="1579"/>
      <c r="K1619" s="1579"/>
      <c r="L1619" s="1579"/>
      <c r="M1619" s="1579"/>
      <c r="N1619" s="1579"/>
      <c r="O1619" s="1579"/>
      <c r="P1619" s="1579"/>
      <c r="Q1619" s="1579"/>
      <c r="R1619" s="1579"/>
      <c r="S1619" s="1579"/>
      <c r="T1619" s="1579"/>
      <c r="U1619" s="1579"/>
      <c r="V1619" s="1579"/>
      <c r="W1619" s="1579"/>
      <c r="X1619" s="1579"/>
      <c r="Y1619" s="1579"/>
    </row>
    <row r="1620" spans="1:25">
      <c r="A1620" s="1579"/>
      <c r="B1620" s="1579"/>
      <c r="C1620" s="1579"/>
      <c r="D1620" s="1579"/>
      <c r="E1620" s="1579"/>
      <c r="F1620" s="1579"/>
      <c r="G1620" s="1579"/>
      <c r="H1620" s="1579"/>
      <c r="I1620" s="1579"/>
      <c r="J1620" s="1579"/>
      <c r="K1620" s="1579"/>
      <c r="L1620" s="1579"/>
      <c r="M1620" s="1579"/>
      <c r="N1620" s="1579"/>
      <c r="O1620" s="1579"/>
      <c r="P1620" s="1579"/>
      <c r="Q1620" s="1579"/>
      <c r="R1620" s="1579"/>
      <c r="S1620" s="1579"/>
      <c r="T1620" s="1579"/>
      <c r="U1620" s="1579"/>
      <c r="V1620" s="1579"/>
      <c r="W1620" s="1579"/>
      <c r="X1620" s="1579"/>
      <c r="Y1620" s="1579"/>
    </row>
    <row r="1621" spans="1:25">
      <c r="A1621" s="1577"/>
      <c r="B1621" s="1577"/>
      <c r="C1621" s="1577"/>
      <c r="D1621" s="1577"/>
      <c r="E1621" s="1577"/>
      <c r="F1621" s="1577"/>
      <c r="G1621" s="1577"/>
      <c r="H1621" s="1577"/>
      <c r="I1621" s="1577"/>
      <c r="J1621" s="1577"/>
      <c r="K1621" s="1577"/>
      <c r="L1621" s="1577"/>
      <c r="M1621" s="1577"/>
      <c r="N1621" s="1577"/>
      <c r="O1621" s="1577"/>
      <c r="P1621" s="1577"/>
      <c r="Q1621" s="1577"/>
      <c r="R1621" s="1577"/>
      <c r="S1621" s="1577"/>
      <c r="T1621" s="1577"/>
      <c r="U1621" s="1577"/>
      <c r="V1621" s="1577"/>
      <c r="W1621" s="1577"/>
      <c r="X1621" s="1577"/>
      <c r="Y1621" s="1577"/>
    </row>
    <row r="1622" spans="1:25">
      <c r="A1622" s="1577"/>
      <c r="B1622" s="1577"/>
      <c r="C1622" s="1577"/>
      <c r="D1622" s="1577"/>
      <c r="E1622" s="1577"/>
      <c r="F1622" s="1577"/>
      <c r="G1622" s="1577"/>
      <c r="H1622" s="1577"/>
      <c r="I1622" s="1577"/>
      <c r="J1622" s="1577"/>
      <c r="K1622" s="1577"/>
      <c r="L1622" s="1577"/>
      <c r="M1622" s="1577"/>
      <c r="N1622" s="1577"/>
      <c r="O1622" s="1577"/>
      <c r="P1622" s="1577"/>
      <c r="Q1622" s="1577"/>
      <c r="R1622" s="1577"/>
      <c r="S1622" s="1577"/>
      <c r="T1622" s="1577"/>
      <c r="U1622" s="1577"/>
      <c r="V1622" s="1577"/>
      <c r="W1622" s="1577"/>
      <c r="X1622" s="1577"/>
      <c r="Y1622" s="1577"/>
    </row>
    <row r="1623" spans="1:25">
      <c r="A1623" s="1577"/>
      <c r="B1623" s="1577"/>
      <c r="C1623" s="1577"/>
      <c r="D1623" s="1577"/>
      <c r="E1623" s="1577"/>
      <c r="F1623" s="1577"/>
      <c r="G1623" s="1577"/>
      <c r="H1623" s="1577"/>
      <c r="I1623" s="1577"/>
      <c r="J1623" s="1577"/>
      <c r="K1623" s="1577"/>
      <c r="L1623" s="1577"/>
      <c r="M1623" s="1577"/>
      <c r="N1623" s="1577"/>
      <c r="O1623" s="1577"/>
      <c r="P1623" s="1577"/>
      <c r="Q1623" s="1577"/>
      <c r="R1623" s="1577"/>
      <c r="S1623" s="1577"/>
      <c r="T1623" s="1577"/>
      <c r="U1623" s="1577"/>
      <c r="V1623" s="1577"/>
      <c r="W1623" s="1577"/>
      <c r="X1623" s="1577"/>
      <c r="Y1623" s="1577"/>
    </row>
  </sheetData>
  <autoFilter ref="A7:Y1168"/>
  <sortState ref="B1754:AK1760">
    <sortCondition ref="B851:B857"/>
  </sortState>
  <dataConsolidate/>
  <customSheetViews>
    <customSheetView guid="{971AA6D5-B469-4A54-816C-1252CCB6D265}" scale="55" showPageBreaks="1" fitToPage="1" printArea="1" showAutoFilter="1" view="pageBreakPreview">
      <pane ySplit="7" topLeftCell="A583" activePane="bottomLeft" state="frozen"/>
      <selection pane="bottomLeft" activeCell="A589" sqref="A589:X589"/>
      <pageMargins left="0.39370078740157483" right="0.31" top="0.74803149606299213" bottom="0.43307086614173229" header="0.51181102362204722" footer="0.31496062992125984"/>
      <printOptions horizontalCentered="1"/>
      <pageSetup paperSize="9" scale="32" firstPageNumber="59" fitToHeight="0" orientation="landscape" useFirstPageNumber="1" r:id="rId1"/>
      <headerFooter>
        <oddHeader>&amp;C&amp;"Times New Roman,обычный"&amp;18&amp;P</oddHeader>
      </headerFooter>
      <autoFilter ref="A7:AE1458"/>
    </customSheetView>
    <customSheetView guid="{DFE5B545-478C-4B86-847C-1FEE882C6F69}" scale="55" showPageBreaks="1" fitToPage="1" printArea="1" showAutoFilter="1" view="pageBreakPreview" topLeftCell="G1">
      <pane ySplit="7" topLeftCell="A41" activePane="bottomLeft" state="frozen"/>
      <selection pane="bottomLeft" activeCell="A55" sqref="A55:XFD55"/>
      <pageMargins left="0.39370078740157483" right="0.19685039370078741" top="1.1811023622047245" bottom="0.59055118110236227" header="0.51181102362204722" footer="0.31496062992125984"/>
      <printOptions horizontalCentered="1"/>
      <pageSetup paperSize="9" scale="20" firstPageNumber="50" fitToHeight="0" orientation="landscape" useFirstPageNumber="1" r:id="rId2"/>
      <headerFooter>
        <oddHeader>&amp;C&amp;"Times New Roman,обычный"&amp;18&amp;P</oddHeader>
      </headerFooter>
      <autoFilter ref="A7:AQ1601"/>
    </customSheetView>
    <customSheetView guid="{4C44C113-DA02-468D-99C5-83FA6693F42F}" scale="55" showPageBreaks="1" fitToPage="1" printArea="1" showAutoFilter="1" view="pageBreakPreview">
      <pane ySplit="7" topLeftCell="A8" activePane="bottomLeft" state="frozen"/>
      <selection pane="bottomLeft" activeCell="E23" sqref="E23"/>
      <pageMargins left="0.39370078740157483" right="0.19685039370078741" top="1.1811023622047245" bottom="0.59055118110236227" header="0.51181102362204722" footer="0.31496062992125984"/>
      <printOptions horizontalCentered="1"/>
      <pageSetup paperSize="9" scale="20" firstPageNumber="50" fitToHeight="0" orientation="landscape" useFirstPageNumber="1" r:id="rId3"/>
      <headerFooter>
        <oddHeader>&amp;C&amp;"Times New Roman,обычный"&amp;18&amp;P</oddHeader>
      </headerFooter>
      <autoFilter ref="A7:AQ1601"/>
    </customSheetView>
    <customSheetView guid="{570403C4-1D93-4175-B4D8-BD47D46CE99C}" scale="85" showPageBreaks="1" fitToPage="1" printArea="1" showAutoFilter="1" hiddenColumns="1" view="pageBreakPreview">
      <pane ySplit="7" topLeftCell="A409" activePane="bottomLeft" state="frozen"/>
      <selection pane="bottomLeft" activeCell="B415" sqref="B415"/>
      <pageMargins left="0.39370078740157483" right="0.19685039370078741" top="1.1811023622047245" bottom="0.59055118110236227" header="0.51181102362204722" footer="0.31496062992125984"/>
      <printOptions horizontalCentered="1"/>
      <pageSetup paperSize="9" scale="25" firstPageNumber="50" fitToHeight="0" orientation="landscape" useFirstPageNumber="1" r:id="rId4"/>
      <headerFooter>
        <oddHeader>&amp;C&amp;"Times New Roman,обычный"&amp;18&amp;P</oddHeader>
      </headerFooter>
      <autoFilter ref="A7:AV1601"/>
    </customSheetView>
    <customSheetView guid="{B1841E62-04AF-4786-8B2B-B1F42C88E6D1}" scale="63" showPageBreaks="1" fitToPage="1" printArea="1" showAutoFilter="1" hiddenColumns="1" view="pageBreakPreview">
      <pane ySplit="7" topLeftCell="A741" activePane="bottomLeft" state="frozen"/>
      <selection pane="bottomLeft" activeCell="AC747" sqref="AC747"/>
      <pageMargins left="0.39370078740157483" right="0.19685039370078741" top="1.1811023622047245" bottom="0.59055118110236227" header="0.51181102362204722" footer="0.31496062992125984"/>
      <printOptions horizontalCentered="1"/>
      <pageSetup paperSize="9" scale="25" firstPageNumber="50" fitToHeight="0" orientation="landscape" useFirstPageNumber="1" r:id="rId5"/>
      <headerFooter>
        <oddHeader>&amp;C&amp;"Times New Roman,обычный"&amp;18&amp;P</oddHeader>
      </headerFooter>
      <autoFilter ref="A7:AV1667"/>
    </customSheetView>
    <customSheetView guid="{A28C0ADC-4E0C-4A0A-ACB1-DA409183476D}" scale="80" showPageBreaks="1" fitToPage="1" printArea="1" showAutoFilter="1" hiddenColumns="1" view="pageBreakPreview">
      <pane ySplit="7" topLeftCell="A957" activePane="bottomLeft" state="frozen"/>
      <selection pane="bottomLeft" activeCell="L973" sqref="L973"/>
      <pageMargins left="0.39370078740157483" right="0.19685039370078741" top="1.1811023622047245" bottom="0.59055118110236227" header="0.51181102362204722" footer="0.31496062992125984"/>
      <printOptions horizontalCentered="1"/>
      <pageSetup paperSize="9" scale="25" firstPageNumber="50" fitToHeight="0" orientation="landscape" useFirstPageNumber="1" r:id="rId6"/>
      <headerFooter>
        <oddHeader>&amp;C&amp;"Times New Roman,обычный"&amp;18&amp;P</oddHeader>
      </headerFooter>
      <autoFilter ref="A7:AV1601"/>
    </customSheetView>
    <customSheetView guid="{144E5A37-1CF2-41F0-BEF8-CB5D4D392E2A}" scale="55" showPageBreaks="1" fitToPage="1" printArea="1" showAutoFilter="1" hiddenColumns="1" view="pageBreakPreview">
      <pane ySplit="7" topLeftCell="A1566" activePane="bottomLeft" state="frozen"/>
      <selection pane="bottomLeft" activeCell="B1381" sqref="B1381"/>
      <pageMargins left="0.39370078740157483" right="0.19685039370078741" top="1.1811023622047245" bottom="0.59055118110236227" header="0.51181102362204722" footer="0.31496062992125984"/>
      <printOptions horizontalCentered="1"/>
      <pageSetup paperSize="9" scale="25" firstPageNumber="50" fitToHeight="0" orientation="landscape" useFirstPageNumber="1" r:id="rId7"/>
      <headerFooter>
        <oddHeader>&amp;C&amp;"Times New Roman,обычный"&amp;18&amp;P</oddHeader>
      </headerFooter>
      <autoFilter ref="A7:AV1601"/>
    </customSheetView>
    <customSheetView guid="{7A75CCE7-0E84-47E6-A162-5AC0354F2967}" scale="85" showPageBreaks="1" fitToPage="1" printArea="1" showAutoFilter="1" hiddenColumns="1" view="pageBreakPreview">
      <pane ySplit="7" topLeftCell="A696" activePane="bottomLeft" state="frozen"/>
      <selection pane="bottomLeft" activeCell="F701" sqref="F701"/>
      <pageMargins left="0.39370078740157483" right="0.19685039370078741" top="1.1811023622047245" bottom="0.59055118110236227" header="0.51181102362204722" footer="0.31496062992125984"/>
      <printOptions horizontalCentered="1"/>
      <pageSetup paperSize="9" scale="25" firstPageNumber="50" fitToHeight="0" orientation="landscape" useFirstPageNumber="1" r:id="rId8"/>
      <headerFooter>
        <oddHeader>&amp;C&amp;"Times New Roman,обычный"&amp;18&amp;P</oddHeader>
      </headerFooter>
      <autoFilter ref="A7:AV1601"/>
    </customSheetView>
    <customSheetView guid="{A6187BD3-0BA4-497C-8924-4FA3D77530F0}" scale="85" showPageBreaks="1" fitToPage="1" printArea="1" showAutoFilter="1" hiddenColumns="1" view="pageBreakPreview">
      <pane ySplit="7" topLeftCell="A347" activePane="bottomLeft" state="frozen"/>
      <selection pane="bottomLeft" activeCell="C348" sqref="C348"/>
      <pageMargins left="0.39370078740157483" right="0.19685039370078741" top="1.1811023622047245" bottom="0.59055118110236227" header="0.51181102362204722" footer="0.31496062992125984"/>
      <printOptions horizontalCentered="1"/>
      <pageSetup paperSize="9" scale="25" firstPageNumber="50" fitToHeight="0" orientation="landscape" useFirstPageNumber="1" r:id="rId9"/>
      <headerFooter>
        <oddHeader>&amp;C&amp;"Times New Roman,обычный"&amp;18&amp;P</oddHeader>
      </headerFooter>
      <autoFilter ref="A7:AV1601"/>
    </customSheetView>
    <customSheetView guid="{DC88C499-913F-4D15-846E-E5B9D5E047D7}" scale="70" showPageBreaks="1" fitToPage="1" printArea="1" showAutoFilter="1" view="pageBreakPreview">
      <pane ySplit="7" topLeftCell="A723" activePane="bottomLeft" state="frozen"/>
      <selection pane="bottomLeft" activeCell="F734" sqref="F734"/>
      <rowBreaks count="2" manualBreakCount="2">
        <brk id="1499" max="40" man="1"/>
        <brk id="1599" max="40" man="1"/>
      </rowBreaks>
      <pageMargins left="0.39370078740157483" right="0.19685039370078741" top="1.1811023622047245" bottom="0.59055118110236227" header="0.51181102362204722" footer="0.31496062992125984"/>
      <printOptions horizontalCentered="1"/>
      <pageSetup paperSize="9" scale="22" firstPageNumber="50" fitToHeight="0" orientation="landscape" useFirstPageNumber="1" r:id="rId10"/>
      <headerFooter>
        <oddHeader>&amp;C&amp;"Times New Roman,обычный"&amp;18&amp;P</oddHeader>
      </headerFooter>
      <autoFilter ref="A7:AV1601"/>
    </customSheetView>
  </customSheetViews>
  <mergeCells count="35">
    <mergeCell ref="A1615:Y1615"/>
    <mergeCell ref="A1616:Y1616"/>
    <mergeCell ref="A899:Y899"/>
    <mergeCell ref="A1622:Y1622"/>
    <mergeCell ref="A1623:Y1623"/>
    <mergeCell ref="A1617:Y1617"/>
    <mergeCell ref="A1618:Y1618"/>
    <mergeCell ref="A1619:Y1619"/>
    <mergeCell ref="A1620:Y1620"/>
    <mergeCell ref="A1621:Y1621"/>
    <mergeCell ref="A700:Y700"/>
    <mergeCell ref="A1:V1"/>
    <mergeCell ref="A2:A6"/>
    <mergeCell ref="B2:B6"/>
    <mergeCell ref="C2:C5"/>
    <mergeCell ref="D3:J3"/>
    <mergeCell ref="M3:N5"/>
    <mergeCell ref="O3:P5"/>
    <mergeCell ref="Q3:R5"/>
    <mergeCell ref="S3:T5"/>
    <mergeCell ref="U3:V5"/>
    <mergeCell ref="K3:L5"/>
    <mergeCell ref="D2:Y2"/>
    <mergeCell ref="Y3:Y5"/>
    <mergeCell ref="W3:W5"/>
    <mergeCell ref="I4:I5"/>
    <mergeCell ref="D4:D5"/>
    <mergeCell ref="X3:X5"/>
    <mergeCell ref="J4:J5"/>
    <mergeCell ref="A8:Y8"/>
    <mergeCell ref="A442:Y442"/>
    <mergeCell ref="H4:H5"/>
    <mergeCell ref="G4:G5"/>
    <mergeCell ref="F4:F5"/>
    <mergeCell ref="E4:E5"/>
  </mergeCells>
  <printOptions horizontalCentered="1"/>
  <pageMargins left="0.19685039370078741" right="0.19685039370078741" top="1.1811023622047245" bottom="0.23622047244094491" header="0.70866141732283472" footer="0.31496062992125984"/>
  <pageSetup paperSize="9" scale="17" firstPageNumber="71" fitToHeight="0" orientation="landscape" useFirstPageNumber="1" r:id="rId11"/>
  <headerFooter>
    <oddHeader>&amp;C&amp;"Times New Roman,обычный"&amp;25&amp;P</oddHeader>
  </headerFooter>
  <rowBreaks count="1" manualBreakCount="1">
    <brk id="1553" max="24" man="1"/>
  </rowBreaks>
  <legacyDrawing r:id="rId1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96"/>
  <sheetViews>
    <sheetView view="pageBreakPreview" zoomScale="90" zoomScaleNormal="72" zoomScaleSheetLayoutView="90" workbookViewId="0">
      <pane xSplit="5" ySplit="8" topLeftCell="F281" activePane="bottomRight" state="frozen"/>
      <selection pane="topRight" activeCell="F1" sqref="F1"/>
      <selection pane="bottomLeft" activeCell="A7" sqref="A7"/>
      <selection pane="bottomRight" activeCell="B17" sqref="B17"/>
    </sheetView>
  </sheetViews>
  <sheetFormatPr defaultColWidth="8.88671875" defaultRowHeight="14.4"/>
  <cols>
    <col min="1" max="1" width="5.6640625" style="1239" customWidth="1"/>
    <col min="2" max="2" width="60.5546875" style="11" customWidth="1"/>
    <col min="3" max="3" width="18.6640625" style="1240" customWidth="1"/>
    <col min="4" max="4" width="25.88671875" style="1241" customWidth="1"/>
    <col min="5" max="5" width="24" style="1242" customWidth="1"/>
    <col min="6" max="6" width="29.5546875" style="11" customWidth="1"/>
    <col min="7" max="16384" width="8.88671875" style="11"/>
  </cols>
  <sheetData>
    <row r="1" spans="1:14" ht="39" customHeight="1">
      <c r="A1" s="1581" t="s">
        <v>124</v>
      </c>
      <c r="B1" s="1581"/>
      <c r="C1" s="1581"/>
      <c r="D1" s="1581"/>
      <c r="E1" s="1581"/>
      <c r="F1" s="1581"/>
    </row>
    <row r="2" spans="1:14" ht="62.25" customHeight="1">
      <c r="A2" s="1582" t="s">
        <v>1122</v>
      </c>
      <c r="B2" s="1582" t="s">
        <v>1184</v>
      </c>
      <c r="C2" s="1583" t="s">
        <v>460</v>
      </c>
      <c r="D2" s="1584" t="s">
        <v>441</v>
      </c>
      <c r="E2" s="1585" t="s">
        <v>1151</v>
      </c>
      <c r="F2" s="1587" t="s">
        <v>7</v>
      </c>
    </row>
    <row r="3" spans="1:14" ht="7.95" customHeight="1">
      <c r="A3" s="1582"/>
      <c r="B3" s="1582"/>
      <c r="C3" s="1583"/>
      <c r="D3" s="1584"/>
      <c r="E3" s="1586"/>
      <c r="F3" s="1588"/>
    </row>
    <row r="4" spans="1:14">
      <c r="A4" s="1582"/>
      <c r="B4" s="1582"/>
      <c r="C4" s="1220" t="s">
        <v>21</v>
      </c>
      <c r="D4" s="1221" t="s">
        <v>16</v>
      </c>
      <c r="E4" s="1222" t="s">
        <v>23</v>
      </c>
      <c r="F4" s="1223" t="s">
        <v>17</v>
      </c>
    </row>
    <row r="5" spans="1:14" ht="12.75" customHeight="1">
      <c r="A5" s="1224">
        <v>1</v>
      </c>
      <c r="B5" s="1224">
        <v>2</v>
      </c>
      <c r="C5" s="1225">
        <v>3</v>
      </c>
      <c r="D5" s="1226">
        <v>4</v>
      </c>
      <c r="E5" s="1225">
        <v>5</v>
      </c>
      <c r="F5" s="1224">
        <v>6</v>
      </c>
    </row>
    <row r="6" spans="1:14" ht="15" customHeight="1">
      <c r="A6" s="1589" t="s">
        <v>205</v>
      </c>
      <c r="B6" s="1590"/>
      <c r="C6" s="1590"/>
      <c r="D6" s="1590"/>
      <c r="E6" s="1590"/>
      <c r="F6" s="1591"/>
      <c r="N6" s="11" t="s">
        <v>2031</v>
      </c>
    </row>
    <row r="7" spans="1:14" ht="15" customHeight="1">
      <c r="A7" s="1243"/>
      <c r="B7" s="1228" t="s">
        <v>205</v>
      </c>
      <c r="C7" s="4">
        <f>C9+C97+C159+C218</f>
        <v>3279853.419999999</v>
      </c>
      <c r="D7" s="1221">
        <f t="shared" ref="D7:F7" si="0">D9+D97+D159+D218</f>
        <v>117989</v>
      </c>
      <c r="E7" s="1221">
        <f t="shared" si="0"/>
        <v>1318</v>
      </c>
      <c r="F7" s="1230">
        <f t="shared" si="0"/>
        <v>4314282777.8039999</v>
      </c>
    </row>
    <row r="8" spans="1:14" s="1227" customFormat="1" ht="16.95" customHeight="1">
      <c r="A8" s="1580" t="s">
        <v>1243</v>
      </c>
      <c r="B8" s="1580"/>
      <c r="C8" s="1580"/>
      <c r="D8" s="1580"/>
      <c r="E8" s="1580"/>
      <c r="F8" s="1580"/>
    </row>
    <row r="9" spans="1:14" s="1227" customFormat="1" ht="16.95" customHeight="1">
      <c r="A9" s="1223"/>
      <c r="B9" s="1228" t="s">
        <v>42</v>
      </c>
      <c r="C9" s="4">
        <f>C10+C11+C12+C13+C14+C15+C16+C17+C19+C21+C24+C25+C27+C28+C30+C40+C42+C43+C47+C54+C55+C57+C58+C63+C67+C69+C70+C71+C72+C73+C75+C78+C79+C80+C82+C84+C87+C89+C91+C92</f>
        <v>739566.04999999981</v>
      </c>
      <c r="D9" s="1229">
        <f>D10+D11+D12+D13+D14+D15+D16+D17+D19+D21+D24+D25+D27+D28+D30+D40+D42+D43+D47+D54+D55+D57+D58+D63+D67+D69+D70+D71+D72+D73+D75+D78+D79+D80+D82+D84+D87+D89+D91+D92</f>
        <v>26190</v>
      </c>
      <c r="E9" s="1229">
        <f>E10+E11+E12+E13+E14+E15+E16+E17+E19+E21+E24+E25+E27+E28+E30+E40+E42+E43+E47+E54+E55+E57+E58+E63+E67+E69+E70+E71+E72+E73+E75+E78+E79+E80+E82+E84+E87+E89+E91+E92</f>
        <v>346</v>
      </c>
      <c r="F9" s="1230">
        <f>F10+F11+F12+F13+F14+F15+F16+F17+F19+F21+F24+F25+F27+F28+F30+F40+F42+F43+F47+F54+F55+F57+F58+F63+F67+F69+F70+F71+F72+F73+F75+F78+F79+F80+F82+F84+F87+F89+F91+F92</f>
        <v>1009644760.37</v>
      </c>
    </row>
    <row r="10" spans="1:14" s="1227" customFormat="1" ht="16.95" customHeight="1">
      <c r="A10" s="1223">
        <v>1</v>
      </c>
      <c r="B10" s="1228" t="s">
        <v>1103</v>
      </c>
      <c r="C10" s="4">
        <f>'2-70'!H17</f>
        <v>285838.96000000008</v>
      </c>
      <c r="D10" s="1229">
        <f>'2-70'!K17</f>
        <v>10022</v>
      </c>
      <c r="E10" s="1229">
        <v>81</v>
      </c>
      <c r="F10" s="1230">
        <f>'2-70'!L17</f>
        <v>353984333</v>
      </c>
    </row>
    <row r="11" spans="1:14" s="1227" customFormat="1" ht="16.95" customHeight="1">
      <c r="A11" s="1223">
        <v>2</v>
      </c>
      <c r="B11" s="1228" t="s">
        <v>1619</v>
      </c>
      <c r="C11" s="4">
        <f>'2-70'!H99</f>
        <v>34653.710000000006</v>
      </c>
      <c r="D11" s="1229">
        <f>'2-70'!K99</f>
        <v>1283</v>
      </c>
      <c r="E11" s="1229">
        <v>36</v>
      </c>
      <c r="F11" s="1230">
        <f>'2-70'!L99</f>
        <v>64404784</v>
      </c>
    </row>
    <row r="12" spans="1:14" s="1227" customFormat="1" ht="16.95" customHeight="1">
      <c r="A12" s="1223">
        <v>3</v>
      </c>
      <c r="B12" s="1228" t="s">
        <v>1072</v>
      </c>
      <c r="C12" s="4">
        <f>'2-70'!H136</f>
        <v>2414.6</v>
      </c>
      <c r="D12" s="1229">
        <f>'2-70'!K136</f>
        <v>115</v>
      </c>
      <c r="E12" s="1229">
        <v>5</v>
      </c>
      <c r="F12" s="1230">
        <f>'2-70'!L136</f>
        <v>5981829</v>
      </c>
    </row>
    <row r="13" spans="1:14" s="1227" customFormat="1" ht="16.95" customHeight="1">
      <c r="A13" s="1223">
        <v>4</v>
      </c>
      <c r="B13" s="1228" t="s">
        <v>1073</v>
      </c>
      <c r="C13" s="4">
        <f>'2-70'!H142</f>
        <v>50121.099999999991</v>
      </c>
      <c r="D13" s="1229">
        <f>'2-70'!K142</f>
        <v>1674</v>
      </c>
      <c r="E13" s="1229">
        <v>21</v>
      </c>
      <c r="F13" s="1230">
        <f>'2-70'!L142</f>
        <v>70617731.540000007</v>
      </c>
    </row>
    <row r="14" spans="1:14" s="1227" customFormat="1" ht="16.95" customHeight="1">
      <c r="A14" s="1223">
        <v>5</v>
      </c>
      <c r="B14" s="1228" t="s">
        <v>1074</v>
      </c>
      <c r="C14" s="4">
        <f>'2-70'!H164</f>
        <v>13747.900000000001</v>
      </c>
      <c r="D14" s="1229">
        <f>'2-70'!K164</f>
        <v>501</v>
      </c>
      <c r="E14" s="1229">
        <v>10</v>
      </c>
      <c r="F14" s="1230">
        <f>'2-70'!L164</f>
        <v>16648847</v>
      </c>
    </row>
    <row r="15" spans="1:14" s="1227" customFormat="1" ht="16.95" customHeight="1">
      <c r="A15" s="1223">
        <v>6</v>
      </c>
      <c r="B15" s="1228" t="s">
        <v>1163</v>
      </c>
      <c r="C15" s="4">
        <f>'2-70'!H175</f>
        <v>16929.599999999999</v>
      </c>
      <c r="D15" s="1229">
        <f>'2-70'!K175</f>
        <v>501</v>
      </c>
      <c r="E15" s="1229">
        <v>3</v>
      </c>
      <c r="F15" s="1230">
        <f>'2-70'!L175</f>
        <v>10026071</v>
      </c>
    </row>
    <row r="16" spans="1:14" s="1227" customFormat="1" ht="16.95" customHeight="1">
      <c r="A16" s="1223">
        <v>7</v>
      </c>
      <c r="B16" s="1228" t="s">
        <v>1681</v>
      </c>
      <c r="C16" s="4">
        <f>'2-70'!H179</f>
        <v>937.3</v>
      </c>
      <c r="D16" s="1229">
        <f>'2-70'!K179</f>
        <v>19</v>
      </c>
      <c r="E16" s="1229">
        <v>2</v>
      </c>
      <c r="F16" s="1230">
        <f>'2-70'!L179</f>
        <v>3858446</v>
      </c>
    </row>
    <row r="17" spans="1:6" s="1227" customFormat="1" ht="16.95" customHeight="1">
      <c r="A17" s="1223"/>
      <c r="B17" s="1228" t="s">
        <v>41</v>
      </c>
      <c r="C17" s="4">
        <f>C18</f>
        <v>34035.9</v>
      </c>
      <c r="D17" s="1229">
        <f t="shared" ref="D17:F17" si="1">D18</f>
        <v>1299</v>
      </c>
      <c r="E17" s="1229">
        <f t="shared" si="1"/>
        <v>21</v>
      </c>
      <c r="F17" s="1230">
        <f t="shared" si="1"/>
        <v>59684953.030000001</v>
      </c>
    </row>
    <row r="18" spans="1:6" s="1227" customFormat="1" ht="16.95" customHeight="1">
      <c r="A18" s="1223">
        <v>8</v>
      </c>
      <c r="B18" s="1228" t="s">
        <v>1075</v>
      </c>
      <c r="C18" s="4">
        <f>'2-70'!H183</f>
        <v>34035.9</v>
      </c>
      <c r="D18" s="1229">
        <f>'2-70'!K183</f>
        <v>1299</v>
      </c>
      <c r="E18" s="1229">
        <v>21</v>
      </c>
      <c r="F18" s="1230">
        <f>'2-70'!L183</f>
        <v>59684953.030000001</v>
      </c>
    </row>
    <row r="19" spans="1:6" s="1227" customFormat="1" ht="16.95" customHeight="1">
      <c r="A19" s="1223"/>
      <c r="B19" s="1228" t="s">
        <v>68</v>
      </c>
      <c r="C19" s="4">
        <f>C20</f>
        <v>2562.1000000000004</v>
      </c>
      <c r="D19" s="1229">
        <f t="shared" ref="D19:F19" si="2">D20</f>
        <v>77</v>
      </c>
      <c r="E19" s="1229">
        <f t="shared" si="2"/>
        <v>4</v>
      </c>
      <c r="F19" s="1230">
        <f t="shared" si="2"/>
        <v>1104658</v>
      </c>
    </row>
    <row r="20" spans="1:6" s="1227" customFormat="1" ht="16.95" customHeight="1">
      <c r="A20" s="1223">
        <v>9</v>
      </c>
      <c r="B20" s="1228" t="s">
        <v>1076</v>
      </c>
      <c r="C20" s="4">
        <f>'2-70'!H206</f>
        <v>2562.1000000000004</v>
      </c>
      <c r="D20" s="1229">
        <f>'2-70'!K206</f>
        <v>77</v>
      </c>
      <c r="E20" s="1229">
        <v>4</v>
      </c>
      <c r="F20" s="1230">
        <f>'2-70'!L206</f>
        <v>1104658</v>
      </c>
    </row>
    <row r="21" spans="1:6" s="1227" customFormat="1" ht="16.95" customHeight="1">
      <c r="A21" s="1223"/>
      <c r="B21" s="1228" t="s">
        <v>43</v>
      </c>
      <c r="C21" s="4">
        <f>C22+C23</f>
        <v>15784.300000000001</v>
      </c>
      <c r="D21" s="1221">
        <f t="shared" ref="D21:F21" si="3">D22+D23</f>
        <v>431</v>
      </c>
      <c r="E21" s="1221">
        <f t="shared" si="3"/>
        <v>8</v>
      </c>
      <c r="F21" s="1230">
        <f t="shared" si="3"/>
        <v>18118762</v>
      </c>
    </row>
    <row r="22" spans="1:6" s="1227" customFormat="1" ht="16.95" customHeight="1">
      <c r="A22" s="1223">
        <v>10</v>
      </c>
      <c r="B22" s="1231" t="s">
        <v>1115</v>
      </c>
      <c r="C22" s="4">
        <f>'2-70'!H212</f>
        <v>13511.400000000001</v>
      </c>
      <c r="D22" s="1229">
        <f>'2-70'!K212</f>
        <v>355</v>
      </c>
      <c r="E22" s="1229">
        <v>7</v>
      </c>
      <c r="F22" s="1230">
        <f>'2-70'!L212</f>
        <v>15785038</v>
      </c>
    </row>
    <row r="23" spans="1:6" s="1227" customFormat="1" ht="16.95" customHeight="1">
      <c r="A23" s="1223">
        <v>11</v>
      </c>
      <c r="B23" s="1228" t="s">
        <v>1180</v>
      </c>
      <c r="C23" s="4">
        <f>'2-70'!H220</f>
        <v>2272.9</v>
      </c>
      <c r="D23" s="1229">
        <f>'2-70'!K220</f>
        <v>76</v>
      </c>
      <c r="E23" s="1229">
        <v>1</v>
      </c>
      <c r="F23" s="1230">
        <f>'2-70'!L220</f>
        <v>2333724</v>
      </c>
    </row>
    <row r="24" spans="1:6" s="1227" customFormat="1" ht="16.95" customHeight="1">
      <c r="A24" s="1223">
        <v>12</v>
      </c>
      <c r="B24" s="1232" t="s">
        <v>1588</v>
      </c>
      <c r="C24" s="4">
        <f>'2-70'!H222</f>
        <v>1993</v>
      </c>
      <c r="D24" s="1229">
        <f>'2-70'!K222</f>
        <v>39</v>
      </c>
      <c r="E24" s="1229">
        <v>2</v>
      </c>
      <c r="F24" s="1230">
        <f>'2-70'!L222</f>
        <v>3350144</v>
      </c>
    </row>
    <row r="25" spans="1:6" s="1227" customFormat="1" ht="16.95" customHeight="1">
      <c r="A25" s="1223"/>
      <c r="B25" s="1232" t="s">
        <v>46</v>
      </c>
      <c r="C25" s="4">
        <f>C26</f>
        <v>571.1</v>
      </c>
      <c r="D25" s="1229">
        <f t="shared" ref="D25:F25" si="4">D26</f>
        <v>23</v>
      </c>
      <c r="E25" s="1229">
        <f t="shared" si="4"/>
        <v>1</v>
      </c>
      <c r="F25" s="1230">
        <f t="shared" si="4"/>
        <v>1688916</v>
      </c>
    </row>
    <row r="26" spans="1:6" s="1227" customFormat="1" ht="16.95" customHeight="1">
      <c r="A26" s="1223">
        <v>13</v>
      </c>
      <c r="B26" s="1231" t="s">
        <v>1106</v>
      </c>
      <c r="C26" s="4">
        <f>'2-70'!H226</f>
        <v>571.1</v>
      </c>
      <c r="D26" s="1229">
        <f>'2-70'!K226</f>
        <v>23</v>
      </c>
      <c r="E26" s="1229">
        <v>1</v>
      </c>
      <c r="F26" s="1230">
        <f>'2-70'!L226</f>
        <v>1688916</v>
      </c>
    </row>
    <row r="27" spans="1:6" s="1227" customFormat="1" ht="16.95" customHeight="1">
      <c r="A27" s="1223">
        <v>14</v>
      </c>
      <c r="B27" s="1232" t="s">
        <v>2012</v>
      </c>
      <c r="C27" s="4">
        <f>'2-70'!H228</f>
        <v>1789.9</v>
      </c>
      <c r="D27" s="1229">
        <f>'2-70'!K228</f>
        <v>43</v>
      </c>
      <c r="E27" s="1229">
        <v>3</v>
      </c>
      <c r="F27" s="1230">
        <f>'2-70'!L228</f>
        <v>6549572</v>
      </c>
    </row>
    <row r="28" spans="1:6" s="1227" customFormat="1" ht="16.95" customHeight="1">
      <c r="A28" s="1223"/>
      <c r="B28" s="1228" t="s">
        <v>48</v>
      </c>
      <c r="C28" s="4">
        <f>C29</f>
        <v>257</v>
      </c>
      <c r="D28" s="1229">
        <f t="shared" ref="D28:F28" si="5">D29</f>
        <v>7</v>
      </c>
      <c r="E28" s="1229">
        <f t="shared" si="5"/>
        <v>1</v>
      </c>
      <c r="F28" s="1230">
        <f t="shared" si="5"/>
        <v>831360</v>
      </c>
    </row>
    <row r="29" spans="1:6" s="1227" customFormat="1" ht="16.95" customHeight="1">
      <c r="A29" s="1223">
        <v>15</v>
      </c>
      <c r="B29" s="1228" t="s">
        <v>1139</v>
      </c>
      <c r="C29" s="4">
        <f>'2-70'!H233</f>
        <v>257</v>
      </c>
      <c r="D29" s="1229">
        <f>'2-70'!K233</f>
        <v>7</v>
      </c>
      <c r="E29" s="1229">
        <v>1</v>
      </c>
      <c r="F29" s="1230">
        <f>'2-70'!L233</f>
        <v>831360</v>
      </c>
    </row>
    <row r="30" spans="1:6" s="1227" customFormat="1" ht="16.95" customHeight="1">
      <c r="A30" s="1223"/>
      <c r="B30" s="1228" t="s">
        <v>49</v>
      </c>
      <c r="C30" s="4">
        <f>C34+C36+C32+C37+C38+C39+C33+C31+C35</f>
        <v>19868.82</v>
      </c>
      <c r="D30" s="1229">
        <f t="shared" ref="D30:F30" si="6">D34+D36+D32+D37+D38+D39+D33+D31+D35</f>
        <v>944</v>
      </c>
      <c r="E30" s="1229">
        <f t="shared" si="6"/>
        <v>16</v>
      </c>
      <c r="F30" s="1230">
        <f t="shared" si="6"/>
        <v>30992161</v>
      </c>
    </row>
    <row r="31" spans="1:6" s="1227" customFormat="1" ht="16.95" customHeight="1">
      <c r="A31" s="1223">
        <v>16</v>
      </c>
      <c r="B31" s="1231" t="s">
        <v>1548</v>
      </c>
      <c r="C31" s="4">
        <f>'2-70'!H236</f>
        <v>976.7</v>
      </c>
      <c r="D31" s="1229">
        <f>'2-70'!K236</f>
        <v>29</v>
      </c>
      <c r="E31" s="1229">
        <v>1</v>
      </c>
      <c r="F31" s="1230">
        <f>'2-70'!L236</f>
        <v>3012296</v>
      </c>
    </row>
    <row r="32" spans="1:6" s="1227" customFormat="1" ht="16.95" customHeight="1">
      <c r="A32" s="1223">
        <v>17</v>
      </c>
      <c r="B32" s="1231" t="s">
        <v>1140</v>
      </c>
      <c r="C32" s="4">
        <f>'2-70'!H238</f>
        <v>1996.8000000000002</v>
      </c>
      <c r="D32" s="1229">
        <f>'2-70'!K238</f>
        <v>82</v>
      </c>
      <c r="E32" s="1229">
        <v>2</v>
      </c>
      <c r="F32" s="1230">
        <f>'2-70'!L238</f>
        <v>3043212</v>
      </c>
    </row>
    <row r="33" spans="1:6" s="1227" customFormat="1" ht="16.95" customHeight="1">
      <c r="A33" s="1223">
        <v>18</v>
      </c>
      <c r="B33" s="1231" t="s">
        <v>1511</v>
      </c>
      <c r="C33" s="4">
        <f>'2-70'!H241</f>
        <v>5273.4</v>
      </c>
      <c r="D33" s="1229">
        <f>'2-70'!K241</f>
        <v>253</v>
      </c>
      <c r="E33" s="1229">
        <v>2</v>
      </c>
      <c r="F33" s="1230">
        <f>'2-70'!L241</f>
        <v>5123904</v>
      </c>
    </row>
    <row r="34" spans="1:6" s="1227" customFormat="1" ht="16.95" customHeight="1">
      <c r="A34" s="1223">
        <v>19</v>
      </c>
      <c r="B34" s="1231" t="s">
        <v>1226</v>
      </c>
      <c r="C34" s="4">
        <f>'2-70'!H244</f>
        <v>1931.82</v>
      </c>
      <c r="D34" s="1229">
        <f>'2-70'!K244</f>
        <v>116</v>
      </c>
      <c r="E34" s="1229">
        <v>2</v>
      </c>
      <c r="F34" s="1230">
        <f>'2-70'!L244</f>
        <v>3393794</v>
      </c>
    </row>
    <row r="35" spans="1:6" s="1227" customFormat="1" ht="16.95" customHeight="1">
      <c r="A35" s="1223">
        <v>20</v>
      </c>
      <c r="B35" s="1231" t="s">
        <v>1567</v>
      </c>
      <c r="C35" s="4">
        <f>'2-70'!H247</f>
        <v>2536.8999999999996</v>
      </c>
      <c r="D35" s="1229">
        <f>'2-70'!K247</f>
        <v>159</v>
      </c>
      <c r="E35" s="1229">
        <v>2</v>
      </c>
      <c r="F35" s="1230">
        <f>'2-70'!L247</f>
        <v>3357505</v>
      </c>
    </row>
    <row r="36" spans="1:6" s="1227" customFormat="1" ht="16.95" customHeight="1">
      <c r="A36" s="1223">
        <v>21</v>
      </c>
      <c r="B36" s="1231" t="s">
        <v>1121</v>
      </c>
      <c r="C36" s="4">
        <f>'2-70'!H250</f>
        <v>2332.1</v>
      </c>
      <c r="D36" s="1229">
        <f>'2-70'!K250</f>
        <v>95</v>
      </c>
      <c r="E36" s="1229">
        <v>3</v>
      </c>
      <c r="F36" s="1230">
        <f>'2-70'!L250</f>
        <v>5771424</v>
      </c>
    </row>
    <row r="37" spans="1:6" s="1227" customFormat="1" ht="16.95" customHeight="1">
      <c r="A37" s="1223">
        <v>22</v>
      </c>
      <c r="B37" s="1231" t="s">
        <v>1386</v>
      </c>
      <c r="C37" s="4">
        <f>'2-70'!H254</f>
        <v>1237.5</v>
      </c>
      <c r="D37" s="1229">
        <f>'2-70'!K254</f>
        <v>58</v>
      </c>
      <c r="E37" s="1229">
        <v>1</v>
      </c>
      <c r="F37" s="1230">
        <f>'2-70'!L254</f>
        <v>2788912</v>
      </c>
    </row>
    <row r="38" spans="1:6" s="1227" customFormat="1" ht="16.95" customHeight="1">
      <c r="A38" s="1223">
        <v>23</v>
      </c>
      <c r="B38" s="1231" t="s">
        <v>1141</v>
      </c>
      <c r="C38" s="4">
        <f>'2-70'!H256</f>
        <v>864.2</v>
      </c>
      <c r="D38" s="1229">
        <f>'2-70'!K256</f>
        <v>32</v>
      </c>
      <c r="E38" s="1229">
        <v>1</v>
      </c>
      <c r="F38" s="1230">
        <f>'2-70'!L256</f>
        <v>1723365</v>
      </c>
    </row>
    <row r="39" spans="1:6" s="1227" customFormat="1" ht="16.95" customHeight="1">
      <c r="A39" s="1223">
        <v>24</v>
      </c>
      <c r="B39" s="1231" t="s">
        <v>1142</v>
      </c>
      <c r="C39" s="4">
        <f>'2-70'!H258</f>
        <v>2719.4</v>
      </c>
      <c r="D39" s="1229">
        <f>'2-70'!K258</f>
        <v>120</v>
      </c>
      <c r="E39" s="1229">
        <v>2</v>
      </c>
      <c r="F39" s="1230">
        <f>'2-70'!L258</f>
        <v>2777749</v>
      </c>
    </row>
    <row r="40" spans="1:6" s="1227" customFormat="1" ht="16.95" customHeight="1">
      <c r="A40" s="1223"/>
      <c r="B40" s="1232" t="s">
        <v>50</v>
      </c>
      <c r="C40" s="4">
        <f>C41</f>
        <v>29928.080000000002</v>
      </c>
      <c r="D40" s="1229">
        <f t="shared" ref="D40" si="7">D41</f>
        <v>992</v>
      </c>
      <c r="E40" s="1229">
        <f>E41</f>
        <v>8</v>
      </c>
      <c r="F40" s="1230">
        <f>F41</f>
        <v>23576771</v>
      </c>
    </row>
    <row r="41" spans="1:6" s="1227" customFormat="1" ht="16.95" customHeight="1">
      <c r="A41" s="1223">
        <v>25</v>
      </c>
      <c r="B41" s="1231" t="s">
        <v>1081</v>
      </c>
      <c r="C41" s="4">
        <f>'2-70'!H262</f>
        <v>29928.080000000002</v>
      </c>
      <c r="D41" s="1229">
        <f>'2-70'!K262</f>
        <v>992</v>
      </c>
      <c r="E41" s="1229">
        <v>8</v>
      </c>
      <c r="F41" s="1230">
        <f>'2-70'!L262</f>
        <v>23576771</v>
      </c>
    </row>
    <row r="42" spans="1:6" s="1227" customFormat="1" ht="16.95" customHeight="1">
      <c r="A42" s="1223">
        <v>26</v>
      </c>
      <c r="B42" s="1232" t="s">
        <v>1221</v>
      </c>
      <c r="C42" s="4">
        <f>'2-70'!H271</f>
        <v>11762.699999999999</v>
      </c>
      <c r="D42" s="1229">
        <f>'2-70'!K271</f>
        <v>522</v>
      </c>
      <c r="E42" s="1229">
        <v>8</v>
      </c>
      <c r="F42" s="1230">
        <f>'2-70'!L271</f>
        <v>13183897</v>
      </c>
    </row>
    <row r="43" spans="1:6" s="1227" customFormat="1" ht="16.95" customHeight="1">
      <c r="A43" s="1223"/>
      <c r="B43" s="1232" t="s">
        <v>52</v>
      </c>
      <c r="C43" s="4">
        <f>C44+C45+C46</f>
        <v>5831.1</v>
      </c>
      <c r="D43" s="1229">
        <f t="shared" ref="D43:F43" si="8">D44+D45+D46</f>
        <v>197</v>
      </c>
      <c r="E43" s="1229">
        <f t="shared" si="8"/>
        <v>5</v>
      </c>
      <c r="F43" s="1230">
        <f t="shared" si="8"/>
        <v>11240406</v>
      </c>
    </row>
    <row r="44" spans="1:6" s="1227" customFormat="1" ht="16.95" customHeight="1">
      <c r="A44" s="1223">
        <v>27</v>
      </c>
      <c r="B44" s="1231" t="s">
        <v>1107</v>
      </c>
      <c r="C44" s="4">
        <f>'2-70'!H281</f>
        <v>3482.2</v>
      </c>
      <c r="D44" s="1229">
        <f>'2-70'!K281</f>
        <v>107</v>
      </c>
      <c r="E44" s="1229">
        <v>3</v>
      </c>
      <c r="F44" s="1230">
        <f>'2-70'!L281</f>
        <v>6219510</v>
      </c>
    </row>
    <row r="45" spans="1:6" s="1227" customFormat="1" ht="16.95" customHeight="1">
      <c r="A45" s="1223">
        <v>28</v>
      </c>
      <c r="B45" s="1231" t="s">
        <v>1104</v>
      </c>
      <c r="C45" s="4">
        <f>'2-70'!H285</f>
        <v>529.9</v>
      </c>
      <c r="D45" s="1229">
        <f>'2-70'!K285</f>
        <v>9</v>
      </c>
      <c r="E45" s="1229">
        <v>1</v>
      </c>
      <c r="F45" s="1230">
        <f>'2-70'!L285</f>
        <v>1531880</v>
      </c>
    </row>
    <row r="46" spans="1:6" s="1227" customFormat="1" ht="16.95" customHeight="1">
      <c r="A46" s="1223">
        <v>29</v>
      </c>
      <c r="B46" s="1231" t="s">
        <v>1512</v>
      </c>
      <c r="C46" s="4">
        <f>'2-70'!H287</f>
        <v>1819</v>
      </c>
      <c r="D46" s="1229">
        <f>'2-70'!K287</f>
        <v>81</v>
      </c>
      <c r="E46" s="1229">
        <v>1</v>
      </c>
      <c r="F46" s="1230">
        <f>'2-70'!L287</f>
        <v>3489016</v>
      </c>
    </row>
    <row r="47" spans="1:6" s="1227" customFormat="1" ht="16.95" customHeight="1">
      <c r="A47" s="1223"/>
      <c r="B47" s="1232" t="s">
        <v>53</v>
      </c>
      <c r="C47" s="4">
        <f>SUM(C48:C53)</f>
        <v>56745.8</v>
      </c>
      <c r="D47" s="1229">
        <f t="shared" ref="D47:F47" si="9">SUM(D48:D53)</f>
        <v>1746</v>
      </c>
      <c r="E47" s="1229">
        <f t="shared" si="9"/>
        <v>16</v>
      </c>
      <c r="F47" s="1230">
        <f t="shared" si="9"/>
        <v>96297423</v>
      </c>
    </row>
    <row r="48" spans="1:6" s="1227" customFormat="1" ht="16.95" customHeight="1">
      <c r="A48" s="1223">
        <v>30</v>
      </c>
      <c r="B48" s="1231" t="s">
        <v>1083</v>
      </c>
      <c r="C48" s="4">
        <f>'2-70'!H290</f>
        <v>34481.800000000003</v>
      </c>
      <c r="D48" s="1229">
        <f>'2-70'!K290</f>
        <v>976</v>
      </c>
      <c r="E48" s="1229">
        <v>6</v>
      </c>
      <c r="F48" s="1230">
        <f>'2-70'!L290</f>
        <v>71463619</v>
      </c>
    </row>
    <row r="49" spans="1:6" s="1227" customFormat="1" ht="16.95" customHeight="1">
      <c r="A49" s="1223">
        <v>31</v>
      </c>
      <c r="B49" s="1231" t="s">
        <v>1108</v>
      </c>
      <c r="C49" s="4">
        <f>'2-70'!H297</f>
        <v>1430</v>
      </c>
      <c r="D49" s="1229">
        <f>'2-70'!K297</f>
        <v>48</v>
      </c>
      <c r="E49" s="1229">
        <v>2</v>
      </c>
      <c r="F49" s="1230">
        <f>'2-70'!L297</f>
        <v>5964228</v>
      </c>
    </row>
    <row r="50" spans="1:6" s="1227" customFormat="1" ht="16.95" customHeight="1">
      <c r="A50" s="1223">
        <v>32</v>
      </c>
      <c r="B50" s="1231" t="s">
        <v>1109</v>
      </c>
      <c r="C50" s="4">
        <f>'2-70'!H300</f>
        <v>758.9</v>
      </c>
      <c r="D50" s="1229">
        <f>'2-70'!K300</f>
        <v>19</v>
      </c>
      <c r="E50" s="1229">
        <v>1</v>
      </c>
      <c r="F50" s="1230">
        <f>'2-70'!L300</f>
        <v>1668609</v>
      </c>
    </row>
    <row r="51" spans="1:6" s="1227" customFormat="1" ht="16.95" customHeight="1">
      <c r="A51" s="1223">
        <v>33</v>
      </c>
      <c r="B51" s="1231" t="s">
        <v>1558</v>
      </c>
      <c r="C51" s="4">
        <f>'2-70'!H302</f>
        <v>1531.1</v>
      </c>
      <c r="D51" s="1229">
        <f>'2-70'!K302</f>
        <v>56</v>
      </c>
      <c r="E51" s="1229">
        <v>1</v>
      </c>
      <c r="F51" s="1230">
        <f>'2-70'!L302</f>
        <v>2119380</v>
      </c>
    </row>
    <row r="52" spans="1:6" s="1227" customFormat="1" ht="16.95" customHeight="1">
      <c r="A52" s="1223">
        <v>34</v>
      </c>
      <c r="B52" s="1231" t="s">
        <v>1110</v>
      </c>
      <c r="C52" s="4">
        <f>'2-70'!H304</f>
        <v>432.6</v>
      </c>
      <c r="D52" s="1229">
        <f>'2-70'!K304</f>
        <v>9</v>
      </c>
      <c r="E52" s="1229">
        <v>1</v>
      </c>
      <c r="F52" s="1230">
        <f>'2-70'!L304</f>
        <v>255847</v>
      </c>
    </row>
    <row r="53" spans="1:6" s="1227" customFormat="1" ht="16.95" customHeight="1">
      <c r="A53" s="1223">
        <v>35</v>
      </c>
      <c r="B53" s="1231" t="s">
        <v>1587</v>
      </c>
      <c r="C53" s="4">
        <f>'2-70'!H306</f>
        <v>18111.399999999998</v>
      </c>
      <c r="D53" s="1229">
        <f>'2-70'!K306</f>
        <v>638</v>
      </c>
      <c r="E53" s="1229">
        <v>5</v>
      </c>
      <c r="F53" s="1230">
        <f>'2-70'!L306</f>
        <v>14825740</v>
      </c>
    </row>
    <row r="54" spans="1:6" s="1227" customFormat="1" ht="16.95" customHeight="1">
      <c r="A54" s="1223">
        <v>36</v>
      </c>
      <c r="B54" s="1232" t="s">
        <v>2015</v>
      </c>
      <c r="C54" s="4">
        <f>'2-70'!H312</f>
        <v>1162.2</v>
      </c>
      <c r="D54" s="1229">
        <f>'2-70'!K312</f>
        <v>44</v>
      </c>
      <c r="E54" s="1229">
        <v>3</v>
      </c>
      <c r="F54" s="1230">
        <f>'2-70'!L312</f>
        <v>2833131</v>
      </c>
    </row>
    <row r="55" spans="1:6" s="1227" customFormat="1" ht="16.95" customHeight="1">
      <c r="A55" s="1223"/>
      <c r="B55" s="1231" t="s">
        <v>55</v>
      </c>
      <c r="C55" s="4">
        <f>C56</f>
        <v>1415.1</v>
      </c>
      <c r="D55" s="1229">
        <f t="shared" ref="D55:F55" si="10">D56</f>
        <v>49</v>
      </c>
      <c r="E55" s="1229">
        <f t="shared" si="10"/>
        <v>1</v>
      </c>
      <c r="F55" s="1230">
        <f t="shared" si="10"/>
        <v>2914163</v>
      </c>
    </row>
    <row r="56" spans="1:6" s="1227" customFormat="1" ht="16.95" customHeight="1">
      <c r="A56" s="1223">
        <v>37</v>
      </c>
      <c r="B56" s="1231" t="s">
        <v>1090</v>
      </c>
      <c r="C56" s="4">
        <f>'2-70'!H317</f>
        <v>1415.1</v>
      </c>
      <c r="D56" s="1229">
        <f>'2-70'!K317</f>
        <v>49</v>
      </c>
      <c r="E56" s="1229">
        <v>1</v>
      </c>
      <c r="F56" s="1230">
        <f>'2-70'!L317</f>
        <v>2914163</v>
      </c>
    </row>
    <row r="57" spans="1:6" s="1227" customFormat="1" ht="16.95" customHeight="1">
      <c r="A57" s="1223">
        <v>38</v>
      </c>
      <c r="B57" s="1231" t="s">
        <v>2021</v>
      </c>
      <c r="C57" s="4">
        <f>'2-70'!H319</f>
        <v>814.6</v>
      </c>
      <c r="D57" s="1229">
        <f>'2-70'!K319</f>
        <v>38</v>
      </c>
      <c r="E57" s="1229">
        <v>2</v>
      </c>
      <c r="F57" s="1230">
        <f>'2-70'!L319</f>
        <v>2447067</v>
      </c>
    </row>
    <row r="58" spans="1:6" s="1227" customFormat="1" ht="16.95" customHeight="1">
      <c r="A58" s="1223"/>
      <c r="B58" s="1232" t="s">
        <v>56</v>
      </c>
      <c r="C58" s="4">
        <f>SUM(C59:C62)</f>
        <v>25906.5</v>
      </c>
      <c r="D58" s="1229">
        <f t="shared" ref="D58:F58" si="11">SUM(D59:D62)</f>
        <v>1014</v>
      </c>
      <c r="E58" s="1229">
        <f t="shared" si="11"/>
        <v>19</v>
      </c>
      <c r="F58" s="1230">
        <f t="shared" si="11"/>
        <v>49604796.799999997</v>
      </c>
    </row>
    <row r="59" spans="1:6" s="1227" customFormat="1" ht="16.95" customHeight="1">
      <c r="A59" s="1223">
        <v>39</v>
      </c>
      <c r="B59" s="1231" t="s">
        <v>1091</v>
      </c>
      <c r="C59" s="4">
        <f>'2-70'!H323</f>
        <v>16289.699999999999</v>
      </c>
      <c r="D59" s="1229">
        <f>'2-70'!K323</f>
        <v>629</v>
      </c>
      <c r="E59" s="1229">
        <v>13</v>
      </c>
      <c r="F59" s="1230">
        <f>'2-70'!L323</f>
        <v>41606571.799999997</v>
      </c>
    </row>
    <row r="60" spans="1:6" s="1227" customFormat="1" ht="16.95" customHeight="1">
      <c r="A60" s="1223">
        <v>40</v>
      </c>
      <c r="B60" s="1231" t="s">
        <v>1111</v>
      </c>
      <c r="C60" s="4">
        <f>'2-70'!H337</f>
        <v>5121.1000000000004</v>
      </c>
      <c r="D60" s="1229">
        <f>'2-70'!K337</f>
        <v>177</v>
      </c>
      <c r="E60" s="1229">
        <v>3</v>
      </c>
      <c r="F60" s="1230">
        <f>'71-106'!C330</f>
        <v>4455042</v>
      </c>
    </row>
    <row r="61" spans="1:6" s="1227" customFormat="1" ht="16.95" customHeight="1">
      <c r="A61" s="1223">
        <v>41</v>
      </c>
      <c r="B61" s="1231" t="s">
        <v>1093</v>
      </c>
      <c r="C61" s="4">
        <f>'2-70'!H341</f>
        <v>3109</v>
      </c>
      <c r="D61" s="1229">
        <f>'2-70'!K341</f>
        <v>135</v>
      </c>
      <c r="E61" s="1229">
        <v>2</v>
      </c>
      <c r="F61" s="1230">
        <f>'2-70'!L341</f>
        <v>3059516</v>
      </c>
    </row>
    <row r="62" spans="1:6" s="1227" customFormat="1" ht="16.95" customHeight="1">
      <c r="A62" s="1223">
        <v>42</v>
      </c>
      <c r="B62" s="1231" t="s">
        <v>1342</v>
      </c>
      <c r="C62" s="4">
        <f>'2-70'!H344</f>
        <v>1386.7</v>
      </c>
      <c r="D62" s="1229">
        <f>'2-70'!K344</f>
        <v>73</v>
      </c>
      <c r="E62" s="1229">
        <v>1</v>
      </c>
      <c r="F62" s="1230">
        <f>'2-70'!L344</f>
        <v>483667</v>
      </c>
    </row>
    <row r="63" spans="1:6" s="1227" customFormat="1" ht="16.95" customHeight="1">
      <c r="A63" s="1223"/>
      <c r="B63" s="1231" t="s">
        <v>57</v>
      </c>
      <c r="C63" s="4">
        <f>C64+C66+C65</f>
        <v>12754</v>
      </c>
      <c r="D63" s="1229">
        <f t="shared" ref="D63:F63" si="12">D64+D66+D65</f>
        <v>352</v>
      </c>
      <c r="E63" s="1229">
        <f t="shared" si="12"/>
        <v>6</v>
      </c>
      <c r="F63" s="1230">
        <f t="shared" si="12"/>
        <v>20227099</v>
      </c>
    </row>
    <row r="64" spans="1:6" s="1227" customFormat="1" ht="16.95" customHeight="1">
      <c r="A64" s="1223">
        <v>43</v>
      </c>
      <c r="B64" s="1231" t="s">
        <v>1112</v>
      </c>
      <c r="C64" s="4">
        <f>'2-70'!H347</f>
        <v>9021.7999999999993</v>
      </c>
      <c r="D64" s="1229">
        <f>'2-70'!K347</f>
        <v>236</v>
      </c>
      <c r="E64" s="1229">
        <v>4</v>
      </c>
      <c r="F64" s="1230">
        <f>'2-70'!L347</f>
        <v>17060256</v>
      </c>
    </row>
    <row r="65" spans="1:6" s="1227" customFormat="1" ht="16.95" customHeight="1">
      <c r="A65" s="1223">
        <v>44</v>
      </c>
      <c r="B65" s="1231" t="s">
        <v>1365</v>
      </c>
      <c r="C65" s="4">
        <f>'2-70'!H352</f>
        <v>1362.1</v>
      </c>
      <c r="D65" s="1229">
        <f>'2-70'!K352</f>
        <v>47</v>
      </c>
      <c r="E65" s="1229">
        <v>1</v>
      </c>
      <c r="F65" s="1230">
        <f>'2-70'!L352</f>
        <v>1630292</v>
      </c>
    </row>
    <row r="66" spans="1:6" s="1227" customFormat="1" ht="16.95" customHeight="1">
      <c r="A66" s="1223">
        <v>45</v>
      </c>
      <c r="B66" s="1231" t="s">
        <v>1363</v>
      </c>
      <c r="C66" s="4">
        <f>'2-70'!H354</f>
        <v>2370.1</v>
      </c>
      <c r="D66" s="1229">
        <f>'2-70'!K354</f>
        <v>69</v>
      </c>
      <c r="E66" s="1229">
        <v>1</v>
      </c>
      <c r="F66" s="1230">
        <f>'2-70'!L354</f>
        <v>1536551</v>
      </c>
    </row>
    <row r="67" spans="1:6" s="1227" customFormat="1" ht="16.95" customHeight="1">
      <c r="A67" s="1223"/>
      <c r="B67" s="1231" t="s">
        <v>1339</v>
      </c>
      <c r="C67" s="4">
        <f>C68</f>
        <v>845.64</v>
      </c>
      <c r="D67" s="1229">
        <f t="shared" ref="D67:F67" si="13">D68</f>
        <v>30</v>
      </c>
      <c r="E67" s="1229">
        <f t="shared" si="13"/>
        <v>1</v>
      </c>
      <c r="F67" s="1230">
        <f t="shared" si="13"/>
        <v>1584101</v>
      </c>
    </row>
    <row r="68" spans="1:6" s="1227" customFormat="1" ht="16.95" customHeight="1">
      <c r="A68" s="1223">
        <v>46</v>
      </c>
      <c r="B68" s="1231" t="s">
        <v>1340</v>
      </c>
      <c r="C68" s="4">
        <f>'2-70'!H357</f>
        <v>845.64</v>
      </c>
      <c r="D68" s="1229">
        <f>'2-70'!K357</f>
        <v>30</v>
      </c>
      <c r="E68" s="1229">
        <v>1</v>
      </c>
      <c r="F68" s="1230">
        <f>'2-70'!L357</f>
        <v>1584101</v>
      </c>
    </row>
    <row r="69" spans="1:6" s="1227" customFormat="1" ht="16.95" customHeight="1">
      <c r="A69" s="1223">
        <v>47</v>
      </c>
      <c r="B69" s="1232" t="s">
        <v>1220</v>
      </c>
      <c r="C69" s="4">
        <f>'2-70'!H359</f>
        <v>2540.6999999999998</v>
      </c>
      <c r="D69" s="1229">
        <f>'2-70'!K359</f>
        <v>78</v>
      </c>
      <c r="E69" s="1229">
        <v>3</v>
      </c>
      <c r="F69" s="1230">
        <f>'2-70'!L359</f>
        <v>6684613</v>
      </c>
    </row>
    <row r="70" spans="1:6" s="1227" customFormat="1" ht="16.95" customHeight="1">
      <c r="A70" s="1223">
        <v>48</v>
      </c>
      <c r="B70" s="1232" t="s">
        <v>2022</v>
      </c>
      <c r="C70" s="4">
        <f>'2-70'!H436</f>
        <v>12962.5</v>
      </c>
      <c r="D70" s="1229">
        <f>'2-70'!K436</f>
        <v>512</v>
      </c>
      <c r="E70" s="1229">
        <v>16</v>
      </c>
      <c r="F70" s="1230">
        <f>'2-70'!L436</f>
        <v>3200447</v>
      </c>
    </row>
    <row r="71" spans="1:6" s="1227" customFormat="1" ht="16.95" customHeight="1">
      <c r="A71" s="1223">
        <v>49</v>
      </c>
      <c r="B71" s="1232" t="s">
        <v>1158</v>
      </c>
      <c r="C71" s="4">
        <f>'2-70'!H363</f>
        <v>26605.250000000004</v>
      </c>
      <c r="D71" s="1229">
        <f>'2-70'!K363</f>
        <v>989</v>
      </c>
      <c r="E71" s="1229">
        <v>8</v>
      </c>
      <c r="F71" s="1230">
        <f>'2-70'!L363</f>
        <v>33753455</v>
      </c>
    </row>
    <row r="72" spans="1:6" s="1227" customFormat="1" ht="16.95" customHeight="1">
      <c r="A72" s="1223">
        <v>50</v>
      </c>
      <c r="B72" s="1232" t="s">
        <v>2013</v>
      </c>
      <c r="C72" s="4">
        <f>'2-70'!H372</f>
        <v>413.7</v>
      </c>
      <c r="D72" s="1229">
        <f>'2-70'!K372</f>
        <v>20</v>
      </c>
      <c r="E72" s="1229">
        <v>1</v>
      </c>
      <c r="F72" s="1230">
        <f>'2-70'!L372</f>
        <v>4069317</v>
      </c>
    </row>
    <row r="73" spans="1:6" s="1227" customFormat="1" ht="16.95" customHeight="1">
      <c r="A73" s="1223"/>
      <c r="B73" s="1231" t="s">
        <v>61</v>
      </c>
      <c r="C73" s="4">
        <f>C74</f>
        <v>1710.6999999999998</v>
      </c>
      <c r="D73" s="1229">
        <f>D74</f>
        <v>77</v>
      </c>
      <c r="E73" s="1229">
        <f>E74</f>
        <v>2</v>
      </c>
      <c r="F73" s="1230">
        <f>F74</f>
        <v>3369601</v>
      </c>
    </row>
    <row r="74" spans="1:6" s="1227" customFormat="1" ht="16.95" customHeight="1">
      <c r="A74" s="1223">
        <v>51</v>
      </c>
      <c r="B74" s="1231" t="s">
        <v>1117</v>
      </c>
      <c r="C74" s="4">
        <f>'2-70'!H375</f>
        <v>1710.6999999999998</v>
      </c>
      <c r="D74" s="1229">
        <f>'2-70'!K375</f>
        <v>77</v>
      </c>
      <c r="E74" s="1229">
        <v>2</v>
      </c>
      <c r="F74" s="1230">
        <f>'2-70'!L375</f>
        <v>3369601</v>
      </c>
    </row>
    <row r="75" spans="1:6" s="1227" customFormat="1" ht="16.95" customHeight="1">
      <c r="A75" s="1223"/>
      <c r="B75" s="1232" t="s">
        <v>649</v>
      </c>
      <c r="C75" s="4">
        <f>C76+C77</f>
        <v>1789.7</v>
      </c>
      <c r="D75" s="1229">
        <f t="shared" ref="D75:F75" si="14">D76+D77</f>
        <v>71</v>
      </c>
      <c r="E75" s="1229">
        <f t="shared" si="14"/>
        <v>3</v>
      </c>
      <c r="F75" s="1230">
        <f t="shared" si="14"/>
        <v>7588151</v>
      </c>
    </row>
    <row r="76" spans="1:6" s="1227" customFormat="1" ht="16.95" customHeight="1">
      <c r="A76" s="1223">
        <v>52</v>
      </c>
      <c r="B76" s="1231" t="s">
        <v>1157</v>
      </c>
      <c r="C76" s="4">
        <f>'2-70'!H379</f>
        <v>726.2</v>
      </c>
      <c r="D76" s="1229">
        <f>'2-70'!K379</f>
        <v>26</v>
      </c>
      <c r="E76" s="1229">
        <v>1</v>
      </c>
      <c r="F76" s="1230">
        <f>'2-70'!L379</f>
        <v>1420529</v>
      </c>
    </row>
    <row r="77" spans="1:6" s="1227" customFormat="1" ht="16.95" customHeight="1">
      <c r="A77" s="1223">
        <v>53</v>
      </c>
      <c r="B77" s="1231" t="s">
        <v>1360</v>
      </c>
      <c r="C77" s="4">
        <f>'2-70'!H381</f>
        <v>1063.5</v>
      </c>
      <c r="D77" s="1229">
        <f>'2-70'!K381</f>
        <v>45</v>
      </c>
      <c r="E77" s="1229">
        <v>2</v>
      </c>
      <c r="F77" s="1230">
        <f>'2-70'!L381</f>
        <v>6167622</v>
      </c>
    </row>
    <row r="78" spans="1:6" s="1227" customFormat="1" ht="16.95" customHeight="1">
      <c r="A78" s="1223">
        <v>54</v>
      </c>
      <c r="B78" s="1231" t="s">
        <v>2014</v>
      </c>
      <c r="C78" s="4">
        <f>'2-70'!H384</f>
        <v>345.2</v>
      </c>
      <c r="D78" s="1229">
        <f>'2-70'!K384</f>
        <v>9</v>
      </c>
      <c r="E78" s="1229">
        <v>1</v>
      </c>
      <c r="F78" s="1230">
        <f>'2-70'!L384</f>
        <v>1252303</v>
      </c>
    </row>
    <row r="79" spans="1:6" s="1227" customFormat="1" ht="16.95" customHeight="1">
      <c r="A79" s="1223">
        <v>55</v>
      </c>
      <c r="B79" s="1232" t="s">
        <v>2016</v>
      </c>
      <c r="C79" s="4">
        <f>'2-70'!H386</f>
        <v>1495.6</v>
      </c>
      <c r="D79" s="1229">
        <f>'2-70'!K386</f>
        <v>63</v>
      </c>
      <c r="E79" s="1229">
        <v>2</v>
      </c>
      <c r="F79" s="1230">
        <f>'2-70'!L386</f>
        <v>4399305</v>
      </c>
    </row>
    <row r="80" spans="1:6" s="1227" customFormat="1" ht="16.95" customHeight="1">
      <c r="A80" s="1223"/>
      <c r="B80" s="1231" t="s">
        <v>663</v>
      </c>
      <c r="C80" s="4">
        <f>C81</f>
        <v>583.29999999999995</v>
      </c>
      <c r="D80" s="1229">
        <f t="shared" ref="D80:F80" si="15">D81</f>
        <v>24</v>
      </c>
      <c r="E80" s="1229">
        <f t="shared" si="15"/>
        <v>1</v>
      </c>
      <c r="F80" s="1230">
        <f t="shared" si="15"/>
        <v>981300</v>
      </c>
    </row>
    <row r="81" spans="1:6" s="1227" customFormat="1" ht="16.95" customHeight="1">
      <c r="A81" s="1223">
        <v>56</v>
      </c>
      <c r="B81" s="1231" t="s">
        <v>1113</v>
      </c>
      <c r="C81" s="4">
        <f>'2-70'!H390</f>
        <v>583.29999999999995</v>
      </c>
      <c r="D81" s="1229">
        <f>'2-70'!K390</f>
        <v>24</v>
      </c>
      <c r="E81" s="1229">
        <v>1</v>
      </c>
      <c r="F81" s="1230">
        <f>'2-70'!L390</f>
        <v>981300</v>
      </c>
    </row>
    <row r="82" spans="1:6" s="1227" customFormat="1" ht="16.95" customHeight="1">
      <c r="A82" s="1223"/>
      <c r="B82" s="1231" t="s">
        <v>1036</v>
      </c>
      <c r="C82" s="4">
        <f>C83</f>
        <v>3901</v>
      </c>
      <c r="D82" s="1229">
        <f t="shared" ref="D82:F82" si="16">D83</f>
        <v>110</v>
      </c>
      <c r="E82" s="1229">
        <f t="shared" si="16"/>
        <v>2</v>
      </c>
      <c r="F82" s="1230">
        <f t="shared" si="16"/>
        <v>3423970</v>
      </c>
    </row>
    <row r="83" spans="1:6" s="1227" customFormat="1" ht="16.95" customHeight="1">
      <c r="A83" s="1223">
        <v>57</v>
      </c>
      <c r="B83" s="1231" t="s">
        <v>1114</v>
      </c>
      <c r="C83" s="4">
        <f>'2-70'!H393</f>
        <v>3901</v>
      </c>
      <c r="D83" s="1229">
        <f>'2-70'!K393</f>
        <v>110</v>
      </c>
      <c r="E83" s="1229">
        <v>2</v>
      </c>
      <c r="F83" s="1230">
        <f>'2-70'!L393</f>
        <v>3423970</v>
      </c>
    </row>
    <row r="84" spans="1:6" s="1227" customFormat="1" ht="16.95" customHeight="1">
      <c r="A84" s="1223"/>
      <c r="B84" s="1231" t="s">
        <v>64</v>
      </c>
      <c r="C84" s="4">
        <f>C85+C86</f>
        <v>11702.09</v>
      </c>
      <c r="D84" s="1221">
        <f t="shared" ref="D84:F84" si="17">D85+D86</f>
        <v>419</v>
      </c>
      <c r="E84" s="1221">
        <f t="shared" si="17"/>
        <v>9</v>
      </c>
      <c r="F84" s="1230">
        <f t="shared" si="17"/>
        <v>26517509</v>
      </c>
    </row>
    <row r="85" spans="1:6" s="1227" customFormat="1" ht="16.95" customHeight="1">
      <c r="A85" s="1223">
        <v>58</v>
      </c>
      <c r="B85" s="1231" t="s">
        <v>1097</v>
      </c>
      <c r="C85" s="4">
        <f>'2-70'!H397</f>
        <v>7201.99</v>
      </c>
      <c r="D85" s="1229">
        <f>'2-70'!K397</f>
        <v>258</v>
      </c>
      <c r="E85" s="1229">
        <v>5</v>
      </c>
      <c r="F85" s="1230">
        <f>'71-106'!C400</f>
        <v>15947258</v>
      </c>
    </row>
    <row r="86" spans="1:6" s="1227" customFormat="1" ht="16.95" customHeight="1">
      <c r="A86" s="1223">
        <v>59</v>
      </c>
      <c r="B86" s="1231" t="s">
        <v>1351</v>
      </c>
      <c r="C86" s="4">
        <f>'2-70'!H403</f>
        <v>4500.0999999999995</v>
      </c>
      <c r="D86" s="1229">
        <f>'2-70'!K403</f>
        <v>161</v>
      </c>
      <c r="E86" s="1229">
        <v>4</v>
      </c>
      <c r="F86" s="1230">
        <f>'2-70'!L403</f>
        <v>10570251</v>
      </c>
    </row>
    <row r="87" spans="1:6" s="1227" customFormat="1" ht="16.95" customHeight="1">
      <c r="A87" s="1223"/>
      <c r="B87" s="1232" t="s">
        <v>211</v>
      </c>
      <c r="C87" s="4">
        <f>C88</f>
        <v>1161.0999999999999</v>
      </c>
      <c r="D87" s="1229">
        <f t="shared" ref="D87:F87" si="18">D88</f>
        <v>48</v>
      </c>
      <c r="E87" s="1229">
        <f t="shared" si="18"/>
        <v>2</v>
      </c>
      <c r="F87" s="1230">
        <f t="shared" si="18"/>
        <v>2699558</v>
      </c>
    </row>
    <row r="88" spans="1:6" s="1227" customFormat="1" ht="16.95" customHeight="1">
      <c r="A88" s="1223">
        <v>60</v>
      </c>
      <c r="B88" s="1231" t="s">
        <v>1208</v>
      </c>
      <c r="C88" s="4">
        <f>'2-70'!H409</f>
        <v>1161.0999999999999</v>
      </c>
      <c r="D88" s="1229">
        <f>'2-70'!K409</f>
        <v>48</v>
      </c>
      <c r="E88" s="1229">
        <v>2</v>
      </c>
      <c r="F88" s="1230">
        <f>'2-70'!L409</f>
        <v>2699558</v>
      </c>
    </row>
    <row r="89" spans="1:6" s="1227" customFormat="1" ht="16.95" customHeight="1">
      <c r="A89" s="1223"/>
      <c r="B89" s="1232" t="s">
        <v>66</v>
      </c>
      <c r="C89" s="4">
        <f>C90</f>
        <v>1128.9000000000001</v>
      </c>
      <c r="D89" s="1229">
        <f t="shared" ref="D89:F89" si="19">D90</f>
        <v>45</v>
      </c>
      <c r="E89" s="1229">
        <f t="shared" si="19"/>
        <v>2</v>
      </c>
      <c r="F89" s="1230">
        <f t="shared" si="19"/>
        <v>3342802</v>
      </c>
    </row>
    <row r="90" spans="1:6" s="1227" customFormat="1" ht="16.95" customHeight="1">
      <c r="A90" s="1223">
        <v>61</v>
      </c>
      <c r="B90" s="1231" t="s">
        <v>1101</v>
      </c>
      <c r="C90" s="4">
        <f>'2-70'!H413</f>
        <v>1128.9000000000001</v>
      </c>
      <c r="D90" s="1229">
        <f>'2-70'!K413</f>
        <v>45</v>
      </c>
      <c r="E90" s="1229">
        <v>2</v>
      </c>
      <c r="F90" s="1230">
        <f>'2-70'!L413</f>
        <v>3342802</v>
      </c>
    </row>
    <row r="91" spans="1:6" s="1227" customFormat="1" ht="16.95" customHeight="1">
      <c r="A91" s="1223">
        <v>62</v>
      </c>
      <c r="B91" s="1231" t="s">
        <v>1161</v>
      </c>
      <c r="C91" s="4">
        <f>'2-70'!H416</f>
        <v>37943.800000000003</v>
      </c>
      <c r="D91" s="1229">
        <f>'2-70'!K416</f>
        <v>1530</v>
      </c>
      <c r="E91" s="1229">
        <v>6</v>
      </c>
      <c r="F91" s="1230">
        <f>'2-70'!L416</f>
        <v>30817012</v>
      </c>
    </row>
    <row r="92" spans="1:6" s="1227" customFormat="1" ht="16.95" customHeight="1">
      <c r="A92" s="1223"/>
      <c r="B92" s="1231" t="s">
        <v>67</v>
      </c>
      <c r="C92" s="4">
        <f>C94+C95+C93</f>
        <v>6611.5</v>
      </c>
      <c r="D92" s="1229">
        <f t="shared" ref="D92:F92" si="20">D94+D95+D93</f>
        <v>233</v>
      </c>
      <c r="E92" s="1229">
        <f t="shared" si="20"/>
        <v>5</v>
      </c>
      <c r="F92" s="1230">
        <f t="shared" si="20"/>
        <v>5793995</v>
      </c>
    </row>
    <row r="93" spans="1:6" s="1227" customFormat="1" ht="16.95" customHeight="1">
      <c r="A93" s="1223">
        <v>63</v>
      </c>
      <c r="B93" s="1228" t="s">
        <v>1227</v>
      </c>
      <c r="C93" s="4">
        <f>'2-70'!H424</f>
        <v>1488.6</v>
      </c>
      <c r="D93" s="1229">
        <f>'2-70'!K424</f>
        <v>44</v>
      </c>
      <c r="E93" s="1229">
        <v>1</v>
      </c>
      <c r="F93" s="1230">
        <f>'2-70'!L424</f>
        <v>1695504</v>
      </c>
    </row>
    <row r="94" spans="1:6" s="1227" customFormat="1" ht="16.95" customHeight="1">
      <c r="A94" s="1223">
        <v>64</v>
      </c>
      <c r="B94" s="1231" t="s">
        <v>1345</v>
      </c>
      <c r="C94" s="4">
        <f>'2-70'!H426</f>
        <v>4037</v>
      </c>
      <c r="D94" s="1229">
        <f>'2-70'!K426</f>
        <v>153</v>
      </c>
      <c r="E94" s="1229">
        <v>2</v>
      </c>
      <c r="F94" s="1230">
        <f>'2-70'!L426</f>
        <v>3278899</v>
      </c>
    </row>
    <row r="95" spans="1:6" s="1227" customFormat="1" ht="16.95" customHeight="1">
      <c r="A95" s="1223">
        <v>65</v>
      </c>
      <c r="B95" s="1231" t="s">
        <v>1219</v>
      </c>
      <c r="C95" s="4">
        <f>'2-70'!H429</f>
        <v>1085.9000000000001</v>
      </c>
      <c r="D95" s="1229">
        <f>'2-70'!K429</f>
        <v>36</v>
      </c>
      <c r="E95" s="1229">
        <v>2</v>
      </c>
      <c r="F95" s="1230">
        <f>'2-70'!L429</f>
        <v>819592</v>
      </c>
    </row>
    <row r="96" spans="1:6" s="1227" customFormat="1" ht="16.95" customHeight="1">
      <c r="A96" s="1580" t="s">
        <v>1240</v>
      </c>
      <c r="B96" s="1580"/>
      <c r="C96" s="1580"/>
      <c r="D96" s="1580"/>
      <c r="E96" s="1580"/>
      <c r="F96" s="1580"/>
    </row>
    <row r="97" spans="1:6" s="1227" customFormat="1" ht="16.95" customHeight="1">
      <c r="A97" s="1223"/>
      <c r="B97" s="1231" t="s">
        <v>42</v>
      </c>
      <c r="C97" s="4">
        <f>C98+C99+C100+C101+C102+C103+C104+C105+C107+C109+C111+C112+C114+C115+C120+C122+C123+C126+C132+C133+C135+C139+C141+C142+C143+C144+C146+C147+C148+C150+C153+C155+C156</f>
        <v>422304.21000000008</v>
      </c>
      <c r="D97" s="1229">
        <f>D98+D99+D100+D101+D102+D103+D104+D105+D107+D109+D111+D112+D114+D115+D120+D122+D123+D126+D132+D133+D135+D139+D141+D142+D143+D144+D146+D147+D148+D150+D153+D155+D156</f>
        <v>14860</v>
      </c>
      <c r="E97" s="1229">
        <f>E98+E99+E100+E101+E102+E103+E104+E105+E107+E109+E111+E112+E114+E115+E120+E122+E123+E126+E132+E133+E135+E139+E141+E142+E143+E144+E146+E147+E148+E150+E153+E155+E156</f>
        <v>196</v>
      </c>
      <c r="F97" s="1230">
        <f>F98+F99+F100+F101+F102+F103+F104+F105+F107+F109+F111+F112+F114+F115+F120+F122+F123+F126+F132+F133+F135+F139+F141+F142+F143+F144+F146+F147+F148+F150+F153+F155+F156</f>
        <v>764121845</v>
      </c>
    </row>
    <row r="98" spans="1:6" s="1227" customFormat="1" ht="16.95" customHeight="1">
      <c r="A98" s="1223">
        <v>1</v>
      </c>
      <c r="B98" s="1228" t="s">
        <v>1103</v>
      </c>
      <c r="C98" s="4">
        <f>'2-70'!H456</f>
        <v>129353.20000000001</v>
      </c>
      <c r="D98" s="1229">
        <f>'2-70'!K456</f>
        <v>5249</v>
      </c>
      <c r="E98" s="1229">
        <v>56</v>
      </c>
      <c r="F98" s="1230">
        <f>'2-70'!L456</f>
        <v>345069784</v>
      </c>
    </row>
    <row r="99" spans="1:6" s="1227" customFormat="1" ht="16.95" customHeight="1">
      <c r="A99" s="1223">
        <v>2</v>
      </c>
      <c r="B99" s="1228" t="s">
        <v>1619</v>
      </c>
      <c r="C99" s="4">
        <f>'2-70'!H513</f>
        <v>28284.300000000007</v>
      </c>
      <c r="D99" s="1229">
        <f>'2-70'!K513</f>
        <v>1137</v>
      </c>
      <c r="E99" s="1229">
        <v>18</v>
      </c>
      <c r="F99" s="1230">
        <f>'2-70'!L513</f>
        <v>31581042</v>
      </c>
    </row>
    <row r="100" spans="1:6" s="1227" customFormat="1" ht="16.95" customHeight="1">
      <c r="A100" s="1223">
        <v>3</v>
      </c>
      <c r="B100" s="1228" t="s">
        <v>1072</v>
      </c>
      <c r="C100" s="4">
        <f>'2-70'!H532</f>
        <v>494.9</v>
      </c>
      <c r="D100" s="1229">
        <f>'2-70'!K532</f>
        <v>17</v>
      </c>
      <c r="E100" s="1229">
        <v>1</v>
      </c>
      <c r="F100" s="1230">
        <f>'2-70'!L532</f>
        <v>1253323</v>
      </c>
    </row>
    <row r="101" spans="1:6" s="1227" customFormat="1" ht="16.95" customHeight="1">
      <c r="A101" s="1223">
        <v>4</v>
      </c>
      <c r="B101" s="1228" t="s">
        <v>1073</v>
      </c>
      <c r="C101" s="4">
        <f>'2-70'!H534</f>
        <v>17500.3</v>
      </c>
      <c r="D101" s="1229">
        <f>'2-70'!K534</f>
        <v>472</v>
      </c>
      <c r="E101" s="1229">
        <v>7</v>
      </c>
      <c r="F101" s="1230">
        <f>'2-70'!L534</f>
        <v>33193387</v>
      </c>
    </row>
    <row r="102" spans="1:6" s="1227" customFormat="1" ht="16.95" customHeight="1">
      <c r="A102" s="1223">
        <v>5</v>
      </c>
      <c r="B102" s="1231" t="s">
        <v>1074</v>
      </c>
      <c r="C102" s="4">
        <f>'2-70'!H542</f>
        <v>24056.799999999999</v>
      </c>
      <c r="D102" s="1229">
        <f>'2-70'!K542</f>
        <v>818</v>
      </c>
      <c r="E102" s="1229">
        <v>14</v>
      </c>
      <c r="F102" s="1230">
        <f>'71-106'!C530</f>
        <v>27726309</v>
      </c>
    </row>
    <row r="103" spans="1:6" s="1227" customFormat="1" ht="16.95" customHeight="1">
      <c r="A103" s="1223">
        <v>6</v>
      </c>
      <c r="B103" s="1228" t="s">
        <v>1163</v>
      </c>
      <c r="C103" s="4">
        <f>'2-70'!H557</f>
        <v>20992.200000000004</v>
      </c>
      <c r="D103" s="1229">
        <f>'2-70'!K557</f>
        <v>599</v>
      </c>
      <c r="E103" s="1229">
        <v>5</v>
      </c>
      <c r="F103" s="1230">
        <f>'2-70'!L557</f>
        <v>14990322</v>
      </c>
    </row>
    <row r="104" spans="1:6" s="1227" customFormat="1" ht="16.95" customHeight="1">
      <c r="A104" s="1223">
        <v>7</v>
      </c>
      <c r="B104" s="1228" t="s">
        <v>1681</v>
      </c>
      <c r="C104" s="4">
        <f>'2-70'!H563</f>
        <v>1804</v>
      </c>
      <c r="D104" s="1229">
        <f>'2-70'!K563</f>
        <v>43</v>
      </c>
      <c r="E104" s="1229">
        <v>2</v>
      </c>
      <c r="F104" s="1230">
        <f>'2-70'!L563</f>
        <v>4041216</v>
      </c>
    </row>
    <row r="105" spans="1:6" s="1227" customFormat="1" ht="16.95" customHeight="1">
      <c r="A105" s="1223"/>
      <c r="B105" s="1228" t="s">
        <v>41</v>
      </c>
      <c r="C105" s="4">
        <f>C106</f>
        <v>21975.600000000002</v>
      </c>
      <c r="D105" s="1229">
        <f t="shared" ref="D105:F105" si="21">D106</f>
        <v>782</v>
      </c>
      <c r="E105" s="1229">
        <f t="shared" si="21"/>
        <v>6</v>
      </c>
      <c r="F105" s="1230">
        <f t="shared" si="21"/>
        <v>39582444</v>
      </c>
    </row>
    <row r="106" spans="1:6" s="1227" customFormat="1" ht="16.95" customHeight="1">
      <c r="A106" s="1223">
        <v>8</v>
      </c>
      <c r="B106" s="1228" t="s">
        <v>1075</v>
      </c>
      <c r="C106" s="4">
        <f>'2-70'!H567</f>
        <v>21975.600000000002</v>
      </c>
      <c r="D106" s="1229">
        <f>'2-70'!K567</f>
        <v>782</v>
      </c>
      <c r="E106" s="1229">
        <v>6</v>
      </c>
      <c r="F106" s="1230">
        <f>'2-70'!L567</f>
        <v>39582444</v>
      </c>
    </row>
    <row r="107" spans="1:6" s="1227" customFormat="1" ht="16.95" customHeight="1">
      <c r="A107" s="1223"/>
      <c r="B107" s="1228" t="s">
        <v>68</v>
      </c>
      <c r="C107" s="4">
        <f>C108</f>
        <v>260.10000000000002</v>
      </c>
      <c r="D107" s="1229">
        <f t="shared" ref="D107:F107" si="22">D108</f>
        <v>8</v>
      </c>
      <c r="E107" s="1229">
        <f t="shared" si="22"/>
        <v>1</v>
      </c>
      <c r="F107" s="1230">
        <f t="shared" si="22"/>
        <v>1392426</v>
      </c>
    </row>
    <row r="108" spans="1:6" s="1227" customFormat="1" ht="16.95" customHeight="1">
      <c r="A108" s="1223">
        <v>9</v>
      </c>
      <c r="B108" s="1228" t="s">
        <v>1076</v>
      </c>
      <c r="C108" s="4">
        <f>'2-70'!H575</f>
        <v>260.10000000000002</v>
      </c>
      <c r="D108" s="1229">
        <f>'2-70'!K575</f>
        <v>8</v>
      </c>
      <c r="E108" s="1229">
        <v>1</v>
      </c>
      <c r="F108" s="1230">
        <f>'2-70'!L575</f>
        <v>1392426</v>
      </c>
    </row>
    <row r="109" spans="1:6" s="1227" customFormat="1" ht="16.95" customHeight="1">
      <c r="A109" s="1223"/>
      <c r="B109" s="1228" t="s">
        <v>43</v>
      </c>
      <c r="C109" s="4">
        <f>C110</f>
        <v>11211.899999999998</v>
      </c>
      <c r="D109" s="1229">
        <f t="shared" ref="D109:F109" si="23">D110</f>
        <v>317</v>
      </c>
      <c r="E109" s="1229">
        <f t="shared" si="23"/>
        <v>6</v>
      </c>
      <c r="F109" s="1230">
        <f t="shared" si="23"/>
        <v>17807929</v>
      </c>
    </row>
    <row r="110" spans="1:6" s="1227" customFormat="1" ht="16.95" customHeight="1">
      <c r="A110" s="1223">
        <v>10</v>
      </c>
      <c r="B110" s="1231" t="s">
        <v>1115</v>
      </c>
      <c r="C110" s="4">
        <f>'2-70'!H578</f>
        <v>11211.899999999998</v>
      </c>
      <c r="D110" s="1229">
        <f>'2-70'!K578</f>
        <v>317</v>
      </c>
      <c r="E110" s="1229">
        <v>6</v>
      </c>
      <c r="F110" s="1230">
        <f>'2-70'!L578</f>
        <v>17807929</v>
      </c>
    </row>
    <row r="111" spans="1:6" s="1227" customFormat="1" ht="16.95" customHeight="1">
      <c r="A111" s="1223">
        <v>11</v>
      </c>
      <c r="B111" s="1232" t="s">
        <v>1588</v>
      </c>
      <c r="C111" s="4">
        <f>'2-70'!H585</f>
        <v>1023.6</v>
      </c>
      <c r="D111" s="1229">
        <f>'2-70'!K585</f>
        <v>24</v>
      </c>
      <c r="E111" s="1229">
        <v>2</v>
      </c>
      <c r="F111" s="1230">
        <f>'2-70'!L585</f>
        <v>2431837</v>
      </c>
    </row>
    <row r="112" spans="1:6" s="1227" customFormat="1" ht="16.95" customHeight="1">
      <c r="A112" s="1223"/>
      <c r="B112" s="1232" t="s">
        <v>46</v>
      </c>
      <c r="C112" s="4">
        <f>C113</f>
        <v>1493.3</v>
      </c>
      <c r="D112" s="1229">
        <f t="shared" ref="D112:F112" si="24">D113</f>
        <v>31</v>
      </c>
      <c r="E112" s="1229">
        <f t="shared" si="24"/>
        <v>1</v>
      </c>
      <c r="F112" s="1230">
        <f t="shared" si="24"/>
        <v>1603120</v>
      </c>
    </row>
    <row r="113" spans="1:6" s="1227" customFormat="1" ht="16.95" customHeight="1">
      <c r="A113" s="1223">
        <v>12</v>
      </c>
      <c r="B113" s="1231" t="s">
        <v>1106</v>
      </c>
      <c r="C113" s="4">
        <f>'2-70'!H589</f>
        <v>1493.3</v>
      </c>
      <c r="D113" s="1229">
        <f>'2-70'!K589</f>
        <v>31</v>
      </c>
      <c r="E113" s="1229">
        <v>1</v>
      </c>
      <c r="F113" s="1230">
        <f>'2-70'!L589</f>
        <v>1603120</v>
      </c>
    </row>
    <row r="114" spans="1:6" s="1227" customFormat="1" ht="16.95" customHeight="1">
      <c r="A114" s="1223">
        <v>13</v>
      </c>
      <c r="B114" s="1232" t="s">
        <v>2012</v>
      </c>
      <c r="C114" s="4">
        <f>'2-70'!H591</f>
        <v>1385.6</v>
      </c>
      <c r="D114" s="1229">
        <f>'2-70'!K591</f>
        <v>42</v>
      </c>
      <c r="E114" s="1229">
        <v>2</v>
      </c>
      <c r="F114" s="1230">
        <f>'2-70'!L591</f>
        <v>3824601</v>
      </c>
    </row>
    <row r="115" spans="1:6" s="1227" customFormat="1" ht="16.95" customHeight="1">
      <c r="A115" s="1223"/>
      <c r="B115" s="1232" t="s">
        <v>49</v>
      </c>
      <c r="C115" s="4">
        <f>C117+C118+C116+C119</f>
        <v>3630.4</v>
      </c>
      <c r="D115" s="4">
        <f t="shared" ref="D115:F115" si="25">D117+D118+D116+D119</f>
        <v>136</v>
      </c>
      <c r="E115" s="4">
        <f t="shared" si="25"/>
        <v>4</v>
      </c>
      <c r="F115" s="1230">
        <f t="shared" si="25"/>
        <v>9398778</v>
      </c>
    </row>
    <row r="116" spans="1:6" s="1227" customFormat="1" ht="16.95" customHeight="1">
      <c r="A116" s="1223">
        <v>14</v>
      </c>
      <c r="B116" s="1231" t="s">
        <v>1548</v>
      </c>
      <c r="C116" s="4">
        <f>'2-70'!H595</f>
        <v>956.5</v>
      </c>
      <c r="D116" s="1229">
        <f>'2-70'!K595</f>
        <v>40</v>
      </c>
      <c r="E116" s="1229">
        <v>1</v>
      </c>
      <c r="F116" s="1230">
        <f>'2-70'!L595</f>
        <v>2953066</v>
      </c>
    </row>
    <row r="117" spans="1:6" s="1227" customFormat="1" ht="16.95" customHeight="1">
      <c r="A117" s="1223">
        <v>15</v>
      </c>
      <c r="B117" s="1231" t="s">
        <v>1165</v>
      </c>
      <c r="C117" s="4">
        <f>'2-70'!H597</f>
        <v>572.29999999999995</v>
      </c>
      <c r="D117" s="1229">
        <f>'2-70'!K597</f>
        <v>25</v>
      </c>
      <c r="E117" s="1229">
        <v>1</v>
      </c>
      <c r="F117" s="1230">
        <f>'2-70'!L597</f>
        <v>2389620</v>
      </c>
    </row>
    <row r="118" spans="1:6" s="1227" customFormat="1" ht="16.95" customHeight="1">
      <c r="A118" s="1223">
        <v>16</v>
      </c>
      <c r="B118" s="1231" t="s">
        <v>1121</v>
      </c>
      <c r="C118" s="4">
        <f>'2-70'!H599</f>
        <v>721</v>
      </c>
      <c r="D118" s="1229">
        <f>'2-70'!K599</f>
        <v>26</v>
      </c>
      <c r="E118" s="1229">
        <v>1</v>
      </c>
      <c r="F118" s="1230">
        <f>'2-70'!L599</f>
        <v>2118761</v>
      </c>
    </row>
    <row r="119" spans="1:6" s="1227" customFormat="1" ht="16.95" customHeight="1">
      <c r="A119" s="1223">
        <v>22</v>
      </c>
      <c r="B119" s="1231" t="s">
        <v>1141</v>
      </c>
      <c r="C119" s="4">
        <f>'2-70'!H601</f>
        <v>1380.6</v>
      </c>
      <c r="D119" s="1229">
        <f>'2-70'!K601</f>
        <v>45</v>
      </c>
      <c r="E119" s="1229">
        <v>1</v>
      </c>
      <c r="F119" s="1230">
        <f>'2-70'!L601</f>
        <v>1937331</v>
      </c>
    </row>
    <row r="120" spans="1:6" s="1227" customFormat="1" ht="16.95" customHeight="1">
      <c r="A120" s="1223"/>
      <c r="B120" s="1232" t="s">
        <v>50</v>
      </c>
      <c r="C120" s="4">
        <f>C121</f>
        <v>14524.5</v>
      </c>
      <c r="D120" s="1229">
        <f>D121</f>
        <v>501</v>
      </c>
      <c r="E120" s="1229">
        <f>E121</f>
        <v>4</v>
      </c>
      <c r="F120" s="1230">
        <f>F121</f>
        <v>12056009</v>
      </c>
    </row>
    <row r="121" spans="1:6" s="1227" customFormat="1" ht="16.95" customHeight="1">
      <c r="A121" s="1223">
        <v>17</v>
      </c>
      <c r="B121" s="1231" t="s">
        <v>1081</v>
      </c>
      <c r="C121" s="4">
        <f>'2-70'!H604</f>
        <v>14524.5</v>
      </c>
      <c r="D121" s="1229">
        <f>'2-70'!K604</f>
        <v>501</v>
      </c>
      <c r="E121" s="1229">
        <v>4</v>
      </c>
      <c r="F121" s="1230">
        <f>'71-106'!C592</f>
        <v>12056009</v>
      </c>
    </row>
    <row r="122" spans="1:6" s="1227" customFormat="1" ht="16.95" customHeight="1">
      <c r="A122" s="1223">
        <v>18</v>
      </c>
      <c r="B122" s="1232" t="s">
        <v>1221</v>
      </c>
      <c r="C122" s="4">
        <f>'2-70'!H609</f>
        <v>25609.9</v>
      </c>
      <c r="D122" s="1229">
        <f>'2-70'!K609</f>
        <v>784</v>
      </c>
      <c r="E122" s="1229">
        <v>7</v>
      </c>
      <c r="F122" s="1230">
        <f>'2-70'!L609</f>
        <v>18108697</v>
      </c>
    </row>
    <row r="123" spans="1:6" s="1227" customFormat="1" ht="16.95" customHeight="1">
      <c r="A123" s="1223"/>
      <c r="B123" s="1232" t="s">
        <v>52</v>
      </c>
      <c r="C123" s="4">
        <f>C124+C125</f>
        <v>1184.8</v>
      </c>
      <c r="D123" s="1229">
        <f t="shared" ref="D123:F123" si="26">D124+D125</f>
        <v>29</v>
      </c>
      <c r="E123" s="1229">
        <f t="shared" si="26"/>
        <v>2</v>
      </c>
      <c r="F123" s="1230">
        <f t="shared" si="26"/>
        <v>4642648</v>
      </c>
    </row>
    <row r="124" spans="1:6" s="1227" customFormat="1" ht="16.95" customHeight="1">
      <c r="A124" s="1223">
        <v>19</v>
      </c>
      <c r="B124" s="1231" t="s">
        <v>1107</v>
      </c>
      <c r="C124" s="4">
        <f>'2-70'!H618</f>
        <v>704.6</v>
      </c>
      <c r="D124" s="1229">
        <f>'2-70'!K618</f>
        <v>14</v>
      </c>
      <c r="E124" s="1229">
        <v>1</v>
      </c>
      <c r="F124" s="1230">
        <f>'2-70'!L618</f>
        <v>2927261</v>
      </c>
    </row>
    <row r="125" spans="1:6" s="1227" customFormat="1" ht="16.95" customHeight="1">
      <c r="A125" s="1223">
        <v>20</v>
      </c>
      <c r="B125" s="1231" t="s">
        <v>1104</v>
      </c>
      <c r="C125" s="4">
        <f>'2-70'!H620</f>
        <v>480.2</v>
      </c>
      <c r="D125" s="1229">
        <f>'2-70'!K620</f>
        <v>15</v>
      </c>
      <c r="E125" s="1229">
        <v>1</v>
      </c>
      <c r="F125" s="1230">
        <f>'2-70'!L620</f>
        <v>1715387</v>
      </c>
    </row>
    <row r="126" spans="1:6" s="1227" customFormat="1" ht="16.95" customHeight="1">
      <c r="A126" s="1223"/>
      <c r="B126" s="1232" t="s">
        <v>53</v>
      </c>
      <c r="C126" s="4">
        <f>C127+C128+C129+C130+C131</f>
        <v>46029.4</v>
      </c>
      <c r="D126" s="1229">
        <f>D127+D128+D129+D130+D131</f>
        <v>1294</v>
      </c>
      <c r="E126" s="1229">
        <f>E127+E128+E129+E130+E131</f>
        <v>15</v>
      </c>
      <c r="F126" s="1230">
        <f>F127+F128+F129+F130+F131</f>
        <v>67955872</v>
      </c>
    </row>
    <row r="127" spans="1:6" s="1227" customFormat="1" ht="16.95" customHeight="1">
      <c r="A127" s="1223">
        <v>21</v>
      </c>
      <c r="B127" s="1231" t="s">
        <v>1083</v>
      </c>
      <c r="C127" s="4">
        <f>'2-70'!H623</f>
        <v>31855.000000000004</v>
      </c>
      <c r="D127" s="1229">
        <f>'2-70'!K623</f>
        <v>866</v>
      </c>
      <c r="E127" s="1229">
        <v>7</v>
      </c>
      <c r="F127" s="1230">
        <f>'2-70'!L623</f>
        <v>48041268</v>
      </c>
    </row>
    <row r="128" spans="1:6" s="1227" customFormat="1" ht="16.95" customHeight="1">
      <c r="A128" s="1223">
        <v>23</v>
      </c>
      <c r="B128" s="1231" t="s">
        <v>1108</v>
      </c>
      <c r="C128" s="4">
        <f>'2-70'!H631</f>
        <v>685.2</v>
      </c>
      <c r="D128" s="1229">
        <f>'2-70'!K631</f>
        <v>24</v>
      </c>
      <c r="E128" s="1229">
        <v>1</v>
      </c>
      <c r="F128" s="1230">
        <f>'2-70'!L631</f>
        <v>3165291</v>
      </c>
    </row>
    <row r="129" spans="1:6" s="1227" customFormat="1" ht="16.95" customHeight="1">
      <c r="A129" s="1223">
        <v>24</v>
      </c>
      <c r="B129" s="1231" t="s">
        <v>1109</v>
      </c>
      <c r="C129" s="4">
        <f>'2-70'!H633</f>
        <v>1179.0999999999999</v>
      </c>
      <c r="D129" s="1229">
        <f>'2-70'!K633</f>
        <v>43</v>
      </c>
      <c r="E129" s="1229">
        <v>2</v>
      </c>
      <c r="F129" s="1230">
        <f>'2-70'!L633</f>
        <v>3195064</v>
      </c>
    </row>
    <row r="130" spans="1:6" s="1227" customFormat="1" ht="16.95" customHeight="1">
      <c r="A130" s="1223">
        <v>25</v>
      </c>
      <c r="B130" s="1231" t="s">
        <v>1110</v>
      </c>
      <c r="C130" s="4">
        <f>'2-70'!H636</f>
        <v>2804.2</v>
      </c>
      <c r="D130" s="1229">
        <f>'2-70'!K636</f>
        <v>75</v>
      </c>
      <c r="E130" s="1229">
        <v>1</v>
      </c>
      <c r="F130" s="1230">
        <f>'2-70'!L636</f>
        <v>2540404</v>
      </c>
    </row>
    <row r="131" spans="1:6" s="1227" customFormat="1" ht="16.95" customHeight="1">
      <c r="A131" s="1223">
        <v>26</v>
      </c>
      <c r="B131" s="1231" t="s">
        <v>1587</v>
      </c>
      <c r="C131" s="4">
        <f>'2-70'!H638</f>
        <v>9505.9000000000015</v>
      </c>
      <c r="D131" s="1229">
        <f>'2-70'!K638</f>
        <v>286</v>
      </c>
      <c r="E131" s="1229">
        <v>4</v>
      </c>
      <c r="F131" s="1230">
        <f>'2-70'!L638</f>
        <v>11013845</v>
      </c>
    </row>
    <row r="132" spans="1:6" s="1227" customFormat="1" ht="16.95" customHeight="1">
      <c r="A132" s="1223">
        <v>27</v>
      </c>
      <c r="B132" s="1232" t="s">
        <v>2015</v>
      </c>
      <c r="C132" s="4">
        <f>'2-70'!H643</f>
        <v>818.3</v>
      </c>
      <c r="D132" s="1229">
        <f>'2-70'!K643</f>
        <v>33</v>
      </c>
      <c r="E132" s="1229">
        <v>2</v>
      </c>
      <c r="F132" s="1230">
        <f>'2-70'!L643</f>
        <v>3158318</v>
      </c>
    </row>
    <row r="133" spans="1:6" s="1227" customFormat="1" ht="16.95" customHeight="1">
      <c r="A133" s="1223"/>
      <c r="B133" s="1231" t="s">
        <v>55</v>
      </c>
      <c r="C133" s="4">
        <f>C134</f>
        <v>3079.8</v>
      </c>
      <c r="D133" s="1229">
        <f t="shared" ref="D133:F133" si="27">D134</f>
        <v>116</v>
      </c>
      <c r="E133" s="1229">
        <f t="shared" si="27"/>
        <v>1</v>
      </c>
      <c r="F133" s="1230">
        <f t="shared" si="27"/>
        <v>4304423</v>
      </c>
    </row>
    <row r="134" spans="1:6" s="1227" customFormat="1" ht="16.95" customHeight="1">
      <c r="A134" s="1223">
        <v>28</v>
      </c>
      <c r="B134" s="1231" t="s">
        <v>1090</v>
      </c>
      <c r="C134" s="4">
        <f>'2-70'!H647</f>
        <v>3079.8</v>
      </c>
      <c r="D134" s="1229">
        <f>'2-70'!K647</f>
        <v>116</v>
      </c>
      <c r="E134" s="1229">
        <v>1</v>
      </c>
      <c r="F134" s="1230">
        <f>'2-70'!L647</f>
        <v>4304423</v>
      </c>
    </row>
    <row r="135" spans="1:6" s="1227" customFormat="1" ht="16.95" customHeight="1">
      <c r="A135" s="1223"/>
      <c r="B135" s="1232" t="s">
        <v>56</v>
      </c>
      <c r="C135" s="4">
        <f>C137+C138+C136</f>
        <v>4015.3999999999996</v>
      </c>
      <c r="D135" s="1229">
        <f t="shared" ref="D135:F135" si="28">D137+D138+D136</f>
        <v>157</v>
      </c>
      <c r="E135" s="1229">
        <f t="shared" si="28"/>
        <v>4</v>
      </c>
      <c r="F135" s="1230">
        <f t="shared" si="28"/>
        <v>10130044</v>
      </c>
    </row>
    <row r="136" spans="1:6" s="1227" customFormat="1" ht="16.95" customHeight="1">
      <c r="A136" s="1223">
        <v>29</v>
      </c>
      <c r="B136" s="1231" t="s">
        <v>1091</v>
      </c>
      <c r="C136" s="4">
        <f>'2-70'!H650</f>
        <v>1822.2</v>
      </c>
      <c r="D136" s="1229">
        <f>'2-70'!K650</f>
        <v>66</v>
      </c>
      <c r="E136" s="1229">
        <v>2</v>
      </c>
      <c r="F136" s="1230">
        <f>'2-70'!L650</f>
        <v>7139153</v>
      </c>
    </row>
    <row r="137" spans="1:6" s="1227" customFormat="1" ht="16.95" customHeight="1">
      <c r="A137" s="1223">
        <v>30</v>
      </c>
      <c r="B137" s="1231" t="s">
        <v>1111</v>
      </c>
      <c r="C137" s="4">
        <f>'2-70'!H653</f>
        <v>642</v>
      </c>
      <c r="D137" s="1229">
        <f>'2-70'!K653</f>
        <v>23</v>
      </c>
      <c r="E137" s="1229">
        <v>1</v>
      </c>
      <c r="F137" s="1230">
        <f>'71-106'!C641</f>
        <v>1461133</v>
      </c>
    </row>
    <row r="138" spans="1:6" s="1227" customFormat="1" ht="16.95" customHeight="1">
      <c r="A138" s="1223">
        <v>31</v>
      </c>
      <c r="B138" s="1231" t="s">
        <v>1093</v>
      </c>
      <c r="C138" s="4">
        <f>'2-70'!H655</f>
        <v>1551.2</v>
      </c>
      <c r="D138" s="1229">
        <f>'2-70'!K655</f>
        <v>68</v>
      </c>
      <c r="E138" s="1229">
        <v>1</v>
      </c>
      <c r="F138" s="1230">
        <f>'2-70'!L655</f>
        <v>1529758</v>
      </c>
    </row>
    <row r="139" spans="1:6" s="1227" customFormat="1" ht="16.95" customHeight="1">
      <c r="A139" s="1223"/>
      <c r="B139" s="1231" t="s">
        <v>57</v>
      </c>
      <c r="C139" s="4">
        <f>C140</f>
        <v>4426</v>
      </c>
      <c r="D139" s="1229">
        <f t="shared" ref="D139:F139" si="29">D140</f>
        <v>113</v>
      </c>
      <c r="E139" s="1229">
        <f t="shared" si="29"/>
        <v>4</v>
      </c>
      <c r="F139" s="1230">
        <f t="shared" si="29"/>
        <v>8642732</v>
      </c>
    </row>
    <row r="140" spans="1:6" s="1227" customFormat="1" ht="16.95" customHeight="1">
      <c r="A140" s="1223">
        <v>32</v>
      </c>
      <c r="B140" s="1231" t="s">
        <v>1112</v>
      </c>
      <c r="C140" s="4">
        <f>'2-70'!H658</f>
        <v>4426</v>
      </c>
      <c r="D140" s="1229">
        <f>'2-70'!K658</f>
        <v>113</v>
      </c>
      <c r="E140" s="1229">
        <v>4</v>
      </c>
      <c r="F140" s="1230">
        <f>'2-70'!L658</f>
        <v>8642732</v>
      </c>
    </row>
    <row r="141" spans="1:6" s="1227" customFormat="1" ht="16.95" customHeight="1">
      <c r="A141" s="1223">
        <v>33</v>
      </c>
      <c r="B141" s="1232" t="s">
        <v>1220</v>
      </c>
      <c r="C141" s="4">
        <f>'2-70'!H663</f>
        <v>2606.69</v>
      </c>
      <c r="D141" s="1229">
        <f>'2-70'!K663</f>
        <v>82</v>
      </c>
      <c r="E141" s="1229">
        <v>3</v>
      </c>
      <c r="F141" s="1230">
        <f>'2-70'!L663</f>
        <v>6743673</v>
      </c>
    </row>
    <row r="142" spans="1:6" s="1227" customFormat="1" ht="16.95" customHeight="1">
      <c r="A142" s="1223">
        <v>34</v>
      </c>
      <c r="B142" s="1232" t="s">
        <v>1158</v>
      </c>
      <c r="C142" s="4">
        <f>'2-70'!H667</f>
        <v>18897.399999999998</v>
      </c>
      <c r="D142" s="1229">
        <f>'2-70'!K667</f>
        <v>732</v>
      </c>
      <c r="E142" s="1229">
        <v>8</v>
      </c>
      <c r="F142" s="1230">
        <f>'2-70'!L667</f>
        <v>30896667</v>
      </c>
    </row>
    <row r="143" spans="1:6" s="1227" customFormat="1" ht="16.95" customHeight="1">
      <c r="A143" s="1223">
        <v>35</v>
      </c>
      <c r="B143" s="1232" t="s">
        <v>2013</v>
      </c>
      <c r="C143" s="4">
        <f>'2-70'!H676</f>
        <v>830.8</v>
      </c>
      <c r="D143" s="1229">
        <f>'2-70'!K676</f>
        <v>23</v>
      </c>
      <c r="E143" s="1229">
        <v>1</v>
      </c>
      <c r="F143" s="1230">
        <f>'2-70'!L676</f>
        <v>6692193</v>
      </c>
    </row>
    <row r="144" spans="1:6" s="1227" customFormat="1" ht="16.95" customHeight="1">
      <c r="A144" s="1223"/>
      <c r="B144" s="1231" t="s">
        <v>61</v>
      </c>
      <c r="C144" s="4">
        <f>C145</f>
        <v>810.3</v>
      </c>
      <c r="D144" s="1229">
        <f t="shared" ref="D144:F144" si="30">D145</f>
        <v>40</v>
      </c>
      <c r="E144" s="1229">
        <f t="shared" si="30"/>
        <v>1</v>
      </c>
      <c r="F144" s="1230">
        <f t="shared" si="30"/>
        <v>1213752</v>
      </c>
    </row>
    <row r="145" spans="1:6" s="1227" customFormat="1" ht="16.95" customHeight="1">
      <c r="A145" s="1223">
        <v>36</v>
      </c>
      <c r="B145" s="1231" t="s">
        <v>1117</v>
      </c>
      <c r="C145" s="4">
        <f>'2-70'!H679</f>
        <v>810.3</v>
      </c>
      <c r="D145" s="1229">
        <f>'2-70'!K679</f>
        <v>40</v>
      </c>
      <c r="E145" s="1229">
        <v>1</v>
      </c>
      <c r="F145" s="1230">
        <f>'2-70'!L679</f>
        <v>1213752</v>
      </c>
    </row>
    <row r="146" spans="1:6" s="1227" customFormat="1" ht="16.95" customHeight="1">
      <c r="A146" s="1223">
        <v>37</v>
      </c>
      <c r="B146" s="1231" t="s">
        <v>2014</v>
      </c>
      <c r="C146" s="4">
        <f>'2-70'!H681</f>
        <v>1514.2</v>
      </c>
      <c r="D146" s="1229">
        <f>'2-70'!K681</f>
        <v>38</v>
      </c>
      <c r="E146" s="1229">
        <v>2</v>
      </c>
      <c r="F146" s="1230">
        <f>'2-70'!L681</f>
        <v>1640171</v>
      </c>
    </row>
    <row r="147" spans="1:6" s="1227" customFormat="1" ht="16.95" customHeight="1">
      <c r="A147" s="1223">
        <v>38</v>
      </c>
      <c r="B147" s="1232" t="s">
        <v>2016</v>
      </c>
      <c r="C147" s="4">
        <f>'2-70'!H684</f>
        <v>1643.8000000000002</v>
      </c>
      <c r="D147" s="1229">
        <f>'2-70'!K684</f>
        <v>69</v>
      </c>
      <c r="E147" s="1229">
        <v>3</v>
      </c>
      <c r="F147" s="1230">
        <f>'2-70'!L684</f>
        <v>4281862</v>
      </c>
    </row>
    <row r="148" spans="1:6" s="1227" customFormat="1" ht="16.95" customHeight="1">
      <c r="A148" s="1223"/>
      <c r="B148" s="1231" t="s">
        <v>1036</v>
      </c>
      <c r="C148" s="4">
        <f>C149</f>
        <v>479.7</v>
      </c>
      <c r="D148" s="1229">
        <f t="shared" ref="D148:F148" si="31">D149</f>
        <v>11</v>
      </c>
      <c r="E148" s="1229">
        <f t="shared" si="31"/>
        <v>1</v>
      </c>
      <c r="F148" s="1230">
        <f t="shared" si="31"/>
        <v>1523071</v>
      </c>
    </row>
    <row r="149" spans="1:6" s="1227" customFormat="1" ht="16.95" customHeight="1">
      <c r="A149" s="1223">
        <v>39</v>
      </c>
      <c r="B149" s="1231" t="s">
        <v>1114</v>
      </c>
      <c r="C149" s="4">
        <f>'2-70'!H698</f>
        <v>479.7</v>
      </c>
      <c r="D149" s="1229">
        <f>'2-70'!K697</f>
        <v>11</v>
      </c>
      <c r="E149" s="1229">
        <v>1</v>
      </c>
      <c r="F149" s="1230">
        <f>'2-70'!L698</f>
        <v>1523071</v>
      </c>
    </row>
    <row r="150" spans="1:6" s="1227" customFormat="1" ht="16.95" customHeight="1">
      <c r="A150" s="1223"/>
      <c r="B150" s="1231" t="s">
        <v>64</v>
      </c>
      <c r="C150" s="4">
        <f>C151+C152</f>
        <v>4177.3</v>
      </c>
      <c r="D150" s="1221">
        <f t="shared" ref="D150:F150" si="32">D151+D152</f>
        <v>149</v>
      </c>
      <c r="E150" s="1221">
        <f t="shared" si="32"/>
        <v>6</v>
      </c>
      <c r="F150" s="1230">
        <f t="shared" si="32"/>
        <v>10080672</v>
      </c>
    </row>
    <row r="151" spans="1:6" s="1227" customFormat="1" ht="16.95" customHeight="1">
      <c r="A151" s="1223">
        <v>40</v>
      </c>
      <c r="B151" s="1231" t="s">
        <v>1097</v>
      </c>
      <c r="C151" s="4">
        <f>'2-70'!H689</f>
        <v>3624.4000000000005</v>
      </c>
      <c r="D151" s="1229">
        <f>'2-70'!K689</f>
        <v>129</v>
      </c>
      <c r="E151" s="1229">
        <v>5</v>
      </c>
      <c r="F151" s="1230">
        <f>'2-70'!L689</f>
        <v>8557601</v>
      </c>
    </row>
    <row r="152" spans="1:6" s="1227" customFormat="1" ht="16.95" customHeight="1">
      <c r="A152" s="1223">
        <v>41</v>
      </c>
      <c r="B152" s="1231" t="s">
        <v>1390</v>
      </c>
      <c r="C152" s="4">
        <f>'2-70'!H695</f>
        <v>552.9</v>
      </c>
      <c r="D152" s="1229">
        <f>'2-70'!K695</f>
        <v>20</v>
      </c>
      <c r="E152" s="1229">
        <v>1</v>
      </c>
      <c r="F152" s="1230">
        <f>'2-70'!L695</f>
        <v>1523071</v>
      </c>
    </row>
    <row r="153" spans="1:6" s="1227" customFormat="1" ht="16.95" customHeight="1">
      <c r="A153" s="1223"/>
      <c r="B153" s="1232" t="s">
        <v>66</v>
      </c>
      <c r="C153" s="4">
        <f>C154</f>
        <v>501.4</v>
      </c>
      <c r="D153" s="1229">
        <f t="shared" ref="D153:F153" si="33">D154</f>
        <v>13</v>
      </c>
      <c r="E153" s="1229">
        <f t="shared" si="33"/>
        <v>1</v>
      </c>
      <c r="F153" s="1230">
        <f t="shared" si="33"/>
        <v>1523071</v>
      </c>
    </row>
    <row r="154" spans="1:6" s="1227" customFormat="1" ht="16.95" customHeight="1">
      <c r="A154" s="1223">
        <v>42</v>
      </c>
      <c r="B154" s="1231" t="s">
        <v>1101</v>
      </c>
      <c r="C154" s="4">
        <f>'2-70'!H701</f>
        <v>501.4</v>
      </c>
      <c r="D154" s="1229">
        <f>'2-70'!K701</f>
        <v>13</v>
      </c>
      <c r="E154" s="1229">
        <v>1</v>
      </c>
      <c r="F154" s="1230">
        <f>'2-70'!L701</f>
        <v>1523071</v>
      </c>
    </row>
    <row r="155" spans="1:6" s="1227" customFormat="1" ht="16.95" customHeight="1">
      <c r="A155" s="1223">
        <v>43</v>
      </c>
      <c r="B155" s="1231" t="s">
        <v>1161</v>
      </c>
      <c r="C155" s="4">
        <f>'2-70'!H703</f>
        <v>23746.32</v>
      </c>
      <c r="D155" s="1229">
        <f>'2-70'!K703</f>
        <v>879</v>
      </c>
      <c r="E155" s="1229">
        <v>4</v>
      </c>
      <c r="F155" s="1230">
        <f>'2-70'!L703</f>
        <v>33565442</v>
      </c>
    </row>
    <row r="156" spans="1:6" s="1227" customFormat="1" ht="16.95" customHeight="1">
      <c r="A156" s="1223"/>
      <c r="B156" s="1231" t="s">
        <v>67</v>
      </c>
      <c r="C156" s="4">
        <f>C157</f>
        <v>3942</v>
      </c>
      <c r="D156" s="1229">
        <f t="shared" ref="D156:F156" si="34">D157</f>
        <v>122</v>
      </c>
      <c r="E156" s="1229">
        <f t="shared" si="34"/>
        <v>2</v>
      </c>
      <c r="F156" s="1230">
        <f t="shared" si="34"/>
        <v>3066010</v>
      </c>
    </row>
    <row r="157" spans="1:6" s="1227" customFormat="1" ht="16.95" customHeight="1">
      <c r="A157" s="1223">
        <v>44</v>
      </c>
      <c r="B157" s="1231" t="s">
        <v>1345</v>
      </c>
      <c r="C157" s="4">
        <f>'2-70'!H709</f>
        <v>3942</v>
      </c>
      <c r="D157" s="1229">
        <f>'2-70'!K709</f>
        <v>122</v>
      </c>
      <c r="E157" s="1229">
        <v>2</v>
      </c>
      <c r="F157" s="1230">
        <f>'2-70'!L709</f>
        <v>3066010</v>
      </c>
    </row>
    <row r="158" spans="1:6" s="1227" customFormat="1" ht="16.95" customHeight="1">
      <c r="A158" s="1580" t="s">
        <v>1241</v>
      </c>
      <c r="B158" s="1580"/>
      <c r="C158" s="1580"/>
      <c r="D158" s="1580"/>
      <c r="E158" s="1580"/>
      <c r="F158" s="1580"/>
    </row>
    <row r="159" spans="1:6" s="1227" customFormat="1" ht="16.95" customHeight="1">
      <c r="A159" s="1223"/>
      <c r="B159" s="1231" t="s">
        <v>42</v>
      </c>
      <c r="C159" s="4">
        <f>C160+C161+C162+C163+C164+C165+C167+C169+C171+C172+C174+C175+C178+C180+C181+C183+C189+C190+C192+C197+C199+C200+C201+C202+C204+C205+C206+C208+C210+C212+C214+C215</f>
        <v>338872.06999999995</v>
      </c>
      <c r="D159" s="1229">
        <f>D160+D161+D162+D163+D164+D165+D167+D169+D171+D172+D174+D175+D178+D180+D181+D183+D189+D190+D192+D197+D199+D200+D201+D202+D204+D205+D206+D208+D210+D212+D214+D215</f>
        <v>11849</v>
      </c>
      <c r="E159" s="1229">
        <f>E160+E161+E162+E163+E164+E165+E167+E169+E171+E172+E174+E175+E178+E180+E181+E183+E189+E190+E192+E197+E199+E200+E201+E202+E204+E205+E206+E208+E210+E212+E214+E215</f>
        <v>140</v>
      </c>
      <c r="F159" s="1230">
        <f>F160+F161+F162+F163+F164+F165+F167+F169+F171+F172+F174+F175+F178+F180+F181+F183+F189+F190+F192+F197+F199+F200+F201+F202+F204+F205+F206+F208+F210+F212+F214+F215</f>
        <v>600137766</v>
      </c>
    </row>
    <row r="160" spans="1:6" s="1227" customFormat="1" ht="16.95" customHeight="1">
      <c r="A160" s="1223">
        <v>1</v>
      </c>
      <c r="B160" s="1231" t="s">
        <v>1103</v>
      </c>
      <c r="C160" s="4">
        <f>'2-70'!H719</f>
        <v>96783.900000000009</v>
      </c>
      <c r="D160" s="1229">
        <f>'2-70'!K719</f>
        <v>3527</v>
      </c>
      <c r="E160" s="1229">
        <v>21</v>
      </c>
      <c r="F160" s="1230">
        <f>'2-70'!L719</f>
        <v>275527858</v>
      </c>
    </row>
    <row r="161" spans="1:6" s="1227" customFormat="1" ht="16.95" customHeight="1">
      <c r="A161" s="1223">
        <v>2</v>
      </c>
      <c r="B161" s="1228" t="s">
        <v>1619</v>
      </c>
      <c r="C161" s="4">
        <f>'2-70'!H741</f>
        <v>31739.789999999997</v>
      </c>
      <c r="D161" s="1229">
        <f>'2-70'!K741</f>
        <v>1275</v>
      </c>
      <c r="E161" s="1229">
        <v>20</v>
      </c>
      <c r="F161" s="1230">
        <f>'2-70'!L741</f>
        <v>39453351</v>
      </c>
    </row>
    <row r="162" spans="1:6" s="1227" customFormat="1" ht="16.95" customHeight="1">
      <c r="A162" s="1223">
        <v>3</v>
      </c>
      <c r="B162" s="1231" t="s">
        <v>1074</v>
      </c>
      <c r="C162" s="4">
        <f>'2-70'!H762</f>
        <v>18087.099999999999</v>
      </c>
      <c r="D162" s="1229">
        <f>'2-70'!K762</f>
        <v>497</v>
      </c>
      <c r="E162" s="1229">
        <v>13</v>
      </c>
      <c r="F162" s="1230">
        <f>'2-70'!L762</f>
        <v>27018448</v>
      </c>
    </row>
    <row r="163" spans="1:6" s="1227" customFormat="1" ht="16.95" customHeight="1">
      <c r="A163" s="1223">
        <v>4</v>
      </c>
      <c r="B163" s="1228" t="s">
        <v>1163</v>
      </c>
      <c r="C163" s="4">
        <f>'2-70'!H776</f>
        <v>9704.9599999999991</v>
      </c>
      <c r="D163" s="1229">
        <f>'2-70'!K776</f>
        <v>229</v>
      </c>
      <c r="E163" s="1229">
        <v>3</v>
      </c>
      <c r="F163" s="1230">
        <f>'2-70'!L776</f>
        <v>11450500</v>
      </c>
    </row>
    <row r="164" spans="1:6" s="1227" customFormat="1" ht="16.95" customHeight="1">
      <c r="A164" s="1219">
        <v>5</v>
      </c>
      <c r="B164" s="1228" t="s">
        <v>1681</v>
      </c>
      <c r="C164" s="4">
        <f>'2-70'!H780</f>
        <v>1303.6999999999998</v>
      </c>
      <c r="D164" s="1229">
        <f>'2-70'!K780</f>
        <v>34</v>
      </c>
      <c r="E164" s="1229">
        <v>2</v>
      </c>
      <c r="F164" s="1230">
        <f>'2-70'!L780</f>
        <v>3519986</v>
      </c>
    </row>
    <row r="165" spans="1:6" s="1227" customFormat="1" ht="16.95" customHeight="1">
      <c r="A165" s="1223"/>
      <c r="B165" s="1228" t="s">
        <v>41</v>
      </c>
      <c r="C165" s="4">
        <f>C166</f>
        <v>8351.6299999999992</v>
      </c>
      <c r="D165" s="1229">
        <f t="shared" ref="D165:F165" si="35">D166</f>
        <v>365</v>
      </c>
      <c r="E165" s="1229">
        <f>E166</f>
        <v>5</v>
      </c>
      <c r="F165" s="1230">
        <f t="shared" si="35"/>
        <v>20749518</v>
      </c>
    </row>
    <row r="166" spans="1:6" s="1227" customFormat="1" ht="16.95" customHeight="1">
      <c r="A166" s="1223">
        <v>6</v>
      </c>
      <c r="B166" s="1228" t="s">
        <v>1075</v>
      </c>
      <c r="C166" s="4">
        <f>'2-70'!H784</f>
        <v>8351.6299999999992</v>
      </c>
      <c r="D166" s="1229">
        <f>'2-70'!K784</f>
        <v>365</v>
      </c>
      <c r="E166" s="1229">
        <v>5</v>
      </c>
      <c r="F166" s="1230">
        <f>'2-70'!L784</f>
        <v>20749518</v>
      </c>
    </row>
    <row r="167" spans="1:6" s="1227" customFormat="1" ht="16.95" customHeight="1">
      <c r="A167" s="1223"/>
      <c r="B167" s="1228" t="s">
        <v>68</v>
      </c>
      <c r="C167" s="4">
        <f>C168</f>
        <v>732.9</v>
      </c>
      <c r="D167" s="1229">
        <f t="shared" ref="D167:F167" si="36">D168</f>
        <v>33</v>
      </c>
      <c r="E167" s="1229">
        <f t="shared" si="36"/>
        <v>2</v>
      </c>
      <c r="F167" s="1230">
        <f t="shared" si="36"/>
        <v>363137</v>
      </c>
    </row>
    <row r="168" spans="1:6" s="1227" customFormat="1" ht="16.95" customHeight="1">
      <c r="A168" s="1223">
        <v>7</v>
      </c>
      <c r="B168" s="1228" t="s">
        <v>1076</v>
      </c>
      <c r="C168" s="4">
        <f>'2-70'!H791</f>
        <v>732.9</v>
      </c>
      <c r="D168" s="1229">
        <f>'2-70'!K791</f>
        <v>33</v>
      </c>
      <c r="E168" s="1229">
        <v>2</v>
      </c>
      <c r="F168" s="1230">
        <f>'2-70'!L791</f>
        <v>363137</v>
      </c>
    </row>
    <row r="169" spans="1:6" s="1227" customFormat="1" ht="16.95" customHeight="1">
      <c r="A169" s="1232"/>
      <c r="B169" s="1232" t="s">
        <v>43</v>
      </c>
      <c r="C169" s="4">
        <f>C170</f>
        <v>13804.44</v>
      </c>
      <c r="D169" s="1229">
        <f t="shared" ref="D169:F169" si="37">D170</f>
        <v>432</v>
      </c>
      <c r="E169" s="1229">
        <f t="shared" si="37"/>
        <v>9</v>
      </c>
      <c r="F169" s="1230">
        <f t="shared" si="37"/>
        <v>18020534</v>
      </c>
    </row>
    <row r="170" spans="1:6" s="1227" customFormat="1" ht="16.95" customHeight="1">
      <c r="A170" s="1223">
        <v>8</v>
      </c>
      <c r="B170" s="1231" t="s">
        <v>1115</v>
      </c>
      <c r="C170" s="4">
        <f>'2-70'!H795</f>
        <v>13804.44</v>
      </c>
      <c r="D170" s="1229">
        <f>'2-70'!K795</f>
        <v>432</v>
      </c>
      <c r="E170" s="1229">
        <v>9</v>
      </c>
      <c r="F170" s="1230">
        <f>'2-70'!L795</f>
        <v>18020534</v>
      </c>
    </row>
    <row r="171" spans="1:6" s="1227" customFormat="1" ht="16.95" customHeight="1">
      <c r="A171" s="1223">
        <v>9</v>
      </c>
      <c r="B171" s="1232" t="s">
        <v>1588</v>
      </c>
      <c r="C171" s="4">
        <f>'2-70'!H805</f>
        <v>3282</v>
      </c>
      <c r="D171" s="1229">
        <f>'2-70'!K805</f>
        <v>57</v>
      </c>
      <c r="E171" s="1229">
        <f>2</f>
        <v>2</v>
      </c>
      <c r="F171" s="1230">
        <f>'2-70'!L805</f>
        <v>3652572</v>
      </c>
    </row>
    <row r="172" spans="1:6" s="1227" customFormat="1" ht="16.95" customHeight="1">
      <c r="A172" s="1223"/>
      <c r="B172" s="1232" t="s">
        <v>46</v>
      </c>
      <c r="C172" s="4">
        <f>C173</f>
        <v>1653.4</v>
      </c>
      <c r="D172" s="1229">
        <f t="shared" ref="D172:F172" si="38">D173</f>
        <v>46</v>
      </c>
      <c r="E172" s="1229">
        <f t="shared" si="38"/>
        <v>1</v>
      </c>
      <c r="F172" s="1230">
        <f t="shared" si="38"/>
        <v>2262435</v>
      </c>
    </row>
    <row r="173" spans="1:6" s="1227" customFormat="1" ht="16.95" customHeight="1">
      <c r="A173" s="1223">
        <v>10</v>
      </c>
      <c r="B173" s="1231" t="s">
        <v>1106</v>
      </c>
      <c r="C173" s="4">
        <f>'2-70'!H809</f>
        <v>1653.4</v>
      </c>
      <c r="D173" s="1229">
        <f>'2-70'!K809</f>
        <v>46</v>
      </c>
      <c r="E173" s="1229">
        <v>1</v>
      </c>
      <c r="F173" s="1230">
        <f>'2-70'!L809</f>
        <v>2262435</v>
      </c>
    </row>
    <row r="174" spans="1:6" s="1227" customFormat="1" ht="16.95" customHeight="1">
      <c r="A174" s="1223">
        <v>11</v>
      </c>
      <c r="B174" s="1232" t="s">
        <v>2012</v>
      </c>
      <c r="C174" s="4">
        <f>'2-70'!H811</f>
        <v>2539.1999999999998</v>
      </c>
      <c r="D174" s="1229">
        <f>'2-70'!K811</f>
        <v>101</v>
      </c>
      <c r="E174" s="1229">
        <v>2</v>
      </c>
      <c r="F174" s="1230">
        <f>'2-70'!L811</f>
        <v>4283052</v>
      </c>
    </row>
    <row r="175" spans="1:6" s="1227" customFormat="1" ht="16.95" customHeight="1">
      <c r="A175" s="1223"/>
      <c r="B175" s="1232" t="s">
        <v>49</v>
      </c>
      <c r="C175" s="4">
        <f>C176+C177</f>
        <v>2114.3999999999996</v>
      </c>
      <c r="D175" s="1229">
        <f t="shared" ref="D175:F175" si="39">D176+D177</f>
        <v>96</v>
      </c>
      <c r="E175" s="1229">
        <f t="shared" si="39"/>
        <v>2</v>
      </c>
      <c r="F175" s="1230">
        <f t="shared" si="39"/>
        <v>3929574</v>
      </c>
    </row>
    <row r="176" spans="1:6" s="1227" customFormat="1" ht="16.95" customHeight="1">
      <c r="A176" s="1223">
        <v>12</v>
      </c>
      <c r="B176" s="1231" t="s">
        <v>1121</v>
      </c>
      <c r="C176" s="4">
        <f>'2-70'!H815</f>
        <v>631.29999999999995</v>
      </c>
      <c r="D176" s="1229">
        <f>'2-70'!K815</f>
        <v>32</v>
      </c>
      <c r="E176" s="1229">
        <v>1</v>
      </c>
      <c r="F176" s="1230">
        <f>'2-70'!L815</f>
        <v>1973223</v>
      </c>
    </row>
    <row r="177" spans="1:6" s="1227" customFormat="1" ht="16.95" customHeight="1">
      <c r="A177" s="1223">
        <v>13</v>
      </c>
      <c r="B177" s="1231" t="s">
        <v>1165</v>
      </c>
      <c r="C177" s="4">
        <f>'2-70'!H817</f>
        <v>1483.1</v>
      </c>
      <c r="D177" s="1229">
        <f>'2-70'!K817</f>
        <v>64</v>
      </c>
      <c r="E177" s="1229">
        <v>1</v>
      </c>
      <c r="F177" s="1230">
        <f>'2-70'!L817</f>
        <v>1956351</v>
      </c>
    </row>
    <row r="178" spans="1:6" s="1227" customFormat="1" ht="16.95" customHeight="1">
      <c r="A178" s="1223"/>
      <c r="B178" s="1232" t="s">
        <v>50</v>
      </c>
      <c r="C178" s="4">
        <f>C179</f>
        <v>5638.2999999999993</v>
      </c>
      <c r="D178" s="1229">
        <f t="shared" ref="D178:F178" si="40">D179</f>
        <v>201</v>
      </c>
      <c r="E178" s="1229">
        <f t="shared" si="40"/>
        <v>3</v>
      </c>
      <c r="F178" s="1230">
        <f t="shared" si="40"/>
        <v>7674183</v>
      </c>
    </row>
    <row r="179" spans="1:6" s="1227" customFormat="1" ht="16.95" customHeight="1">
      <c r="A179" s="1223">
        <v>14</v>
      </c>
      <c r="B179" s="1231" t="s">
        <v>1081</v>
      </c>
      <c r="C179" s="4">
        <f>'2-70'!H820</f>
        <v>5638.2999999999993</v>
      </c>
      <c r="D179" s="1229">
        <f>'2-70'!K820</f>
        <v>201</v>
      </c>
      <c r="E179" s="1229">
        <v>3</v>
      </c>
      <c r="F179" s="1230">
        <f>'2-70'!L820</f>
        <v>7674183</v>
      </c>
    </row>
    <row r="180" spans="1:6" s="1227" customFormat="1" ht="16.95" customHeight="1">
      <c r="A180" s="1223">
        <v>15</v>
      </c>
      <c r="B180" s="1232" t="s">
        <v>1221</v>
      </c>
      <c r="C180" s="4">
        <f>'2-70'!H824</f>
        <v>16811</v>
      </c>
      <c r="D180" s="1229">
        <f>'2-70'!K824</f>
        <v>532</v>
      </c>
      <c r="E180" s="1229">
        <v>5</v>
      </c>
      <c r="F180" s="1230">
        <f>'2-70'!L824</f>
        <v>11807368</v>
      </c>
    </row>
    <row r="181" spans="1:6" s="1227" customFormat="1" ht="16.95" customHeight="1">
      <c r="A181" s="1223"/>
      <c r="B181" s="1232" t="s">
        <v>52</v>
      </c>
      <c r="C181" s="4">
        <f>C182</f>
        <v>724.4</v>
      </c>
      <c r="D181" s="1229">
        <f t="shared" ref="D181:F181" si="41">D182</f>
        <v>59</v>
      </c>
      <c r="E181" s="1229">
        <f t="shared" si="41"/>
        <v>1</v>
      </c>
      <c r="F181" s="1230">
        <f t="shared" si="41"/>
        <v>1378249</v>
      </c>
    </row>
    <row r="182" spans="1:6" s="1227" customFormat="1" ht="16.95" customHeight="1">
      <c r="A182" s="1223">
        <v>16</v>
      </c>
      <c r="B182" s="1231" t="s">
        <v>1512</v>
      </c>
      <c r="C182" s="4">
        <f>'2-70'!H831</f>
        <v>724.4</v>
      </c>
      <c r="D182" s="1229">
        <f>'2-70'!K831</f>
        <v>59</v>
      </c>
      <c r="E182" s="1229">
        <v>1</v>
      </c>
      <c r="F182" s="1230">
        <f>'2-70'!L831</f>
        <v>1378249</v>
      </c>
    </row>
    <row r="183" spans="1:6" s="1227" customFormat="1" ht="16.95" customHeight="1">
      <c r="A183" s="1223"/>
      <c r="B183" s="1232" t="s">
        <v>53</v>
      </c>
      <c r="C183" s="4">
        <f>C184+C188+C185+C186+C187</f>
        <v>48603.6</v>
      </c>
      <c r="D183" s="1221">
        <f t="shared" ref="D183:F183" si="42">D184+D188+D185+D186+D187</f>
        <v>1634</v>
      </c>
      <c r="E183" s="1221">
        <f t="shared" si="42"/>
        <v>9</v>
      </c>
      <c r="F183" s="1230">
        <f t="shared" si="42"/>
        <v>71897355</v>
      </c>
    </row>
    <row r="184" spans="1:6" s="1227" customFormat="1" ht="16.95" customHeight="1">
      <c r="A184" s="1223">
        <v>17</v>
      </c>
      <c r="B184" s="1231" t="s">
        <v>1083</v>
      </c>
      <c r="C184" s="4">
        <f>'2-70'!H834</f>
        <v>33010.5</v>
      </c>
      <c r="D184" s="1229">
        <f>'2-70'!K834</f>
        <v>1066</v>
      </c>
      <c r="E184" s="1229">
        <v>5</v>
      </c>
      <c r="F184" s="1230">
        <f>'2-70'!L834</f>
        <v>57241206</v>
      </c>
    </row>
    <row r="185" spans="1:6" s="1227" customFormat="1" ht="16.95" customHeight="1">
      <c r="A185" s="1223">
        <v>18</v>
      </c>
      <c r="B185" s="1231" t="s">
        <v>1110</v>
      </c>
      <c r="C185" s="4">
        <f>'2-70'!H840</f>
        <v>3390.7</v>
      </c>
      <c r="D185" s="1229">
        <f>'2-70'!K840</f>
        <v>126</v>
      </c>
      <c r="E185" s="1229">
        <v>1</v>
      </c>
      <c r="F185" s="1230">
        <f>'2-70'!L840</f>
        <v>3550451</v>
      </c>
    </row>
    <row r="186" spans="1:6" s="1227" customFormat="1" ht="16.95" customHeight="1">
      <c r="A186" s="1223">
        <v>19</v>
      </c>
      <c r="B186" s="1231" t="s">
        <v>1587</v>
      </c>
      <c r="C186" s="4">
        <f>'2-70'!H842</f>
        <v>11049.9</v>
      </c>
      <c r="D186" s="1229">
        <f>'2-70'!K842</f>
        <v>385</v>
      </c>
      <c r="E186" s="1229">
        <v>1</v>
      </c>
      <c r="F186" s="1230">
        <f>'2-70'!L842</f>
        <v>8518278</v>
      </c>
    </row>
    <row r="187" spans="1:6" s="1227" customFormat="1" ht="16.95" customHeight="1">
      <c r="A187" s="1223">
        <v>20</v>
      </c>
      <c r="B187" s="1231" t="s">
        <v>2007</v>
      </c>
      <c r="C187" s="4">
        <f>'2-70'!H844</f>
        <v>525.4</v>
      </c>
      <c r="D187" s="1229">
        <f>'2-70'!K844</f>
        <v>24</v>
      </c>
      <c r="E187" s="1229">
        <v>1</v>
      </c>
      <c r="F187" s="1230">
        <f>'2-70'!L844</f>
        <v>1547837</v>
      </c>
    </row>
    <row r="188" spans="1:6" s="1227" customFormat="1" ht="16.95" customHeight="1">
      <c r="A188" s="1223">
        <v>21</v>
      </c>
      <c r="B188" s="1231" t="s">
        <v>1145</v>
      </c>
      <c r="C188" s="4">
        <f>'2-70'!H846</f>
        <v>627.1</v>
      </c>
      <c r="D188" s="1229">
        <f>'2-70'!K846</f>
        <v>33</v>
      </c>
      <c r="E188" s="1229">
        <v>1</v>
      </c>
      <c r="F188" s="1230">
        <f>'2-70'!L846</f>
        <v>1039583</v>
      </c>
    </row>
    <row r="189" spans="1:6" s="1227" customFormat="1" ht="16.95" customHeight="1">
      <c r="A189" s="1223">
        <v>22</v>
      </c>
      <c r="B189" s="1232" t="s">
        <v>2015</v>
      </c>
      <c r="C189" s="4">
        <f>'2-70'!H848</f>
        <v>215</v>
      </c>
      <c r="D189" s="1229">
        <f>'2-70'!K848</f>
        <v>10</v>
      </c>
      <c r="E189" s="1229">
        <v>1</v>
      </c>
      <c r="F189" s="1230">
        <f>'2-70'!L848</f>
        <v>107550</v>
      </c>
    </row>
    <row r="190" spans="1:6" s="1227" customFormat="1" ht="16.95" customHeight="1">
      <c r="A190" s="1223"/>
      <c r="B190" s="1232" t="s">
        <v>55</v>
      </c>
      <c r="C190" s="4">
        <f>C191</f>
        <v>2345.6</v>
      </c>
      <c r="D190" s="1229">
        <f t="shared" ref="D190:F190" si="43">D191</f>
        <v>62</v>
      </c>
      <c r="E190" s="1229">
        <f t="shared" si="43"/>
        <v>3</v>
      </c>
      <c r="F190" s="1230">
        <f t="shared" si="43"/>
        <v>5986278</v>
      </c>
    </row>
    <row r="191" spans="1:6" s="1227" customFormat="1" ht="16.95" customHeight="1">
      <c r="A191" s="1223">
        <v>23</v>
      </c>
      <c r="B191" s="1231" t="s">
        <v>1090</v>
      </c>
      <c r="C191" s="4">
        <f>'2-70'!H851</f>
        <v>2345.6</v>
      </c>
      <c r="D191" s="1229">
        <f>'2-70'!K851</f>
        <v>62</v>
      </c>
      <c r="E191" s="1229">
        <v>3</v>
      </c>
      <c r="F191" s="1230">
        <f>'2-70'!L851</f>
        <v>5986278</v>
      </c>
    </row>
    <row r="192" spans="1:6" s="1227" customFormat="1" ht="16.95" customHeight="1">
      <c r="A192" s="1223"/>
      <c r="B192" s="1232" t="s">
        <v>56</v>
      </c>
      <c r="C192" s="4">
        <f>C193+C194+C195+C196</f>
        <v>9723.0999999999985</v>
      </c>
      <c r="D192" s="1229">
        <f t="shared" ref="D192:F192" si="44">D193+D194+D195+D196</f>
        <v>341</v>
      </c>
      <c r="E192" s="1229">
        <f t="shared" si="44"/>
        <v>5</v>
      </c>
      <c r="F192" s="1230">
        <f t="shared" si="44"/>
        <v>12477151</v>
      </c>
    </row>
    <row r="193" spans="1:6" s="1227" customFormat="1" ht="16.95" customHeight="1">
      <c r="A193" s="1223">
        <v>24</v>
      </c>
      <c r="B193" s="1232" t="s">
        <v>1091</v>
      </c>
      <c r="C193" s="4">
        <f>'2-70'!H856</f>
        <v>4189.5</v>
      </c>
      <c r="D193" s="1229">
        <f>'2-70'!K856</f>
        <v>160</v>
      </c>
      <c r="E193" s="1229">
        <v>1</v>
      </c>
      <c r="F193" s="1230">
        <f>'2-70'!L856</f>
        <v>7126787</v>
      </c>
    </row>
    <row r="194" spans="1:6" s="1227" customFormat="1" ht="16.95" customHeight="1">
      <c r="A194" s="1223">
        <v>25</v>
      </c>
      <c r="B194" s="1232" t="s">
        <v>1111</v>
      </c>
      <c r="C194" s="4">
        <f>'2-70'!H858</f>
        <v>3692.3</v>
      </c>
      <c r="D194" s="1229">
        <f>'2-70'!K858</f>
        <v>107</v>
      </c>
      <c r="E194" s="1229">
        <v>2</v>
      </c>
      <c r="F194" s="1230">
        <f>'2-70'!L858</f>
        <v>3625770</v>
      </c>
    </row>
    <row r="195" spans="1:6" s="1227" customFormat="1" ht="16.95" customHeight="1">
      <c r="A195" s="1223">
        <v>26</v>
      </c>
      <c r="B195" s="1232" t="s">
        <v>1093</v>
      </c>
      <c r="C195" s="4">
        <f>'2-70'!H861</f>
        <v>452</v>
      </c>
      <c r="D195" s="1229">
        <f>'2-70'!K861</f>
        <v>12</v>
      </c>
      <c r="E195" s="1229">
        <v>1</v>
      </c>
      <c r="F195" s="1230">
        <f>'2-70'!L861</f>
        <v>1242149</v>
      </c>
    </row>
    <row r="196" spans="1:6" s="1227" customFormat="1" ht="16.95" customHeight="1">
      <c r="A196" s="1223">
        <v>27</v>
      </c>
      <c r="B196" s="1232" t="s">
        <v>1342</v>
      </c>
      <c r="C196" s="4">
        <f>'2-70'!H863</f>
        <v>1389.3</v>
      </c>
      <c r="D196" s="1229">
        <f>'2-70'!K863</f>
        <v>62</v>
      </c>
      <c r="E196" s="1229">
        <v>1</v>
      </c>
      <c r="F196" s="1230">
        <f>'2-70'!L863</f>
        <v>482445</v>
      </c>
    </row>
    <row r="197" spans="1:6" s="1227" customFormat="1" ht="16.95" customHeight="1">
      <c r="A197" s="1223"/>
      <c r="B197" s="1232" t="s">
        <v>57</v>
      </c>
      <c r="C197" s="4">
        <f>C198</f>
        <v>808</v>
      </c>
      <c r="D197" s="1229">
        <f t="shared" ref="D197:F197" si="45">D198</f>
        <v>25</v>
      </c>
      <c r="E197" s="1229">
        <f t="shared" si="45"/>
        <v>1</v>
      </c>
      <c r="F197" s="1230">
        <f t="shared" si="45"/>
        <v>1909969</v>
      </c>
    </row>
    <row r="198" spans="1:6" s="1227" customFormat="1" ht="16.95" customHeight="1">
      <c r="A198" s="1223">
        <v>28</v>
      </c>
      <c r="B198" s="1231" t="s">
        <v>1112</v>
      </c>
      <c r="C198" s="4">
        <f>'2-70'!H866</f>
        <v>808</v>
      </c>
      <c r="D198" s="1229">
        <f>'2-70'!K867</f>
        <v>25</v>
      </c>
      <c r="E198" s="1229">
        <v>1</v>
      </c>
      <c r="F198" s="1230">
        <f>'2-70'!L866</f>
        <v>1909969</v>
      </c>
    </row>
    <row r="199" spans="1:6" s="1227" customFormat="1" ht="16.95" customHeight="1">
      <c r="A199" s="1223">
        <v>29</v>
      </c>
      <c r="B199" s="1232" t="s">
        <v>1220</v>
      </c>
      <c r="C199" s="4">
        <f>'2-70'!H868</f>
        <v>4266.5</v>
      </c>
      <c r="D199" s="1229">
        <f>'2-70'!K868</f>
        <v>101</v>
      </c>
      <c r="E199" s="1229">
        <v>3</v>
      </c>
      <c r="F199" s="1230">
        <f>'2-70'!L868</f>
        <v>5088970</v>
      </c>
    </row>
    <row r="200" spans="1:6" s="1227" customFormat="1" ht="16.95" customHeight="1">
      <c r="A200" s="1223">
        <v>30</v>
      </c>
      <c r="B200" s="1232" t="s">
        <v>1158</v>
      </c>
      <c r="C200" s="4">
        <f>'2-70'!H872</f>
        <v>18943.100000000002</v>
      </c>
      <c r="D200" s="1229">
        <f>'2-70'!K872</f>
        <v>629</v>
      </c>
      <c r="E200" s="1229">
        <v>11</v>
      </c>
      <c r="F200" s="1230">
        <f>'2-70'!L872</f>
        <v>26188378</v>
      </c>
    </row>
    <row r="201" spans="1:6" s="1227" customFormat="1" ht="16.95" customHeight="1">
      <c r="A201" s="1223">
        <v>31</v>
      </c>
      <c r="B201" s="1232" t="s">
        <v>2013</v>
      </c>
      <c r="C201" s="4">
        <f>'2-70'!H884</f>
        <v>816.2</v>
      </c>
      <c r="D201" s="1229">
        <f>'2-70'!K884</f>
        <v>22</v>
      </c>
      <c r="E201" s="1229">
        <v>1</v>
      </c>
      <c r="F201" s="1230">
        <f>'2-70'!L884</f>
        <v>6477579</v>
      </c>
    </row>
    <row r="202" spans="1:6" s="1227" customFormat="1" ht="16.95" customHeight="1">
      <c r="A202" s="1223"/>
      <c r="B202" s="1231" t="s">
        <v>61</v>
      </c>
      <c r="C202" s="4">
        <f>C203</f>
        <v>3720</v>
      </c>
      <c r="D202" s="1229">
        <f>D203</f>
        <v>123</v>
      </c>
      <c r="E202" s="1229">
        <f>E203</f>
        <v>1</v>
      </c>
      <c r="F202" s="1230">
        <f>F203</f>
        <v>2726298</v>
      </c>
    </row>
    <row r="203" spans="1:6" s="1227" customFormat="1" ht="16.95" customHeight="1">
      <c r="A203" s="1223">
        <v>32</v>
      </c>
      <c r="B203" s="1231" t="s">
        <v>1095</v>
      </c>
      <c r="C203" s="4">
        <f>'2-70'!H887</f>
        <v>3720</v>
      </c>
      <c r="D203" s="1229">
        <f>'2-70'!K887</f>
        <v>123</v>
      </c>
      <c r="E203" s="1229">
        <v>1</v>
      </c>
      <c r="F203" s="1230">
        <f>'2-70'!L887</f>
        <v>2726298</v>
      </c>
    </row>
    <row r="204" spans="1:6" s="1227" customFormat="1" ht="16.95" customHeight="1">
      <c r="A204" s="1223">
        <v>33</v>
      </c>
      <c r="B204" s="1231" t="s">
        <v>2014</v>
      </c>
      <c r="C204" s="4">
        <f>'2-70'!H889</f>
        <v>414.2</v>
      </c>
      <c r="D204" s="1229">
        <f>'2-70'!K889</f>
        <v>15</v>
      </c>
      <c r="E204" s="1229">
        <v>1</v>
      </c>
      <c r="F204" s="1230">
        <f>'2-70'!L889</f>
        <v>1262456</v>
      </c>
    </row>
    <row r="205" spans="1:6" s="1227" customFormat="1" ht="16.95" customHeight="1">
      <c r="A205" s="1223">
        <v>34</v>
      </c>
      <c r="B205" s="1232" t="s">
        <v>2016</v>
      </c>
      <c r="C205" s="4">
        <f>'2-70'!H891</f>
        <v>1833</v>
      </c>
      <c r="D205" s="1229">
        <f>'2-70'!K891</f>
        <v>82</v>
      </c>
      <c r="E205" s="1229">
        <v>2</v>
      </c>
      <c r="F205" s="1230">
        <f>'2-70'!L891</f>
        <v>3794138</v>
      </c>
    </row>
    <row r="206" spans="1:6" s="1227" customFormat="1" ht="16.95" customHeight="1">
      <c r="A206" s="1223"/>
      <c r="B206" s="1232" t="s">
        <v>663</v>
      </c>
      <c r="C206" s="4">
        <f>C207</f>
        <v>790.2</v>
      </c>
      <c r="D206" s="1229">
        <f t="shared" ref="D206:F206" si="46">D207</f>
        <v>22</v>
      </c>
      <c r="E206" s="1229">
        <f t="shared" si="46"/>
        <v>1</v>
      </c>
      <c r="F206" s="1230">
        <f t="shared" si="46"/>
        <v>1337600</v>
      </c>
    </row>
    <row r="207" spans="1:6" s="1227" customFormat="1" ht="16.95" customHeight="1">
      <c r="A207" s="1223">
        <v>35</v>
      </c>
      <c r="B207" s="1231" t="s">
        <v>1113</v>
      </c>
      <c r="C207" s="4">
        <f>'2-70'!H895</f>
        <v>790.2</v>
      </c>
      <c r="D207" s="1229">
        <f>'2-70'!K895</f>
        <v>22</v>
      </c>
      <c r="E207" s="1229">
        <v>1</v>
      </c>
      <c r="F207" s="1230">
        <f>'2-70'!L895</f>
        <v>1337600</v>
      </c>
    </row>
    <row r="208" spans="1:6" s="1227" customFormat="1" ht="16.95" customHeight="1">
      <c r="A208" s="1223"/>
      <c r="B208" s="1231" t="s">
        <v>1036</v>
      </c>
      <c r="C208" s="4">
        <f>C209</f>
        <v>407</v>
      </c>
      <c r="D208" s="1229">
        <f t="shared" ref="D208:F208" si="47">D209</f>
        <v>14</v>
      </c>
      <c r="E208" s="1229">
        <f t="shared" si="47"/>
        <v>1</v>
      </c>
      <c r="F208" s="1230">
        <f t="shared" si="47"/>
        <v>1431686</v>
      </c>
    </row>
    <row r="209" spans="1:6" s="1227" customFormat="1" ht="16.95" customHeight="1">
      <c r="A209" s="1223">
        <v>36</v>
      </c>
      <c r="B209" s="1231" t="s">
        <v>1114</v>
      </c>
      <c r="C209" s="4">
        <f>'2-70'!H898</f>
        <v>407</v>
      </c>
      <c r="D209" s="1229">
        <f>'2-70'!K898</f>
        <v>14</v>
      </c>
      <c r="E209" s="1229">
        <v>1</v>
      </c>
      <c r="F209" s="1230">
        <f>'2-70'!L898</f>
        <v>1431686</v>
      </c>
    </row>
    <row r="210" spans="1:6" s="1227" customFormat="1" ht="16.95" customHeight="1">
      <c r="A210" s="1223"/>
      <c r="B210" s="1231" t="s">
        <v>64</v>
      </c>
      <c r="C210" s="4">
        <f>C211</f>
        <v>6314.8</v>
      </c>
      <c r="D210" s="1229">
        <f t="shared" ref="D210:F210" si="48">D211</f>
        <v>227</v>
      </c>
      <c r="E210" s="1229">
        <f t="shared" si="48"/>
        <v>3</v>
      </c>
      <c r="F210" s="1230">
        <f t="shared" si="48"/>
        <v>7866361</v>
      </c>
    </row>
    <row r="211" spans="1:6" s="1227" customFormat="1" ht="16.95" customHeight="1">
      <c r="A211" s="1223">
        <v>37</v>
      </c>
      <c r="B211" s="1231" t="s">
        <v>1097</v>
      </c>
      <c r="C211" s="4">
        <f>'2-70'!H901</f>
        <v>6314.8</v>
      </c>
      <c r="D211" s="1229">
        <f>'2-70'!K901</f>
        <v>227</v>
      </c>
      <c r="E211" s="1229">
        <v>3</v>
      </c>
      <c r="F211" s="1230">
        <f>'2-70'!L901</f>
        <v>7866361</v>
      </c>
    </row>
    <row r="212" spans="1:6" s="1227" customFormat="1" ht="16.95" customHeight="1">
      <c r="A212" s="1223"/>
      <c r="B212" s="1232" t="s">
        <v>66</v>
      </c>
      <c r="C212" s="4">
        <f>C213</f>
        <v>596.1</v>
      </c>
      <c r="D212" s="1229">
        <f t="shared" ref="D212:F212" si="49">D213</f>
        <v>30</v>
      </c>
      <c r="E212" s="1229">
        <f t="shared" si="49"/>
        <v>1</v>
      </c>
      <c r="F212" s="1230">
        <f t="shared" si="49"/>
        <v>1018933</v>
      </c>
    </row>
    <row r="213" spans="1:6" s="1227" customFormat="1" ht="16.95" customHeight="1">
      <c r="A213" s="1223">
        <v>38</v>
      </c>
      <c r="B213" s="1231" t="s">
        <v>1101</v>
      </c>
      <c r="C213" s="4">
        <f>'2-70'!H906</f>
        <v>596.1</v>
      </c>
      <c r="D213" s="1229">
        <f>'2-70'!K906</f>
        <v>30</v>
      </c>
      <c r="E213" s="1229">
        <v>1</v>
      </c>
      <c r="F213" s="1230">
        <f>'2-70'!L906</f>
        <v>1018933</v>
      </c>
    </row>
    <row r="214" spans="1:6" s="1227" customFormat="1" ht="16.95" customHeight="1">
      <c r="A214" s="1223">
        <v>39</v>
      </c>
      <c r="B214" s="1231" t="s">
        <v>1161</v>
      </c>
      <c r="C214" s="4">
        <f>'2-70'!H908</f>
        <v>24787.550000000003</v>
      </c>
      <c r="D214" s="1229">
        <f>'2-70'!K908</f>
        <v>978</v>
      </c>
      <c r="E214" s="1229">
        <v>4</v>
      </c>
      <c r="F214" s="1230">
        <f>'2-70'!L908</f>
        <v>17742029</v>
      </c>
    </row>
    <row r="215" spans="1:6" s="1227" customFormat="1" ht="16.95" customHeight="1">
      <c r="A215" s="1223"/>
      <c r="B215" s="1218" t="s">
        <v>67</v>
      </c>
      <c r="C215" s="4">
        <f>C216</f>
        <v>1017</v>
      </c>
      <c r="D215" s="1229">
        <f t="shared" ref="D215:F215" si="50">D216</f>
        <v>50</v>
      </c>
      <c r="E215" s="1229">
        <f t="shared" si="50"/>
        <v>1</v>
      </c>
      <c r="F215" s="1230">
        <f t="shared" si="50"/>
        <v>1734270</v>
      </c>
    </row>
    <row r="216" spans="1:6" s="1227" customFormat="1" ht="16.95" customHeight="1">
      <c r="A216" s="1223">
        <v>40</v>
      </c>
      <c r="B216" s="1231" t="s">
        <v>1347</v>
      </c>
      <c r="C216" s="4">
        <f>'2-70'!H914</f>
        <v>1017</v>
      </c>
      <c r="D216" s="1229">
        <f>'2-70'!K914</f>
        <v>50</v>
      </c>
      <c r="E216" s="1229">
        <v>1</v>
      </c>
      <c r="F216" s="1230">
        <f>'2-70'!L914</f>
        <v>1734270</v>
      </c>
    </row>
    <row r="217" spans="1:6" s="1227" customFormat="1" ht="16.95" customHeight="1">
      <c r="B217" s="1233"/>
      <c r="C217" s="1223" t="s">
        <v>1242</v>
      </c>
      <c r="D217" s="1234"/>
      <c r="E217" s="1234"/>
      <c r="F217" s="1235"/>
    </row>
    <row r="218" spans="1:6" s="1227" customFormat="1" ht="16.95" customHeight="1">
      <c r="A218" s="1223"/>
      <c r="B218" s="1228" t="s">
        <v>42</v>
      </c>
      <c r="C218" s="1236">
        <f>C219+C220+C222+C223+C224+C226+C227+C229+C231+C234+C237+C238+C241+C248+C250+C256+C264+C265+C267+C271+C273+C274+C279+C280+C281+C283+C292+C293+C275+C221+C236+C251+C285+C289+C225+C276</f>
        <v>1779111.0899999994</v>
      </c>
      <c r="D218" s="1237">
        <f>D219+D220+D222+D223+D224+D226+D227+D229+D231+D234+D237+D238+D241+D248+D250+D256+D264+D265+D267+D271+D273+D274+D279+D280+D281+D283+D292+D293+D275+D221+D236+D251+D285+D289+D225+D276</f>
        <v>65090</v>
      </c>
      <c r="E218" s="1237">
        <f>E219+E220+E222+E223+E224+E226+E227+E229+E231+E234+E237+E238+E241+E248+E250+E256+E264+E265+E267+E271+E273+E274+E279+E280+E281+E283+E292+E293+E275+E221+E236+E251+E285+E289+E225+E276</f>
        <v>636</v>
      </c>
      <c r="F218" s="1238">
        <f>F219+F220+F222+F223+F224+F226+F227+F229+F231+F234+F237+F238+F241+F248+F250+F256+F264+F265+F267+F271+F273+F274+F279+F280+F281+F283+F292+F293+F275+F221+F236+F251+F285+F289+F225+F276</f>
        <v>1940378406.4340003</v>
      </c>
    </row>
    <row r="219" spans="1:6" s="1227" customFormat="1" ht="16.95" customHeight="1">
      <c r="A219" s="1223">
        <v>1</v>
      </c>
      <c r="B219" s="1228" t="s">
        <v>1103</v>
      </c>
      <c r="C219" s="4">
        <f>'2-70'!H924</f>
        <v>1189073.9899999998</v>
      </c>
      <c r="D219" s="1229">
        <f>'2-70'!K924</f>
        <v>45261</v>
      </c>
      <c r="E219" s="1229">
        <v>290</v>
      </c>
      <c r="F219" s="1230">
        <f>'2-70'!L924</f>
        <v>1102581450.6040001</v>
      </c>
    </row>
    <row r="220" spans="1:6" s="1227" customFormat="1" ht="16.95" customHeight="1">
      <c r="A220" s="1223">
        <v>2</v>
      </c>
      <c r="B220" s="1228" t="s">
        <v>1619</v>
      </c>
      <c r="C220" s="4">
        <f>'2-70'!H1215</f>
        <v>39360.650000000009</v>
      </c>
      <c r="D220" s="1229">
        <f>'2-70'!K1215</f>
        <v>1341</v>
      </c>
      <c r="E220" s="1229">
        <v>33</v>
      </c>
      <c r="F220" s="1230">
        <f>'2-70'!L1215</f>
        <v>71106383.589999989</v>
      </c>
    </row>
    <row r="221" spans="1:6" s="1227" customFormat="1" ht="16.95" customHeight="1">
      <c r="A221" s="1223">
        <v>3</v>
      </c>
      <c r="B221" s="1228" t="s">
        <v>1072</v>
      </c>
      <c r="C221" s="4">
        <f>'2-70'!H1249</f>
        <v>1838.4</v>
      </c>
      <c r="D221" s="1229">
        <f>'2-70'!K1249</f>
        <v>95</v>
      </c>
      <c r="E221" s="1229">
        <v>3</v>
      </c>
      <c r="F221" s="1230">
        <f>'2-70'!L1249</f>
        <v>1785657</v>
      </c>
    </row>
    <row r="222" spans="1:6" s="1227" customFormat="1" ht="16.95" customHeight="1">
      <c r="A222" s="1223">
        <v>4</v>
      </c>
      <c r="B222" s="1228" t="s">
        <v>1073</v>
      </c>
      <c r="C222" s="4">
        <f>'2-70'!H1253</f>
        <v>162313.40000000002</v>
      </c>
      <c r="D222" s="1229">
        <f>'2-70'!K1253</f>
        <v>4953</v>
      </c>
      <c r="E222" s="1229">
        <v>73</v>
      </c>
      <c r="F222" s="1230">
        <f>'2-70'!L1253</f>
        <v>247910143.35000008</v>
      </c>
    </row>
    <row r="223" spans="1:6" s="1227" customFormat="1" ht="16.95" customHeight="1">
      <c r="A223" s="1223">
        <v>5</v>
      </c>
      <c r="B223" s="1231" t="s">
        <v>1074</v>
      </c>
      <c r="C223" s="4">
        <f>'2-70'!H1327</f>
        <v>50123.100000000006</v>
      </c>
      <c r="D223" s="1229">
        <f>'2-70'!K1327</f>
        <v>1688</v>
      </c>
      <c r="E223" s="1229">
        <v>24</v>
      </c>
      <c r="F223" s="1230">
        <f>'2-70'!L1327</f>
        <v>61627333.769999996</v>
      </c>
    </row>
    <row r="224" spans="1:6" s="1227" customFormat="1" ht="16.95" customHeight="1">
      <c r="A224" s="1223">
        <v>6</v>
      </c>
      <c r="B224" s="1228" t="s">
        <v>1163</v>
      </c>
      <c r="C224" s="4">
        <f>'2-70'!H1352</f>
        <v>52660.700000000004</v>
      </c>
      <c r="D224" s="1229">
        <f>'2-70'!K1352</f>
        <v>1692</v>
      </c>
      <c r="E224" s="1229">
        <v>9</v>
      </c>
      <c r="F224" s="1230">
        <f>'2-70'!L1352</f>
        <v>27721033.609999999</v>
      </c>
    </row>
    <row r="225" spans="1:6" s="1227" customFormat="1" ht="16.95" customHeight="1">
      <c r="A225" s="1223">
        <v>7</v>
      </c>
      <c r="B225" s="1228" t="s">
        <v>1162</v>
      </c>
      <c r="C225" s="4">
        <f>'2-70'!H1362</f>
        <v>4284.7</v>
      </c>
      <c r="D225" s="1229">
        <f>'2-70'!K1362</f>
        <v>97</v>
      </c>
      <c r="E225" s="1229">
        <v>2</v>
      </c>
      <c r="F225" s="1230">
        <f>'2-70'!L1362</f>
        <v>14594826.83</v>
      </c>
    </row>
    <row r="226" spans="1:6" s="1227" customFormat="1" ht="16.95" customHeight="1">
      <c r="A226" s="1223">
        <v>8</v>
      </c>
      <c r="B226" s="1228" t="s">
        <v>1681</v>
      </c>
      <c r="C226" s="4">
        <f>'2-70'!H1365</f>
        <v>7472</v>
      </c>
      <c r="D226" s="1229">
        <f>'2-70'!K1365</f>
        <v>195</v>
      </c>
      <c r="E226" s="1229">
        <v>10</v>
      </c>
      <c r="F226" s="1230">
        <f>'2-70'!L1365</f>
        <v>22098683.720000003</v>
      </c>
    </row>
    <row r="227" spans="1:6" s="1227" customFormat="1" ht="16.95" customHeight="1">
      <c r="A227" s="1223"/>
      <c r="B227" s="1228" t="s">
        <v>41</v>
      </c>
      <c r="C227" s="4">
        <f>C228</f>
        <v>9184.1999999999989</v>
      </c>
      <c r="D227" s="1229">
        <f t="shared" ref="D227:F227" si="51">D228</f>
        <v>360</v>
      </c>
      <c r="E227" s="1229">
        <f t="shared" si="51"/>
        <v>9</v>
      </c>
      <c r="F227" s="1230">
        <f t="shared" si="51"/>
        <v>15506314.620000001</v>
      </c>
    </row>
    <row r="228" spans="1:6" s="1227" customFormat="1" ht="16.95" customHeight="1">
      <c r="A228" s="1223">
        <v>9</v>
      </c>
      <c r="B228" s="1228" t="s">
        <v>1075</v>
      </c>
      <c r="C228" s="4">
        <f>'2-70'!H1377</f>
        <v>9184.1999999999989</v>
      </c>
      <c r="D228" s="1229">
        <f>'2-70'!K1377</f>
        <v>360</v>
      </c>
      <c r="E228" s="1229">
        <v>9</v>
      </c>
      <c r="F228" s="1230">
        <f>'2-70'!L1377</f>
        <v>15506314.620000001</v>
      </c>
    </row>
    <row r="229" spans="1:6" s="1227" customFormat="1" ht="16.95" customHeight="1">
      <c r="A229" s="1223"/>
      <c r="B229" s="1228" t="s">
        <v>68</v>
      </c>
      <c r="C229" s="4">
        <f>C230</f>
        <v>2111.8000000000002</v>
      </c>
      <c r="D229" s="1229">
        <f t="shared" ref="D229:F229" si="52">D230</f>
        <v>71</v>
      </c>
      <c r="E229" s="1229">
        <f t="shared" si="52"/>
        <v>4</v>
      </c>
      <c r="F229" s="1230">
        <f t="shared" si="52"/>
        <v>3559224</v>
      </c>
    </row>
    <row r="230" spans="1:6" s="1227" customFormat="1" ht="16.95" customHeight="1">
      <c r="A230" s="1223">
        <v>10</v>
      </c>
      <c r="B230" s="1228" t="s">
        <v>1076</v>
      </c>
      <c r="C230" s="4">
        <f>'2-70'!H1388</f>
        <v>2111.8000000000002</v>
      </c>
      <c r="D230" s="1229">
        <f>'2-70'!K1388</f>
        <v>71</v>
      </c>
      <c r="E230" s="1229">
        <v>4</v>
      </c>
      <c r="F230" s="1230">
        <f>'2-70'!L1388</f>
        <v>3559224</v>
      </c>
    </row>
    <row r="231" spans="1:6" s="1227" customFormat="1" ht="16.95" customHeight="1">
      <c r="A231" s="1223"/>
      <c r="B231" s="1232" t="s">
        <v>43</v>
      </c>
      <c r="C231" s="4">
        <f>C232+C233</f>
        <v>48403.80000000001</v>
      </c>
      <c r="D231" s="1229">
        <f t="shared" ref="D231:F231" si="53">D232+D233</f>
        <v>1656</v>
      </c>
      <c r="E231" s="1229">
        <f t="shared" si="53"/>
        <v>19</v>
      </c>
      <c r="F231" s="1230">
        <f t="shared" si="53"/>
        <v>42565260.159999996</v>
      </c>
    </row>
    <row r="232" spans="1:6" s="1227" customFormat="1" ht="16.95" customHeight="1">
      <c r="A232" s="1223">
        <v>11</v>
      </c>
      <c r="B232" s="1231" t="s">
        <v>1115</v>
      </c>
      <c r="C232" s="4">
        <f>'2-70'!H1394</f>
        <v>44784.400000000009</v>
      </c>
      <c r="D232" s="1229">
        <f>'2-70'!K1394</f>
        <v>1533</v>
      </c>
      <c r="E232" s="1229">
        <v>18</v>
      </c>
      <c r="F232" s="1230">
        <f>'2-70'!L1394</f>
        <v>42381926.159999996</v>
      </c>
    </row>
    <row r="233" spans="1:6" s="1227" customFormat="1" ht="16.95" customHeight="1">
      <c r="A233" s="1223">
        <v>12</v>
      </c>
      <c r="B233" s="1231" t="s">
        <v>1180</v>
      </c>
      <c r="C233" s="4">
        <f>'2-70'!H1413</f>
        <v>3619.4</v>
      </c>
      <c r="D233" s="1229">
        <f>'2-70'!K1413</f>
        <v>123</v>
      </c>
      <c r="E233" s="1229">
        <v>1</v>
      </c>
      <c r="F233" s="1230">
        <f>'2-70'!L1413</f>
        <v>183334</v>
      </c>
    </row>
    <row r="234" spans="1:6" s="1227" customFormat="1" ht="16.95" customHeight="1">
      <c r="A234" s="1223">
        <v>13</v>
      </c>
      <c r="B234" s="1232" t="s">
        <v>1588</v>
      </c>
      <c r="C234" s="4">
        <f>'2-70'!H1415</f>
        <v>7463.9</v>
      </c>
      <c r="D234" s="1229">
        <f>'2-70'!K1415</f>
        <v>133</v>
      </c>
      <c r="E234" s="1229">
        <v>6</v>
      </c>
      <c r="F234" s="1230">
        <f>'2-70'!L1415</f>
        <v>14971020.529999999</v>
      </c>
    </row>
    <row r="235" spans="1:6" s="1227" customFormat="1" ht="16.95" customHeight="1">
      <c r="A235" s="1223"/>
      <c r="B235" s="1232" t="s">
        <v>46</v>
      </c>
      <c r="C235" s="4">
        <f>C236</f>
        <v>1450.7</v>
      </c>
      <c r="D235" s="1229">
        <f t="shared" ref="D235:F235" si="54">D236</f>
        <v>51</v>
      </c>
      <c r="E235" s="1229">
        <f t="shared" si="54"/>
        <v>3</v>
      </c>
      <c r="F235" s="1230">
        <f t="shared" si="54"/>
        <v>6313286.6600000001</v>
      </c>
    </row>
    <row r="236" spans="1:6" s="1227" customFormat="1" ht="16.95" customHeight="1">
      <c r="A236" s="1223">
        <v>14</v>
      </c>
      <c r="B236" s="1231" t="s">
        <v>1106</v>
      </c>
      <c r="C236" s="4">
        <f>'2-70'!H1423</f>
        <v>1450.7</v>
      </c>
      <c r="D236" s="1229">
        <f>'2-70'!K1423</f>
        <v>51</v>
      </c>
      <c r="E236" s="1229">
        <v>3</v>
      </c>
      <c r="F236" s="1230">
        <f>'2-70'!L1423</f>
        <v>6313286.6600000001</v>
      </c>
    </row>
    <row r="237" spans="1:6" s="1227" customFormat="1" ht="16.95" customHeight="1">
      <c r="A237" s="1223">
        <v>15</v>
      </c>
      <c r="B237" s="1232" t="s">
        <v>2012</v>
      </c>
      <c r="C237" s="4">
        <f>'2-70'!H1427</f>
        <v>6157.1</v>
      </c>
      <c r="D237" s="1229">
        <f>'2-70'!K1427</f>
        <v>218</v>
      </c>
      <c r="E237" s="1229">
        <v>9</v>
      </c>
      <c r="F237" s="1230">
        <f>'2-70'!L1427</f>
        <v>15338279.420000002</v>
      </c>
    </row>
    <row r="238" spans="1:6" s="1227" customFormat="1" ht="16.95" customHeight="1">
      <c r="A238" s="1223"/>
      <c r="B238" s="1232" t="s">
        <v>48</v>
      </c>
      <c r="C238" s="4">
        <f>C239+C240</f>
        <v>4326.8</v>
      </c>
      <c r="D238" s="1229">
        <f t="shared" ref="D238:F238" si="55">D239+D240</f>
        <v>163</v>
      </c>
      <c r="E238" s="1229">
        <f t="shared" si="55"/>
        <v>6</v>
      </c>
      <c r="F238" s="1230">
        <f t="shared" si="55"/>
        <v>9411662.4100000001</v>
      </c>
    </row>
    <row r="239" spans="1:6" s="1227" customFormat="1" ht="16.95" customHeight="1">
      <c r="A239" s="1223">
        <v>16</v>
      </c>
      <c r="B239" s="1231" t="s">
        <v>1078</v>
      </c>
      <c r="C239" s="4">
        <f>'2-70'!H1438</f>
        <v>4022.4</v>
      </c>
      <c r="D239" s="1229">
        <f>'2-70'!K1438</f>
        <v>146</v>
      </c>
      <c r="E239" s="1229">
        <v>5</v>
      </c>
      <c r="F239" s="1230">
        <f>'2-70'!L1438</f>
        <v>8040898.5199999996</v>
      </c>
    </row>
    <row r="240" spans="1:6" s="1227" customFormat="1" ht="16.95" customHeight="1">
      <c r="A240" s="1223">
        <v>17</v>
      </c>
      <c r="B240" s="1231" t="s">
        <v>1199</v>
      </c>
      <c r="C240" s="4">
        <f>'2-70'!H1444</f>
        <v>304.39999999999998</v>
      </c>
      <c r="D240" s="1229">
        <f>'2-70'!K1444</f>
        <v>17</v>
      </c>
      <c r="E240" s="1229">
        <v>1</v>
      </c>
      <c r="F240" s="1230">
        <f>'2-70'!L1444</f>
        <v>1370763.89</v>
      </c>
    </row>
    <row r="241" spans="1:6" s="1227" customFormat="1" ht="16.95" customHeight="1">
      <c r="A241" s="1223"/>
      <c r="B241" s="1232" t="s">
        <v>49</v>
      </c>
      <c r="C241" s="4">
        <f>C242+C244+C247+C245+C243+C246</f>
        <v>6927.8</v>
      </c>
      <c r="D241" s="1229">
        <f t="shared" ref="D241:F241" si="56">D242+D244+D247+D245+D243+D246</f>
        <v>278</v>
      </c>
      <c r="E241" s="1229">
        <f t="shared" si="56"/>
        <v>8</v>
      </c>
      <c r="F241" s="1230">
        <f t="shared" si="56"/>
        <v>11644242.68</v>
      </c>
    </row>
    <row r="242" spans="1:6" s="1227" customFormat="1" ht="16.95" customHeight="1">
      <c r="A242" s="1223">
        <v>18</v>
      </c>
      <c r="B242" s="1231" t="s">
        <v>1165</v>
      </c>
      <c r="C242" s="4">
        <f>'2-70'!H1447</f>
        <v>3496.4</v>
      </c>
      <c r="D242" s="1229">
        <f>'2-70'!K1447</f>
        <v>121</v>
      </c>
      <c r="E242" s="1229">
        <v>1</v>
      </c>
      <c r="F242" s="1230">
        <f>'2-70'!L1447</f>
        <v>2567710.34</v>
      </c>
    </row>
    <row r="243" spans="1:6" s="1227" customFormat="1" ht="16.95" customHeight="1">
      <c r="A243" s="1223">
        <v>19</v>
      </c>
      <c r="B243" s="1231" t="s">
        <v>1080</v>
      </c>
      <c r="C243" s="4">
        <f>'2-70'!H1449</f>
        <v>389.6</v>
      </c>
      <c r="D243" s="1229">
        <f>'2-70'!K1449</f>
        <v>23</v>
      </c>
      <c r="E243" s="1229">
        <v>1</v>
      </c>
      <c r="F243" s="1230">
        <f>'2-70'!L1449</f>
        <v>1167688</v>
      </c>
    </row>
    <row r="244" spans="1:6" s="1227" customFormat="1" ht="16.95" customHeight="1">
      <c r="A244" s="1223">
        <v>20</v>
      </c>
      <c r="B244" s="1231" t="s">
        <v>1226</v>
      </c>
      <c r="C244" s="4">
        <f>'2-70'!H1451</f>
        <v>1114</v>
      </c>
      <c r="D244" s="1229">
        <f>'2-70'!K1451</f>
        <v>57</v>
      </c>
      <c r="E244" s="1229">
        <v>2</v>
      </c>
      <c r="F244" s="1230">
        <f>'2-70'!L1451</f>
        <v>1811368</v>
      </c>
    </row>
    <row r="245" spans="1:6" s="1227" customFormat="1" ht="16.95" customHeight="1">
      <c r="A245" s="1223">
        <v>21</v>
      </c>
      <c r="B245" s="1231" t="s">
        <v>1567</v>
      </c>
      <c r="C245" s="4">
        <f>'2-70'!H1454</f>
        <v>420.7</v>
      </c>
      <c r="D245" s="1229">
        <f>'2-70'!K1454</f>
        <v>24</v>
      </c>
      <c r="E245" s="1229">
        <v>1</v>
      </c>
      <c r="F245" s="1230">
        <f>'2-70'!L1454</f>
        <v>1401226</v>
      </c>
    </row>
    <row r="246" spans="1:6" s="1227" customFormat="1" ht="16.95" customHeight="1">
      <c r="A246" s="1223">
        <v>22</v>
      </c>
      <c r="B246" s="1231" t="s">
        <v>1121</v>
      </c>
      <c r="C246" s="4">
        <f>'2-70'!H1456</f>
        <v>637.1</v>
      </c>
      <c r="D246" s="1229">
        <f>'2-70'!K1456</f>
        <v>24</v>
      </c>
      <c r="E246" s="1229">
        <v>1</v>
      </c>
      <c r="F246" s="1230">
        <f>'2-70'!L1456</f>
        <v>2064607.34</v>
      </c>
    </row>
    <row r="247" spans="1:6" s="1227" customFormat="1" ht="16.95" customHeight="1">
      <c r="A247" s="1223">
        <v>23</v>
      </c>
      <c r="B247" s="1231" t="s">
        <v>1141</v>
      </c>
      <c r="C247" s="4">
        <f>'2-70'!H1458</f>
        <v>870</v>
      </c>
      <c r="D247" s="1229">
        <f>'2-70'!K1458</f>
        <v>29</v>
      </c>
      <c r="E247" s="1229">
        <v>2</v>
      </c>
      <c r="F247" s="1230">
        <f>'2-70'!L1458</f>
        <v>2631643</v>
      </c>
    </row>
    <row r="248" spans="1:6" s="1227" customFormat="1" ht="16.95" customHeight="1">
      <c r="A248" s="1223"/>
      <c r="B248" s="1232" t="s">
        <v>50</v>
      </c>
      <c r="C248" s="4">
        <f>C249</f>
        <v>1765.3999999999999</v>
      </c>
      <c r="D248" s="1229">
        <f t="shared" ref="D248:F248" si="57">D249</f>
        <v>69</v>
      </c>
      <c r="E248" s="1229">
        <f t="shared" si="57"/>
        <v>4</v>
      </c>
      <c r="F248" s="1230">
        <f t="shared" si="57"/>
        <v>6107767.9199999999</v>
      </c>
    </row>
    <row r="249" spans="1:6" s="1227" customFormat="1" ht="16.95" customHeight="1">
      <c r="A249" s="1223">
        <v>24</v>
      </c>
      <c r="B249" s="1231" t="s">
        <v>1081</v>
      </c>
      <c r="C249" s="4">
        <f>'2-70'!H1462</f>
        <v>1765.3999999999999</v>
      </c>
      <c r="D249" s="1229">
        <f>'2-70'!K1462</f>
        <v>69</v>
      </c>
      <c r="E249" s="1229">
        <v>4</v>
      </c>
      <c r="F249" s="1230">
        <f>'2-70'!L1462</f>
        <v>6107767.9199999999</v>
      </c>
    </row>
    <row r="250" spans="1:6" s="1227" customFormat="1" ht="16.95" customHeight="1">
      <c r="A250" s="1223">
        <v>25</v>
      </c>
      <c r="B250" s="1232" t="s">
        <v>1221</v>
      </c>
      <c r="C250" s="4">
        <f>'2-70'!H1467</f>
        <v>6744.3</v>
      </c>
      <c r="D250" s="1229">
        <f>'2-70'!K1467</f>
        <v>310</v>
      </c>
      <c r="E250" s="1229">
        <v>15</v>
      </c>
      <c r="F250" s="1230">
        <f>'2-70'!L1467</f>
        <v>15732939.850000001</v>
      </c>
    </row>
    <row r="251" spans="1:6" s="1227" customFormat="1" ht="16.95" customHeight="1">
      <c r="A251" s="1223"/>
      <c r="B251" s="1232" t="s">
        <v>52</v>
      </c>
      <c r="C251" s="4">
        <f>C252+C253+C254+C255</f>
        <v>3493.2000000000003</v>
      </c>
      <c r="D251" s="1229">
        <f t="shared" ref="D251:F251" si="58">D252+D253+D254+D255</f>
        <v>131</v>
      </c>
      <c r="E251" s="1229">
        <f t="shared" si="58"/>
        <v>5</v>
      </c>
      <c r="F251" s="1230">
        <f t="shared" si="58"/>
        <v>6003881.5600000005</v>
      </c>
    </row>
    <row r="252" spans="1:6" s="1227" customFormat="1" ht="16.95" customHeight="1">
      <c r="A252" s="1223">
        <v>26</v>
      </c>
      <c r="B252" s="1232" t="s">
        <v>1082</v>
      </c>
      <c r="C252" s="4">
        <f>'2-70'!H1484</f>
        <v>1364.9</v>
      </c>
      <c r="D252" s="1229">
        <f>'2-70'!K1484</f>
        <v>63</v>
      </c>
      <c r="E252" s="1229">
        <v>2</v>
      </c>
      <c r="F252" s="1230">
        <f>'2-70'!L1484</f>
        <v>3460075</v>
      </c>
    </row>
    <row r="253" spans="1:6" s="1227" customFormat="1" ht="16.95" customHeight="1">
      <c r="A253" s="1223">
        <v>27</v>
      </c>
      <c r="B253" s="1232" t="s">
        <v>1611</v>
      </c>
      <c r="C253" s="4">
        <f>'2-70'!H1487</f>
        <v>845.9</v>
      </c>
      <c r="D253" s="1229">
        <f>'2-70'!K1487</f>
        <v>29</v>
      </c>
      <c r="E253" s="1229">
        <v>1</v>
      </c>
      <c r="F253" s="1230">
        <f>'2-70'!L1487</f>
        <v>275823</v>
      </c>
    </row>
    <row r="254" spans="1:6" s="1227" customFormat="1" ht="16.95" customHeight="1">
      <c r="A254" s="1223">
        <v>28</v>
      </c>
      <c r="B254" s="1232" t="s">
        <v>1611</v>
      </c>
      <c r="C254" s="4">
        <f>'2-70'!H1489</f>
        <v>532.29999999999995</v>
      </c>
      <c r="D254" s="1229">
        <f>'2-70'!K1489</f>
        <v>16</v>
      </c>
      <c r="E254" s="1229">
        <v>1</v>
      </c>
      <c r="F254" s="1230">
        <f>'2-70'!L1489</f>
        <v>20216</v>
      </c>
    </row>
    <row r="255" spans="1:6" s="1227" customFormat="1" ht="16.95" customHeight="1">
      <c r="A255" s="1223">
        <v>29</v>
      </c>
      <c r="B255" s="1232" t="s">
        <v>1104</v>
      </c>
      <c r="C255" s="4">
        <f>'2-70'!H1491</f>
        <v>750.1</v>
      </c>
      <c r="D255" s="1229">
        <f>'2-70'!K1491</f>
        <v>23</v>
      </c>
      <c r="E255" s="1229">
        <v>1</v>
      </c>
      <c r="F255" s="1230">
        <f>'2-70'!L1491</f>
        <v>2247767.56</v>
      </c>
    </row>
    <row r="256" spans="1:6" s="1227" customFormat="1" ht="16.95" customHeight="1">
      <c r="A256" s="1223"/>
      <c r="B256" s="1232" t="s">
        <v>53</v>
      </c>
      <c r="C256" s="4">
        <f>C257+C259+C261+C260+C263+C258+C262</f>
        <v>86785.7</v>
      </c>
      <c r="D256" s="1229">
        <f t="shared" ref="D256:F256" si="59">D257+D259+D261+D260+D263+D258+D262</f>
        <v>3219</v>
      </c>
      <c r="E256" s="1229">
        <f t="shared" si="59"/>
        <v>35</v>
      </c>
      <c r="F256" s="1230">
        <f t="shared" si="59"/>
        <v>102105960.73</v>
      </c>
    </row>
    <row r="257" spans="1:6" s="1227" customFormat="1" ht="16.95" customHeight="1">
      <c r="A257" s="1223">
        <v>30</v>
      </c>
      <c r="B257" s="1231" t="s">
        <v>1083</v>
      </c>
      <c r="C257" s="4">
        <f>'2-70'!H1494</f>
        <v>57487.3</v>
      </c>
      <c r="D257" s="1229">
        <f>'2-70'!K1494</f>
        <v>2029</v>
      </c>
      <c r="E257" s="1229">
        <v>12</v>
      </c>
      <c r="F257" s="1230">
        <f>'2-70'!L1494</f>
        <v>60851108.969999999</v>
      </c>
    </row>
    <row r="258" spans="1:6" s="1227" customFormat="1" ht="16.95" customHeight="1">
      <c r="A258" s="1223">
        <v>31</v>
      </c>
      <c r="B258" s="1231" t="s">
        <v>1089</v>
      </c>
      <c r="C258" s="4">
        <f>'2-70'!H1507</f>
        <v>1558.3000000000002</v>
      </c>
      <c r="D258" s="1229">
        <f>'2-70'!K1507</f>
        <v>87</v>
      </c>
      <c r="E258" s="1229">
        <v>3</v>
      </c>
      <c r="F258" s="1230">
        <f>'2-70'!L1507</f>
        <v>2880188.6399999997</v>
      </c>
    </row>
    <row r="259" spans="1:6" s="1227" customFormat="1" ht="16.95" customHeight="1">
      <c r="A259" s="1223">
        <v>32</v>
      </c>
      <c r="B259" s="1231" t="s">
        <v>1108</v>
      </c>
      <c r="C259" s="4">
        <f>'2-70'!H1511</f>
        <v>2618</v>
      </c>
      <c r="D259" s="1229">
        <f>'2-70'!K1511</f>
        <v>94</v>
      </c>
      <c r="E259" s="1229">
        <v>3</v>
      </c>
      <c r="F259" s="1230">
        <f>'2-70'!L1511</f>
        <v>4176411</v>
      </c>
    </row>
    <row r="260" spans="1:6" s="1227" customFormat="1" ht="16.95" customHeight="1">
      <c r="A260" s="1223">
        <v>33</v>
      </c>
      <c r="B260" s="1231" t="s">
        <v>1109</v>
      </c>
      <c r="C260" s="4">
        <f>'2-70'!H1515</f>
        <v>3256.2</v>
      </c>
      <c r="D260" s="1229">
        <f>'2-70'!K1515</f>
        <v>118</v>
      </c>
      <c r="E260" s="1229">
        <v>3</v>
      </c>
      <c r="F260" s="1230">
        <f>'2-70'!L1515</f>
        <v>7085490.0800000001</v>
      </c>
    </row>
    <row r="261" spans="1:6" s="1227" customFormat="1" ht="16.95" customHeight="1">
      <c r="A261" s="1223">
        <v>34</v>
      </c>
      <c r="B261" s="1231" t="s">
        <v>1145</v>
      </c>
      <c r="C261" s="4">
        <f>'2-70'!H1519</f>
        <v>6911.2</v>
      </c>
      <c r="D261" s="1229">
        <f>'2-70'!K1519</f>
        <v>318</v>
      </c>
      <c r="E261" s="1229">
        <v>8</v>
      </c>
      <c r="F261" s="1230">
        <f>'2-70'!L1519</f>
        <v>12123443.590000002</v>
      </c>
    </row>
    <row r="262" spans="1:6" s="1227" customFormat="1" ht="16.95" customHeight="1">
      <c r="A262" s="1223">
        <v>35</v>
      </c>
      <c r="B262" s="1231" t="s">
        <v>1085</v>
      </c>
      <c r="C262" s="4">
        <f>'2-70'!H1528</f>
        <v>2566.8999999999996</v>
      </c>
      <c r="D262" s="1229">
        <f>'2-70'!K1528</f>
        <v>116</v>
      </c>
      <c r="E262" s="1229">
        <v>3</v>
      </c>
      <c r="F262" s="1230">
        <f>'2-70'!L1528</f>
        <v>5883319.4500000002</v>
      </c>
    </row>
    <row r="263" spans="1:6" s="1227" customFormat="1" ht="16.95" customHeight="1">
      <c r="A263" s="1223">
        <v>36</v>
      </c>
      <c r="B263" s="1231" t="s">
        <v>1587</v>
      </c>
      <c r="C263" s="4">
        <f>'2-70'!H1532</f>
        <v>12387.8</v>
      </c>
      <c r="D263" s="1229">
        <f>'2-70'!K1532</f>
        <v>457</v>
      </c>
      <c r="E263" s="1229">
        <v>3</v>
      </c>
      <c r="F263" s="1230">
        <f>'2-70'!L1532</f>
        <v>9105999</v>
      </c>
    </row>
    <row r="264" spans="1:6" s="1227" customFormat="1" ht="16.95" customHeight="1">
      <c r="A264" s="1223">
        <v>37</v>
      </c>
      <c r="B264" s="1232" t="s">
        <v>2015</v>
      </c>
      <c r="C264" s="4">
        <f>'2-70'!H1536</f>
        <v>1781.4</v>
      </c>
      <c r="D264" s="1229">
        <f>'2-70'!K1536</f>
        <v>52</v>
      </c>
      <c r="E264" s="1229">
        <v>2</v>
      </c>
      <c r="F264" s="1230">
        <f>'2-70'!L1536</f>
        <v>4485601.8100000005</v>
      </c>
    </row>
    <row r="265" spans="1:6" s="1227" customFormat="1" ht="16.95" customHeight="1">
      <c r="A265" s="1223"/>
      <c r="B265" s="1232" t="s">
        <v>55</v>
      </c>
      <c r="C265" s="4">
        <f>C266</f>
        <v>2456.1</v>
      </c>
      <c r="D265" s="1229">
        <f t="shared" ref="D265:F265" si="60">D266</f>
        <v>102</v>
      </c>
      <c r="E265" s="1229">
        <f t="shared" si="60"/>
        <v>5</v>
      </c>
      <c r="F265" s="1230">
        <f t="shared" si="60"/>
        <v>6598081</v>
      </c>
    </row>
    <row r="266" spans="1:6" s="1227" customFormat="1" ht="16.95" customHeight="1">
      <c r="A266" s="1223">
        <v>38</v>
      </c>
      <c r="B266" s="1231" t="s">
        <v>1090</v>
      </c>
      <c r="C266" s="4">
        <f>'2-70'!H1540</f>
        <v>2456.1</v>
      </c>
      <c r="D266" s="1229">
        <f>'2-70'!K1540</f>
        <v>102</v>
      </c>
      <c r="E266" s="1229">
        <v>5</v>
      </c>
      <c r="F266" s="1230">
        <f>'2-70'!L1540</f>
        <v>6598081</v>
      </c>
    </row>
    <row r="267" spans="1:6" s="1227" customFormat="1" ht="16.95" customHeight="1">
      <c r="A267" s="1223"/>
      <c r="B267" s="1232" t="s">
        <v>56</v>
      </c>
      <c r="C267" s="4">
        <f>C268+C269+C270</f>
        <v>21204</v>
      </c>
      <c r="D267" s="1229">
        <f t="shared" ref="D267:F267" si="61">D268+D269+D270</f>
        <v>876</v>
      </c>
      <c r="E267" s="1229">
        <f t="shared" si="61"/>
        <v>17</v>
      </c>
      <c r="F267" s="1230">
        <f t="shared" si="61"/>
        <v>22743396.890000001</v>
      </c>
    </row>
    <row r="268" spans="1:6" s="1227" customFormat="1" ht="16.95" customHeight="1">
      <c r="A268" s="1223">
        <v>39</v>
      </c>
      <c r="B268" s="1231" t="s">
        <v>1091</v>
      </c>
      <c r="C268" s="4">
        <f>'2-70'!H1547</f>
        <v>10612.5</v>
      </c>
      <c r="D268" s="1229">
        <f>'2-70'!K1547</f>
        <v>469</v>
      </c>
      <c r="E268" s="1229">
        <v>11</v>
      </c>
      <c r="F268" s="1230">
        <f>'2-70'!L1547</f>
        <v>14567303.83</v>
      </c>
    </row>
    <row r="269" spans="1:6" s="1227" customFormat="1" ht="16.95" customHeight="1">
      <c r="A269" s="1223">
        <v>40</v>
      </c>
      <c r="B269" s="1231" t="s">
        <v>1111</v>
      </c>
      <c r="C269" s="4">
        <f>'2-70'!H1559</f>
        <v>9196.1</v>
      </c>
      <c r="D269" s="1229">
        <f>'2-70'!K1559</f>
        <v>325</v>
      </c>
      <c r="E269" s="1229">
        <v>5</v>
      </c>
      <c r="F269" s="1230">
        <f>'2-70'!L1559</f>
        <v>7740931.0599999996</v>
      </c>
    </row>
    <row r="270" spans="1:6" s="1227" customFormat="1" ht="16.95" customHeight="1">
      <c r="A270" s="1223">
        <v>41</v>
      </c>
      <c r="B270" s="1231" t="s">
        <v>1093</v>
      </c>
      <c r="C270" s="4">
        <f>'2-70'!H1565</f>
        <v>1395.4</v>
      </c>
      <c r="D270" s="1229">
        <f>'2-70'!K1565</f>
        <v>82</v>
      </c>
      <c r="E270" s="1229">
        <v>1</v>
      </c>
      <c r="F270" s="1230">
        <f>'2-70'!L1565</f>
        <v>435162</v>
      </c>
    </row>
    <row r="271" spans="1:6" s="1227" customFormat="1" ht="16.95" customHeight="1">
      <c r="A271" s="1223"/>
      <c r="B271" s="1232" t="s">
        <v>57</v>
      </c>
      <c r="C271" s="4">
        <f>C272</f>
        <v>7878</v>
      </c>
      <c r="D271" s="1229">
        <f t="shared" ref="D271:F271" si="62">D272</f>
        <v>199</v>
      </c>
      <c r="E271" s="1229">
        <f t="shared" si="62"/>
        <v>2</v>
      </c>
      <c r="F271" s="1230">
        <f t="shared" si="62"/>
        <v>6354008.9000000004</v>
      </c>
    </row>
    <row r="272" spans="1:6" s="1227" customFormat="1" ht="16.95" customHeight="1">
      <c r="A272" s="1223">
        <v>42</v>
      </c>
      <c r="B272" s="1231" t="s">
        <v>1112</v>
      </c>
      <c r="C272" s="4">
        <f>'2-70'!H1568</f>
        <v>7878</v>
      </c>
      <c r="D272" s="1229">
        <f>'2-70'!K1568</f>
        <v>199</v>
      </c>
      <c r="E272" s="1229">
        <v>2</v>
      </c>
      <c r="F272" s="1230">
        <f>'2-70'!L1568</f>
        <v>6354008.9000000004</v>
      </c>
    </row>
    <row r="273" spans="1:6" s="1227" customFormat="1" ht="16.95" customHeight="1">
      <c r="A273" s="1223">
        <v>43</v>
      </c>
      <c r="B273" s="1232" t="s">
        <v>1220</v>
      </c>
      <c r="C273" s="4">
        <f>'2-70'!H1571</f>
        <v>6218.2</v>
      </c>
      <c r="D273" s="1229">
        <f>'2-70'!K1571</f>
        <v>190</v>
      </c>
      <c r="E273" s="1229">
        <v>6</v>
      </c>
      <c r="F273" s="1230">
        <f>'2-70'!L1571</f>
        <v>11757861</v>
      </c>
    </row>
    <row r="274" spans="1:6" s="1227" customFormat="1" ht="16.95" customHeight="1">
      <c r="A274" s="1223">
        <v>44</v>
      </c>
      <c r="B274" s="1232" t="s">
        <v>1158</v>
      </c>
      <c r="C274" s="4">
        <f>'2-70'!H1578</f>
        <v>14290.4</v>
      </c>
      <c r="D274" s="1229">
        <f>'2-70'!K1578</f>
        <v>480</v>
      </c>
      <c r="E274" s="1229">
        <v>4</v>
      </c>
      <c r="F274" s="1230">
        <f>'2-70'!L1578</f>
        <v>27401698.199999999</v>
      </c>
    </row>
    <row r="275" spans="1:6" s="1227" customFormat="1" ht="16.95" customHeight="1">
      <c r="A275" s="1223">
        <v>45</v>
      </c>
      <c r="B275" s="1231" t="s">
        <v>2013</v>
      </c>
      <c r="C275" s="4">
        <f>'2-70'!H1583</f>
        <v>1006.04</v>
      </c>
      <c r="D275" s="1229">
        <f>'2-70'!K1583</f>
        <v>44</v>
      </c>
      <c r="E275" s="1229">
        <v>3</v>
      </c>
      <c r="F275" s="1230">
        <f>'2-70'!L1583</f>
        <v>2552797.1</v>
      </c>
    </row>
    <row r="276" spans="1:6" s="1227" customFormat="1" ht="16.95" customHeight="1">
      <c r="A276" s="1223"/>
      <c r="B276" s="1231" t="s">
        <v>61</v>
      </c>
      <c r="C276" s="4">
        <f>C277+C278</f>
        <v>1413.04</v>
      </c>
      <c r="D276" s="1229">
        <f t="shared" ref="D276:F276" si="63">D277+D278</f>
        <v>74</v>
      </c>
      <c r="E276" s="1229">
        <f t="shared" si="63"/>
        <v>3</v>
      </c>
      <c r="F276" s="1230">
        <f t="shared" si="63"/>
        <v>3015777</v>
      </c>
    </row>
    <row r="277" spans="1:6" s="1227" customFormat="1" ht="16.95" customHeight="1">
      <c r="A277" s="1223">
        <v>46</v>
      </c>
      <c r="B277" s="1231" t="s">
        <v>1095</v>
      </c>
      <c r="C277" s="4">
        <f>'2-70'!H1588</f>
        <v>636.54</v>
      </c>
      <c r="D277" s="1229">
        <f>'2-70'!K1588</f>
        <v>46</v>
      </c>
      <c r="E277" s="1229">
        <v>2</v>
      </c>
      <c r="F277" s="1230">
        <f>'2-70'!L1588</f>
        <v>2310714</v>
      </c>
    </row>
    <row r="278" spans="1:6" s="1227" customFormat="1" ht="16.95" customHeight="1">
      <c r="A278" s="1223">
        <v>47</v>
      </c>
      <c r="B278" s="1231" t="s">
        <v>1182</v>
      </c>
      <c r="C278" s="4">
        <f>'2-70'!H1591</f>
        <v>776.5</v>
      </c>
      <c r="D278" s="1229">
        <f>'2-70'!K1591</f>
        <v>28</v>
      </c>
      <c r="E278" s="1229">
        <v>1</v>
      </c>
      <c r="F278" s="1230">
        <f>'2-70'!L1591</f>
        <v>705063</v>
      </c>
    </row>
    <row r="279" spans="1:6" s="1227" customFormat="1" ht="16.95" customHeight="1">
      <c r="A279" s="1223">
        <v>48</v>
      </c>
      <c r="B279" s="1231" t="s">
        <v>2014</v>
      </c>
      <c r="C279" s="4">
        <f>'2-70'!H1593</f>
        <v>3621.8</v>
      </c>
      <c r="D279" s="1229">
        <f>'2-70'!K1593</f>
        <v>113</v>
      </c>
      <c r="E279" s="1229">
        <v>2</v>
      </c>
      <c r="F279" s="1230">
        <f>'2-70'!L1593</f>
        <v>3720453.9699999997</v>
      </c>
    </row>
    <row r="280" spans="1:6" s="1227" customFormat="1" ht="16.95" customHeight="1">
      <c r="A280" s="1223">
        <v>49</v>
      </c>
      <c r="B280" s="1232" t="s">
        <v>2016</v>
      </c>
      <c r="C280" s="4">
        <f>'2-70'!H1596</f>
        <v>9932</v>
      </c>
      <c r="D280" s="1229">
        <f>'2-70'!K1596</f>
        <v>349</v>
      </c>
      <c r="E280" s="1229">
        <v>7</v>
      </c>
      <c r="F280" s="1230">
        <f>'2-70'!L1596</f>
        <v>13336676</v>
      </c>
    </row>
    <row r="281" spans="1:6" s="1227" customFormat="1" ht="16.95" customHeight="1">
      <c r="A281" s="1223"/>
      <c r="B281" s="1232" t="s">
        <v>663</v>
      </c>
      <c r="C281" s="4">
        <f>C282</f>
        <v>783.2</v>
      </c>
      <c r="D281" s="1229">
        <f t="shared" ref="D281:F281" si="64">D282</f>
        <v>32</v>
      </c>
      <c r="E281" s="1229">
        <f t="shared" si="64"/>
        <v>1</v>
      </c>
      <c r="F281" s="1230">
        <f t="shared" si="64"/>
        <v>1587823</v>
      </c>
    </row>
    <row r="282" spans="1:6" s="1227" customFormat="1" ht="16.95" customHeight="1">
      <c r="A282" s="1223">
        <v>50</v>
      </c>
      <c r="B282" s="1231" t="s">
        <v>1113</v>
      </c>
      <c r="C282" s="4">
        <f>'2-70'!H1605</f>
        <v>783.2</v>
      </c>
      <c r="D282" s="1229">
        <f>'2-70'!K1605</f>
        <v>32</v>
      </c>
      <c r="E282" s="1229">
        <v>1</v>
      </c>
      <c r="F282" s="1230">
        <f>'2-70'!L1605</f>
        <v>1587823</v>
      </c>
    </row>
    <row r="283" spans="1:6" s="1227" customFormat="1" ht="16.95" customHeight="1">
      <c r="A283" s="1223"/>
      <c r="B283" s="1231" t="s">
        <v>64</v>
      </c>
      <c r="C283" s="4">
        <f>C284</f>
        <v>2241.2999999999997</v>
      </c>
      <c r="D283" s="1229">
        <f t="shared" ref="D283:F283" si="65">D284</f>
        <v>114</v>
      </c>
      <c r="E283" s="1229">
        <f t="shared" si="65"/>
        <v>5</v>
      </c>
      <c r="F283" s="1230">
        <f t="shared" si="65"/>
        <v>11390543.579999998</v>
      </c>
    </row>
    <row r="284" spans="1:6" s="1227" customFormat="1" ht="16.95" customHeight="1">
      <c r="A284" s="1223">
        <v>51</v>
      </c>
      <c r="B284" s="1231" t="s">
        <v>1097</v>
      </c>
      <c r="C284" s="4">
        <f>'2-70'!H1608</f>
        <v>2241.2999999999997</v>
      </c>
      <c r="D284" s="1229">
        <f>'2-70'!K1608</f>
        <v>114</v>
      </c>
      <c r="E284" s="1229">
        <v>5</v>
      </c>
      <c r="F284" s="1230">
        <f>'2-70'!L1608</f>
        <v>11390543.579999998</v>
      </c>
    </row>
    <row r="285" spans="1:6" s="1227" customFormat="1" ht="16.95" customHeight="1">
      <c r="A285" s="1223"/>
      <c r="B285" s="1231" t="s">
        <v>211</v>
      </c>
      <c r="C285" s="4">
        <f>C286+C287+C288</f>
        <v>1483.4</v>
      </c>
      <c r="D285" s="1229">
        <f t="shared" ref="D285:F285" si="66">D286+D287+D288</f>
        <v>44</v>
      </c>
      <c r="E285" s="1229">
        <f t="shared" si="66"/>
        <v>3</v>
      </c>
      <c r="F285" s="1230">
        <f t="shared" si="66"/>
        <v>4149700.9699999997</v>
      </c>
    </row>
    <row r="286" spans="1:6" s="1227" customFormat="1" ht="16.95" customHeight="1">
      <c r="A286" s="1223">
        <v>52</v>
      </c>
      <c r="B286" s="1231" t="s">
        <v>1208</v>
      </c>
      <c r="C286" s="4">
        <f>'2-70'!H1615</f>
        <v>388.1</v>
      </c>
      <c r="D286" s="1229">
        <f>'2-70'!K1615</f>
        <v>17</v>
      </c>
      <c r="E286" s="1229">
        <v>1</v>
      </c>
      <c r="F286" s="1230">
        <f>'2-70'!L1615</f>
        <v>1116919</v>
      </c>
    </row>
    <row r="287" spans="1:6" s="1227" customFormat="1" ht="16.95" customHeight="1">
      <c r="A287" s="1223">
        <v>53</v>
      </c>
      <c r="B287" s="1231" t="s">
        <v>1098</v>
      </c>
      <c r="C287" s="4">
        <f>'2-70'!H1617</f>
        <v>494.8</v>
      </c>
      <c r="D287" s="1229">
        <f>'2-70'!K1617</f>
        <v>12</v>
      </c>
      <c r="E287" s="1229">
        <v>1</v>
      </c>
      <c r="F287" s="1230">
        <f>'2-70'!L1617</f>
        <v>1537679</v>
      </c>
    </row>
    <row r="288" spans="1:6" s="1227" customFormat="1" ht="16.95" customHeight="1">
      <c r="A288" s="1223">
        <v>54</v>
      </c>
      <c r="B288" s="1231" t="s">
        <v>1099</v>
      </c>
      <c r="C288" s="4">
        <f>'2-70'!H1619</f>
        <v>600.5</v>
      </c>
      <c r="D288" s="1229">
        <f>'2-70'!K1619</f>
        <v>15</v>
      </c>
      <c r="E288" s="1229">
        <v>1</v>
      </c>
      <c r="F288" s="1230">
        <f>'2-70'!L1619</f>
        <v>1495102.97</v>
      </c>
    </row>
    <row r="289" spans="1:6" s="1227" customFormat="1" ht="16.95" customHeight="1">
      <c r="A289" s="1223"/>
      <c r="B289" s="1231" t="s">
        <v>66</v>
      </c>
      <c r="C289" s="4">
        <f>C291+C290</f>
        <v>2124.6</v>
      </c>
      <c r="D289" s="1229">
        <f t="shared" ref="D289:F289" si="67">D291+D290</f>
        <v>53</v>
      </c>
      <c r="E289" s="1229">
        <f t="shared" si="67"/>
        <v>4</v>
      </c>
      <c r="F289" s="1230">
        <f t="shared" si="67"/>
        <v>2929055</v>
      </c>
    </row>
    <row r="290" spans="1:6" s="1227" customFormat="1" ht="16.95" customHeight="1">
      <c r="A290" s="1223">
        <v>55</v>
      </c>
      <c r="B290" s="1231" t="s">
        <v>1101</v>
      </c>
      <c r="C290" s="4">
        <f>'2-70'!H1622</f>
        <v>759.1</v>
      </c>
      <c r="D290" s="1229">
        <f>'2-70'!K1622</f>
        <v>13</v>
      </c>
      <c r="E290" s="1229">
        <v>2</v>
      </c>
      <c r="F290" s="1230">
        <f>'2-70'!L1622</f>
        <v>2224132</v>
      </c>
    </row>
    <row r="291" spans="1:6" s="1227" customFormat="1" ht="16.95" customHeight="1">
      <c r="A291" s="1223">
        <v>56</v>
      </c>
      <c r="B291" s="1231" t="s">
        <v>1100</v>
      </c>
      <c r="C291" s="4">
        <f>'2-70'!H1625</f>
        <v>1365.5</v>
      </c>
      <c r="D291" s="1229">
        <f>'2-70'!K1625</f>
        <v>40</v>
      </c>
      <c r="E291" s="1229">
        <v>2</v>
      </c>
      <c r="F291" s="1230">
        <f>'2-70'!L1625</f>
        <v>704923</v>
      </c>
    </row>
    <row r="292" spans="1:6" s="1227" customFormat="1" ht="16.95" customHeight="1">
      <c r="A292" s="1223">
        <v>57</v>
      </c>
      <c r="B292" s="1231" t="s">
        <v>1161</v>
      </c>
      <c r="C292" s="4">
        <f>'2-70'!H1628</f>
        <v>5114.17</v>
      </c>
      <c r="D292" s="1229">
        <f>'2-70'!K1629</f>
        <v>180</v>
      </c>
      <c r="E292" s="1229">
        <v>1</v>
      </c>
      <c r="F292" s="1230">
        <f>'2-70'!L1628</f>
        <v>12132544</v>
      </c>
    </row>
    <row r="293" spans="1:6" s="1227" customFormat="1" ht="16.95" customHeight="1">
      <c r="A293" s="1223"/>
      <c r="B293" s="1218" t="s">
        <v>67</v>
      </c>
      <c r="C293" s="4">
        <f>C296+C295+C294</f>
        <v>5621.8</v>
      </c>
      <c r="D293" s="1229">
        <f t="shared" ref="D293:F293" si="68">D296+D295+D294</f>
        <v>207</v>
      </c>
      <c r="E293" s="1229">
        <f t="shared" si="68"/>
        <v>4</v>
      </c>
      <c r="F293" s="1230">
        <f t="shared" si="68"/>
        <v>7537035</v>
      </c>
    </row>
    <row r="294" spans="1:6" s="1227" customFormat="1" ht="16.95" customHeight="1">
      <c r="A294" s="1223">
        <v>58</v>
      </c>
      <c r="B294" s="1231" t="s">
        <v>1604</v>
      </c>
      <c r="C294" s="4">
        <f>'2-70'!H1631</f>
        <v>403.1</v>
      </c>
      <c r="D294" s="1229">
        <f>'2-70'!K1631</f>
        <v>22</v>
      </c>
      <c r="E294" s="1229">
        <v>1</v>
      </c>
      <c r="F294" s="1230">
        <f>'2-70'!L1631</f>
        <v>1191810</v>
      </c>
    </row>
    <row r="295" spans="1:6" s="1227" customFormat="1" ht="16.95" customHeight="1">
      <c r="A295" s="1223">
        <v>59</v>
      </c>
      <c r="B295" s="1231" t="s">
        <v>1219</v>
      </c>
      <c r="C295" s="4">
        <f>'2-70'!H1636</f>
        <v>1155.5</v>
      </c>
      <c r="D295" s="1229">
        <f>'2-70'!K1636</f>
        <v>57</v>
      </c>
      <c r="E295" s="1229">
        <v>1</v>
      </c>
      <c r="F295" s="1230">
        <f>'2-70'!L1636</f>
        <v>1626080</v>
      </c>
    </row>
    <row r="296" spans="1:6" s="1227" customFormat="1" ht="16.95" customHeight="1">
      <c r="A296" s="1223">
        <v>60</v>
      </c>
      <c r="B296" s="1231" t="s">
        <v>1345</v>
      </c>
      <c r="C296" s="4">
        <f>'2-70'!H1633</f>
        <v>4063.2</v>
      </c>
      <c r="D296" s="1229">
        <f>'2-70'!K1633</f>
        <v>128</v>
      </c>
      <c r="E296" s="1229">
        <v>2</v>
      </c>
      <c r="F296" s="1230">
        <f>'2-70'!L1633</f>
        <v>4719145</v>
      </c>
    </row>
  </sheetData>
  <autoFilter ref="A5:F296"/>
  <customSheetViews>
    <customSheetView guid="{971AA6D5-B469-4A54-816C-1252CCB6D265}" scale="90" showPageBreaks="1" fitToPage="1" printArea="1" showAutoFilter="1" view="pageBreakPreview">
      <pane xSplit="5" ySplit="6" topLeftCell="F121" activePane="bottomRight" state="frozen"/>
      <selection pane="bottomRight" activeCell="A249" sqref="A249"/>
      <pageMargins left="0.62992125984251968" right="0.51181102362204722" top="0.82677165354330717" bottom="0.43307086614173229" header="0.51181102362204722" footer="0.31496062992125984"/>
      <printOptions horizontalCentered="1"/>
      <pageSetup paperSize="9" scale="81" firstPageNumber="100" fitToHeight="0" orientation="landscape" useFirstPageNumber="1" r:id="rId1"/>
      <headerFooter>
        <oddHeader>&amp;C&amp;"Times New Roman,обычный"&amp;12&amp;P</oddHeader>
      </headerFooter>
      <autoFilter ref="A5:F248"/>
    </customSheetView>
    <customSheetView guid="{DFE5B545-478C-4B86-847C-1FEE882C6F69}" scale="73" showPageBreaks="1" fitToPage="1" printArea="1" showAutoFilter="1" view="pageBreakPreview">
      <pane xSplit="5" ySplit="6" topLeftCell="F311" activePane="bottomRight" state="frozen"/>
      <selection pane="bottomRight" activeCell="A328" sqref="A328"/>
      <pageMargins left="0.62992125984251968" right="0.51181102362204722" top="1.1811023622047245" bottom="0.59055118110236227" header="0.51181102362204722" footer="0.31496062992125984"/>
      <printOptions horizontalCentered="1"/>
      <pageSetup paperSize="9" scale="81" firstPageNumber="88" fitToHeight="0" orientation="landscape" useFirstPageNumber="1" r:id="rId2"/>
      <headerFooter>
        <oddHeader>&amp;C&amp;"Times New Roman,обычный"&amp;14&amp;P</oddHeader>
      </headerFooter>
      <autoFilter ref="A5:F327"/>
    </customSheetView>
    <customSheetView guid="{4C44C113-DA02-468D-99C5-83FA6693F42F}" scale="73" showPageBreaks="1" fitToPage="1" printArea="1" showAutoFilter="1" view="pageBreakPreview">
      <pane xSplit="5" ySplit="6" topLeftCell="F311" activePane="bottomRight" state="frozen"/>
      <selection pane="bottomRight" activeCell="A328" sqref="A328"/>
      <pageMargins left="0.62992125984251968" right="0.51181102362204722" top="1.1811023622047245" bottom="0.59055118110236227" header="0.51181102362204722" footer="0.31496062992125984"/>
      <printOptions horizontalCentered="1"/>
      <pageSetup paperSize="9" scale="81" firstPageNumber="88" fitToHeight="0" orientation="landscape" useFirstPageNumber="1" r:id="rId3"/>
      <headerFooter>
        <oddHeader>&amp;C&amp;"Times New Roman,обычный"&amp;14&amp;P</oddHeader>
      </headerFooter>
      <autoFilter ref="A5:F327"/>
    </customSheetView>
    <customSheetView guid="{570403C4-1D93-4175-B4D8-BD47D46CE99C}" scale="73" showPageBreaks="1" fitToPage="1" printArea="1" showAutoFilter="1" view="pageBreakPreview">
      <pane xSplit="5" ySplit="6" topLeftCell="F311" activePane="bottomRight" state="frozen"/>
      <selection pane="bottomRight" activeCell="A328" sqref="A328"/>
      <pageMargins left="0.62992125984251968" right="0.51181102362204722" top="1.1811023622047245" bottom="0.59055118110236227" header="0.51181102362204722" footer="0.31496062992125984"/>
      <printOptions horizontalCentered="1"/>
      <pageSetup paperSize="9" scale="81" firstPageNumber="88" fitToHeight="0" orientation="landscape" useFirstPageNumber="1" r:id="rId4"/>
      <headerFooter>
        <oddHeader>&amp;C&amp;"Times New Roman,обычный"&amp;14&amp;P</oddHeader>
      </headerFooter>
      <autoFilter ref="A5:F327"/>
    </customSheetView>
    <customSheetView guid="{B1841E62-04AF-4786-8B2B-B1F42C88E6D1}" scale="73" showPageBreaks="1" fitToPage="1" printArea="1" showAutoFilter="1" view="pageBreakPreview">
      <pane xSplit="5" ySplit="6" topLeftCell="F311" activePane="bottomRight" state="frozen"/>
      <selection pane="bottomRight" activeCell="A328" sqref="A328"/>
      <pageMargins left="0.62992125984251968" right="0.51181102362204722" top="1.1811023622047245" bottom="0.59055118110236227" header="0.51181102362204722" footer="0.31496062992125984"/>
      <printOptions horizontalCentered="1"/>
      <pageSetup paperSize="9" scale="81" firstPageNumber="88" fitToHeight="0" orientation="landscape" useFirstPageNumber="1" r:id="rId5"/>
      <headerFooter>
        <oddHeader>&amp;C&amp;"Times New Roman,обычный"&amp;14&amp;P</oddHeader>
      </headerFooter>
      <autoFilter ref="A5:F327"/>
    </customSheetView>
    <customSheetView guid="{A28C0ADC-4E0C-4A0A-ACB1-DA409183476D}" scale="73" showPageBreaks="1" fitToPage="1" printArea="1" showAutoFilter="1" view="pageBreakPreview">
      <pane xSplit="5" ySplit="6" topLeftCell="F311" activePane="bottomRight" state="frozen"/>
      <selection pane="bottomRight" activeCell="A328" sqref="A328"/>
      <pageMargins left="0.62992125984251968" right="0.51181102362204722" top="1.1811023622047245" bottom="0.59055118110236227" header="0.51181102362204722" footer="0.31496062992125984"/>
      <printOptions horizontalCentered="1"/>
      <pageSetup paperSize="9" scale="81" firstPageNumber="88" fitToHeight="0" orientation="landscape" useFirstPageNumber="1" r:id="rId6"/>
      <headerFooter>
        <oddHeader>&amp;C&amp;"Times New Roman,обычный"&amp;14&amp;P</oddHeader>
      </headerFooter>
      <autoFilter ref="A5:F327"/>
    </customSheetView>
    <customSheetView guid="{144E5A37-1CF2-41F0-BEF8-CB5D4D392E2A}" scale="73" showPageBreaks="1" fitToPage="1" printArea="1" showAutoFilter="1" view="pageBreakPreview">
      <pane xSplit="4" ySplit="5" topLeftCell="F311" activePane="bottomRight" state="frozen"/>
      <selection pane="bottomRight" activeCell="A328" sqref="A328"/>
      <pageMargins left="0.62992125984251968" right="0.51181102362204722" top="1.1811023622047245" bottom="0.59055118110236227" header="0.51181102362204722" footer="0.31496062992125984"/>
      <printOptions horizontalCentered="1"/>
      <pageSetup paperSize="9" scale="81" firstPageNumber="88" fitToHeight="0" orientation="landscape" useFirstPageNumber="1" r:id="rId7"/>
      <headerFooter>
        <oddHeader>&amp;C&amp;"Times New Roman,обычный"&amp;14&amp;P</oddHeader>
      </headerFooter>
      <autoFilter ref="A5:F327"/>
    </customSheetView>
    <customSheetView guid="{7A75CCE7-0E84-47E6-A162-5AC0354F2967}" scale="73" showPageBreaks="1" fitToPage="1" printArea="1" showAutoFilter="1" view="pageBreakPreview">
      <pane xSplit="5" ySplit="6" topLeftCell="F311" activePane="bottomRight" state="frozen"/>
      <selection pane="bottomRight" activeCell="A328" sqref="A328"/>
      <pageMargins left="0.62992125984251968" right="0.51181102362204722" top="1.1811023622047245" bottom="0.59055118110236227" header="0.51181102362204722" footer="0.31496062992125984"/>
      <printOptions horizontalCentered="1"/>
      <pageSetup paperSize="9" scale="81" firstPageNumber="88" fitToHeight="0" orientation="landscape" useFirstPageNumber="1" r:id="rId8"/>
      <headerFooter>
        <oddHeader>&amp;C&amp;"Times New Roman,обычный"&amp;14&amp;P</oddHeader>
      </headerFooter>
      <autoFilter ref="A5:F327"/>
    </customSheetView>
    <customSheetView guid="{A6187BD3-0BA4-497C-8924-4FA3D77530F0}" scale="73" showPageBreaks="1" fitToPage="1" printArea="1" showAutoFilter="1" view="pageBreakPreview">
      <pane xSplit="5" ySplit="6" topLeftCell="F311" activePane="bottomRight" state="frozen"/>
      <selection pane="bottomRight" activeCell="A328" sqref="A328"/>
      <pageMargins left="0.62992125984251968" right="0.51181102362204722" top="1.1811023622047245" bottom="0.59055118110236227" header="0.51181102362204722" footer="0.31496062992125984"/>
      <printOptions horizontalCentered="1"/>
      <pageSetup paperSize="9" scale="81" firstPageNumber="88" fitToHeight="0" orientation="landscape" useFirstPageNumber="1" r:id="rId9"/>
      <headerFooter>
        <oddHeader>&amp;C&amp;"Times New Roman,обычный"&amp;14&amp;P</oddHeader>
      </headerFooter>
      <autoFilter ref="A5:F327"/>
    </customSheetView>
    <customSheetView guid="{DC88C499-913F-4D15-846E-E5B9D5E047D7}" scale="73" showPageBreaks="1" fitToPage="1" printArea="1" showAutoFilter="1" view="pageBreakPreview">
      <pane xSplit="5" ySplit="6" topLeftCell="F311" activePane="bottomRight" state="frozen"/>
      <selection pane="bottomRight" activeCell="A328" sqref="A328"/>
      <pageMargins left="0.62992125984251968" right="0.51181102362204722" top="1.1811023622047245" bottom="0.59055118110236227" header="0.51181102362204722" footer="0.31496062992125984"/>
      <printOptions horizontalCentered="1"/>
      <pageSetup paperSize="9" scale="81" firstPageNumber="88" fitToHeight="0" orientation="landscape" useFirstPageNumber="1" r:id="rId10"/>
      <headerFooter>
        <oddHeader>&amp;C&amp;"Times New Roman,обычный"&amp;14&amp;P</oddHeader>
      </headerFooter>
      <autoFilter ref="A5:F327"/>
    </customSheetView>
  </customSheetViews>
  <mergeCells count="11">
    <mergeCell ref="A8:F8"/>
    <mergeCell ref="A96:F96"/>
    <mergeCell ref="A158:F158"/>
    <mergeCell ref="A1:F1"/>
    <mergeCell ref="A2:A4"/>
    <mergeCell ref="B2:B4"/>
    <mergeCell ref="C2:C3"/>
    <mergeCell ref="D2:D3"/>
    <mergeCell ref="E2:E3"/>
    <mergeCell ref="F2:F3"/>
    <mergeCell ref="A6:F6"/>
  </mergeCells>
  <printOptions horizontalCentered="1"/>
  <pageMargins left="0.39370078740157483" right="0.39370078740157483" top="1.1811023622047245" bottom="0.39370078740157483" header="0.70866141732283472" footer="0.31496062992125984"/>
  <pageSetup paperSize="9" scale="84" firstPageNumber="104" fitToHeight="0" orientation="landscape" useFirstPageNumber="1" r:id="rId11"/>
  <headerFooter>
    <oddHeader>&amp;C&amp;"Times New Roman,обычный"&amp;12&amp;P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9</vt:i4>
      </vt:variant>
    </vt:vector>
  </HeadingPairs>
  <TitlesOfParts>
    <vt:vector size="16" baseType="lpstr">
      <vt:lpstr>часть 1</vt:lpstr>
      <vt:lpstr>часть 2</vt:lpstr>
      <vt:lpstr>часть 3</vt:lpstr>
      <vt:lpstr>№ п-п</vt:lpstr>
      <vt:lpstr>2-70</vt:lpstr>
      <vt:lpstr>71-106</vt:lpstr>
      <vt:lpstr>107</vt:lpstr>
      <vt:lpstr>'107'!Заголовки_для_печати</vt:lpstr>
      <vt:lpstr>'2-70'!Заголовки_для_печати</vt:lpstr>
      <vt:lpstr>'71-106'!Заголовки_для_печати</vt:lpstr>
      <vt:lpstr>'часть 1'!Заголовки_для_печати</vt:lpstr>
      <vt:lpstr>'часть 2'!Заголовки_для_печати</vt:lpstr>
      <vt:lpstr>'часть 3'!Заголовки_для_печати</vt:lpstr>
      <vt:lpstr>'107'!Область_печати</vt:lpstr>
      <vt:lpstr>'2-70'!Область_печати</vt:lpstr>
      <vt:lpstr>'71-106'!Область_печати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</dc:creator>
  <cp:lastModifiedBy>zhms</cp:lastModifiedBy>
  <cp:lastPrinted>2020-08-15T09:23:27Z</cp:lastPrinted>
  <dcterms:created xsi:type="dcterms:W3CDTF">2012-12-13T11:50:40Z</dcterms:created>
  <dcterms:modified xsi:type="dcterms:W3CDTF">2020-08-15T09:26:31Z</dcterms:modified>
</cp:coreProperties>
</file>